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마르따의집\Desktop\"/>
    </mc:Choice>
  </mc:AlternateContent>
  <bookViews>
    <workbookView xWindow="-15" yWindow="-15" windowWidth="9615" windowHeight="11745" tabRatio="656" activeTab="2"/>
  </bookViews>
  <sheets>
    <sheet name="세입세출총괄표" sheetId="18" r:id="rId1"/>
    <sheet name="세입" sheetId="4" r:id="rId2"/>
    <sheet name="세출" sheetId="5" r:id="rId3"/>
  </sheets>
  <externalReferences>
    <externalReference r:id="rId4"/>
    <externalReference r:id="rId5"/>
  </externalReferences>
  <definedNames>
    <definedName name="_xlnm.Print_Area" localSheetId="1">세입!$A$1:$X$89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세출!$AD$15</definedName>
    <definedName name="명절휴가비1" localSheetId="1">세입!#REF!</definedName>
    <definedName name="사회보험" localSheetId="0">[1]세입!#REF!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>세입!#REF!</definedName>
    <definedName name="연장근로수당" localSheetId="2">세출!$AD$19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>세입!#REF!</definedName>
    <definedName name="특수근무수당6">[2]세입!#REF!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M107" i="5" l="1"/>
  <c r="W59" i="4" l="1"/>
  <c r="D4" i="5" l="1"/>
  <c r="AD135" i="5" l="1"/>
  <c r="AD161" i="5"/>
  <c r="AD122" i="5" l="1"/>
  <c r="AD52" i="5" l="1"/>
  <c r="AD51" i="5"/>
  <c r="AD21" i="5"/>
  <c r="AD20" i="5"/>
  <c r="AD9" i="5"/>
  <c r="AD8" i="5"/>
  <c r="AD7" i="5" l="1"/>
  <c r="I27" i="18"/>
  <c r="I25" i="18"/>
  <c r="I23" i="18"/>
  <c r="I16" i="18"/>
  <c r="I12" i="18"/>
  <c r="I8" i="18"/>
  <c r="D22" i="18"/>
  <c r="D20" i="18"/>
  <c r="D18" i="18"/>
  <c r="D15" i="18"/>
  <c r="D10" i="18"/>
  <c r="D8" i="18"/>
  <c r="I7" i="18" l="1"/>
  <c r="D7" i="18"/>
  <c r="AD151" i="5"/>
  <c r="AD50" i="5" l="1"/>
  <c r="AD130" i="5"/>
  <c r="AD159" i="5"/>
  <c r="W88" i="4" l="1"/>
  <c r="AD87" i="5" l="1"/>
  <c r="AD83" i="5"/>
  <c r="AD105" i="5" l="1"/>
  <c r="AD104" i="5"/>
  <c r="AD101" i="5" s="1"/>
  <c r="AD49" i="5" l="1"/>
  <c r="W62" i="4" l="1"/>
  <c r="AD145" i="5" l="1"/>
  <c r="AD112" i="5"/>
  <c r="AD118" i="5"/>
  <c r="AD114" i="5" l="1"/>
  <c r="AD111" i="5"/>
  <c r="L26" i="5" l="1"/>
  <c r="K26" i="5"/>
  <c r="J26" i="5"/>
  <c r="I26" i="5"/>
  <c r="H26" i="5"/>
  <c r="G26" i="5"/>
  <c r="W84" i="4" l="1"/>
  <c r="AD150" i="5"/>
  <c r="AD152" i="5" l="1"/>
  <c r="AD160" i="5"/>
  <c r="AD158" i="5"/>
  <c r="J27" i="18" l="1"/>
  <c r="J25" i="18"/>
  <c r="J23" i="18"/>
  <c r="J16" i="18"/>
  <c r="J12" i="18"/>
  <c r="J8" i="18"/>
  <c r="E22" i="18"/>
  <c r="E20" i="18"/>
  <c r="E18" i="18"/>
  <c r="E15" i="18"/>
  <c r="F165" i="5"/>
  <c r="F164" i="5" s="1"/>
  <c r="AD110" i="5"/>
  <c r="F109" i="5" s="1"/>
  <c r="AD76" i="5"/>
  <c r="L59" i="5"/>
  <c r="K59" i="5"/>
  <c r="I59" i="5"/>
  <c r="H59" i="5"/>
  <c r="G59" i="5"/>
  <c r="AD19" i="5"/>
  <c r="J7" i="18" l="1"/>
  <c r="E49" i="4" l="1"/>
  <c r="E48" i="4" s="1"/>
  <c r="E46" i="4"/>
  <c r="E45" i="4" s="1"/>
  <c r="E42" i="4"/>
  <c r="E41" i="4" s="1"/>
  <c r="E22" i="4"/>
  <c r="E21" i="4" s="1"/>
  <c r="E12" i="4"/>
  <c r="E59" i="4"/>
  <c r="W18" i="4"/>
  <c r="W16" i="4" s="1"/>
  <c r="E16" i="4" s="1"/>
  <c r="E44" i="4" l="1"/>
  <c r="G46" i="5" l="1"/>
  <c r="F108" i="5" l="1"/>
  <c r="E10" i="18" l="1"/>
  <c r="E8" i="18"/>
  <c r="E7" i="18" l="1"/>
  <c r="AD48" i="5"/>
  <c r="AD77" i="5"/>
  <c r="F75" i="5" s="1"/>
  <c r="AD78" i="5"/>
  <c r="G14" i="5" l="1"/>
  <c r="AD144" i="5" l="1"/>
  <c r="AD143" i="5" s="1"/>
  <c r="L177" i="5"/>
  <c r="K177" i="5"/>
  <c r="J177" i="5"/>
  <c r="I177" i="5"/>
  <c r="H177" i="5"/>
  <c r="G177" i="5"/>
  <c r="M177" i="5"/>
  <c r="F177" i="5"/>
  <c r="L174" i="5"/>
  <c r="K174" i="5"/>
  <c r="J174" i="5"/>
  <c r="I174" i="5"/>
  <c r="H174" i="5"/>
  <c r="G174" i="5"/>
  <c r="F174" i="5"/>
  <c r="L165" i="5"/>
  <c r="K165" i="5"/>
  <c r="J165" i="5"/>
  <c r="I165" i="5"/>
  <c r="H165" i="5"/>
  <c r="G165" i="5"/>
  <c r="L158" i="5"/>
  <c r="K158" i="5"/>
  <c r="I158" i="5"/>
  <c r="H158" i="5"/>
  <c r="G158" i="5"/>
  <c r="F158" i="5"/>
  <c r="L154" i="5"/>
  <c r="K154" i="5"/>
  <c r="I154" i="5"/>
  <c r="H154" i="5"/>
  <c r="G154" i="5"/>
  <c r="F154" i="5"/>
  <c r="L147" i="5"/>
  <c r="K147" i="5"/>
  <c r="I147" i="5"/>
  <c r="H147" i="5"/>
  <c r="G147" i="5"/>
  <c r="F147" i="5"/>
  <c r="L143" i="5"/>
  <c r="K143" i="5"/>
  <c r="I143" i="5"/>
  <c r="H143" i="5"/>
  <c r="G143" i="5"/>
  <c r="F143" i="5"/>
  <c r="L140" i="5"/>
  <c r="K140" i="5"/>
  <c r="I140" i="5"/>
  <c r="H140" i="5"/>
  <c r="G140" i="5"/>
  <c r="F140" i="5"/>
  <c r="L137" i="5"/>
  <c r="K137" i="5"/>
  <c r="I137" i="5"/>
  <c r="H137" i="5"/>
  <c r="G137" i="5"/>
  <c r="F137" i="5"/>
  <c r="L133" i="5"/>
  <c r="K133" i="5"/>
  <c r="I133" i="5"/>
  <c r="H133" i="5"/>
  <c r="G133" i="5"/>
  <c r="F133" i="5"/>
  <c r="L129" i="5"/>
  <c r="K129" i="5"/>
  <c r="I129" i="5"/>
  <c r="H129" i="5"/>
  <c r="G129" i="5"/>
  <c r="L125" i="5"/>
  <c r="K125" i="5"/>
  <c r="I125" i="5"/>
  <c r="H125" i="5"/>
  <c r="G125" i="5"/>
  <c r="L121" i="5"/>
  <c r="K121" i="5"/>
  <c r="H121" i="5"/>
  <c r="G121" i="5"/>
  <c r="L117" i="5"/>
  <c r="K117" i="5"/>
  <c r="J117" i="5"/>
  <c r="H117" i="5"/>
  <c r="G117" i="5"/>
  <c r="L109" i="5"/>
  <c r="K109" i="5"/>
  <c r="J109" i="5"/>
  <c r="I109" i="5"/>
  <c r="H109" i="5"/>
  <c r="G109" i="5"/>
  <c r="L101" i="5"/>
  <c r="K101" i="5"/>
  <c r="J101" i="5"/>
  <c r="I101" i="5"/>
  <c r="H101" i="5"/>
  <c r="G101" i="5"/>
  <c r="F101" i="5"/>
  <c r="L97" i="5"/>
  <c r="K97" i="5"/>
  <c r="J97" i="5"/>
  <c r="I97" i="5"/>
  <c r="H97" i="5"/>
  <c r="G97" i="5"/>
  <c r="F97" i="5"/>
  <c r="L95" i="5"/>
  <c r="K95" i="5"/>
  <c r="J95" i="5"/>
  <c r="I95" i="5"/>
  <c r="H95" i="5"/>
  <c r="G95" i="5"/>
  <c r="F95" i="5"/>
  <c r="L90" i="5"/>
  <c r="K90" i="5"/>
  <c r="H90" i="5"/>
  <c r="G90" i="5"/>
  <c r="L86" i="5"/>
  <c r="K86" i="5"/>
  <c r="I86" i="5"/>
  <c r="H86" i="5"/>
  <c r="G86" i="5"/>
  <c r="L81" i="5"/>
  <c r="K81" i="5"/>
  <c r="I81" i="5"/>
  <c r="H81" i="5"/>
  <c r="G81" i="5"/>
  <c r="L75" i="5"/>
  <c r="K75" i="5"/>
  <c r="I75" i="5"/>
  <c r="H75" i="5"/>
  <c r="G75" i="5"/>
  <c r="L68" i="5"/>
  <c r="K68" i="5"/>
  <c r="J68" i="5"/>
  <c r="I68" i="5"/>
  <c r="H68" i="5"/>
  <c r="G68" i="5"/>
  <c r="L65" i="5"/>
  <c r="K65" i="5"/>
  <c r="H65" i="5"/>
  <c r="G65" i="5"/>
  <c r="F65" i="5"/>
  <c r="L55" i="5"/>
  <c r="K55" i="5"/>
  <c r="J55" i="5"/>
  <c r="I55" i="5"/>
  <c r="H55" i="5"/>
  <c r="G55" i="5"/>
  <c r="F55" i="5"/>
  <c r="L46" i="5"/>
  <c r="K46" i="5"/>
  <c r="J46" i="5"/>
  <c r="L23" i="5"/>
  <c r="K23" i="5"/>
  <c r="J23" i="5"/>
  <c r="H23" i="5"/>
  <c r="G23" i="5"/>
  <c r="L14" i="5"/>
  <c r="K14" i="5"/>
  <c r="J14" i="5"/>
  <c r="H14" i="5"/>
  <c r="L11" i="5"/>
  <c r="K11" i="5"/>
  <c r="J11" i="5"/>
  <c r="I11" i="5"/>
  <c r="L7" i="5"/>
  <c r="K7" i="5"/>
  <c r="J7" i="5"/>
  <c r="I7" i="5"/>
  <c r="AD91" i="5"/>
  <c r="I90" i="5" s="1"/>
  <c r="AD62" i="5"/>
  <c r="AD61" i="5"/>
  <c r="AD60" i="5"/>
  <c r="F59" i="5" s="1"/>
  <c r="F54" i="5" l="1"/>
  <c r="F90" i="5"/>
  <c r="AD90" i="5"/>
  <c r="J59" i="5"/>
  <c r="AD59" i="5"/>
  <c r="J158" i="5" l="1"/>
  <c r="AD149" i="5"/>
  <c r="AD148" i="5"/>
  <c r="AD147" i="5" s="1"/>
  <c r="AD134" i="5"/>
  <c r="AD133" i="5" s="1"/>
  <c r="AD70" i="5"/>
  <c r="F68" i="5" l="1"/>
  <c r="F64" i="5" s="1"/>
  <c r="AD68" i="5"/>
  <c r="J133" i="5"/>
  <c r="J147" i="5"/>
  <c r="I14" i="5"/>
  <c r="AD17" i="5"/>
  <c r="AD16" i="5"/>
  <c r="I23" i="5" l="1"/>
  <c r="I117" i="5"/>
  <c r="J86" i="5"/>
  <c r="W35" i="4"/>
  <c r="AD97" i="5"/>
  <c r="J75" i="5" l="1"/>
  <c r="AD15" i="5"/>
  <c r="AD14" i="5" s="1"/>
  <c r="S24" i="5" s="1"/>
  <c r="S29" i="5" s="1"/>
  <c r="AD109" i="5"/>
  <c r="E174" i="5"/>
  <c r="E57" i="5"/>
  <c r="AD177" i="5" l="1"/>
  <c r="E177" i="5" s="1"/>
  <c r="E25" i="4" l="1"/>
  <c r="E24" i="4" s="1"/>
  <c r="F13" i="18"/>
  <c r="E62" i="4"/>
  <c r="W53" i="4"/>
  <c r="E53" i="4" s="1"/>
  <c r="E109" i="5" l="1"/>
  <c r="L132" i="5"/>
  <c r="K132" i="5"/>
  <c r="I132" i="5"/>
  <c r="H132" i="5"/>
  <c r="G132" i="5"/>
  <c r="F132" i="5"/>
  <c r="F107" i="5" s="1"/>
  <c r="AD156" i="5"/>
  <c r="AD155" i="5"/>
  <c r="J143" i="5"/>
  <c r="AD141" i="5"/>
  <c r="J140" i="5" s="1"/>
  <c r="AD138" i="5"/>
  <c r="J90" i="5"/>
  <c r="AD82" i="5"/>
  <c r="AD123" i="5"/>
  <c r="I46" i="5"/>
  <c r="AD47" i="5"/>
  <c r="H46" i="5" s="1"/>
  <c r="E84" i="4"/>
  <c r="E83" i="4" s="1"/>
  <c r="W77" i="4"/>
  <c r="E77" i="4" s="1"/>
  <c r="E76" i="4" s="1"/>
  <c r="E15" i="4"/>
  <c r="AD121" i="5" l="1"/>
  <c r="I121" i="5"/>
  <c r="E11" i="4"/>
  <c r="F7" i="5"/>
  <c r="J81" i="5"/>
  <c r="J154" i="5"/>
  <c r="F14" i="5"/>
  <c r="AD140" i="5"/>
  <c r="AD81" i="5"/>
  <c r="AD46" i="5"/>
  <c r="E46" i="5" s="1"/>
  <c r="J137" i="5"/>
  <c r="E158" i="5"/>
  <c r="AD154" i="5"/>
  <c r="E154" i="5" s="1"/>
  <c r="E147" i="5"/>
  <c r="E143" i="5"/>
  <c r="E133" i="5"/>
  <c r="E7" i="5" l="1"/>
  <c r="E81" i="5"/>
  <c r="AD137" i="5"/>
  <c r="E137" i="5" s="1"/>
  <c r="M154" i="5"/>
  <c r="N154" i="5" s="1"/>
  <c r="M143" i="5"/>
  <c r="N143" i="5" s="1"/>
  <c r="M158" i="5"/>
  <c r="N158" i="5" s="1"/>
  <c r="M133" i="5" l="1"/>
  <c r="N133" i="5" s="1"/>
  <c r="J132" i="5"/>
  <c r="J129" i="5" l="1"/>
  <c r="E68" i="5"/>
  <c r="AD129" i="5" l="1"/>
  <c r="E129" i="5" s="1"/>
  <c r="W34" i="4" l="1"/>
  <c r="AD165" i="5"/>
  <c r="E165" i="5" s="1"/>
  <c r="W33" i="4" l="1"/>
  <c r="E34" i="4"/>
  <c r="E33" i="4" s="1"/>
  <c r="W66" i="4"/>
  <c r="E66" i="4" s="1"/>
  <c r="W56" i="4"/>
  <c r="E56" i="4" s="1"/>
  <c r="E52" i="4" s="1"/>
  <c r="E65" i="4" l="1"/>
  <c r="K26" i="18"/>
  <c r="K25" i="18" s="1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K16" i="18" l="1"/>
  <c r="M137" i="5" l="1"/>
  <c r="N137" i="5" s="1"/>
  <c r="M147" i="5" l="1"/>
  <c r="N147" i="5" s="1"/>
  <c r="AD132" i="5" l="1"/>
  <c r="E140" i="5"/>
  <c r="E132" i="5" s="1"/>
  <c r="M140" i="5" l="1"/>
  <c r="N140" i="5" s="1"/>
  <c r="AD66" i="5"/>
  <c r="I65" i="5" l="1"/>
  <c r="I64" i="5" s="1"/>
  <c r="J65" i="5"/>
  <c r="G70" i="4"/>
  <c r="G69" i="4"/>
  <c r="G74" i="4" l="1"/>
  <c r="G73" i="4"/>
  <c r="G46" i="4"/>
  <c r="G45" i="4"/>
  <c r="G42" i="4"/>
  <c r="G39" i="4"/>
  <c r="W31" i="4"/>
  <c r="E31" i="4" l="1"/>
  <c r="F31" i="4" s="1"/>
  <c r="G31" i="4" s="1"/>
  <c r="F83" i="4"/>
  <c r="G83" i="4" s="1"/>
  <c r="F84" i="4" l="1"/>
  <c r="G84" i="4" s="1"/>
  <c r="W65" i="4" l="1"/>
  <c r="F62" i="4"/>
  <c r="G62" i="4" s="1"/>
  <c r="F59" i="4"/>
  <c r="G59" i="4" s="1"/>
  <c r="F56" i="4"/>
  <c r="G56" i="4" s="1"/>
  <c r="F53" i="4"/>
  <c r="G53" i="4" s="1"/>
  <c r="G41" i="4"/>
  <c r="G38" i="4"/>
  <c r="W41" i="4"/>
  <c r="W39" i="4"/>
  <c r="W38" i="4" l="1"/>
  <c r="E39" i="4"/>
  <c r="E38" i="4" s="1"/>
  <c r="E37" i="4" s="1"/>
  <c r="W21" i="4"/>
  <c r="F22" i="4"/>
  <c r="G22" i="4" s="1"/>
  <c r="F41" i="4"/>
  <c r="F42" i="4"/>
  <c r="F76" i="4"/>
  <c r="G76" i="4" s="1"/>
  <c r="F77" i="4"/>
  <c r="G77" i="4" s="1"/>
  <c r="W37" i="4"/>
  <c r="W52" i="4"/>
  <c r="W51" i="4" s="1"/>
  <c r="F52" i="4"/>
  <c r="G52" i="4" s="1"/>
  <c r="F38" i="4" l="1"/>
  <c r="F39" i="4"/>
  <c r="F16" i="4"/>
  <c r="G16" i="4" s="1"/>
  <c r="W15" i="4"/>
  <c r="F48" i="4"/>
  <c r="G48" i="4" s="1"/>
  <c r="F49" i="4"/>
  <c r="G49" i="4" s="1"/>
  <c r="F37" i="4"/>
  <c r="G37" i="4"/>
  <c r="F65" i="4"/>
  <c r="G65" i="4" s="1"/>
  <c r="F66" i="4"/>
  <c r="G66" i="4" s="1"/>
  <c r="W9" i="4" l="1"/>
  <c r="E9" i="4" s="1"/>
  <c r="W83" i="4"/>
  <c r="W76" i="4"/>
  <c r="W74" i="4"/>
  <c r="E74" i="4" s="1"/>
  <c r="E73" i="4" s="1"/>
  <c r="E72" i="4" s="1"/>
  <c r="W70" i="4"/>
  <c r="E70" i="4" s="1"/>
  <c r="E69" i="4" s="1"/>
  <c r="E51" i="4" s="1"/>
  <c r="W48" i="4"/>
  <c r="W24" i="4"/>
  <c r="F74" i="4" l="1"/>
  <c r="F24" i="4"/>
  <c r="G24" i="4" s="1"/>
  <c r="F25" i="4"/>
  <c r="G25" i="4" s="1"/>
  <c r="W45" i="4"/>
  <c r="W69" i="4"/>
  <c r="W73" i="4"/>
  <c r="W72" i="4" s="1"/>
  <c r="W44" i="4"/>
  <c r="F72" i="4" l="1"/>
  <c r="G72" i="4" s="1"/>
  <c r="F73" i="4"/>
  <c r="F70" i="4"/>
  <c r="F46" i="4"/>
  <c r="F9" i="4"/>
  <c r="G9" i="4"/>
  <c r="W7" i="4"/>
  <c r="E7" i="4" s="1"/>
  <c r="W11" i="4" l="1"/>
  <c r="F44" i="4"/>
  <c r="G44" i="4" s="1"/>
  <c r="F45" i="4"/>
  <c r="F51" i="4"/>
  <c r="G51" i="4" s="1"/>
  <c r="F69" i="4"/>
  <c r="F21" i="4"/>
  <c r="G21" i="4" s="1"/>
  <c r="F15" i="4"/>
  <c r="G15" i="4" s="1"/>
  <c r="F12" i="4"/>
  <c r="G12" i="4" s="1"/>
  <c r="F7" i="4"/>
  <c r="G7" i="4" s="1"/>
  <c r="K28" i="18"/>
  <c r="K27" i="18" s="1"/>
  <c r="F23" i="18"/>
  <c r="F22" i="18" s="1"/>
  <c r="F21" i="18"/>
  <c r="F20" i="18" s="1"/>
  <c r="F19" i="18"/>
  <c r="F18" i="18" s="1"/>
  <c r="F17" i="18"/>
  <c r="F16" i="18"/>
  <c r="K13" i="18"/>
  <c r="K12" i="18" s="1"/>
  <c r="F14" i="18"/>
  <c r="F12" i="18"/>
  <c r="F11" i="18"/>
  <c r="K9" i="18"/>
  <c r="K8" i="18" s="1"/>
  <c r="F9" i="18"/>
  <c r="F8" i="18" s="1"/>
  <c r="F15" i="18" l="1"/>
  <c r="K7" i="18"/>
  <c r="F10" i="18"/>
  <c r="F11" i="4" l="1"/>
  <c r="G11" i="4" s="1"/>
  <c r="F7" i="18"/>
  <c r="AD86" i="5"/>
  <c r="E86" i="5" s="1"/>
  <c r="E97" i="5"/>
  <c r="W29" i="4"/>
  <c r="E29" i="4" s="1"/>
  <c r="E28" i="4" s="1"/>
  <c r="E27" i="4" s="1"/>
  <c r="W28" i="4" l="1"/>
  <c r="F176" i="5"/>
  <c r="G176" i="5"/>
  <c r="H176" i="5"/>
  <c r="I176" i="5"/>
  <c r="J176" i="5"/>
  <c r="K176" i="5"/>
  <c r="L176" i="5"/>
  <c r="AD176" i="5"/>
  <c r="F173" i="5"/>
  <c r="G173" i="5"/>
  <c r="H173" i="5"/>
  <c r="I173" i="5"/>
  <c r="J173" i="5"/>
  <c r="K173" i="5"/>
  <c r="L173" i="5"/>
  <c r="I164" i="5"/>
  <c r="J164" i="5"/>
  <c r="K164" i="5"/>
  <c r="L164" i="5"/>
  <c r="H164" i="5"/>
  <c r="G164" i="5"/>
  <c r="G64" i="5"/>
  <c r="H64" i="5"/>
  <c r="G108" i="5"/>
  <c r="K108" i="5"/>
  <c r="AD117" i="5"/>
  <c r="E117" i="5" s="1"/>
  <c r="G94" i="5"/>
  <c r="G93" i="5" s="1"/>
  <c r="H94" i="5"/>
  <c r="H93" i="5" s="1"/>
  <c r="I94" i="5"/>
  <c r="I93" i="5" s="1"/>
  <c r="J94" i="5"/>
  <c r="J93" i="5" s="1"/>
  <c r="K94" i="5"/>
  <c r="K93" i="5" s="1"/>
  <c r="L94" i="5"/>
  <c r="L93" i="5" s="1"/>
  <c r="AD95" i="5"/>
  <c r="AD65" i="5"/>
  <c r="E65" i="5" s="1"/>
  <c r="G54" i="5"/>
  <c r="H54" i="5"/>
  <c r="I54" i="5"/>
  <c r="J54" i="5"/>
  <c r="L54" i="5"/>
  <c r="AD55" i="5"/>
  <c r="E55" i="5" s="1"/>
  <c r="E95" i="5" l="1"/>
  <c r="M95" i="5" s="1"/>
  <c r="N95" i="5" s="1"/>
  <c r="AD75" i="5"/>
  <c r="E75" i="5" s="1"/>
  <c r="F33" i="4"/>
  <c r="G33" i="4" s="1"/>
  <c r="F34" i="4"/>
  <c r="G34" i="4" s="1"/>
  <c r="W27" i="4"/>
  <c r="K107" i="5"/>
  <c r="G107" i="5"/>
  <c r="AD94" i="5" l="1"/>
  <c r="E101" i="5"/>
  <c r="J64" i="5"/>
  <c r="F94" i="5"/>
  <c r="F93" i="5" s="1"/>
  <c r="F29" i="4"/>
  <c r="I108" i="5" l="1"/>
  <c r="F27" i="4"/>
  <c r="G27" i="4" s="1"/>
  <c r="F28" i="4"/>
  <c r="E121" i="5"/>
  <c r="I107" i="5" l="1"/>
  <c r="W6" i="4" l="1"/>
  <c r="W5" i="4" s="1"/>
  <c r="E5" i="4" s="1"/>
  <c r="E4" i="4" s="1"/>
  <c r="W4" i="4" l="1"/>
  <c r="M7" i="5"/>
  <c r="F5" i="4" l="1"/>
  <c r="F4" i="4" s="1"/>
  <c r="G4" i="4" s="1"/>
  <c r="AD164" i="5" l="1"/>
  <c r="E14" i="5"/>
  <c r="AD12" i="5"/>
  <c r="AD126" i="5"/>
  <c r="J125" i="5" s="1"/>
  <c r="J108" i="5" s="1"/>
  <c r="J107" i="5" s="1"/>
  <c r="H11" i="5" l="1"/>
  <c r="H6" i="5" s="1"/>
  <c r="H5" i="5" s="1"/>
  <c r="F11" i="5"/>
  <c r="G11" i="5"/>
  <c r="AD11" i="5"/>
  <c r="J6" i="5"/>
  <c r="J5" i="5" s="1"/>
  <c r="J4" i="5" s="1"/>
  <c r="E59" i="5"/>
  <c r="K54" i="5"/>
  <c r="L108" i="5"/>
  <c r="L107" i="5" s="1"/>
  <c r="M81" i="5"/>
  <c r="N81" i="5" s="1"/>
  <c r="AD125" i="5"/>
  <c r="E125" i="5" s="1"/>
  <c r="E108" i="5" s="1"/>
  <c r="I6" i="5"/>
  <c r="L64" i="5"/>
  <c r="L6" i="5"/>
  <c r="M97" i="5"/>
  <c r="N97" i="5" s="1"/>
  <c r="E90" i="5"/>
  <c r="N7" i="5"/>
  <c r="M117" i="5"/>
  <c r="N117" i="5" s="1"/>
  <c r="AD24" i="5" l="1"/>
  <c r="E11" i="5"/>
  <c r="M125" i="5"/>
  <c r="N125" i="5" s="1"/>
  <c r="K64" i="5"/>
  <c r="M90" i="5"/>
  <c r="N90" i="5" s="1"/>
  <c r="AD54" i="5"/>
  <c r="M59" i="5"/>
  <c r="N59" i="5" s="1"/>
  <c r="M46" i="5"/>
  <c r="N46" i="5" s="1"/>
  <c r="I5" i="5"/>
  <c r="I4" i="5" s="1"/>
  <c r="H108" i="5"/>
  <c r="H107" i="5" s="1"/>
  <c r="H4" i="5" s="1"/>
  <c r="L5" i="5"/>
  <c r="L4" i="5" s="1"/>
  <c r="G6" i="5"/>
  <c r="G5" i="5" s="1"/>
  <c r="G4" i="5" s="1"/>
  <c r="M109" i="5"/>
  <c r="N109" i="5" s="1"/>
  <c r="AD108" i="5"/>
  <c r="AD107" i="5" s="1"/>
  <c r="M65" i="5"/>
  <c r="N65" i="5" s="1"/>
  <c r="M101" i="5"/>
  <c r="N101" i="5" s="1"/>
  <c r="E94" i="5"/>
  <c r="E93" i="5" s="1"/>
  <c r="AD93" i="5"/>
  <c r="M86" i="5"/>
  <c r="N86" i="5" s="1"/>
  <c r="K6" i="5"/>
  <c r="M55" i="5"/>
  <c r="N55" i="5" s="1"/>
  <c r="M75" i="5"/>
  <c r="N75" i="5" s="1"/>
  <c r="M121" i="5"/>
  <c r="N121" i="5" s="1"/>
  <c r="M129" i="5"/>
  <c r="N129" i="5" s="1"/>
  <c r="M165" i="5"/>
  <c r="N165" i="5" s="1"/>
  <c r="E164" i="5"/>
  <c r="M132" i="5"/>
  <c r="N132" i="5" s="1"/>
  <c r="M57" i="5"/>
  <c r="N57" i="5" s="1"/>
  <c r="G5" i="4"/>
  <c r="AD23" i="5" l="1"/>
  <c r="F23" i="5"/>
  <c r="AD29" i="5"/>
  <c r="S32" i="5"/>
  <c r="S38" i="5" s="1"/>
  <c r="S41" i="5" s="1"/>
  <c r="K5" i="5"/>
  <c r="K4" i="5" s="1"/>
  <c r="AD64" i="5"/>
  <c r="M11" i="5"/>
  <c r="N11" i="5" s="1"/>
  <c r="M164" i="5"/>
  <c r="N164" i="5" s="1"/>
  <c r="AD173" i="5"/>
  <c r="E107" i="5"/>
  <c r="M93" i="5"/>
  <c r="N93" i="5" s="1"/>
  <c r="M94" i="5"/>
  <c r="N94" i="5" s="1"/>
  <c r="E54" i="5"/>
  <c r="M54" i="5" s="1"/>
  <c r="N54" i="5" s="1"/>
  <c r="M14" i="5"/>
  <c r="N14" i="5" s="1"/>
  <c r="N177" i="5"/>
  <c r="E176" i="5"/>
  <c r="M176" i="5" s="1"/>
  <c r="N176" i="5" s="1"/>
  <c r="AD32" i="5" l="1"/>
  <c r="AD28" i="5"/>
  <c r="E23" i="5"/>
  <c r="M23" i="5" s="1"/>
  <c r="N23" i="5" s="1"/>
  <c r="M108" i="5"/>
  <c r="N108" i="5" s="1"/>
  <c r="M174" i="5"/>
  <c r="N174" i="5" s="1"/>
  <c r="E173" i="5"/>
  <c r="M173" i="5" s="1"/>
  <c r="N173" i="5" s="1"/>
  <c r="M68" i="5"/>
  <c r="N68" i="5" s="1"/>
  <c r="E64" i="5"/>
  <c r="M64" i="5" s="1"/>
  <c r="N64" i="5" s="1"/>
  <c r="S35" i="5" l="1"/>
  <c r="AD35" i="5" s="1"/>
  <c r="AD31" i="5"/>
  <c r="AD38" i="5"/>
  <c r="AD37" i="5" s="1"/>
  <c r="AD41" i="5"/>
  <c r="AD40" i="5" s="1"/>
  <c r="N107" i="5"/>
  <c r="AD34" i="5" l="1"/>
  <c r="AD26" i="5" s="1"/>
  <c r="E26" i="5" s="1"/>
  <c r="M26" i="5" s="1"/>
  <c r="N26" i="5" s="1"/>
  <c r="F26" i="5"/>
  <c r="F6" i="5" s="1"/>
  <c r="F5" i="5" s="1"/>
  <c r="F4" i="5" s="1"/>
  <c r="E6" i="5" l="1"/>
  <c r="E5" i="5" s="1"/>
  <c r="AD6" i="5"/>
  <c r="AD5" i="5" s="1"/>
  <c r="AD4" i="5" s="1"/>
  <c r="M5" i="5" l="1"/>
  <c r="N5" i="5" s="1"/>
  <c r="E4" i="5"/>
  <c r="M4" i="5" s="1"/>
  <c r="N4" i="5" s="1"/>
  <c r="M6" i="5"/>
  <c r="N6" i="5" s="1"/>
</calcChain>
</file>

<file path=xl/comments1.xml><?xml version="1.0" encoding="utf-8"?>
<comments xmlns="http://schemas.openxmlformats.org/spreadsheetml/2006/main">
  <authors>
    <author>ADMIN</author>
  </authors>
  <commentList>
    <comment ref="AB1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<sst xmlns="http://schemas.openxmlformats.org/spreadsheetml/2006/main" count="1095" uniqueCount="500">
  <si>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</si>
  <si>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</si>
  <si>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</si>
  <si>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</si>
  <si>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</si>
  <si>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</si>
  <si>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</si>
  <si>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</si>
  <si>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</si>
  <si>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</si>
  <si>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</si>
  <si>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</si>
  <si>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</si>
  <si>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</si>
  <si>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</si>
  <si>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</si>
  <si>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</si>
  <si>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</si>
  <si>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</si>
  <si>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</si>
  <si>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</si>
  <si>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</si>
  <si>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</si>
  <si>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</si>
  <si>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</si>
  <si>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</si>
  <si>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</si>
  <si>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</si>
  <si>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</si>
  <si>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</si>
  <si>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</si>
  <si>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</si>
  <si>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</si>
  <si>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</si>
  <si>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</si>
  <si>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</si>
  <si>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</si>
  <si>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</si>
  <si>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</si>
  <si>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</si>
  <si>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</si>
  <si>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</si>
  <si>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</si>
  <si>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</si>
  <si>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</si>
  <si>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</si>
  <si>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</si>
  <si>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</si>
  <si>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</si>
  <si>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</si>
  <si>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</si>
  <si>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</si>
  <si>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</si>
  <si>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</si>
  <si>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출               기              초</t>
    <phoneticPr fontId="8" type="noConversion"/>
  </si>
  <si>
    <t>산               출                기 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</si>
  <si>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</si>
  <si>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</si>
  <si>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</si>
  <si>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생계비</t>
    <phoneticPr fontId="8" type="noConversion"/>
  </si>
  <si>
    <t>입  소</t>
    <phoneticPr fontId="8" type="noConversion"/>
  </si>
  <si>
    <t>비  용</t>
    <phoneticPr fontId="8" type="noConversion"/>
  </si>
  <si>
    <t>합  계 :</t>
    <phoneticPr fontId="8" type="noConversion"/>
  </si>
  <si>
    <t>후원금</t>
    <phoneticPr fontId="8" type="noConversion"/>
  </si>
  <si>
    <t>잡수입</t>
    <phoneticPr fontId="8" type="noConversion"/>
  </si>
  <si>
    <t>과            목</t>
    <phoneticPr fontId="8" type="noConversion"/>
  </si>
  <si>
    <t>원</t>
    <phoneticPr fontId="8" type="noConversion"/>
  </si>
  <si>
    <t>총  계 :</t>
    <phoneticPr fontId="8" type="noConversion"/>
  </si>
  <si>
    <t>총  계 :</t>
    <phoneticPr fontId="8" type="noConversion"/>
  </si>
  <si>
    <t>소계 :</t>
    <phoneticPr fontId="8" type="noConversion"/>
  </si>
  <si>
    <t>÷</t>
    <phoneticPr fontId="8" type="noConversion"/>
  </si>
  <si>
    <t>회</t>
    <phoneticPr fontId="8" type="noConversion"/>
  </si>
  <si>
    <t>후원금</t>
    <phoneticPr fontId="8" type="noConversion"/>
  </si>
  <si>
    <t xml:space="preserve">  *후원금 수입</t>
    <phoneticPr fontId="8" type="noConversion"/>
  </si>
  <si>
    <t>전입금</t>
    <phoneticPr fontId="8" type="noConversion"/>
  </si>
  <si>
    <t>잡수입</t>
    <phoneticPr fontId="8" type="noConversion"/>
  </si>
  <si>
    <t>일용잡급</t>
    <phoneticPr fontId="8" type="noConversion"/>
  </si>
  <si>
    <t>※기본급</t>
    <phoneticPr fontId="8" type="noConversion"/>
  </si>
  <si>
    <t>원</t>
    <phoneticPr fontId="8" type="noConversion"/>
  </si>
  <si>
    <t>※ 일용잡급</t>
    <phoneticPr fontId="8" type="noConversion"/>
  </si>
  <si>
    <t>사회보험</t>
    <phoneticPr fontId="8" type="noConversion"/>
  </si>
  <si>
    <t>기타후생</t>
    <phoneticPr fontId="8" type="noConversion"/>
  </si>
  <si>
    <t>※ 기타후생경비</t>
    <phoneticPr fontId="8" type="noConversion"/>
  </si>
  <si>
    <t>회  의  비</t>
    <phoneticPr fontId="8" type="noConversion"/>
  </si>
  <si>
    <t>여    비</t>
    <phoneticPr fontId="8" type="noConversion"/>
  </si>
  <si>
    <t>보조</t>
    <phoneticPr fontId="8" type="noConversion"/>
  </si>
  <si>
    <t>기타운영비</t>
    <phoneticPr fontId="8" type="noConversion"/>
  </si>
  <si>
    <t>※ 직원 교육훈련비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</si>
  <si>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</si>
  <si>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</si>
  <si>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</si>
  <si>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운영비</t>
    <phoneticPr fontId="8" type="noConversion"/>
  </si>
  <si>
    <t>※ 생계비</t>
    <phoneticPr fontId="8" type="noConversion"/>
  </si>
  <si>
    <t>수용기관</t>
    <phoneticPr fontId="8" type="noConversion"/>
  </si>
  <si>
    <t>※ 수용기관경비</t>
    <phoneticPr fontId="8" type="noConversion"/>
  </si>
  <si>
    <t>※ 연료비</t>
    <phoneticPr fontId="8" type="noConversion"/>
  </si>
  <si>
    <t>프로그램</t>
    <phoneticPr fontId="8" type="noConversion"/>
  </si>
  <si>
    <t>잡지출</t>
    <phoneticPr fontId="8" type="noConversion"/>
  </si>
  <si>
    <t>※ 잡지출</t>
    <phoneticPr fontId="8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</si>
  <si>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</si>
  <si>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</si>
  <si>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</si>
  <si>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</si>
  <si>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</si>
  <si>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</si>
  <si>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</si>
  <si>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</si>
  <si>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</si>
  <si>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</si>
  <si>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</si>
  <si>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</si>
  <si>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</si>
  <si>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</si>
  <si>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</si>
  <si>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</si>
  <si>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</si>
  <si>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</si>
  <si>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</si>
  <si>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</si>
  <si>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</si>
  <si>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</si>
  <si>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</si>
  <si>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</si>
  <si>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</si>
  <si>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</si>
  <si>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8" type="noConversion"/>
  </si>
  <si>
    <t>입소자
부담금</t>
    <phoneticPr fontId="8" type="noConversion"/>
  </si>
  <si>
    <t>비  용</t>
  </si>
  <si>
    <t>법인
전입금</t>
    <phoneticPr fontId="8" type="noConversion"/>
  </si>
  <si>
    <t>입   소</t>
    <phoneticPr fontId="8" type="noConversion"/>
  </si>
  <si>
    <t>계
(B)</t>
    <phoneticPr fontId="8" type="noConversion"/>
  </si>
  <si>
    <t>금액
(B-A)</t>
    <phoneticPr fontId="8" type="noConversion"/>
  </si>
  <si>
    <t>합  계 :</t>
    <phoneticPr fontId="8" type="noConversion"/>
  </si>
  <si>
    <t>부담금</t>
    <phoneticPr fontId="8" type="noConversion"/>
  </si>
  <si>
    <t>업   무</t>
    <phoneticPr fontId="8" type="noConversion"/>
  </si>
  <si>
    <t>경      비</t>
    <phoneticPr fontId="8" type="noConversion"/>
  </si>
  <si>
    <t>원</t>
    <phoneticPr fontId="8" type="noConversion"/>
  </si>
  <si>
    <t>소  계 :</t>
    <phoneticPr fontId="8" type="noConversion"/>
  </si>
  <si>
    <t>※ 피복비</t>
  </si>
  <si>
    <t>※ 의료비</t>
    <phoneticPr fontId="8" type="noConversion"/>
  </si>
  <si>
    <t>추진비</t>
    <phoneticPr fontId="8" type="noConversion"/>
  </si>
  <si>
    <t>업무추진비</t>
    <phoneticPr fontId="8" type="noConversion"/>
  </si>
  <si>
    <t>※ 직책보조비</t>
    <phoneticPr fontId="8" type="noConversion"/>
  </si>
  <si>
    <t>소계:</t>
    <phoneticPr fontId="8" type="noConversion"/>
  </si>
  <si>
    <t>운영비</t>
    <phoneticPr fontId="8" type="noConversion"/>
  </si>
  <si>
    <t>명</t>
  </si>
  <si>
    <t>재산조성비</t>
    <phoneticPr fontId="8" type="noConversion"/>
  </si>
  <si>
    <t>계</t>
    <phoneticPr fontId="8" type="noConversion"/>
  </si>
  <si>
    <t>시설비</t>
    <phoneticPr fontId="8" type="noConversion"/>
  </si>
  <si>
    <t>수수료</t>
    <phoneticPr fontId="8" type="noConversion"/>
  </si>
  <si>
    <t>사업비</t>
    <phoneticPr fontId="8" type="noConversion"/>
  </si>
  <si>
    <t>계</t>
    <phoneticPr fontId="8" type="noConversion"/>
  </si>
  <si>
    <t>경비</t>
    <phoneticPr fontId="8" type="noConversion"/>
  </si>
  <si>
    <t>조성비</t>
    <phoneticPr fontId="8" type="noConversion"/>
  </si>
  <si>
    <t>보조금</t>
    <phoneticPr fontId="8" type="noConversion"/>
  </si>
  <si>
    <t>반환금</t>
    <phoneticPr fontId="8" type="noConversion"/>
  </si>
  <si>
    <t>반환금</t>
    <phoneticPr fontId="8" type="noConversion"/>
  </si>
  <si>
    <t>보조금 반환금</t>
    <phoneticPr fontId="8" type="noConversion"/>
  </si>
  <si>
    <t>유지비</t>
    <phoneticPr fontId="8" type="noConversion"/>
  </si>
  <si>
    <t>보조금반환</t>
    <phoneticPr fontId="28" type="noConversion"/>
  </si>
  <si>
    <t>※ 입소비용수입</t>
    <phoneticPr fontId="8" type="noConversion"/>
  </si>
  <si>
    <t>※ 총 계</t>
    <phoneticPr fontId="8" type="noConversion"/>
  </si>
  <si>
    <t>원</t>
    <phoneticPr fontId="8" type="noConversion"/>
  </si>
  <si>
    <t>월</t>
    <phoneticPr fontId="8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</si>
  <si>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</si>
  <si>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</si>
  <si>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</si>
  <si>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</si>
  <si>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</si>
  <si>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</si>
  <si>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</si>
  <si>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</si>
  <si>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</si>
  <si>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</si>
  <si>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</si>
  <si>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8" type="noConversion"/>
  </si>
  <si>
    <t>사 업</t>
    <phoneticPr fontId="8" type="noConversion"/>
  </si>
  <si>
    <t>수 입</t>
    <phoneticPr fontId="8" type="noConversion"/>
  </si>
  <si>
    <t>사 업</t>
    <phoneticPr fontId="8" type="noConversion"/>
  </si>
  <si>
    <t>수 입</t>
    <phoneticPr fontId="8" type="noConversion"/>
  </si>
  <si>
    <t>※ 사업수입</t>
    <phoneticPr fontId="8" type="noConversion"/>
  </si>
  <si>
    <t>보조금</t>
    <phoneticPr fontId="8" type="noConversion"/>
  </si>
  <si>
    <t>과년도</t>
    <phoneticPr fontId="8" type="noConversion"/>
  </si>
  <si>
    <t>수  입</t>
    <phoneticPr fontId="8" type="noConversion"/>
  </si>
  <si>
    <t>과년도</t>
    <phoneticPr fontId="8" type="noConversion"/>
  </si>
  <si>
    <t>국 고</t>
    <phoneticPr fontId="8" type="noConversion"/>
  </si>
  <si>
    <t xml:space="preserve"> &lt;국고 보조금 합계&gt;</t>
    <phoneticPr fontId="8" type="noConversion"/>
  </si>
  <si>
    <t>시 도</t>
    <phoneticPr fontId="8" type="noConversion"/>
  </si>
  <si>
    <t>보조금</t>
    <phoneticPr fontId="8" type="noConversion"/>
  </si>
  <si>
    <t>시군구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</si>
  <si>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</si>
  <si>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</si>
  <si>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>지 정</t>
    <phoneticPr fontId="8" type="noConversion"/>
  </si>
  <si>
    <t>후원금</t>
    <phoneticPr fontId="8" type="noConversion"/>
  </si>
  <si>
    <t>&lt;지정후원금&gt;</t>
    <phoneticPr fontId="8" type="noConversion"/>
  </si>
  <si>
    <t>비지정</t>
    <phoneticPr fontId="8" type="noConversion"/>
  </si>
  <si>
    <t xml:space="preserve"> &lt;비지정 후원금 합계&gt;</t>
    <phoneticPr fontId="8" type="noConversion"/>
  </si>
  <si>
    <t>차입금</t>
    <phoneticPr fontId="8" type="noConversion"/>
  </si>
  <si>
    <t>금융</t>
    <phoneticPr fontId="8" type="noConversion"/>
  </si>
  <si>
    <t>기관</t>
    <phoneticPr fontId="8" type="noConversion"/>
  </si>
  <si>
    <t xml:space="preserve"> &lt;금융기관 차입금&gt;</t>
    <phoneticPr fontId="8" type="noConversion"/>
  </si>
  <si>
    <t xml:space="preserve"> &lt;기타 차입금&gt;</t>
    <phoneticPr fontId="8" type="noConversion"/>
  </si>
  <si>
    <t>법 인</t>
    <phoneticPr fontId="8" type="noConversion"/>
  </si>
  <si>
    <t>전입금</t>
    <phoneticPr fontId="8" type="noConversion"/>
  </si>
  <si>
    <t>법인</t>
    <phoneticPr fontId="8" type="noConversion"/>
  </si>
  <si>
    <t>(후원)</t>
    <phoneticPr fontId="8" type="noConversion"/>
  </si>
  <si>
    <t xml:space="preserve"> &lt;법인 전입금&gt;</t>
    <phoneticPr fontId="8" type="noConversion"/>
  </si>
  <si>
    <t xml:space="preserve">  *법인 전입금(후원금)</t>
    <phoneticPr fontId="8" type="noConversion"/>
  </si>
  <si>
    <t>전년도</t>
    <phoneticPr fontId="8" type="noConversion"/>
  </si>
  <si>
    <t>이월금</t>
    <phoneticPr fontId="8" type="noConversion"/>
  </si>
  <si>
    <t xml:space="preserve"> &lt;전년도이월금(후원금)&gt;</t>
    <phoneticPr fontId="8" type="noConversion"/>
  </si>
  <si>
    <t>이 월</t>
    <phoneticPr fontId="8" type="noConversion"/>
  </si>
  <si>
    <t>사업비</t>
    <phoneticPr fontId="8" type="noConversion"/>
  </si>
  <si>
    <t xml:space="preserve"> &lt;이월 사업비&gt;</t>
    <phoneticPr fontId="8" type="noConversion"/>
  </si>
  <si>
    <t>불용품</t>
    <phoneticPr fontId="8" type="noConversion"/>
  </si>
  <si>
    <t>매각대</t>
    <phoneticPr fontId="8" type="noConversion"/>
  </si>
  <si>
    <t>기타예</t>
    <phoneticPr fontId="8" type="noConversion"/>
  </si>
  <si>
    <t>금이자</t>
    <phoneticPr fontId="8" type="noConversion"/>
  </si>
  <si>
    <t>잡수입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</si>
  <si>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</si>
  <si>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</si>
  <si>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>계:</t>
    <phoneticPr fontId="8" type="noConversion"/>
  </si>
  <si>
    <t>수 입</t>
    <phoneticPr fontId="8" type="noConversion"/>
  </si>
  <si>
    <t>수 입</t>
    <phoneticPr fontId="8" type="noConversion"/>
  </si>
  <si>
    <t>원</t>
    <phoneticPr fontId="8" type="noConversion"/>
  </si>
  <si>
    <t>※ 과년도 수입</t>
    <phoneticPr fontId="8" type="noConversion"/>
  </si>
  <si>
    <t>소계 :</t>
    <phoneticPr fontId="8" type="noConversion"/>
  </si>
  <si>
    <t>원</t>
    <phoneticPr fontId="8" type="noConversion"/>
  </si>
  <si>
    <t xml:space="preserve"> &lt;시도 보조금 합계&gt;</t>
    <phoneticPr fontId="8" type="noConversion"/>
  </si>
  <si>
    <t>원</t>
    <phoneticPr fontId="8" type="noConversion"/>
  </si>
  <si>
    <t>&lt;운영비&gt;</t>
    <phoneticPr fontId="8" type="noConversion"/>
  </si>
  <si>
    <t xml:space="preserve"> *법인전입금</t>
    <phoneticPr fontId="8" type="noConversion"/>
  </si>
  <si>
    <t>원</t>
    <phoneticPr fontId="8" type="noConversion"/>
  </si>
  <si>
    <t xml:space="preserve"> &lt;입소비용이월금&gt;</t>
    <phoneticPr fontId="8" type="noConversion"/>
  </si>
  <si>
    <t xml:space="preserve"> &lt;보조금이월금&gt;</t>
    <phoneticPr fontId="8" type="noConversion"/>
  </si>
  <si>
    <t xml:space="preserve"> &lt;법인전입금이월금&gt;</t>
    <phoneticPr fontId="8" type="noConversion"/>
  </si>
  <si>
    <t xml:space="preserve"> &lt;잡수입이월금&gt;</t>
    <phoneticPr fontId="8" type="noConversion"/>
  </si>
  <si>
    <t xml:space="preserve"> &lt;기타잡수입&gt;</t>
    <phoneticPr fontId="8" type="noConversion"/>
  </si>
  <si>
    <t>원</t>
    <phoneticPr fontId="8" type="noConversion"/>
  </si>
  <si>
    <t>소계 :</t>
    <phoneticPr fontId="8" type="noConversion"/>
  </si>
  <si>
    <t>소  계</t>
    <phoneticPr fontId="8" type="noConversion"/>
  </si>
  <si>
    <t>※ 보조금수입 합계</t>
    <phoneticPr fontId="8" type="noConversion"/>
  </si>
  <si>
    <t>소  계</t>
    <phoneticPr fontId="8" type="noConversion"/>
  </si>
  <si>
    <t>※후원금수입</t>
    <phoneticPr fontId="8" type="noConversion"/>
  </si>
  <si>
    <t>※ 차 입 금</t>
    <phoneticPr fontId="8" type="noConversion"/>
  </si>
  <si>
    <t>※법인 전입금</t>
    <phoneticPr fontId="8" type="noConversion"/>
  </si>
  <si>
    <t>※이 월 금</t>
    <phoneticPr fontId="8" type="noConversion"/>
  </si>
  <si>
    <t>※ 잡 수 입</t>
    <phoneticPr fontId="8" type="noConversion"/>
  </si>
  <si>
    <t xml:space="preserve"> &lt;지정 후원금 합계&gt;</t>
    <phoneticPr fontId="8" type="noConversion"/>
  </si>
  <si>
    <t xml:space="preserve"> &lt;법인 전입금&gt;</t>
    <phoneticPr fontId="8" type="noConversion"/>
  </si>
  <si>
    <t xml:space="preserve"> &lt;법인 전입금(후원금)&gt;</t>
    <phoneticPr fontId="8" type="noConversion"/>
  </si>
  <si>
    <t xml:space="preserve"> &lt;전년도 이월금&gt;</t>
    <phoneticPr fontId="8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</si>
  <si>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</si>
  <si>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</si>
  <si>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</si>
  <si>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* 입소비용수입</t>
    <phoneticPr fontId="8" type="noConversion"/>
  </si>
  <si>
    <t xml:space="preserve"> * 입소비용이월액</t>
    <phoneticPr fontId="8" type="noConversion"/>
  </si>
  <si>
    <t xml:space="preserve"> * 운영비보조금이월액</t>
    <phoneticPr fontId="8" type="noConversion"/>
  </si>
  <si>
    <t xml:space="preserve"> * 법인전입금이월액</t>
    <phoneticPr fontId="8" type="noConversion"/>
  </si>
  <si>
    <t xml:space="preserve"> * 잡수입이월액</t>
    <phoneticPr fontId="8" type="noConversion"/>
  </si>
  <si>
    <t xml:space="preserve"> &lt;후원금이월금&gt;</t>
    <phoneticPr fontId="8" type="noConversion"/>
  </si>
  <si>
    <t xml:space="preserve"> * 후원금이월액</t>
    <phoneticPr fontId="8" type="noConversion"/>
  </si>
  <si>
    <t>※ 보조금 반환금(수원시)</t>
    <phoneticPr fontId="8" type="noConversion"/>
  </si>
  <si>
    <t>원</t>
    <phoneticPr fontId="8" type="noConversion"/>
  </si>
  <si>
    <t>회</t>
    <phoneticPr fontId="8" type="noConversion"/>
  </si>
  <si>
    <t>월</t>
    <phoneticPr fontId="8" type="noConversion"/>
  </si>
  <si>
    <t>=</t>
    <phoneticPr fontId="8" type="noConversion"/>
  </si>
  <si>
    <t>소계:</t>
    <phoneticPr fontId="8" type="noConversion"/>
  </si>
  <si>
    <t>입소</t>
    <phoneticPr fontId="8" type="noConversion"/>
  </si>
  <si>
    <t>×</t>
    <phoneticPr fontId="8" type="noConversion"/>
  </si>
  <si>
    <t>세출총계</t>
    <phoneticPr fontId="8" type="noConversion"/>
  </si>
  <si>
    <t>사무비</t>
    <phoneticPr fontId="8" type="noConversion"/>
  </si>
  <si>
    <t>인건비</t>
    <phoneticPr fontId="8" type="noConversion"/>
  </si>
  <si>
    <t xml:space="preserve"> * 교육 및 출장여비</t>
    <phoneticPr fontId="8" type="noConversion"/>
  </si>
  <si>
    <t>원</t>
    <phoneticPr fontId="8" type="noConversion"/>
  </si>
  <si>
    <t>합    계 :</t>
    <phoneticPr fontId="8" type="noConversion"/>
  </si>
  <si>
    <t>1.명절휴가비</t>
    <phoneticPr fontId="8" type="noConversion"/>
  </si>
  <si>
    <t xml:space="preserve"> </t>
    <phoneticPr fontId="8" type="noConversion"/>
  </si>
  <si>
    <t>원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</si>
  <si>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</si>
  <si>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</si>
  <si>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</si>
  <si>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</si>
  <si>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</si>
  <si>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회</t>
    <phoneticPr fontId="8" type="noConversion"/>
  </si>
  <si>
    <t>보조</t>
    <phoneticPr fontId="8" type="noConversion"/>
  </si>
  <si>
    <t>소계</t>
    <phoneticPr fontId="8" type="noConversion"/>
  </si>
  <si>
    <t>(단위:원)</t>
    <phoneticPr fontId="28" type="noConversion"/>
  </si>
  <si>
    <t>&lt;비지정후원금&gt;</t>
    <phoneticPr fontId="8" type="noConversion"/>
  </si>
  <si>
    <t>후원</t>
    <phoneticPr fontId="8" type="noConversion"/>
  </si>
  <si>
    <t>사업비</t>
    <phoneticPr fontId="8" type="noConversion"/>
  </si>
  <si>
    <t>프로그램</t>
    <phoneticPr fontId="8" type="noConversion"/>
  </si>
  <si>
    <t>기타</t>
    <phoneticPr fontId="8" type="noConversion"/>
  </si>
  <si>
    <t>보조금</t>
    <phoneticPr fontId="8" type="noConversion"/>
  </si>
  <si>
    <t>* 환경개선사업비(7종)</t>
    <phoneticPr fontId="8" type="noConversion"/>
  </si>
  <si>
    <t>* 시설당 기본지원</t>
    <phoneticPr fontId="8" type="noConversion"/>
  </si>
  <si>
    <t xml:space="preserve"> * 직원 건강진단비</t>
    <phoneticPr fontId="8" type="noConversion"/>
  </si>
  <si>
    <t>(후원)</t>
    <phoneticPr fontId="8" type="noConversion"/>
  </si>
  <si>
    <t>합계:</t>
    <phoneticPr fontId="8" type="noConversion"/>
  </si>
  <si>
    <t>※ 예금이자수입</t>
    <phoneticPr fontId="8" type="noConversion"/>
  </si>
  <si>
    <t>1. 보조금 이자수입</t>
    <phoneticPr fontId="8" type="noConversion"/>
  </si>
  <si>
    <t>=</t>
    <phoneticPr fontId="8" type="noConversion"/>
  </si>
  <si>
    <t>보조</t>
    <phoneticPr fontId="8" type="noConversion"/>
  </si>
  <si>
    <t>* 직원건강검진비(순수시비)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</si>
  <si>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</si>
  <si>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</si>
  <si>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</si>
  <si>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</si>
  <si>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* 입소자 건강진단비</t>
    <phoneticPr fontId="8" type="noConversion"/>
  </si>
  <si>
    <t>* 외래 진료비 및 의약품비</t>
    <phoneticPr fontId="8" type="noConversion"/>
  </si>
  <si>
    <t>보조금(7종)</t>
    <phoneticPr fontId="8" type="noConversion"/>
  </si>
  <si>
    <t>보조금
(시비)</t>
    <phoneticPr fontId="8" type="noConversion"/>
  </si>
  <si>
    <t>* 사무용품비(문구류 )</t>
    <phoneticPr fontId="8" type="noConversion"/>
  </si>
  <si>
    <t>* 기타 수용비 및 수수료</t>
    <phoneticPr fontId="8" type="noConversion"/>
  </si>
  <si>
    <t>* 전화료 및 인터넷 요금</t>
    <phoneticPr fontId="8" type="noConversion"/>
  </si>
  <si>
    <t>입소</t>
    <phoneticPr fontId="8" type="noConversion"/>
  </si>
  <si>
    <t>* 아파트관리비</t>
    <phoneticPr fontId="8" type="noConversion"/>
  </si>
  <si>
    <t>* 전기안전점검비</t>
    <phoneticPr fontId="8" type="noConversion"/>
  </si>
  <si>
    <t>* 가스안전점검비</t>
    <phoneticPr fontId="8" type="noConversion"/>
  </si>
  <si>
    <t>* 신원보증보험갱신</t>
    <phoneticPr fontId="8" type="noConversion"/>
  </si>
  <si>
    <t>* 차량보험료</t>
    <phoneticPr fontId="8" type="noConversion"/>
  </si>
  <si>
    <t>회</t>
    <phoneticPr fontId="8" type="noConversion"/>
  </si>
  <si>
    <t xml:space="preserve"> * 국립재활원, 한장협, 경장협, 등 </t>
    <phoneticPr fontId="8" type="noConversion"/>
  </si>
  <si>
    <t>* 차량유류대</t>
    <phoneticPr fontId="8" type="noConversion"/>
  </si>
  <si>
    <t>* 차량 정기검사/ 차량수리 및 정비비</t>
    <phoneticPr fontId="8" type="noConversion"/>
  </si>
  <si>
    <t>* 기타 시설물 관리유지비</t>
    <phoneticPr fontId="8" type="noConversion"/>
  </si>
  <si>
    <t>* 월동대책비(김장)</t>
    <phoneticPr fontId="8" type="noConversion"/>
  </si>
  <si>
    <t>원</t>
    <phoneticPr fontId="8" type="noConversion"/>
  </si>
  <si>
    <t>잡수</t>
    <phoneticPr fontId="8" type="noConversion"/>
  </si>
  <si>
    <t>* 주방식기류 및 그릇 보강</t>
    <phoneticPr fontId="8" type="noConversion"/>
  </si>
  <si>
    <t>* 기타 수용기관경비</t>
    <phoneticPr fontId="8" type="noConversion"/>
  </si>
  <si>
    <t>* 취사용 연료비</t>
    <phoneticPr fontId="8" type="noConversion"/>
  </si>
  <si>
    <t>일상생활</t>
    <phoneticPr fontId="8" type="noConversion"/>
  </si>
  <si>
    <t>지원사업비</t>
    <phoneticPr fontId="8" type="noConversion"/>
  </si>
  <si>
    <t>* 이용인 생일</t>
    <phoneticPr fontId="8" type="noConversion"/>
  </si>
  <si>
    <t>명</t>
    <phoneticPr fontId="8" type="noConversion"/>
  </si>
  <si>
    <t>교육지원</t>
    <phoneticPr fontId="8" type="noConversion"/>
  </si>
  <si>
    <t>* 성교육</t>
    <phoneticPr fontId="8" type="noConversion"/>
  </si>
  <si>
    <t>자치회의</t>
    <phoneticPr fontId="8" type="noConversion"/>
  </si>
  <si>
    <t>* 자치회의</t>
    <phoneticPr fontId="8" type="noConversion"/>
  </si>
  <si>
    <t>문화생활</t>
    <phoneticPr fontId="8" type="noConversion"/>
  </si>
  <si>
    <t>운동지원</t>
    <phoneticPr fontId="8" type="noConversion"/>
  </si>
  <si>
    <t>* 등산프로그램</t>
    <phoneticPr fontId="8" type="noConversion"/>
  </si>
  <si>
    <t>* 송년회</t>
    <phoneticPr fontId="8" type="noConversion"/>
  </si>
  <si>
    <t>* 보조금 운영비 잔액</t>
    <phoneticPr fontId="8" type="noConversion"/>
  </si>
  <si>
    <t>* 보조금 운영비 예금이자</t>
    <phoneticPr fontId="8" type="noConversion"/>
  </si>
  <si>
    <t>* 7종 보조금 잔액</t>
    <phoneticPr fontId="8" type="noConversion"/>
  </si>
  <si>
    <t>* 7종 보조금 예금이자</t>
    <phoneticPr fontId="8" type="noConversion"/>
  </si>
  <si>
    <t>* 보조금(시비) 잔액</t>
    <phoneticPr fontId="8" type="noConversion"/>
  </si>
  <si>
    <t>* 보조금(시비) 예금이자</t>
    <phoneticPr fontId="8" type="noConversion"/>
  </si>
  <si>
    <t>보조</t>
    <phoneticPr fontId="8" type="noConversion"/>
  </si>
  <si>
    <t>* 후원금 예금이자</t>
    <phoneticPr fontId="8" type="noConversion"/>
  </si>
  <si>
    <t>* 잡수입 예금이자</t>
    <phoneticPr fontId="8" type="noConversion"/>
  </si>
  <si>
    <t>* 주민세 등 기타 공과금</t>
    <phoneticPr fontId="8" type="noConversion"/>
  </si>
  <si>
    <t>기타 보조금</t>
    <phoneticPr fontId="28" type="noConversion"/>
  </si>
  <si>
    <t xml:space="preserve"> &lt;기타 보조금 합계&gt;</t>
    <phoneticPr fontId="8" type="noConversion"/>
  </si>
  <si>
    <t>* 특수건강검진</t>
    <phoneticPr fontId="8" type="noConversion"/>
  </si>
  <si>
    <t>원</t>
    <phoneticPr fontId="8" type="noConversion"/>
  </si>
  <si>
    <t>* 후원금 체크카드 환급액</t>
    <phoneticPr fontId="8" type="noConversion"/>
  </si>
  <si>
    <t>원</t>
    <phoneticPr fontId="8" type="noConversion"/>
  </si>
  <si>
    <t>* 입소비용 예금이자</t>
    <phoneticPr fontId="8" type="noConversion"/>
  </si>
  <si>
    <t>* 입소비용 체크카드 환급액</t>
    <phoneticPr fontId="8" type="noConversion"/>
  </si>
  <si>
    <t>* 잡수입 체크카드 환급액</t>
    <phoneticPr fontId="8" type="noConversion"/>
  </si>
  <si>
    <t>2. 입소비용 이자수입</t>
    <phoneticPr fontId="8" type="noConversion"/>
  </si>
  <si>
    <t>3. 잡수입 이자수입</t>
    <phoneticPr fontId="8" type="noConversion"/>
  </si>
  <si>
    <t>4. 후원금 이자수입</t>
    <phoneticPr fontId="8" type="noConversion"/>
  </si>
  <si>
    <t>월</t>
    <phoneticPr fontId="8" type="noConversion"/>
  </si>
  <si>
    <t>* 정수기 대여료 및 수질검사 등</t>
    <phoneticPr fontId="8" type="noConversion"/>
  </si>
  <si>
    <t>회</t>
    <phoneticPr fontId="8" type="noConversion"/>
  </si>
  <si>
    <t>* 생활용품구입비(비누,치약, 화장지 등)</t>
    <phoneticPr fontId="8" type="noConversion"/>
  </si>
  <si>
    <t>* 환경개선사업(7종)</t>
    <phoneticPr fontId="8" type="noConversion"/>
  </si>
  <si>
    <t>원</t>
    <phoneticPr fontId="8" type="noConversion"/>
  </si>
  <si>
    <t>입소</t>
    <phoneticPr fontId="8" type="noConversion"/>
  </si>
  <si>
    <t>회</t>
    <phoneticPr fontId="8" type="noConversion"/>
  </si>
  <si>
    <t>* 영화관람</t>
    <phoneticPr fontId="8" type="noConversion"/>
  </si>
  <si>
    <t>* 스포츠관람</t>
    <phoneticPr fontId="8" type="noConversion"/>
  </si>
  <si>
    <t>회</t>
    <phoneticPr fontId="8" type="noConversion"/>
  </si>
  <si>
    <t>=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</si>
  <si>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</si>
  <si>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</si>
  <si>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</si>
  <si>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* 회의 다과비</t>
    <phoneticPr fontId="8" type="noConversion"/>
  </si>
  <si>
    <t>* 우편물발송료 등 기타 공공요금</t>
    <phoneticPr fontId="8" type="noConversion"/>
  </si>
  <si>
    <t>* 운영위원회 참석수당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</si>
  <si>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</si>
  <si>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</si>
  <si>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</si>
  <si>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입소</t>
    <phoneticPr fontId="8" type="noConversion"/>
  </si>
  <si>
    <t>7종</t>
    <phoneticPr fontId="8" type="noConversion"/>
  </si>
  <si>
    <t>보조</t>
    <phoneticPr fontId="8" type="noConversion"/>
  </si>
  <si>
    <t>7종</t>
    <phoneticPr fontId="8" type="noConversion"/>
  </si>
  <si>
    <t>시비</t>
    <phoneticPr fontId="8" type="noConversion"/>
  </si>
  <si>
    <t>시비</t>
    <phoneticPr fontId="8" type="noConversion"/>
  </si>
  <si>
    <t>입소</t>
    <phoneticPr fontId="8" type="noConversion"/>
  </si>
  <si>
    <t>후원</t>
    <phoneticPr fontId="8" type="noConversion"/>
  </si>
  <si>
    <t>후원</t>
    <phoneticPr fontId="8" type="noConversion"/>
  </si>
  <si>
    <t>잡수</t>
    <phoneticPr fontId="8" type="noConversion"/>
  </si>
  <si>
    <t>잡수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</si>
  <si>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</si>
  <si>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</si>
  <si>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</si>
  <si>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>÷</t>
    <phoneticPr fontId="8" type="noConversion"/>
  </si>
  <si>
    <t>월</t>
    <phoneticPr fontId="8" type="noConversion"/>
  </si>
  <si>
    <t>=</t>
    <phoneticPr fontId="8" type="noConversion"/>
  </si>
  <si>
    <t>보조</t>
    <phoneticPr fontId="8" type="noConversion"/>
  </si>
  <si>
    <t>* 마라톤프로그램</t>
    <phoneticPr fontId="8" type="noConversion"/>
  </si>
  <si>
    <t>입소</t>
    <phoneticPr fontId="8" type="noConversion"/>
  </si>
  <si>
    <t>입소</t>
    <phoneticPr fontId="8" type="noConversion"/>
  </si>
  <si>
    <t>보조금(도비)</t>
    <phoneticPr fontId="8" type="noConversion"/>
  </si>
  <si>
    <t>시비</t>
    <phoneticPr fontId="8" type="noConversion"/>
  </si>
  <si>
    <t>* 인건비 지원금</t>
    <phoneticPr fontId="8" type="noConversion"/>
  </si>
  <si>
    <t>명</t>
    <phoneticPr fontId="8" type="noConversion"/>
  </si>
  <si>
    <t>=</t>
    <phoneticPr fontId="8" type="noConversion"/>
  </si>
  <si>
    <t>원</t>
    <phoneticPr fontId="8" type="noConversion"/>
  </si>
  <si>
    <t>보조</t>
    <phoneticPr fontId="8" type="noConversion"/>
  </si>
  <si>
    <t>회</t>
  </si>
  <si>
    <t>회</t>
    <phoneticPr fontId="8" type="noConversion"/>
  </si>
  <si>
    <t>* 부활나눔</t>
    <phoneticPr fontId="8" type="noConversion"/>
  </si>
  <si>
    <t>입소</t>
  </si>
  <si>
    <t>* 화성행궁</t>
    <phoneticPr fontId="8" type="noConversion"/>
  </si>
  <si>
    <t>원</t>
    <phoneticPr fontId="8" type="noConversion"/>
  </si>
  <si>
    <t>나들이</t>
    <phoneticPr fontId="8" type="noConversion"/>
  </si>
  <si>
    <t>1. 입소비용 체크카드환급액</t>
    <phoneticPr fontId="8" type="noConversion"/>
  </si>
  <si>
    <t>2. 잡수입 체크카드환급금</t>
    <phoneticPr fontId="8" type="noConversion"/>
  </si>
  <si>
    <t>3. 후원금 체크카드환급금</t>
    <phoneticPr fontId="8" type="noConversion"/>
  </si>
  <si>
    <t>* 찜질방</t>
    <phoneticPr fontId="8" type="noConversion"/>
  </si>
  <si>
    <t>※ 체크카드환급 및 직원급식비</t>
    <phoneticPr fontId="8" type="noConversion"/>
  </si>
  <si>
    <t>합  계 :</t>
  </si>
  <si>
    <t>1.국민연금부담금</t>
  </si>
  <si>
    <t>합    계 :</t>
  </si>
  <si>
    <t>÷</t>
  </si>
  <si>
    <t>보조</t>
  </si>
  <si>
    <t>2.국민건강보험부담금</t>
  </si>
  <si>
    <t xml:space="preserve"> </t>
  </si>
  <si>
    <t>3.장기요양보험부담금</t>
  </si>
  <si>
    <t>4.고용보험부담금</t>
  </si>
  <si>
    <t>5.산업재해보험부담금</t>
  </si>
  <si>
    <t>6. 사회보험부담금(정산보험)</t>
  </si>
  <si>
    <t>후원</t>
  </si>
  <si>
    <t>월</t>
    <phoneticPr fontId="8" type="noConversion"/>
  </si>
  <si>
    <t>* 주부식비(부식)</t>
    <phoneticPr fontId="8" type="noConversion"/>
  </si>
  <si>
    <t>* 주부식비(부식)</t>
    <phoneticPr fontId="8" type="noConversion"/>
  </si>
  <si>
    <t>* 주부식비(직원급식)</t>
    <phoneticPr fontId="8" type="noConversion"/>
  </si>
  <si>
    <t>월</t>
    <phoneticPr fontId="8" type="noConversion"/>
  </si>
  <si>
    <t>입소</t>
    <phoneticPr fontId="8" type="noConversion"/>
  </si>
  <si>
    <t>월</t>
    <phoneticPr fontId="8" type="noConversion"/>
  </si>
  <si>
    <t>4. 직원 급식비</t>
    <phoneticPr fontId="8" type="noConversion"/>
  </si>
  <si>
    <t>* 직원 축일 및 생일 축하 문화상품권</t>
  </si>
  <si>
    <t>회</t>
    <phoneticPr fontId="8" type="noConversion"/>
  </si>
  <si>
    <t>사업</t>
    <phoneticPr fontId="8" type="noConversion"/>
  </si>
  <si>
    <t>원</t>
    <phoneticPr fontId="8" type="noConversion"/>
  </si>
  <si>
    <t>* 이용인 직장 방문</t>
    <phoneticPr fontId="8" type="noConversion"/>
  </si>
  <si>
    <t>원</t>
    <phoneticPr fontId="8" type="noConversion"/>
  </si>
  <si>
    <t>* 직원연수</t>
    <phoneticPr fontId="8" type="noConversion"/>
  </si>
  <si>
    <t>회</t>
    <phoneticPr fontId="8" type="noConversion"/>
  </si>
  <si>
    <t>명</t>
    <phoneticPr fontId="8" type="noConversion"/>
  </si>
  <si>
    <t>* 노래방</t>
    <phoneticPr fontId="8" type="noConversion"/>
  </si>
  <si>
    <t>회</t>
    <phoneticPr fontId="8" type="noConversion"/>
  </si>
  <si>
    <t>* 직원 독감예방접종</t>
    <phoneticPr fontId="8" type="noConversion"/>
  </si>
  <si>
    <t>* 간식비</t>
  </si>
  <si>
    <t>입소</t>
    <phoneticPr fontId="8" type="noConversion"/>
  </si>
  <si>
    <t>□ 2020년도 본예산 세 입 · 세 출 총  괄  표</t>
    <phoneticPr fontId="28" type="noConversion"/>
  </si>
  <si>
    <t>2019년 2차추경예산</t>
    <phoneticPr fontId="8" type="noConversion"/>
  </si>
  <si>
    <t>2019년 2차추경예산</t>
    <phoneticPr fontId="8" type="noConversion"/>
  </si>
  <si>
    <t>2020년 본예산</t>
    <phoneticPr fontId="28" type="noConversion"/>
  </si>
  <si>
    <t>2020년 본예산</t>
    <phoneticPr fontId="28" type="noConversion"/>
  </si>
  <si>
    <t>&lt;몬띠의 집 2020년도 본예산 세출내역&gt;</t>
    <phoneticPr fontId="8" type="noConversion"/>
  </si>
  <si>
    <t>2019년
2차추경예산액(A)
(단위:천원)</t>
    <phoneticPr fontId="8" type="noConversion"/>
  </si>
  <si>
    <t>2020년 본예산액(B)(단위:천원)</t>
    <phoneticPr fontId="8" type="noConversion"/>
  </si>
  <si>
    <t>&lt;몬띠의 집 2020년도 본예산 세입내역&gt;</t>
    <phoneticPr fontId="8" type="noConversion"/>
  </si>
  <si>
    <t>2019년
2차추경예산(B)
(단위:천원)</t>
    <phoneticPr fontId="8" type="noConversion"/>
  </si>
  <si>
    <t>2020년
본예산(B)
(단위:천원)</t>
    <phoneticPr fontId="8" type="noConversion"/>
  </si>
  <si>
    <t>* 사회재활교사</t>
    <phoneticPr fontId="8" type="noConversion"/>
  </si>
  <si>
    <t>* 사회재활교사</t>
    <phoneticPr fontId="8" type="noConversion"/>
  </si>
  <si>
    <t>* 사회재활교사</t>
    <phoneticPr fontId="8" type="noConversion"/>
  </si>
  <si>
    <t>2.연장근로수당</t>
    <phoneticPr fontId="8" type="noConversion"/>
  </si>
  <si>
    <t>잡수</t>
    <phoneticPr fontId="8" type="noConversion"/>
  </si>
  <si>
    <t>3호봉</t>
    <phoneticPr fontId="8" type="noConversion"/>
  </si>
  <si>
    <t>4호봉</t>
    <phoneticPr fontId="8" type="noConversion"/>
  </si>
  <si>
    <t>3호봉</t>
    <phoneticPr fontId="8" type="noConversion"/>
  </si>
  <si>
    <t>4호봉</t>
    <phoneticPr fontId="8" type="noConversion"/>
  </si>
  <si>
    <t>3호봉</t>
    <phoneticPr fontId="8" type="noConversion"/>
  </si>
  <si>
    <t>4호봉</t>
    <phoneticPr fontId="8" type="noConversion"/>
  </si>
  <si>
    <t>* 명절 선물</t>
    <phoneticPr fontId="8" type="noConversion"/>
  </si>
  <si>
    <t>잡수</t>
    <phoneticPr fontId="8" type="noConversion"/>
  </si>
  <si>
    <t>잡수</t>
    <phoneticPr fontId="8" type="noConversion"/>
  </si>
  <si>
    <t>입소</t>
    <phoneticPr fontId="8" type="noConversion"/>
  </si>
  <si>
    <t xml:space="preserve">* 환경개선사업(7종) </t>
    <phoneticPr fontId="8" type="noConversion"/>
  </si>
  <si>
    <t>입소</t>
    <phoneticPr fontId="8" type="noConversion"/>
  </si>
  <si>
    <t>후원</t>
    <phoneticPr fontId="8" type="noConversion"/>
  </si>
  <si>
    <t>입소</t>
    <phoneticPr fontId="8" type="noConversion"/>
  </si>
  <si>
    <t>입소</t>
    <phoneticPr fontId="8" type="noConversion"/>
  </si>
  <si>
    <t>* 피복비</t>
    <phoneticPr fontId="8" type="noConversion"/>
  </si>
  <si>
    <t>* 피복비</t>
    <phoneticPr fontId="8" type="noConversion"/>
  </si>
  <si>
    <t>* 봄 나들이</t>
    <phoneticPr fontId="8" type="noConversion"/>
  </si>
  <si>
    <t>* 가정방문</t>
    <phoneticPr fontId="8" type="noConversion"/>
  </si>
  <si>
    <t xml:space="preserve">* 요리프로그램 </t>
    <phoneticPr fontId="8" type="noConversion"/>
  </si>
  <si>
    <t>회</t>
    <phoneticPr fontId="8" type="noConversion"/>
  </si>
  <si>
    <t>* 여름여행</t>
    <phoneticPr fontId="8" type="noConversion"/>
  </si>
  <si>
    <t>원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</si>
</sst>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General"/>
    <numFmt numFmtId="185" formatCode="&quot;×&quot;0%"/>
    <numFmt numFmtId="186" formatCode="0.0%"/>
    <numFmt numFmtId="188" formatCode="#,##0_ ;[Red]\-#,##0\ "/>
    <numFmt numFmtId="189" formatCode="#,##0.0;[Red]#,##0.0"/>
    <numFmt numFmtId="190" formatCode="#,##0&quot;×&quot;;\-#,##0&quot;원×&quot;"/>
    <numFmt numFmtId="191" formatCode="#,##0&quot;월&quot;;\-#,##0&quot;월&quot;"/>
    <numFmt numFmtId="192" formatCode="#,##0&quot;h×&quot;;\-#,##0&quot;h×&quot;"/>
    <numFmt numFmtId="193" formatCode="#,##0&quot;회&quot;;[Red]#,##0"/>
    <numFmt numFmtId="194" formatCode="#,##0&quot;명&quot;;[Red]#,##0"/>
  </numFmts>
  <fonts count="5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theme="1"/>
      <name val="바탕체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9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10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99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41" fontId="9" fillId="0" borderId="0" xfId="2" applyFont="1" applyFill="1" applyAlignment="1">
      <alignment horizontal="center" vertical="center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176" fontId="9" fillId="0" borderId="0" xfId="0" applyNumberFormat="1" applyFont="1" applyFill="1">
      <alignment vertical="center"/>
    </xf>
    <xf numFmtId="176" fontId="12" fillId="0" borderId="0" xfId="3" applyNumberFormat="1" applyFont="1" applyFill="1" applyAlignment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41" fontId="11" fillId="0" borderId="0" xfId="2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5" fillId="0" borderId="1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6" fillId="0" borderId="3" xfId="3" applyNumberFormat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vertical="center"/>
    </xf>
    <xf numFmtId="176" fontId="18" fillId="0" borderId="22" xfId="3" applyNumberFormat="1" applyFont="1" applyFill="1" applyBorder="1" applyAlignment="1">
      <alignment horizontal="center" vertical="center"/>
    </xf>
    <xf numFmtId="176" fontId="18" fillId="0" borderId="24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1" xfId="3" applyNumberFormat="1" applyFont="1" applyFill="1" applyBorder="1" applyAlignment="1">
      <alignment vertical="center"/>
    </xf>
    <xf numFmtId="0" fontId="15" fillId="0" borderId="32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0" fontId="15" fillId="0" borderId="33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/>
    </xf>
    <xf numFmtId="41" fontId="15" fillId="0" borderId="0" xfId="2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32" xfId="3" applyFont="1" applyFill="1" applyBorder="1" applyAlignment="1">
      <alignment vertical="center" wrapText="1"/>
    </xf>
    <xf numFmtId="178" fontId="15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0" fontId="15" fillId="0" borderId="38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176" fontId="15" fillId="0" borderId="39" xfId="3" applyNumberFormat="1" applyFont="1" applyFill="1" applyBorder="1" applyAlignment="1">
      <alignment vertical="center"/>
    </xf>
    <xf numFmtId="0" fontId="15" fillId="0" borderId="33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horizontal="center" vertical="center"/>
    </xf>
    <xf numFmtId="9" fontId="15" fillId="0" borderId="27" xfId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9" fontId="15" fillId="0" borderId="0" xfId="1" applyFont="1" applyFill="1" applyBorder="1" applyAlignment="1">
      <alignment horizontal="center" vertical="center"/>
    </xf>
    <xf numFmtId="10" fontId="15" fillId="0" borderId="0" xfId="1" applyNumberFormat="1" applyFont="1" applyFill="1" applyBorder="1" applyAlignment="1">
      <alignment horizontal="center" vertical="center"/>
    </xf>
    <xf numFmtId="180" fontId="15" fillId="0" borderId="0" xfId="2" applyNumberFormat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vertical="center"/>
    </xf>
    <xf numFmtId="0" fontId="15" fillId="0" borderId="27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9" fontId="15" fillId="0" borderId="11" xfId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176" fontId="15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5" fillId="0" borderId="27" xfId="3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5" fillId="0" borderId="26" xfId="3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5" fillId="0" borderId="26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vertical="center" wrapText="1"/>
    </xf>
    <xf numFmtId="0" fontId="15" fillId="0" borderId="7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vertical="center"/>
    </xf>
    <xf numFmtId="177" fontId="15" fillId="0" borderId="7" xfId="3" applyNumberFormat="1" applyFont="1" applyFill="1" applyBorder="1" applyAlignment="1">
      <alignment vertical="center"/>
    </xf>
    <xf numFmtId="9" fontId="15" fillId="0" borderId="7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center" vertical="center"/>
    </xf>
    <xf numFmtId="38" fontId="15" fillId="0" borderId="13" xfId="3" applyNumberFormat="1" applyFont="1" applyFill="1" applyBorder="1" applyAlignment="1">
      <alignment vertical="center"/>
    </xf>
    <xf numFmtId="9" fontId="15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5" fillId="0" borderId="11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38" fontId="19" fillId="0" borderId="27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/>
    </xf>
    <xf numFmtId="9" fontId="15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38" fontId="15" fillId="0" borderId="14" xfId="3" applyNumberFormat="1" applyFont="1" applyFill="1" applyBorder="1" applyAlignment="1">
      <alignment vertical="center"/>
    </xf>
    <xf numFmtId="38" fontId="15" fillId="0" borderId="30" xfId="3" applyNumberFormat="1" applyFont="1" applyFill="1" applyBorder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left"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horizontal="center" vertical="center" wrapText="1"/>
    </xf>
    <xf numFmtId="38" fontId="15" fillId="0" borderId="7" xfId="3" applyNumberFormat="1" applyFont="1" applyFill="1" applyBorder="1" applyAlignment="1">
      <alignment vertical="center"/>
    </xf>
    <xf numFmtId="9" fontId="15" fillId="0" borderId="7" xfId="1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15" fillId="0" borderId="41" xfId="3" applyFont="1" applyFill="1" applyBorder="1" applyAlignment="1">
      <alignment vertical="center"/>
    </xf>
    <xf numFmtId="176" fontId="15" fillId="0" borderId="52" xfId="3" applyNumberFormat="1" applyFont="1" applyFill="1" applyBorder="1" applyAlignment="1">
      <alignment vertical="center"/>
    </xf>
    <xf numFmtId="176" fontId="15" fillId="0" borderId="52" xfId="3" applyNumberFormat="1" applyFont="1" applyFill="1" applyBorder="1" applyAlignment="1">
      <alignment horizontal="right" vertical="center"/>
    </xf>
    <xf numFmtId="176" fontId="15" fillId="0" borderId="53" xfId="3" applyNumberFormat="1" applyFont="1" applyFill="1" applyBorder="1" applyAlignment="1">
      <alignment vertical="center"/>
    </xf>
    <xf numFmtId="0" fontId="15" fillId="0" borderId="52" xfId="3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horizontal="center" vertical="center" wrapText="1"/>
    </xf>
    <xf numFmtId="178" fontId="16" fillId="0" borderId="3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38" fontId="15" fillId="0" borderId="33" xfId="3" applyNumberFormat="1" applyFont="1" applyFill="1" applyBorder="1" applyAlignment="1">
      <alignment vertical="center"/>
    </xf>
    <xf numFmtId="38" fontId="15" fillId="0" borderId="36" xfId="3" applyNumberFormat="1" applyFont="1" applyFill="1" applyBorder="1" applyAlignment="1">
      <alignment vertical="center"/>
    </xf>
    <xf numFmtId="38" fontId="15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5" fillId="0" borderId="38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vertical="center"/>
    </xf>
    <xf numFmtId="0" fontId="17" fillId="0" borderId="43" xfId="3" applyFont="1" applyFill="1" applyBorder="1" applyAlignment="1">
      <alignment vertical="center"/>
    </xf>
    <xf numFmtId="176" fontId="17" fillId="0" borderId="43" xfId="3" applyNumberFormat="1" applyFont="1" applyFill="1" applyBorder="1" applyAlignment="1">
      <alignment vertical="center"/>
    </xf>
    <xf numFmtId="176" fontId="17" fillId="0" borderId="44" xfId="3" applyNumberFormat="1" applyFont="1" applyFill="1" applyBorder="1" applyAlignment="1">
      <alignment vertical="center"/>
    </xf>
    <xf numFmtId="9" fontId="17" fillId="0" borderId="20" xfId="1" applyFont="1" applyFill="1" applyBorder="1" applyAlignment="1">
      <alignment horizontal="center" vertical="center"/>
    </xf>
    <xf numFmtId="9" fontId="15" fillId="0" borderId="13" xfId="1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0" fontId="17" fillId="0" borderId="52" xfId="3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horizontal="right" vertical="center"/>
    </xf>
    <xf numFmtId="9" fontId="9" fillId="0" borderId="0" xfId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left"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 wrapText="1"/>
    </xf>
    <xf numFmtId="38" fontId="17" fillId="0" borderId="1" xfId="3" applyNumberFormat="1" applyFont="1" applyFill="1" applyBorder="1" applyAlignment="1">
      <alignment vertical="center"/>
    </xf>
    <xf numFmtId="9" fontId="17" fillId="0" borderId="1" xfId="1" applyFont="1" applyFill="1" applyBorder="1" applyAlignment="1">
      <alignment horizontal="center" vertical="center"/>
    </xf>
    <xf numFmtId="38" fontId="15" fillId="0" borderId="8" xfId="3" applyNumberFormat="1" applyFont="1" applyFill="1" applyBorder="1" applyAlignment="1">
      <alignment vertical="center"/>
    </xf>
    <xf numFmtId="9" fontId="15" fillId="0" borderId="8" xfId="1" applyFont="1" applyFill="1" applyBorder="1" applyAlignment="1">
      <alignment horizontal="center" vertical="center"/>
    </xf>
    <xf numFmtId="0" fontId="5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5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5" fillId="0" borderId="14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 wrapText="1"/>
    </xf>
    <xf numFmtId="9" fontId="15" fillId="0" borderId="11" xfId="3" applyNumberFormat="1" applyFont="1" applyFill="1" applyBorder="1" applyAlignment="1">
      <alignment horizontal="center" vertical="center"/>
    </xf>
    <xf numFmtId="0" fontId="21" fillId="0" borderId="41" xfId="3" applyFont="1" applyFill="1" applyBorder="1" applyAlignment="1">
      <alignment vertical="center"/>
    </xf>
    <xf numFmtId="0" fontId="22" fillId="0" borderId="52" xfId="3" applyFont="1" applyFill="1" applyBorder="1" applyAlignment="1">
      <alignment vertical="center"/>
    </xf>
    <xf numFmtId="176" fontId="22" fillId="0" borderId="52" xfId="3" applyNumberFormat="1" applyFont="1" applyFill="1" applyBorder="1" applyAlignment="1">
      <alignment vertical="center"/>
    </xf>
    <xf numFmtId="176" fontId="21" fillId="0" borderId="52" xfId="3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vertical="center"/>
    </xf>
    <xf numFmtId="42" fontId="15" fillId="0" borderId="14" xfId="3" applyNumberFormat="1" applyFont="1" applyFill="1" applyBorder="1" applyAlignment="1">
      <alignment horizontal="center" vertical="center"/>
    </xf>
    <xf numFmtId="178" fontId="15" fillId="0" borderId="14" xfId="3" applyNumberFormat="1" applyFont="1" applyFill="1" applyBorder="1" applyAlignment="1">
      <alignment horizontal="center" vertical="center"/>
    </xf>
    <xf numFmtId="180" fontId="15" fillId="0" borderId="14" xfId="2" applyNumberFormat="1" applyFont="1" applyFill="1" applyBorder="1" applyAlignment="1">
      <alignment horizontal="center" vertical="center"/>
    </xf>
    <xf numFmtId="178" fontId="23" fillId="0" borderId="14" xfId="0" applyNumberFormat="1" applyFont="1" applyBorder="1">
      <alignment vertical="center"/>
    </xf>
    <xf numFmtId="178" fontId="20" fillId="0" borderId="1" xfId="3" applyNumberFormat="1" applyFont="1" applyFill="1" applyBorder="1" applyAlignment="1">
      <alignment vertical="center"/>
    </xf>
    <xf numFmtId="177" fontId="20" fillId="0" borderId="1" xfId="3" applyNumberFormat="1" applyFont="1" applyFill="1" applyBorder="1" applyAlignment="1">
      <alignment vertical="center"/>
    </xf>
    <xf numFmtId="9" fontId="20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8" fillId="0" borderId="23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20" fillId="0" borderId="11" xfId="3" applyNumberFormat="1" applyFont="1" applyFill="1" applyBorder="1" applyAlignment="1">
      <alignment vertical="center"/>
    </xf>
    <xf numFmtId="9" fontId="20" fillId="0" borderId="11" xfId="3" applyNumberFormat="1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32" fillId="0" borderId="52" xfId="3" applyNumberFormat="1" applyFont="1" applyFill="1" applyBorder="1" applyAlignment="1">
      <alignment vertical="center"/>
    </xf>
    <xf numFmtId="176" fontId="32" fillId="0" borderId="52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5" fillId="0" borderId="30" xfId="3" applyNumberFormat="1" applyFont="1" applyFill="1" applyBorder="1" applyAlignment="1">
      <alignment horizontal="left" vertical="center"/>
    </xf>
    <xf numFmtId="176" fontId="15" fillId="0" borderId="30" xfId="3" applyNumberFormat="1" applyFont="1" applyFill="1" applyBorder="1" applyAlignment="1">
      <alignment horizontal="left" vertical="center"/>
    </xf>
    <xf numFmtId="180" fontId="15" fillId="0" borderId="30" xfId="2" applyNumberFormat="1" applyFont="1" applyFill="1" applyBorder="1" applyAlignment="1">
      <alignment vertical="center"/>
    </xf>
    <xf numFmtId="41" fontId="15" fillId="0" borderId="30" xfId="2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0" fontId="15" fillId="0" borderId="29" xfId="3" applyFont="1" applyFill="1" applyBorder="1" applyAlignment="1">
      <alignment vertical="center"/>
    </xf>
    <xf numFmtId="9" fontId="15" fillId="0" borderId="54" xfId="1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horizontal="right" vertical="center"/>
    </xf>
    <xf numFmtId="176" fontId="15" fillId="0" borderId="30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7" fontId="15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2" xfId="3" applyNumberFormat="1" applyFont="1" applyFill="1" applyBorder="1" applyAlignment="1">
      <alignment vertical="center"/>
    </xf>
    <xf numFmtId="0" fontId="34" fillId="0" borderId="52" xfId="3" applyFont="1" applyFill="1" applyBorder="1" applyAlignment="1">
      <alignment horizontal="center" vertical="center"/>
    </xf>
    <xf numFmtId="0" fontId="34" fillId="0" borderId="52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2" xfId="3" applyNumberFormat="1" applyFont="1" applyFill="1" applyBorder="1" applyAlignment="1">
      <alignment horizontal="right" vertical="center"/>
    </xf>
    <xf numFmtId="176" fontId="18" fillId="0" borderId="37" xfId="3" applyNumberFormat="1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15" fillId="0" borderId="3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vertical="center" wrapText="1"/>
    </xf>
    <xf numFmtId="0" fontId="33" fillId="0" borderId="53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8" fontId="18" fillId="0" borderId="43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5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24" fillId="0" borderId="33" xfId="3" applyFont="1" applyFill="1" applyBorder="1" applyAlignment="1">
      <alignment vertical="center"/>
    </xf>
    <xf numFmtId="9" fontId="15" fillId="0" borderId="1" xfId="1" applyNumberFormat="1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188" fontId="18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5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6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5" fillId="0" borderId="41" xfId="3" applyFont="1" applyFill="1" applyBorder="1" applyAlignment="1">
      <alignment vertical="center"/>
    </xf>
    <xf numFmtId="0" fontId="35" fillId="0" borderId="30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3" xfId="3" applyFont="1" applyFill="1" applyBorder="1" applyAlignment="1">
      <alignment vertical="center"/>
    </xf>
    <xf numFmtId="176" fontId="34" fillId="0" borderId="43" xfId="3" applyNumberFormat="1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8" fillId="0" borderId="20" xfId="3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0" fontId="39" fillId="0" borderId="52" xfId="3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0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176" fontId="41" fillId="0" borderId="52" xfId="3" applyNumberFormat="1" applyFont="1" applyFill="1" applyBorder="1" applyAlignment="1">
      <alignment vertical="center"/>
    </xf>
    <xf numFmtId="176" fontId="41" fillId="0" borderId="52" xfId="3" applyNumberFormat="1" applyFont="1" applyFill="1" applyBorder="1" applyAlignment="1">
      <alignment horizontal="right" vertical="center"/>
    </xf>
    <xf numFmtId="176" fontId="41" fillId="0" borderId="53" xfId="3" applyNumberFormat="1" applyFont="1" applyFill="1" applyBorder="1" applyAlignment="1">
      <alignment vertical="center"/>
    </xf>
    <xf numFmtId="0" fontId="41" fillId="0" borderId="41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176" fontId="41" fillId="0" borderId="30" xfId="3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6" fontId="24" fillId="0" borderId="0" xfId="1" applyNumberFormat="1" applyFont="1" applyFill="1" applyBorder="1" applyAlignment="1">
      <alignment horizontal="center"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24" fillId="0" borderId="0" xfId="2" applyNumberFormat="1" applyFont="1" applyFill="1" applyBorder="1" applyAlignment="1">
      <alignment horizontal="left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3" fillId="0" borderId="11" xfId="8" applyFont="1" applyBorder="1" applyAlignment="1">
      <alignment vertical="center"/>
    </xf>
    <xf numFmtId="182" fontId="43" fillId="0" borderId="36" xfId="8" applyNumberFormat="1" applyFont="1" applyBorder="1" applyAlignment="1">
      <alignment vertical="center"/>
    </xf>
    <xf numFmtId="182" fontId="43" fillId="0" borderId="12" xfId="8" applyNumberFormat="1" applyFont="1" applyBorder="1" applyAlignment="1">
      <alignment vertical="center"/>
    </xf>
    <xf numFmtId="0" fontId="44" fillId="0" borderId="11" xfId="7" applyFont="1" applyBorder="1" applyAlignment="1">
      <alignment horizontal="center" vertical="center"/>
    </xf>
    <xf numFmtId="41" fontId="45" fillId="0" borderId="11" xfId="8" applyFont="1" applyBorder="1" applyAlignment="1">
      <alignment vertical="center"/>
    </xf>
    <xf numFmtId="182" fontId="45" fillId="0" borderId="36" xfId="8" applyNumberFormat="1" applyFont="1" applyBorder="1" applyAlignment="1">
      <alignment vertical="center"/>
    </xf>
    <xf numFmtId="0" fontId="44" fillId="0" borderId="20" xfId="7" applyFont="1" applyBorder="1" applyAlignment="1">
      <alignment horizontal="center" vertical="center"/>
    </xf>
    <xf numFmtId="41" fontId="45" fillId="0" borderId="20" xfId="8" applyFont="1" applyBorder="1">
      <alignment vertical="center"/>
    </xf>
    <xf numFmtId="182" fontId="45" fillId="0" borderId="41" xfId="8" applyNumberFormat="1" applyFont="1" applyBorder="1">
      <alignment vertical="center"/>
    </xf>
    <xf numFmtId="182" fontId="45" fillId="0" borderId="12" xfId="8" applyNumberFormat="1" applyFont="1" applyBorder="1" applyAlignment="1">
      <alignment vertical="center"/>
    </xf>
    <xf numFmtId="182" fontId="45" fillId="0" borderId="18" xfId="8" applyNumberFormat="1" applyFont="1" applyBorder="1">
      <alignment vertical="center"/>
    </xf>
    <xf numFmtId="38" fontId="24" fillId="0" borderId="27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5" fillId="0" borderId="34" xfId="3" applyFont="1" applyFill="1" applyBorder="1" applyAlignment="1">
      <alignment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2" xfId="3" applyNumberFormat="1" applyFont="1" applyFill="1" applyBorder="1" applyAlignment="1">
      <alignment vertical="center"/>
    </xf>
    <xf numFmtId="176" fontId="26" fillId="0" borderId="52" xfId="3" applyNumberFormat="1" applyFont="1" applyFill="1" applyBorder="1" applyAlignment="1">
      <alignment horizontal="right" vertical="center"/>
    </xf>
    <xf numFmtId="176" fontId="26" fillId="0" borderId="53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5" fillId="0" borderId="34" xfId="0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24" fillId="0" borderId="33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178" fontId="31" fillId="0" borderId="1" xfId="3" applyNumberFormat="1" applyFont="1" applyFill="1" applyBorder="1" applyAlignment="1">
      <alignment vertical="center"/>
    </xf>
    <xf numFmtId="177" fontId="31" fillId="0" borderId="1" xfId="3" applyNumberFormat="1" applyFont="1" applyFill="1" applyBorder="1" applyAlignment="1">
      <alignment vertical="center"/>
    </xf>
    <xf numFmtId="9" fontId="31" fillId="0" borderId="1" xfId="1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vertical="center"/>
    </xf>
    <xf numFmtId="0" fontId="22" fillId="0" borderId="30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176" fontId="32" fillId="0" borderId="31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center" vertical="center"/>
    </xf>
    <xf numFmtId="183" fontId="24" fillId="0" borderId="0" xfId="3" applyNumberFormat="1" applyFont="1" applyFill="1" applyBorder="1" applyAlignment="1">
      <alignment horizontal="center" vertical="center"/>
    </xf>
    <xf numFmtId="184" fontId="24" fillId="0" borderId="0" xfId="3" applyNumberFormat="1" applyFont="1" applyFill="1" applyBorder="1" applyAlignment="1">
      <alignment vertical="center"/>
    </xf>
    <xf numFmtId="185" fontId="24" fillId="0" borderId="0" xfId="1" applyNumberFormat="1" applyFont="1" applyFill="1" applyBorder="1" applyAlignment="1">
      <alignment horizontal="center" vertical="center"/>
    </xf>
    <xf numFmtId="41" fontId="46" fillId="0" borderId="0" xfId="2" applyFont="1" applyFill="1" applyAlignment="1">
      <alignment vertical="center"/>
    </xf>
    <xf numFmtId="0" fontId="17" fillId="0" borderId="36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41" fontId="15" fillId="0" borderId="0" xfId="2" applyFont="1" applyFill="1" applyAlignment="1">
      <alignment vertical="center"/>
    </xf>
    <xf numFmtId="9" fontId="24" fillId="0" borderId="0" xfId="1" applyNumberFormat="1" applyFont="1" applyFill="1" applyBorder="1" applyAlignment="1">
      <alignment horizontal="center" vertical="center"/>
    </xf>
    <xf numFmtId="190" fontId="24" fillId="0" borderId="0" xfId="3" applyNumberFormat="1" applyFont="1" applyFill="1" applyBorder="1" applyAlignment="1">
      <alignment horizontal="left" vertical="center"/>
    </xf>
    <xf numFmtId="189" fontId="24" fillId="0" borderId="0" xfId="3" applyNumberFormat="1" applyFont="1" applyFill="1" applyBorder="1" applyAlignment="1">
      <alignment vertical="center"/>
    </xf>
    <xf numFmtId="191" fontId="24" fillId="0" borderId="0" xfId="3" applyNumberFormat="1" applyFont="1" applyFill="1" applyBorder="1" applyAlignment="1">
      <alignment vertical="center"/>
    </xf>
    <xf numFmtId="192" fontId="24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5" fillId="0" borderId="50" xfId="7" applyBorder="1" applyAlignment="1">
      <alignment vertical="center"/>
    </xf>
    <xf numFmtId="0" fontId="5" fillId="0" borderId="30" xfId="7" applyBorder="1" applyAlignment="1">
      <alignment vertical="center"/>
    </xf>
    <xf numFmtId="0" fontId="5" fillId="0" borderId="25" xfId="7" applyBorder="1" applyAlignment="1">
      <alignment vertical="center"/>
    </xf>
    <xf numFmtId="0" fontId="5" fillId="0" borderId="0" xfId="7" applyBorder="1" applyAlignment="1">
      <alignment vertical="center"/>
    </xf>
    <xf numFmtId="0" fontId="5" fillId="0" borderId="45" xfId="7" applyBorder="1" applyAlignment="1">
      <alignment vertical="center"/>
    </xf>
    <xf numFmtId="0" fontId="5" fillId="0" borderId="13" xfId="7" applyBorder="1" applyAlignment="1">
      <alignment vertical="center"/>
    </xf>
    <xf numFmtId="0" fontId="41" fillId="0" borderId="52" xfId="3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0" fontId="35" fillId="0" borderId="52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horizontal="right" vertical="center"/>
    </xf>
    <xf numFmtId="176" fontId="35" fillId="0" borderId="31" xfId="3" applyNumberFormat="1" applyFont="1" applyFill="1" applyBorder="1" applyAlignment="1">
      <alignment vertical="center"/>
    </xf>
    <xf numFmtId="0" fontId="26" fillId="0" borderId="52" xfId="3" applyFont="1" applyFill="1" applyBorder="1" applyAlignment="1">
      <alignment vertical="center"/>
    </xf>
    <xf numFmtId="193" fontId="26" fillId="0" borderId="0" xfId="3" applyNumberFormat="1" applyFont="1" applyFill="1" applyBorder="1" applyAlignment="1">
      <alignment vertical="center"/>
    </xf>
    <xf numFmtId="194" fontId="26" fillId="0" borderId="0" xfId="3" applyNumberFormat="1" applyFont="1" applyFill="1" applyBorder="1" applyAlignment="1">
      <alignment vertical="center"/>
    </xf>
    <xf numFmtId="0" fontId="35" fillId="0" borderId="52" xfId="3" applyFont="1" applyFill="1" applyBorder="1" applyAlignment="1">
      <alignment horizontal="center" vertical="center"/>
    </xf>
    <xf numFmtId="176" fontId="35" fillId="0" borderId="52" xfId="3" applyNumberFormat="1" applyFont="1" applyFill="1" applyBorder="1" applyAlignment="1">
      <alignment vertical="center"/>
    </xf>
    <xf numFmtId="0" fontId="37" fillId="0" borderId="14" xfId="0" applyFont="1" applyFill="1" applyBorder="1" applyAlignment="1">
      <alignment vertical="center"/>
    </xf>
    <xf numFmtId="3" fontId="26" fillId="0" borderId="14" xfId="0" applyNumberFormat="1" applyFont="1" applyFill="1" applyBorder="1" applyAlignment="1">
      <alignment vertical="center"/>
    </xf>
    <xf numFmtId="176" fontId="37" fillId="0" borderId="37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horizontal="left" vertical="center"/>
    </xf>
    <xf numFmtId="41" fontId="45" fillId="0" borderId="20" xfId="8" applyNumberFormat="1" applyFont="1" applyBorder="1">
      <alignment vertical="center"/>
    </xf>
    <xf numFmtId="41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41" fontId="26" fillId="0" borderId="0" xfId="2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>
      <alignment vertical="center"/>
    </xf>
    <xf numFmtId="41" fontId="34" fillId="2" borderId="8" xfId="0" applyNumberFormat="1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30" xfId="3" applyFont="1" applyFill="1" applyBorder="1" applyAlignment="1">
      <alignment vertical="center"/>
    </xf>
    <xf numFmtId="0" fontId="24" fillId="0" borderId="30" xfId="3" applyFont="1" applyFill="1" applyBorder="1" applyAlignment="1">
      <alignment vertical="center" wrapText="1"/>
    </xf>
    <xf numFmtId="0" fontId="24" fillId="0" borderId="14" xfId="0" applyFont="1" applyFill="1" applyBorder="1">
      <alignment vertical="center"/>
    </xf>
    <xf numFmtId="176" fontId="50" fillId="0" borderId="0" xfId="3" applyNumberFormat="1" applyFont="1" applyFill="1" applyBorder="1" applyAlignment="1">
      <alignment vertical="center"/>
    </xf>
    <xf numFmtId="41" fontId="10" fillId="0" borderId="20" xfId="8" applyFont="1" applyBorder="1">
      <alignment vertical="center"/>
    </xf>
    <xf numFmtId="176" fontId="26" fillId="0" borderId="1" xfId="0" applyNumberFormat="1" applyFont="1" applyFill="1" applyBorder="1" applyAlignment="1">
      <alignment vertical="center"/>
    </xf>
    <xf numFmtId="38" fontId="26" fillId="0" borderId="27" xfId="3" applyNumberFormat="1" applyFont="1" applyFill="1" applyBorder="1" applyAlignment="1">
      <alignment vertical="center"/>
    </xf>
    <xf numFmtId="38" fontId="26" fillId="0" borderId="11" xfId="3" applyNumberFormat="1" applyFont="1" applyFill="1" applyBorder="1" applyAlignment="1">
      <alignment vertical="center"/>
    </xf>
    <xf numFmtId="0" fontId="26" fillId="0" borderId="0" xfId="0" applyFont="1" applyFill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41" fontId="36" fillId="0" borderId="0" xfId="2" applyFont="1" applyFill="1" applyAlignment="1">
      <alignment vertical="center"/>
    </xf>
    <xf numFmtId="177" fontId="26" fillId="0" borderId="0" xfId="3" applyNumberFormat="1" applyFont="1" applyFill="1" applyBorder="1" applyAlignment="1">
      <alignment vertical="center"/>
    </xf>
    <xf numFmtId="42" fontId="26" fillId="0" borderId="0" xfId="3" applyNumberFormat="1" applyFont="1" applyFill="1" applyBorder="1" applyAlignment="1">
      <alignment horizontal="left" vertical="center"/>
    </xf>
    <xf numFmtId="179" fontId="26" fillId="0" borderId="0" xfId="1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horizontal="left" vertical="center"/>
    </xf>
    <xf numFmtId="186" fontId="26" fillId="0" borderId="0" xfId="1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vertical="center"/>
    </xf>
    <xf numFmtId="41" fontId="49" fillId="0" borderId="20" xfId="8" applyFont="1" applyBorder="1">
      <alignment vertical="center"/>
    </xf>
    <xf numFmtId="0" fontId="50" fillId="0" borderId="0" xfId="3" applyFont="1" applyFill="1" applyBorder="1" applyAlignment="1">
      <alignment horizontal="center" vertical="center"/>
    </xf>
    <xf numFmtId="0" fontId="50" fillId="0" borderId="0" xfId="3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vertical="center"/>
    </xf>
    <xf numFmtId="176" fontId="24" fillId="0" borderId="31" xfId="3" applyNumberFormat="1" applyFont="1" applyFill="1" applyBorder="1" applyAlignment="1">
      <alignment vertical="center"/>
    </xf>
    <xf numFmtId="176" fontId="51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5" fillId="0" borderId="27" xfId="0" applyNumberFormat="1" applyFont="1" applyFill="1" applyBorder="1" applyAlignment="1">
      <alignment vertical="center"/>
    </xf>
    <xf numFmtId="0" fontId="35" fillId="0" borderId="36" xfId="3" applyFont="1" applyFill="1" applyBorder="1" applyAlignment="1">
      <alignment vertical="center"/>
    </xf>
    <xf numFmtId="176" fontId="35" fillId="0" borderId="14" xfId="3" applyNumberFormat="1" applyFont="1" applyFill="1" applyBorder="1" applyAlignment="1">
      <alignment vertical="center"/>
    </xf>
    <xf numFmtId="176" fontId="35" fillId="0" borderId="14" xfId="3" applyNumberFormat="1" applyFont="1" applyFill="1" applyBorder="1" applyAlignment="1">
      <alignment horizontal="right" vertical="center"/>
    </xf>
    <xf numFmtId="176" fontId="35" fillId="0" borderId="37" xfId="3" applyNumberFormat="1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46" fillId="0" borderId="0" xfId="3" applyFont="1" applyFill="1" applyAlignment="1">
      <alignment vertical="center"/>
    </xf>
    <xf numFmtId="0" fontId="46" fillId="0" borderId="0" xfId="0" applyFont="1" applyFill="1" applyAlignment="1">
      <alignment vertical="center"/>
    </xf>
    <xf numFmtId="176" fontId="46" fillId="0" borderId="0" xfId="3" applyNumberFormat="1" applyFont="1" applyFill="1" applyAlignment="1">
      <alignment vertical="center"/>
    </xf>
    <xf numFmtId="178" fontId="40" fillId="0" borderId="0" xfId="0" applyNumberFormat="1" applyFont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178" fontId="24" fillId="0" borderId="0" xfId="0" applyNumberFormat="1" applyFont="1" applyFill="1" applyAlignment="1">
      <alignment horizontal="right" vertical="center"/>
    </xf>
    <xf numFmtId="0" fontId="24" fillId="0" borderId="5" xfId="0" applyFont="1" applyFill="1" applyBorder="1">
      <alignment vertical="center"/>
    </xf>
    <xf numFmtId="10" fontId="24" fillId="0" borderId="0" xfId="1" applyNumberFormat="1" applyFont="1" applyFill="1" applyBorder="1" applyAlignment="1">
      <alignment horizontal="center" vertical="center"/>
    </xf>
    <xf numFmtId="10" fontId="26" fillId="0" borderId="0" xfId="1" applyNumberFormat="1" applyFont="1" applyFill="1" applyBorder="1" applyAlignment="1">
      <alignment horizontal="center" vertical="center"/>
    </xf>
    <xf numFmtId="41" fontId="43" fillId="2" borderId="11" xfId="8" applyFont="1" applyFill="1" applyBorder="1" applyAlignment="1">
      <alignment vertical="center"/>
    </xf>
    <xf numFmtId="41" fontId="45" fillId="2" borderId="11" xfId="8" applyFont="1" applyFill="1" applyBorder="1" applyAlignment="1">
      <alignment vertical="center"/>
    </xf>
    <xf numFmtId="41" fontId="0" fillId="2" borderId="20" xfId="8" applyFont="1" applyFill="1" applyBorder="1">
      <alignment vertical="center"/>
    </xf>
    <xf numFmtId="41" fontId="45" fillId="2" borderId="20" xfId="8" applyFont="1" applyFill="1" applyBorder="1">
      <alignment vertical="center"/>
    </xf>
    <xf numFmtId="41" fontId="0" fillId="2" borderId="3" xfId="8" applyFont="1" applyFill="1" applyBorder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8" fontId="16" fillId="2" borderId="3" xfId="3" applyNumberFormat="1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horizontal="center" vertical="center"/>
    </xf>
    <xf numFmtId="0" fontId="24" fillId="0" borderId="36" xfId="3" applyFont="1" applyFill="1" applyBorder="1" applyAlignment="1">
      <alignment horizontal="left" vertical="center"/>
    </xf>
    <xf numFmtId="0" fontId="24" fillId="0" borderId="14" xfId="3" applyFont="1" applyFill="1" applyBorder="1" applyAlignment="1">
      <alignment horizontal="left"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42" fillId="0" borderId="17" xfId="7" applyFont="1" applyBorder="1" applyAlignment="1">
      <alignment horizontal="center" vertical="center"/>
    </xf>
    <xf numFmtId="0" fontId="42" fillId="0" borderId="11" xfId="7" applyFont="1" applyBorder="1" applyAlignment="1">
      <alignment horizontal="center" vertical="center"/>
    </xf>
    <xf numFmtId="0" fontId="30" fillId="0" borderId="42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6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2" borderId="20" xfId="7" applyFont="1" applyFill="1" applyBorder="1" applyAlignment="1">
      <alignment horizontal="center" vertical="center" wrapText="1"/>
    </xf>
    <xf numFmtId="0" fontId="30" fillId="2" borderId="47" xfId="7" applyFont="1" applyFill="1" applyBorder="1" applyAlignment="1">
      <alignment horizontal="center" vertical="center" wrapText="1"/>
    </xf>
    <xf numFmtId="0" fontId="30" fillId="0" borderId="20" xfId="7" applyFont="1" applyBorder="1" applyAlignment="1">
      <alignment horizontal="center" vertical="center" wrapText="1"/>
    </xf>
    <xf numFmtId="0" fontId="30" fillId="0" borderId="47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2" borderId="1" xfId="7" applyFont="1" applyFill="1" applyBorder="1" applyAlignment="1">
      <alignment horizontal="center" vertical="center" wrapText="1"/>
    </xf>
    <xf numFmtId="0" fontId="30" fillId="2" borderId="55" xfId="7" applyFont="1" applyFill="1" applyBorder="1" applyAlignment="1">
      <alignment horizontal="center" vertical="center" wrapText="1"/>
    </xf>
    <xf numFmtId="0" fontId="30" fillId="0" borderId="18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15" fillId="0" borderId="13" xfId="3" applyFont="1" applyFill="1" applyBorder="1" applyAlignment="1">
      <alignment horizontal="left" vertical="center" wrapText="1"/>
    </xf>
    <xf numFmtId="176" fontId="15" fillId="0" borderId="52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8" fontId="16" fillId="2" borderId="23" xfId="3" applyNumberFormat="1" applyFont="1" applyFill="1" applyBorder="1" applyAlignment="1">
      <alignment horizontal="center" vertical="center" wrapText="1"/>
    </xf>
    <xf numFmtId="178" fontId="16" fillId="2" borderId="7" xfId="3" applyNumberFormat="1" applyFont="1" applyFill="1" applyBorder="1" applyAlignment="1">
      <alignment horizontal="center" vertical="center" wrapText="1"/>
    </xf>
    <xf numFmtId="0" fontId="18" fillId="0" borderId="21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178" fontId="16" fillId="0" borderId="23" xfId="3" applyNumberFormat="1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40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vertical="center"/>
    </xf>
    <xf numFmtId="0" fontId="35" fillId="0" borderId="52" xfId="3" applyFont="1" applyFill="1" applyBorder="1" applyAlignment="1">
      <alignment vertical="center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2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6" fillId="0" borderId="10" xfId="3" applyNumberFormat="1" applyFont="1" applyFill="1" applyBorder="1" applyAlignment="1">
      <alignment horizontal="center" vertical="center" wrapText="1"/>
    </xf>
    <xf numFmtId="178" fontId="16" fillId="0" borderId="43" xfId="3" applyNumberFormat="1" applyFont="1" applyFill="1" applyBorder="1" applyAlignment="1">
      <alignment horizontal="center" vertical="center" wrapText="1"/>
    </xf>
    <xf numFmtId="178" fontId="16" fillId="0" borderId="51" xfId="3" applyNumberFormat="1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15" fillId="0" borderId="51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7" fillId="0" borderId="34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쉼표 [0] 3" xfId="12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1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45380;%202&#52264;%20&#52628;&#44221;&#50696;&#49328;(&#44536;&#47353;&#54856;)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topLeftCell="A19" zoomScaleNormal="100" workbookViewId="0">
      <selection activeCell="O17" sqref="O17"/>
    </sheetView>
  </sheetViews>
  <sheetFormatPr defaultRowHeight="16.5"/>
  <cols>
    <col min="1" max="1" width="1.44140625" style="190" customWidth="1"/>
    <col min="2" max="2" width="11.5546875" style="190" bestFit="1" customWidth="1"/>
    <col min="3" max="3" width="13.33203125" style="190" bestFit="1" customWidth="1"/>
    <col min="4" max="5" width="18" style="190" bestFit="1" customWidth="1"/>
    <col min="6" max="6" width="16" style="190" bestFit="1" customWidth="1"/>
    <col min="7" max="7" width="9.6640625" style="190" bestFit="1" customWidth="1"/>
    <col min="8" max="8" width="13.33203125" style="190" bestFit="1" customWidth="1"/>
    <col min="9" max="10" width="18" style="190" bestFit="1" customWidth="1"/>
    <col min="11" max="11" width="16" style="190" bestFit="1" customWidth="1"/>
    <col min="12" max="16384" width="8.88671875" style="190"/>
  </cols>
  <sheetData>
    <row r="1" spans="2:11" ht="9.9499999999999993" customHeight="1"/>
    <row r="2" spans="2:11" ht="26.25">
      <c r="B2" s="191" t="s">
        <v>461</v>
      </c>
      <c r="K2" s="192" t="s">
        <v>287</v>
      </c>
    </row>
    <row r="3" spans="2:11" ht="9.9499999999999993" customHeight="1" thickBot="1"/>
    <row r="4" spans="2:11" ht="30" customHeight="1">
      <c r="B4" s="541" t="s">
        <v>164</v>
      </c>
      <c r="C4" s="542"/>
      <c r="D4" s="542"/>
      <c r="E4" s="542"/>
      <c r="F4" s="543"/>
      <c r="G4" s="541" t="s">
        <v>165</v>
      </c>
      <c r="H4" s="542"/>
      <c r="I4" s="542"/>
      <c r="J4" s="542"/>
      <c r="K4" s="544"/>
    </row>
    <row r="5" spans="2:11" ht="16.5" customHeight="1">
      <c r="B5" s="545" t="s">
        <v>166</v>
      </c>
      <c r="C5" s="546"/>
      <c r="D5" s="549" t="s">
        <v>462</v>
      </c>
      <c r="E5" s="551" t="s">
        <v>464</v>
      </c>
      <c r="F5" s="553" t="s">
        <v>167</v>
      </c>
      <c r="G5" s="545" t="s">
        <v>166</v>
      </c>
      <c r="H5" s="546"/>
      <c r="I5" s="555" t="s">
        <v>463</v>
      </c>
      <c r="J5" s="551" t="s">
        <v>465</v>
      </c>
      <c r="K5" s="557" t="s">
        <v>167</v>
      </c>
    </row>
    <row r="6" spans="2:11" ht="22.5" customHeight="1" thickBot="1">
      <c r="B6" s="547"/>
      <c r="C6" s="548"/>
      <c r="D6" s="550"/>
      <c r="E6" s="552"/>
      <c r="F6" s="554"/>
      <c r="G6" s="547"/>
      <c r="H6" s="548"/>
      <c r="I6" s="556"/>
      <c r="J6" s="552"/>
      <c r="K6" s="558"/>
    </row>
    <row r="7" spans="2:11" ht="24.95" customHeight="1" thickTop="1">
      <c r="B7" s="539" t="s">
        <v>168</v>
      </c>
      <c r="C7" s="540"/>
      <c r="D7" s="523">
        <f>SUM(D8:D23)/2</f>
        <v>67484000</v>
      </c>
      <c r="E7" s="381">
        <f>SUM(E8:E23)/2</f>
        <v>63674000</v>
      </c>
      <c r="F7" s="382">
        <f>SUM(F8:F23)/2</f>
        <v>-3810000</v>
      </c>
      <c r="G7" s="539" t="s">
        <v>168</v>
      </c>
      <c r="H7" s="540"/>
      <c r="I7" s="523">
        <f>SUM(I8:I28)/2</f>
        <v>67484000</v>
      </c>
      <c r="J7" s="381">
        <f>SUM(J8:J28)/2</f>
        <v>63674000</v>
      </c>
      <c r="K7" s="383">
        <f>SUM(K8:K28)/2</f>
        <v>-3810000</v>
      </c>
    </row>
    <row r="8" spans="2:11" ht="24.95" customHeight="1">
      <c r="B8" s="533" t="s">
        <v>169</v>
      </c>
      <c r="C8" s="384" t="s">
        <v>286</v>
      </c>
      <c r="D8" s="524">
        <f>D9</f>
        <v>11500000</v>
      </c>
      <c r="E8" s="385">
        <f>E9</f>
        <v>12000000</v>
      </c>
      <c r="F8" s="386">
        <f>F9</f>
        <v>500000</v>
      </c>
      <c r="G8" s="533" t="s">
        <v>171</v>
      </c>
      <c r="H8" s="384" t="s">
        <v>286</v>
      </c>
      <c r="I8" s="524">
        <f>SUM(I9:I11)</f>
        <v>45416000</v>
      </c>
      <c r="J8" s="385">
        <f>SUM(J9:J11)</f>
        <v>46397000</v>
      </c>
      <c r="K8" s="390">
        <f>SUM(K9:K11)</f>
        <v>981000</v>
      </c>
    </row>
    <row r="9" spans="2:11" ht="24.95" customHeight="1">
      <c r="B9" s="534"/>
      <c r="C9" s="193" t="s">
        <v>170</v>
      </c>
      <c r="D9" s="525">
        <v>11500000</v>
      </c>
      <c r="E9" s="495">
        <v>12000000</v>
      </c>
      <c r="F9" s="195">
        <f>E9-D9</f>
        <v>500000</v>
      </c>
      <c r="G9" s="535"/>
      <c r="H9" s="193" t="s">
        <v>172</v>
      </c>
      <c r="I9" s="525">
        <v>36683000</v>
      </c>
      <c r="J9" s="194">
        <v>38721000</v>
      </c>
      <c r="K9" s="196">
        <f>J9-I9</f>
        <v>2038000</v>
      </c>
    </row>
    <row r="10" spans="2:11" ht="24.95" customHeight="1">
      <c r="B10" s="533" t="s">
        <v>173</v>
      </c>
      <c r="C10" s="387" t="s">
        <v>286</v>
      </c>
      <c r="D10" s="526">
        <f>SUM(D11:D14)</f>
        <v>47384000</v>
      </c>
      <c r="E10" s="463">
        <f>SUM(E11:E14)</f>
        <v>47492000</v>
      </c>
      <c r="F10" s="389">
        <f>SUM(F11:F14)</f>
        <v>108000</v>
      </c>
      <c r="G10" s="535"/>
      <c r="H10" s="193" t="s">
        <v>174</v>
      </c>
      <c r="I10" s="525">
        <v>240000</v>
      </c>
      <c r="J10" s="194">
        <v>240000</v>
      </c>
      <c r="K10" s="196">
        <f t="shared" ref="K10:K11" si="0">J10-I10</f>
        <v>0</v>
      </c>
    </row>
    <row r="11" spans="2:11" ht="24.95" customHeight="1">
      <c r="B11" s="535"/>
      <c r="C11" s="274" t="s">
        <v>252</v>
      </c>
      <c r="D11" s="525">
        <v>0</v>
      </c>
      <c r="E11" s="194">
        <v>0</v>
      </c>
      <c r="F11" s="195">
        <f t="shared" ref="F11:F23" si="1">E11-D11</f>
        <v>0</v>
      </c>
      <c r="G11" s="534"/>
      <c r="H11" s="193" t="s">
        <v>99</v>
      </c>
      <c r="I11" s="525">
        <v>8493000</v>
      </c>
      <c r="J11" s="194">
        <v>7436000</v>
      </c>
      <c r="K11" s="196">
        <f t="shared" si="0"/>
        <v>-1057000</v>
      </c>
    </row>
    <row r="12" spans="2:11" ht="24.95" customHeight="1">
      <c r="B12" s="535"/>
      <c r="C12" s="274" t="s">
        <v>253</v>
      </c>
      <c r="D12" s="525">
        <v>47384000</v>
      </c>
      <c r="E12" s="495">
        <v>47192000</v>
      </c>
      <c r="F12" s="195">
        <f t="shared" si="1"/>
        <v>-192000</v>
      </c>
      <c r="G12" s="533" t="s">
        <v>100</v>
      </c>
      <c r="H12" s="387" t="s">
        <v>286</v>
      </c>
      <c r="I12" s="526">
        <f>SUM(I13:I15)</f>
        <v>6512000</v>
      </c>
      <c r="J12" s="388">
        <f>SUM(J13:J15)</f>
        <v>100000</v>
      </c>
      <c r="K12" s="391">
        <f>SUM(K13:K15)</f>
        <v>-6412000</v>
      </c>
    </row>
    <row r="13" spans="2:11" ht="24.95" customHeight="1">
      <c r="B13" s="535"/>
      <c r="C13" s="274" t="s">
        <v>254</v>
      </c>
      <c r="D13" s="525">
        <v>0</v>
      </c>
      <c r="E13" s="194">
        <v>300000</v>
      </c>
      <c r="F13" s="195">
        <f t="shared" ref="F13" si="2">E13-D13</f>
        <v>300000</v>
      </c>
      <c r="G13" s="535"/>
      <c r="H13" s="193" t="s">
        <v>101</v>
      </c>
      <c r="I13" s="525">
        <v>0</v>
      </c>
      <c r="J13" s="194">
        <v>0</v>
      </c>
      <c r="K13" s="196">
        <f t="shared" ref="K13" si="3">J13-I13</f>
        <v>0</v>
      </c>
    </row>
    <row r="14" spans="2:11" ht="24.95" customHeight="1">
      <c r="B14" s="534"/>
      <c r="C14" s="439" t="s">
        <v>354</v>
      </c>
      <c r="D14" s="525">
        <v>0</v>
      </c>
      <c r="E14" s="194">
        <v>0</v>
      </c>
      <c r="F14" s="195">
        <f t="shared" si="1"/>
        <v>0</v>
      </c>
      <c r="G14" s="535"/>
      <c r="H14" s="193" t="s">
        <v>104</v>
      </c>
      <c r="I14" s="525">
        <v>2812000</v>
      </c>
      <c r="J14" s="194">
        <v>0</v>
      </c>
      <c r="K14" s="196">
        <f t="shared" ref="K14:K15" si="4">J14-I14</f>
        <v>-2812000</v>
      </c>
    </row>
    <row r="15" spans="2:11" ht="24.95" customHeight="1">
      <c r="B15" s="533" t="s">
        <v>102</v>
      </c>
      <c r="C15" s="387" t="s">
        <v>286</v>
      </c>
      <c r="D15" s="526">
        <f>SUM(D16:D17)</f>
        <v>400000</v>
      </c>
      <c r="E15" s="388">
        <f>SUM(E16:E17)</f>
        <v>400000</v>
      </c>
      <c r="F15" s="389">
        <f>SUM(F16:F17)</f>
        <v>0</v>
      </c>
      <c r="G15" s="534"/>
      <c r="H15" s="193" t="s">
        <v>106</v>
      </c>
      <c r="I15" s="525">
        <v>3700000</v>
      </c>
      <c r="J15" s="194">
        <v>100000</v>
      </c>
      <c r="K15" s="196">
        <f t="shared" si="4"/>
        <v>-3600000</v>
      </c>
    </row>
    <row r="16" spans="2:11" ht="24.95" customHeight="1">
      <c r="B16" s="535"/>
      <c r="C16" s="193" t="s">
        <v>103</v>
      </c>
      <c r="D16" s="525">
        <v>0</v>
      </c>
      <c r="E16" s="194">
        <v>0</v>
      </c>
      <c r="F16" s="195">
        <f t="shared" si="1"/>
        <v>0</v>
      </c>
      <c r="G16" s="533" t="s">
        <v>109</v>
      </c>
      <c r="H16" s="387" t="s">
        <v>286</v>
      </c>
      <c r="I16" s="526">
        <f>SUM(I17:I22)</f>
        <v>15514000</v>
      </c>
      <c r="J16" s="388">
        <f>SUM(J17:J22)</f>
        <v>17135000</v>
      </c>
      <c r="K16" s="391">
        <f>SUM(K17:K22)</f>
        <v>1621000</v>
      </c>
    </row>
    <row r="17" spans="2:11" ht="24.95" customHeight="1">
      <c r="B17" s="534"/>
      <c r="C17" s="193" t="s">
        <v>105</v>
      </c>
      <c r="D17" s="525">
        <v>400000</v>
      </c>
      <c r="E17" s="194">
        <v>400000</v>
      </c>
      <c r="F17" s="195">
        <f t="shared" si="1"/>
        <v>0</v>
      </c>
      <c r="G17" s="535"/>
      <c r="H17" s="193" t="s">
        <v>110</v>
      </c>
      <c r="I17" s="525">
        <v>10956000</v>
      </c>
      <c r="J17" s="481">
        <v>12200000</v>
      </c>
      <c r="K17" s="196">
        <f t="shared" ref="K17:K22" si="5">J17-I17</f>
        <v>1244000</v>
      </c>
    </row>
    <row r="18" spans="2:11" ht="24.95" customHeight="1">
      <c r="B18" s="533" t="s">
        <v>107</v>
      </c>
      <c r="C18" s="387" t="s">
        <v>286</v>
      </c>
      <c r="D18" s="526">
        <f>D19</f>
        <v>0</v>
      </c>
      <c r="E18" s="388">
        <f>E19</f>
        <v>0</v>
      </c>
      <c r="F18" s="389">
        <f>F19</f>
        <v>0</v>
      </c>
      <c r="G18" s="535"/>
      <c r="H18" s="193" t="s">
        <v>113</v>
      </c>
      <c r="I18" s="525">
        <v>653000</v>
      </c>
      <c r="J18" s="481">
        <v>660000</v>
      </c>
      <c r="K18" s="196">
        <f t="shared" si="5"/>
        <v>7000</v>
      </c>
    </row>
    <row r="19" spans="2:11" ht="24.95" customHeight="1">
      <c r="B19" s="534"/>
      <c r="C19" s="193" t="s">
        <v>108</v>
      </c>
      <c r="D19" s="525">
        <v>0</v>
      </c>
      <c r="E19" s="194">
        <v>0</v>
      </c>
      <c r="F19" s="195">
        <f t="shared" si="1"/>
        <v>0</v>
      </c>
      <c r="G19" s="535"/>
      <c r="H19" s="193" t="s">
        <v>116</v>
      </c>
      <c r="I19" s="525">
        <v>800000</v>
      </c>
      <c r="J19" s="194">
        <v>800000</v>
      </c>
      <c r="K19" s="196">
        <f t="shared" si="5"/>
        <v>0</v>
      </c>
    </row>
    <row r="20" spans="2:11" ht="24.95" customHeight="1">
      <c r="B20" s="533" t="s">
        <v>111</v>
      </c>
      <c r="C20" s="387" t="s">
        <v>286</v>
      </c>
      <c r="D20" s="526">
        <f>D21</f>
        <v>7438000</v>
      </c>
      <c r="E20" s="388">
        <f>E21</f>
        <v>3020000</v>
      </c>
      <c r="F20" s="389">
        <f>F21</f>
        <v>-4418000</v>
      </c>
      <c r="G20" s="535"/>
      <c r="H20" s="193" t="s">
        <v>117</v>
      </c>
      <c r="I20" s="525">
        <v>260000</v>
      </c>
      <c r="J20" s="194">
        <v>210000</v>
      </c>
      <c r="K20" s="196">
        <f t="shared" si="5"/>
        <v>-50000</v>
      </c>
    </row>
    <row r="21" spans="2:11" ht="24.95" customHeight="1">
      <c r="B21" s="534"/>
      <c r="C21" s="193" t="s">
        <v>112</v>
      </c>
      <c r="D21" s="525">
        <v>7438000</v>
      </c>
      <c r="E21" s="194">
        <v>3020000</v>
      </c>
      <c r="F21" s="195">
        <f t="shared" si="1"/>
        <v>-4418000</v>
      </c>
      <c r="G21" s="535"/>
      <c r="H21" s="193" t="s">
        <v>118</v>
      </c>
      <c r="I21" s="525">
        <v>150000</v>
      </c>
      <c r="J21" s="194">
        <v>150000</v>
      </c>
      <c r="K21" s="196">
        <f t="shared" si="5"/>
        <v>0</v>
      </c>
    </row>
    <row r="22" spans="2:11" ht="24.95" customHeight="1">
      <c r="B22" s="533" t="s">
        <v>114</v>
      </c>
      <c r="C22" s="387" t="s">
        <v>286</v>
      </c>
      <c r="D22" s="526">
        <f>D23</f>
        <v>762000</v>
      </c>
      <c r="E22" s="388">
        <f>E23</f>
        <v>762000</v>
      </c>
      <c r="F22" s="389">
        <f>F23</f>
        <v>0</v>
      </c>
      <c r="G22" s="534"/>
      <c r="H22" s="193" t="s">
        <v>119</v>
      </c>
      <c r="I22" s="525">
        <v>2695000</v>
      </c>
      <c r="J22" s="194">
        <v>3115000</v>
      </c>
      <c r="K22" s="196">
        <f t="shared" si="5"/>
        <v>420000</v>
      </c>
    </row>
    <row r="23" spans="2:11" ht="24.95" customHeight="1">
      <c r="B23" s="534"/>
      <c r="C23" s="193" t="s">
        <v>115</v>
      </c>
      <c r="D23" s="525">
        <v>762000</v>
      </c>
      <c r="E23" s="194">
        <v>762000</v>
      </c>
      <c r="F23" s="195">
        <f t="shared" si="1"/>
        <v>0</v>
      </c>
      <c r="G23" s="537" t="s">
        <v>159</v>
      </c>
      <c r="H23" s="387" t="s">
        <v>286</v>
      </c>
      <c r="I23" s="526">
        <f>I24</f>
        <v>8000</v>
      </c>
      <c r="J23" s="388">
        <f>J24</f>
        <v>8000</v>
      </c>
      <c r="K23" s="391">
        <f>K24</f>
        <v>0</v>
      </c>
    </row>
    <row r="24" spans="2:11" ht="24.95" customHeight="1">
      <c r="B24" s="440"/>
      <c r="C24" s="441"/>
      <c r="D24" s="441"/>
      <c r="E24" s="441"/>
      <c r="F24" s="441"/>
      <c r="G24" s="538"/>
      <c r="H24" s="193" t="s">
        <v>120</v>
      </c>
      <c r="I24" s="525">
        <v>8000</v>
      </c>
      <c r="J24" s="194">
        <v>8000</v>
      </c>
      <c r="K24" s="196">
        <f t="shared" ref="K24" si="6">J24-I24</f>
        <v>0</v>
      </c>
    </row>
    <row r="25" spans="2:11" ht="24.95" customHeight="1">
      <c r="B25" s="442"/>
      <c r="C25" s="443"/>
      <c r="D25" s="443"/>
      <c r="E25" s="443"/>
      <c r="F25" s="443"/>
      <c r="G25" s="533" t="s">
        <v>121</v>
      </c>
      <c r="H25" s="387" t="s">
        <v>286</v>
      </c>
      <c r="I25" s="526">
        <f>I26</f>
        <v>0</v>
      </c>
      <c r="J25" s="388">
        <f>J26</f>
        <v>0</v>
      </c>
      <c r="K25" s="391">
        <f>K26</f>
        <v>0</v>
      </c>
    </row>
    <row r="26" spans="2:11" ht="24.95" customHeight="1">
      <c r="B26" s="442"/>
      <c r="C26" s="443"/>
      <c r="D26" s="443"/>
      <c r="E26" s="443"/>
      <c r="F26" s="443"/>
      <c r="G26" s="534"/>
      <c r="H26" s="193" t="s">
        <v>122</v>
      </c>
      <c r="I26" s="525">
        <v>0</v>
      </c>
      <c r="J26" s="194">
        <v>0</v>
      </c>
      <c r="K26" s="196">
        <f t="shared" ref="K26" si="7">J26-I26</f>
        <v>0</v>
      </c>
    </row>
    <row r="27" spans="2:11" ht="24.95" customHeight="1">
      <c r="B27" s="442"/>
      <c r="C27" s="443"/>
      <c r="D27" s="443"/>
      <c r="E27" s="443"/>
      <c r="F27" s="443"/>
      <c r="G27" s="533" t="s">
        <v>123</v>
      </c>
      <c r="H27" s="387" t="s">
        <v>286</v>
      </c>
      <c r="I27" s="526">
        <f>I28</f>
        <v>34000</v>
      </c>
      <c r="J27" s="388">
        <f>J28</f>
        <v>34000</v>
      </c>
      <c r="K27" s="391">
        <f>K28</f>
        <v>0</v>
      </c>
    </row>
    <row r="28" spans="2:11" ht="24.95" customHeight="1" thickBot="1">
      <c r="B28" s="444"/>
      <c r="C28" s="445"/>
      <c r="D28" s="445"/>
      <c r="E28" s="445"/>
      <c r="F28" s="445"/>
      <c r="G28" s="536"/>
      <c r="H28" s="197" t="s">
        <v>124</v>
      </c>
      <c r="I28" s="527">
        <v>34000</v>
      </c>
      <c r="J28" s="198">
        <v>34000</v>
      </c>
      <c r="K28" s="199">
        <f>J28-I28</f>
        <v>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7:C7"/>
    <mergeCell ref="G7:H7"/>
    <mergeCell ref="B8:B9"/>
    <mergeCell ref="B15:B17"/>
    <mergeCell ref="B18:B19"/>
    <mergeCell ref="B20:B21"/>
    <mergeCell ref="B22:B23"/>
    <mergeCell ref="G8:G11"/>
    <mergeCell ref="G27:G28"/>
    <mergeCell ref="G12:G15"/>
    <mergeCell ref="G16:G22"/>
    <mergeCell ref="G23:G24"/>
    <mergeCell ref="G25:G26"/>
    <mergeCell ref="B10:B14"/>
  </mergeCells>
  <phoneticPr fontId="8" type="noConversion"/>
  <printOptions horizontalCentered="1" verticalCentered="1"/>
  <pageMargins left="0.25" right="0.25" top="0.75" bottom="0.75" header="0.3" footer="0.3"/>
  <pageSetup paperSize="9" scale="73" orientation="landscape" r:id="rId1"/>
  <headerFooter>
    <oddFooter>&amp;R공동생활가정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0"/>
  <sheetViews>
    <sheetView zoomScaleNormal="10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AA62" sqref="AA62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8.77734375" style="9" customWidth="1"/>
    <col min="5" max="5" width="9.44140625" style="9" bestFit="1" customWidth="1"/>
    <col min="6" max="6" width="9.44140625" style="10" bestFit="1" customWidth="1"/>
    <col min="7" max="7" width="7.88671875" style="12" customWidth="1"/>
    <col min="8" max="8" width="16.109375" style="1" customWidth="1"/>
    <col min="9" max="9" width="4.77734375" style="2" customWidth="1"/>
    <col min="10" max="10" width="2.21875" style="2" customWidth="1"/>
    <col min="11" max="11" width="2.5546875" style="2" customWidth="1"/>
    <col min="12" max="12" width="10.44140625" style="2" bestFit="1" customWidth="1"/>
    <col min="13" max="13" width="3.109375" style="2" customWidth="1"/>
    <col min="14" max="14" width="3.44140625" style="2" bestFit="1" customWidth="1"/>
    <col min="15" max="15" width="7.6640625" style="2" bestFit="1" customWidth="1"/>
    <col min="16" max="16" width="4.88671875" style="2" customWidth="1"/>
    <col min="17" max="17" width="3.44140625" style="2" bestFit="1" customWidth="1"/>
    <col min="18" max="18" width="6.77734375" style="2" bestFit="1" customWidth="1"/>
    <col min="19" max="19" width="2.77734375" style="2" bestFit="1" customWidth="1"/>
    <col min="20" max="20" width="2.109375" style="2" bestFit="1" customWidth="1"/>
    <col min="21" max="21" width="5.77734375" style="2" bestFit="1" customWidth="1"/>
    <col min="22" max="22" width="2.5546875" style="2" customWidth="1"/>
    <col min="23" max="23" width="12.44140625" style="2" bestFit="1" customWidth="1"/>
    <col min="24" max="24" width="2.77734375" style="2" customWidth="1"/>
    <col min="25" max="25" width="4.44140625" style="6" customWidth="1"/>
    <col min="26" max="16384" width="13.77734375" style="1"/>
  </cols>
  <sheetData>
    <row r="1" spans="1:25" s="11" customFormat="1" ht="33" customHeight="1" thickBot="1">
      <c r="A1" s="559" t="s">
        <v>469</v>
      </c>
      <c r="B1" s="559"/>
      <c r="C1" s="559"/>
      <c r="D1" s="559"/>
      <c r="E1" s="559"/>
      <c r="F1" s="559"/>
      <c r="G1" s="1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25" s="3" customFormat="1" ht="27" customHeight="1">
      <c r="A2" s="563" t="s">
        <v>65</v>
      </c>
      <c r="B2" s="564"/>
      <c r="C2" s="564"/>
      <c r="D2" s="565" t="s">
        <v>470</v>
      </c>
      <c r="E2" s="569" t="s">
        <v>471</v>
      </c>
      <c r="F2" s="571" t="s">
        <v>23</v>
      </c>
      <c r="G2" s="571"/>
      <c r="H2" s="571" t="s">
        <v>55</v>
      </c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2"/>
      <c r="Y2" s="8"/>
    </row>
    <row r="3" spans="1:25" s="3" customFormat="1" ht="32.25" customHeight="1" thickBot="1">
      <c r="A3" s="25" t="s">
        <v>1</v>
      </c>
      <c r="B3" s="26" t="s">
        <v>2</v>
      </c>
      <c r="C3" s="26" t="s">
        <v>175</v>
      </c>
      <c r="D3" s="566"/>
      <c r="E3" s="570"/>
      <c r="F3" s="149" t="s">
        <v>131</v>
      </c>
      <c r="G3" s="27" t="s">
        <v>4</v>
      </c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4"/>
      <c r="Y3" s="8"/>
    </row>
    <row r="4" spans="1:25" s="3" customFormat="1" ht="19.5" customHeight="1">
      <c r="A4" s="567" t="s">
        <v>24</v>
      </c>
      <c r="B4" s="568"/>
      <c r="C4" s="568"/>
      <c r="D4" s="218">
        <v>67484</v>
      </c>
      <c r="E4" s="218">
        <f>SUM(E5,E11,E27,E37,E44,E51,E72)</f>
        <v>63674</v>
      </c>
      <c r="F4" s="286">
        <f>SUM(F5,F7,F9,F11,F27,F37,F44,F51,F72)</f>
        <v>-3810</v>
      </c>
      <c r="G4" s="219">
        <f>IF(D4=0,0,F4/D4)</f>
        <v>-5.6457827040483667E-2</v>
      </c>
      <c r="H4" s="28" t="s">
        <v>161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73">
        <f>SUM(W5,W7,W9,W11,W27,W37,W44,W51,W72)</f>
        <v>63674000</v>
      </c>
      <c r="X4" s="30" t="s">
        <v>162</v>
      </c>
      <c r="Y4" s="8"/>
    </row>
    <row r="5" spans="1:25" ht="21" customHeight="1" thickBot="1">
      <c r="A5" s="35" t="s">
        <v>60</v>
      </c>
      <c r="B5" s="36" t="s">
        <v>60</v>
      </c>
      <c r="C5" s="201" t="s">
        <v>129</v>
      </c>
      <c r="D5" s="212">
        <v>11500</v>
      </c>
      <c r="E5" s="212">
        <f>W5/1000</f>
        <v>12000</v>
      </c>
      <c r="F5" s="213">
        <f>E5-D5</f>
        <v>500</v>
      </c>
      <c r="G5" s="214">
        <f>IF(D5=0,0,F5/D5)</f>
        <v>4.3478260869565216E-2</v>
      </c>
      <c r="H5" s="40" t="s">
        <v>160</v>
      </c>
      <c r="I5" s="143"/>
      <c r="J5" s="41"/>
      <c r="K5" s="41"/>
      <c r="L5" s="41"/>
      <c r="M5" s="41"/>
      <c r="N5" s="41"/>
      <c r="O5" s="42"/>
      <c r="P5" s="42" t="s">
        <v>62</v>
      </c>
      <c r="Q5" s="42"/>
      <c r="R5" s="42"/>
      <c r="S5" s="42"/>
      <c r="T5" s="42"/>
      <c r="U5" s="42"/>
      <c r="V5" s="43"/>
      <c r="W5" s="43">
        <f>W6</f>
        <v>12000000</v>
      </c>
      <c r="X5" s="44" t="s">
        <v>25</v>
      </c>
    </row>
    <row r="6" spans="1:25" ht="21" customHeight="1">
      <c r="A6" s="45" t="s">
        <v>61</v>
      </c>
      <c r="B6" s="46" t="s">
        <v>127</v>
      </c>
      <c r="C6" s="47" t="s">
        <v>127</v>
      </c>
      <c r="D6" s="48"/>
      <c r="E6" s="48"/>
      <c r="F6" s="49"/>
      <c r="G6" s="31"/>
      <c r="H6" s="281" t="s">
        <v>255</v>
      </c>
      <c r="I6" s="54"/>
      <c r="J6" s="55"/>
      <c r="K6" s="55"/>
      <c r="L6" s="220">
        <v>250000</v>
      </c>
      <c r="M6" s="220" t="s">
        <v>57</v>
      </c>
      <c r="N6" s="221" t="s">
        <v>58</v>
      </c>
      <c r="O6" s="132">
        <v>4</v>
      </c>
      <c r="P6" s="220" t="s">
        <v>56</v>
      </c>
      <c r="Q6" s="221" t="s">
        <v>58</v>
      </c>
      <c r="R6" s="56">
        <v>12</v>
      </c>
      <c r="S6" s="245" t="s">
        <v>0</v>
      </c>
      <c r="T6" s="245" t="s">
        <v>53</v>
      </c>
      <c r="U6" s="245"/>
      <c r="V6" s="220"/>
      <c r="W6" s="220">
        <f>L6*O6*R6</f>
        <v>12000000</v>
      </c>
      <c r="X6" s="57" t="s">
        <v>57</v>
      </c>
    </row>
    <row r="7" spans="1:25" s="11" customFormat="1" ht="19.5" customHeight="1" thickBot="1">
      <c r="A7" s="35" t="s">
        <v>176</v>
      </c>
      <c r="B7" s="36" t="s">
        <v>178</v>
      </c>
      <c r="C7" s="36" t="s">
        <v>176</v>
      </c>
      <c r="D7" s="212">
        <v>0</v>
      </c>
      <c r="E7" s="212">
        <f>W7/1000</f>
        <v>0</v>
      </c>
      <c r="F7" s="213">
        <f>E7-D7</f>
        <v>0</v>
      </c>
      <c r="G7" s="214">
        <f>IF(D7=0,0,F7/D7)</f>
        <v>0</v>
      </c>
      <c r="H7" s="40" t="s">
        <v>180</v>
      </c>
      <c r="I7" s="143"/>
      <c r="J7" s="41"/>
      <c r="K7" s="41"/>
      <c r="L7" s="41"/>
      <c r="M7" s="41"/>
      <c r="N7" s="41"/>
      <c r="O7" s="42"/>
      <c r="P7" s="42" t="s">
        <v>62</v>
      </c>
      <c r="Q7" s="42"/>
      <c r="R7" s="42"/>
      <c r="S7" s="42"/>
      <c r="T7" s="42"/>
      <c r="U7" s="42"/>
      <c r="V7" s="43"/>
      <c r="W7" s="43">
        <f>W8</f>
        <v>0</v>
      </c>
      <c r="X7" s="44" t="s">
        <v>25</v>
      </c>
      <c r="Y7" s="6"/>
    </row>
    <row r="8" spans="1:25" ht="21" customHeight="1">
      <c r="A8" s="58" t="s">
        <v>177</v>
      </c>
      <c r="B8" s="59" t="s">
        <v>179</v>
      </c>
      <c r="C8" s="59" t="s">
        <v>177</v>
      </c>
      <c r="D8" s="48"/>
      <c r="E8" s="48"/>
      <c r="F8" s="49"/>
      <c r="G8" s="31"/>
      <c r="H8" s="53"/>
      <c r="I8" s="54"/>
      <c r="J8" s="55"/>
      <c r="K8" s="55"/>
      <c r="L8" s="220"/>
      <c r="M8" s="220"/>
      <c r="N8" s="221"/>
      <c r="O8" s="220"/>
      <c r="P8" s="220"/>
      <c r="Q8" s="221"/>
      <c r="R8" s="56"/>
      <c r="S8" s="245"/>
      <c r="T8" s="245"/>
      <c r="U8" s="245"/>
      <c r="V8" s="220"/>
      <c r="W8" s="220">
        <v>0</v>
      </c>
      <c r="X8" s="57" t="s">
        <v>57</v>
      </c>
    </row>
    <row r="9" spans="1:25" ht="21" customHeight="1" thickBot="1">
      <c r="A9" s="35" t="s">
        <v>182</v>
      </c>
      <c r="B9" s="36" t="s">
        <v>184</v>
      </c>
      <c r="C9" s="36" t="s">
        <v>182</v>
      </c>
      <c r="D9" s="212">
        <v>0</v>
      </c>
      <c r="E9" s="212">
        <f>W9/1000</f>
        <v>0</v>
      </c>
      <c r="F9" s="213">
        <f>E9-D9</f>
        <v>0</v>
      </c>
      <c r="G9" s="214">
        <f>IF(D9=0,0,F9/D9)</f>
        <v>0</v>
      </c>
      <c r="H9" s="40" t="s">
        <v>225</v>
      </c>
      <c r="I9" s="143"/>
      <c r="J9" s="41"/>
      <c r="K9" s="41"/>
      <c r="L9" s="41"/>
      <c r="M9" s="41"/>
      <c r="N9" s="41"/>
      <c r="O9" s="42"/>
      <c r="P9" s="42" t="s">
        <v>62</v>
      </c>
      <c r="Q9" s="42"/>
      <c r="R9" s="42"/>
      <c r="S9" s="42"/>
      <c r="T9" s="42"/>
      <c r="U9" s="42"/>
      <c r="V9" s="43"/>
      <c r="W9" s="43">
        <f>W10</f>
        <v>0</v>
      </c>
      <c r="X9" s="44" t="s">
        <v>25</v>
      </c>
    </row>
    <row r="10" spans="1:25" ht="21" customHeight="1">
      <c r="A10" s="58" t="s">
        <v>222</v>
      </c>
      <c r="B10" s="59" t="s">
        <v>223</v>
      </c>
      <c r="C10" s="59" t="s">
        <v>223</v>
      </c>
      <c r="D10" s="224"/>
      <c r="E10" s="224"/>
      <c r="F10" s="225"/>
      <c r="G10" s="226"/>
      <c r="H10" s="227"/>
      <c r="I10" s="228"/>
      <c r="J10" s="229"/>
      <c r="K10" s="229"/>
      <c r="L10" s="229"/>
      <c r="M10" s="229"/>
      <c r="N10" s="229"/>
      <c r="O10" s="230"/>
      <c r="P10" s="230"/>
      <c r="Q10" s="230"/>
      <c r="R10" s="230"/>
      <c r="S10" s="230"/>
      <c r="T10" s="230"/>
      <c r="U10" s="230"/>
      <c r="V10" s="231"/>
      <c r="W10" s="231">
        <v>0</v>
      </c>
      <c r="X10" s="264" t="s">
        <v>224</v>
      </c>
    </row>
    <row r="11" spans="1:25" s="11" customFormat="1" ht="19.5" customHeight="1">
      <c r="A11" s="35" t="s">
        <v>181</v>
      </c>
      <c r="B11" s="36" t="s">
        <v>181</v>
      </c>
      <c r="C11" s="410" t="s">
        <v>240</v>
      </c>
      <c r="D11" s="247">
        <v>47384</v>
      </c>
      <c r="E11" s="247">
        <f>SUM(E12,E15,E21,E24)</f>
        <v>47492</v>
      </c>
      <c r="F11" s="248">
        <f>E11-D11</f>
        <v>108</v>
      </c>
      <c r="G11" s="249">
        <f>IF(D11=0,0,F11/D11)</f>
        <v>2.2792503798750633E-3</v>
      </c>
      <c r="H11" s="250" t="s">
        <v>241</v>
      </c>
      <c r="I11" s="251"/>
      <c r="J11" s="252"/>
      <c r="K11" s="252"/>
      <c r="L11" s="251"/>
      <c r="M11" s="251"/>
      <c r="N11" s="251"/>
      <c r="O11" s="251"/>
      <c r="P11" s="251"/>
      <c r="Q11" s="253"/>
      <c r="R11" s="253"/>
      <c r="S11" s="253"/>
      <c r="T11" s="253"/>
      <c r="U11" s="253"/>
      <c r="V11" s="253"/>
      <c r="W11" s="254">
        <f>SUM(W12,W15,W21,W24)</f>
        <v>47492000</v>
      </c>
      <c r="X11" s="265" t="s">
        <v>25</v>
      </c>
      <c r="Y11" s="6"/>
    </row>
    <row r="12" spans="1:25" s="11" customFormat="1" ht="19.5" customHeight="1">
      <c r="A12" s="45" t="s">
        <v>183</v>
      </c>
      <c r="B12" s="46" t="s">
        <v>179</v>
      </c>
      <c r="C12" s="36" t="s">
        <v>185</v>
      </c>
      <c r="D12" s="215">
        <v>0</v>
      </c>
      <c r="E12" s="215">
        <f>W12/1000</f>
        <v>0</v>
      </c>
      <c r="F12" s="216">
        <f>E12-D12</f>
        <v>0</v>
      </c>
      <c r="G12" s="217">
        <f>IF(D12=0,0,F12/D12)</f>
        <v>0</v>
      </c>
      <c r="H12" s="203" t="s">
        <v>186</v>
      </c>
      <c r="I12" s="204"/>
      <c r="J12" s="205"/>
      <c r="K12" s="205"/>
      <c r="L12" s="205"/>
      <c r="M12" s="205"/>
      <c r="N12" s="205"/>
      <c r="O12" s="206"/>
      <c r="P12" s="206"/>
      <c r="Q12" s="206"/>
      <c r="R12" s="206"/>
      <c r="S12" s="206"/>
      <c r="T12" s="206"/>
      <c r="U12" s="232" t="s">
        <v>226</v>
      </c>
      <c r="V12" s="233"/>
      <c r="W12" s="234">
        <v>0</v>
      </c>
      <c r="X12" s="266" t="s">
        <v>227</v>
      </c>
      <c r="Y12" s="6"/>
    </row>
    <row r="13" spans="1:25" s="11" customFormat="1" ht="19.5" customHeight="1">
      <c r="A13" s="45"/>
      <c r="B13" s="46"/>
      <c r="C13" s="46" t="s">
        <v>293</v>
      </c>
      <c r="D13" s="413"/>
      <c r="E13" s="413"/>
      <c r="F13" s="414"/>
      <c r="G13" s="415"/>
      <c r="H13" s="416"/>
      <c r="I13" s="417"/>
      <c r="J13" s="418"/>
      <c r="K13" s="418"/>
      <c r="L13" s="418"/>
      <c r="M13" s="418"/>
      <c r="N13" s="418"/>
      <c r="O13" s="419"/>
      <c r="P13" s="419"/>
      <c r="Q13" s="419"/>
      <c r="R13" s="419"/>
      <c r="S13" s="419"/>
      <c r="T13" s="419"/>
      <c r="U13" s="420"/>
      <c r="V13" s="421"/>
      <c r="W13" s="421"/>
      <c r="X13" s="422"/>
      <c r="Y13" s="6"/>
    </row>
    <row r="14" spans="1:25" s="11" customFormat="1" ht="19.5" customHeight="1">
      <c r="A14" s="60"/>
      <c r="B14" s="46"/>
      <c r="C14" s="46"/>
      <c r="D14" s="61"/>
      <c r="E14" s="61"/>
      <c r="F14" s="62"/>
      <c r="G14" s="83"/>
      <c r="H14" s="338"/>
      <c r="I14" s="340"/>
      <c r="J14" s="347"/>
      <c r="K14" s="347"/>
      <c r="L14" s="339"/>
      <c r="M14" s="339"/>
      <c r="N14" s="348"/>
      <c r="O14" s="339"/>
      <c r="P14" s="349"/>
      <c r="Q14" s="350"/>
      <c r="R14" s="351"/>
      <c r="S14" s="352"/>
      <c r="T14" s="352"/>
      <c r="U14" s="353"/>
      <c r="V14" s="354"/>
      <c r="W14" s="340"/>
      <c r="X14" s="341"/>
      <c r="Y14" s="6"/>
    </row>
    <row r="15" spans="1:25" s="11" customFormat="1" ht="19.5" customHeight="1">
      <c r="A15" s="60"/>
      <c r="B15" s="46"/>
      <c r="C15" s="36" t="s">
        <v>187</v>
      </c>
      <c r="D15" s="215">
        <v>47384</v>
      </c>
      <c r="E15" s="215">
        <f>SUM(E16)</f>
        <v>47192</v>
      </c>
      <c r="F15" s="216">
        <f>E15-D15</f>
        <v>-192</v>
      </c>
      <c r="G15" s="217">
        <f>IF(D15=0,0,F15/D15)</f>
        <v>-4.0520006753334455E-3</v>
      </c>
      <c r="H15" s="203" t="s">
        <v>228</v>
      </c>
      <c r="I15" s="204"/>
      <c r="J15" s="205"/>
      <c r="K15" s="205"/>
      <c r="L15" s="205"/>
      <c r="M15" s="205"/>
      <c r="N15" s="205"/>
      <c r="O15" s="206"/>
      <c r="P15" s="206"/>
      <c r="Q15" s="206"/>
      <c r="R15" s="206"/>
      <c r="S15" s="206"/>
      <c r="T15" s="206"/>
      <c r="U15" s="232" t="s">
        <v>69</v>
      </c>
      <c r="V15" s="233"/>
      <c r="W15" s="233">
        <f>W16</f>
        <v>47192000</v>
      </c>
      <c r="X15" s="266" t="s">
        <v>57</v>
      </c>
      <c r="Y15" s="6"/>
    </row>
    <row r="16" spans="1:25" s="11" customFormat="1" ht="19.5" customHeight="1" thickBot="1">
      <c r="A16" s="60"/>
      <c r="B16" s="46"/>
      <c r="C16" s="46" t="s">
        <v>293</v>
      </c>
      <c r="D16" s="235">
        <v>47384</v>
      </c>
      <c r="E16" s="235">
        <f>W16/1000</f>
        <v>47192</v>
      </c>
      <c r="F16" s="38">
        <f>E16-D16</f>
        <v>-192</v>
      </c>
      <c r="G16" s="120">
        <f>IF(D16=0,0,F16/D16)</f>
        <v>-4.0520006753334455E-3</v>
      </c>
      <c r="H16" s="241" t="s">
        <v>230</v>
      </c>
      <c r="I16" s="240"/>
      <c r="J16" s="246"/>
      <c r="K16" s="246"/>
      <c r="L16" s="87"/>
      <c r="M16" s="87"/>
      <c r="N16" s="236"/>
      <c r="O16" s="87"/>
      <c r="P16" s="237"/>
      <c r="Q16" s="238"/>
      <c r="R16" s="239"/>
      <c r="S16" s="244"/>
      <c r="T16" s="244"/>
      <c r="U16" s="242" t="s">
        <v>221</v>
      </c>
      <c r="V16" s="243"/>
      <c r="W16" s="243">
        <f>ROUNDUP(SUM(V17:W19),-3)</f>
        <v>47192000</v>
      </c>
      <c r="X16" s="267" t="s">
        <v>57</v>
      </c>
      <c r="Y16" s="6"/>
    </row>
    <row r="17" spans="1:25" s="11" customFormat="1" ht="19.5" customHeight="1">
      <c r="A17" s="60"/>
      <c r="B17" s="46"/>
      <c r="C17" s="46"/>
      <c r="D17" s="48"/>
      <c r="E17" s="48"/>
      <c r="F17" s="49"/>
      <c r="G17" s="70"/>
      <c r="H17" s="438" t="s">
        <v>410</v>
      </c>
      <c r="I17" s="133"/>
      <c r="J17" s="489"/>
      <c r="K17" s="489"/>
      <c r="L17" s="437"/>
      <c r="M17" s="437"/>
      <c r="N17" s="490"/>
      <c r="O17" s="491"/>
      <c r="P17" s="492"/>
      <c r="Q17" s="360"/>
      <c r="R17" s="493"/>
      <c r="S17" s="76"/>
      <c r="T17" s="287"/>
      <c r="U17" s="562"/>
      <c r="V17" s="562"/>
      <c r="W17" s="133">
        <v>38136000</v>
      </c>
      <c r="X17" s="134" t="s">
        <v>229</v>
      </c>
      <c r="Y17" s="488"/>
    </row>
    <row r="18" spans="1:25" s="11" customFormat="1" ht="19.5" customHeight="1">
      <c r="A18" s="60"/>
      <c r="B18" s="46"/>
      <c r="C18" s="46"/>
      <c r="D18" s="48"/>
      <c r="E18" s="48"/>
      <c r="F18" s="49"/>
      <c r="G18" s="70"/>
      <c r="H18" s="292" t="s">
        <v>295</v>
      </c>
      <c r="I18" s="68"/>
      <c r="J18" s="207"/>
      <c r="K18" s="207"/>
      <c r="L18" s="275">
        <v>2264000</v>
      </c>
      <c r="M18" s="275" t="s">
        <v>25</v>
      </c>
      <c r="N18" s="343" t="s">
        <v>26</v>
      </c>
      <c r="O18" s="344">
        <v>4</v>
      </c>
      <c r="P18" s="345" t="s">
        <v>411</v>
      </c>
      <c r="Q18" s="325"/>
      <c r="R18" s="346"/>
      <c r="S18" s="328"/>
      <c r="T18" s="326" t="s">
        <v>412</v>
      </c>
      <c r="U18" s="467"/>
      <c r="V18" s="277"/>
      <c r="W18" s="278">
        <f>L18*O18</f>
        <v>9056000</v>
      </c>
      <c r="X18" s="295" t="s">
        <v>413</v>
      </c>
      <c r="Y18" s="6"/>
    </row>
    <row r="19" spans="1:25" s="11" customFormat="1" ht="19.5" customHeight="1">
      <c r="A19" s="60"/>
      <c r="B19" s="46"/>
      <c r="C19" s="46"/>
      <c r="D19" s="48"/>
      <c r="E19" s="48"/>
      <c r="F19" s="49"/>
      <c r="G19" s="70"/>
      <c r="H19" s="279" t="s">
        <v>294</v>
      </c>
      <c r="I19" s="68"/>
      <c r="J19" s="207"/>
      <c r="K19" s="207"/>
      <c r="L19" s="275"/>
      <c r="M19" s="275"/>
      <c r="N19" s="343"/>
      <c r="O19" s="344"/>
      <c r="P19" s="345"/>
      <c r="Q19" s="325"/>
      <c r="R19" s="346"/>
      <c r="S19" s="328"/>
      <c r="T19" s="326"/>
      <c r="U19" s="561"/>
      <c r="V19" s="561"/>
      <c r="W19" s="278"/>
      <c r="X19" s="57" t="s">
        <v>229</v>
      </c>
      <c r="Y19" s="6"/>
    </row>
    <row r="20" spans="1:25" s="11" customFormat="1" ht="19.5" customHeight="1">
      <c r="A20" s="60"/>
      <c r="B20" s="81"/>
      <c r="C20" s="82"/>
      <c r="D20" s="61"/>
      <c r="E20" s="61"/>
      <c r="F20" s="62"/>
      <c r="G20" s="83"/>
      <c r="H20" s="223"/>
      <c r="I20" s="222"/>
      <c r="J20" s="84"/>
      <c r="K20" s="84"/>
      <c r="L20" s="222"/>
      <c r="M20" s="222"/>
      <c r="N20" s="223"/>
      <c r="O20" s="222"/>
      <c r="P20" s="222"/>
      <c r="Q20" s="223"/>
      <c r="R20" s="223"/>
      <c r="S20" s="223"/>
      <c r="T20" s="223"/>
      <c r="U20" s="223"/>
      <c r="V20" s="223"/>
      <c r="W20" s="222"/>
      <c r="X20" s="73"/>
      <c r="Y20" s="6"/>
    </row>
    <row r="21" spans="1:25" s="11" customFormat="1" ht="19.5" customHeight="1">
      <c r="A21" s="45"/>
      <c r="B21" s="46"/>
      <c r="C21" s="46" t="s">
        <v>189</v>
      </c>
      <c r="D21" s="215">
        <v>0</v>
      </c>
      <c r="E21" s="215">
        <f>E22</f>
        <v>300</v>
      </c>
      <c r="F21" s="216">
        <f>E21-D21</f>
        <v>300</v>
      </c>
      <c r="G21" s="217">
        <f>IF(D21=0,0,F21/D21)</f>
        <v>0</v>
      </c>
      <c r="H21" s="203" t="s">
        <v>190</v>
      </c>
      <c r="I21" s="204"/>
      <c r="J21" s="205"/>
      <c r="K21" s="205"/>
      <c r="L21" s="205"/>
      <c r="M21" s="205"/>
      <c r="N21" s="205"/>
      <c r="O21" s="206"/>
      <c r="P21" s="206"/>
      <c r="Q21" s="206"/>
      <c r="R21" s="206"/>
      <c r="S21" s="206"/>
      <c r="T21" s="206"/>
      <c r="U21" s="232" t="s">
        <v>69</v>
      </c>
      <c r="V21" s="233"/>
      <c r="W21" s="234">
        <f>W22</f>
        <v>300000</v>
      </c>
      <c r="X21" s="266" t="s">
        <v>57</v>
      </c>
      <c r="Y21" s="6"/>
    </row>
    <row r="22" spans="1:25" ht="21" customHeight="1">
      <c r="A22" s="45"/>
      <c r="B22" s="46"/>
      <c r="C22" s="46"/>
      <c r="D22" s="48">
        <v>0</v>
      </c>
      <c r="E22" s="48">
        <f>W22/1000</f>
        <v>300</v>
      </c>
      <c r="F22" s="38">
        <f>E22-D22</f>
        <v>300</v>
      </c>
      <c r="G22" s="120">
        <f>IF(D22=0,0,F22/D22)</f>
        <v>0</v>
      </c>
      <c r="H22" s="279" t="s">
        <v>296</v>
      </c>
      <c r="I22" s="277"/>
      <c r="J22" s="275"/>
      <c r="K22" s="275"/>
      <c r="L22" s="423"/>
      <c r="M22" s="424"/>
      <c r="N22" s="424"/>
      <c r="O22" s="425"/>
      <c r="P22" s="426"/>
      <c r="Q22" s="424"/>
      <c r="R22" s="427"/>
      <c r="S22" s="424"/>
      <c r="T22" s="424"/>
      <c r="U22" s="275"/>
      <c r="V22" s="278"/>
      <c r="W22" s="275">
        <v>300000</v>
      </c>
      <c r="X22" s="295" t="s">
        <v>499</v>
      </c>
      <c r="Y22" s="428"/>
    </row>
    <row r="23" spans="1:25" ht="21" customHeight="1">
      <c r="A23" s="45"/>
      <c r="B23" s="46"/>
      <c r="C23" s="46"/>
      <c r="D23" s="48"/>
      <c r="E23" s="48"/>
      <c r="F23" s="49"/>
      <c r="G23" s="70"/>
      <c r="H23" s="67"/>
      <c r="I23" s="221"/>
      <c r="J23" s="220"/>
      <c r="K23" s="220"/>
      <c r="L23" s="220"/>
      <c r="M23" s="54"/>
      <c r="N23" s="74"/>
      <c r="O23" s="78"/>
      <c r="P23" s="74"/>
      <c r="Q23" s="74"/>
      <c r="R23" s="77"/>
      <c r="S23" s="76"/>
      <c r="T23" s="245"/>
      <c r="U23" s="220"/>
      <c r="V23" s="68"/>
      <c r="W23" s="68"/>
      <c r="X23" s="57"/>
    </row>
    <row r="24" spans="1:25" ht="21" customHeight="1">
      <c r="A24" s="45"/>
      <c r="B24" s="46"/>
      <c r="C24" s="36" t="s">
        <v>191</v>
      </c>
      <c r="D24" s="215">
        <v>0</v>
      </c>
      <c r="E24" s="215">
        <f>E25</f>
        <v>0</v>
      </c>
      <c r="F24" s="216">
        <f>E24-D24</f>
        <v>0</v>
      </c>
      <c r="G24" s="217">
        <f>IF(D24=0,0,F24/D24)</f>
        <v>0</v>
      </c>
      <c r="H24" s="203" t="s">
        <v>355</v>
      </c>
      <c r="I24" s="204"/>
      <c r="J24" s="205"/>
      <c r="K24" s="205"/>
      <c r="L24" s="205"/>
      <c r="M24" s="205"/>
      <c r="N24" s="205"/>
      <c r="O24" s="206"/>
      <c r="P24" s="206"/>
      <c r="Q24" s="206"/>
      <c r="R24" s="206"/>
      <c r="S24" s="206"/>
      <c r="T24" s="206"/>
      <c r="U24" s="232" t="s">
        <v>69</v>
      </c>
      <c r="V24" s="233"/>
      <c r="W24" s="233">
        <f>SUM(W25:W25)</f>
        <v>0</v>
      </c>
      <c r="X24" s="266" t="s">
        <v>57</v>
      </c>
    </row>
    <row r="25" spans="1:25" ht="21" customHeight="1">
      <c r="A25" s="45"/>
      <c r="B25" s="46"/>
      <c r="C25" s="46" t="s">
        <v>188</v>
      </c>
      <c r="D25" s="48">
        <v>0</v>
      </c>
      <c r="E25" s="48">
        <f>W25/1000</f>
        <v>0</v>
      </c>
      <c r="F25" s="272">
        <f>E25-D25</f>
        <v>0</v>
      </c>
      <c r="G25" s="182">
        <f>IF(D25=0,0,F25/D25)</f>
        <v>0</v>
      </c>
      <c r="H25" s="67"/>
      <c r="I25" s="221"/>
      <c r="J25" s="220"/>
      <c r="K25" s="220"/>
      <c r="L25" s="291"/>
      <c r="M25" s="291"/>
      <c r="N25" s="292"/>
      <c r="O25" s="291"/>
      <c r="P25" s="291"/>
      <c r="Q25" s="292"/>
      <c r="R25" s="291"/>
      <c r="S25" s="291"/>
      <c r="T25" s="291"/>
      <c r="U25" s="291"/>
      <c r="V25" s="68"/>
      <c r="W25" s="68"/>
      <c r="X25" s="57"/>
    </row>
    <row r="26" spans="1:25" ht="21" customHeight="1">
      <c r="A26" s="268"/>
      <c r="B26" s="82"/>
      <c r="C26" s="82"/>
      <c r="D26" s="61"/>
      <c r="E26" s="61"/>
      <c r="F26" s="62"/>
      <c r="G26" s="83"/>
      <c r="H26" s="71"/>
      <c r="I26" s="222"/>
      <c r="J26" s="84"/>
      <c r="K26" s="84"/>
      <c r="L26" s="85"/>
      <c r="M26" s="222"/>
      <c r="N26" s="84"/>
      <c r="O26" s="222"/>
      <c r="P26" s="222"/>
      <c r="Q26" s="222"/>
      <c r="R26" s="222"/>
      <c r="S26" s="222"/>
      <c r="T26" s="222"/>
      <c r="U26" s="222"/>
      <c r="V26" s="222"/>
      <c r="W26" s="222"/>
      <c r="X26" s="73"/>
    </row>
    <row r="27" spans="1:25" s="11" customFormat="1" ht="19.5" customHeight="1">
      <c r="A27" s="35" t="s">
        <v>72</v>
      </c>
      <c r="B27" s="36" t="s">
        <v>30</v>
      </c>
      <c r="C27" s="410" t="s">
        <v>242</v>
      </c>
      <c r="D27" s="247">
        <v>400</v>
      </c>
      <c r="E27" s="247">
        <f>SUM(E28,E33)</f>
        <v>400</v>
      </c>
      <c r="F27" s="248">
        <f>E27-D27</f>
        <v>0</v>
      </c>
      <c r="G27" s="249">
        <f>IF(D27=0,0,F27/D27)</f>
        <v>0</v>
      </c>
      <c r="H27" s="250" t="s">
        <v>243</v>
      </c>
      <c r="I27" s="251"/>
      <c r="J27" s="252"/>
      <c r="K27" s="252"/>
      <c r="L27" s="251"/>
      <c r="M27" s="251"/>
      <c r="N27" s="251"/>
      <c r="O27" s="251"/>
      <c r="P27" s="251" t="s">
        <v>68</v>
      </c>
      <c r="Q27" s="253"/>
      <c r="R27" s="253"/>
      <c r="S27" s="253"/>
      <c r="T27" s="253"/>
      <c r="U27" s="253"/>
      <c r="V27" s="253"/>
      <c r="W27" s="254">
        <f>W28+W33</f>
        <v>400000</v>
      </c>
      <c r="X27" s="265" t="s">
        <v>25</v>
      </c>
      <c r="Y27" s="6"/>
    </row>
    <row r="28" spans="1:25" ht="21" customHeight="1">
      <c r="A28" s="45" t="s">
        <v>179</v>
      </c>
      <c r="B28" s="46" t="s">
        <v>179</v>
      </c>
      <c r="C28" s="36" t="s">
        <v>192</v>
      </c>
      <c r="D28" s="215">
        <v>0</v>
      </c>
      <c r="E28" s="215">
        <f>E29</f>
        <v>0</v>
      </c>
      <c r="F28" s="216">
        <f>E28-D28</f>
        <v>0</v>
      </c>
      <c r="G28" s="217">
        <v>1</v>
      </c>
      <c r="H28" s="203" t="s">
        <v>248</v>
      </c>
      <c r="I28" s="204"/>
      <c r="J28" s="205"/>
      <c r="K28" s="205"/>
      <c r="L28" s="205"/>
      <c r="M28" s="205"/>
      <c r="N28" s="205"/>
      <c r="O28" s="206"/>
      <c r="P28" s="206"/>
      <c r="Q28" s="206"/>
      <c r="R28" s="206"/>
      <c r="S28" s="206"/>
      <c r="T28" s="206"/>
      <c r="U28" s="232" t="s">
        <v>239</v>
      </c>
      <c r="V28" s="233"/>
      <c r="W28" s="234">
        <f>SUM(W29,W31)</f>
        <v>0</v>
      </c>
      <c r="X28" s="266" t="s">
        <v>238</v>
      </c>
    </row>
    <row r="29" spans="1:25" ht="21" customHeight="1">
      <c r="A29" s="45"/>
      <c r="B29" s="46"/>
      <c r="C29" s="46" t="s">
        <v>193</v>
      </c>
      <c r="D29" s="48">
        <v>0</v>
      </c>
      <c r="E29" s="48">
        <f>W29/1000</f>
        <v>0</v>
      </c>
      <c r="F29" s="272">
        <f>E29-D29</f>
        <v>0</v>
      </c>
      <c r="G29" s="182">
        <v>1</v>
      </c>
      <c r="H29" s="144" t="s">
        <v>194</v>
      </c>
      <c r="I29" s="160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560" t="s">
        <v>69</v>
      </c>
      <c r="V29" s="560"/>
      <c r="W29" s="146">
        <f>SUM(W30:W30)</f>
        <v>0</v>
      </c>
      <c r="X29" s="147" t="s">
        <v>66</v>
      </c>
    </row>
    <row r="30" spans="1:25" ht="21.75" customHeight="1">
      <c r="A30" s="45"/>
      <c r="B30" s="46"/>
      <c r="C30" s="46"/>
      <c r="D30" s="61"/>
      <c r="E30" s="61"/>
      <c r="F30" s="49"/>
      <c r="G30" s="31"/>
      <c r="H30" s="67"/>
      <c r="I30" s="221"/>
      <c r="J30" s="220"/>
      <c r="K30" s="220"/>
      <c r="L30" s="220"/>
      <c r="M30" s="245"/>
      <c r="N30" s="74"/>
      <c r="O30" s="69"/>
      <c r="P30" s="74"/>
      <c r="Q30" s="79"/>
      <c r="R30" s="76"/>
      <c r="S30" s="76"/>
      <c r="T30" s="245"/>
      <c r="U30" s="220"/>
      <c r="V30" s="68"/>
      <c r="W30" s="133"/>
      <c r="X30" s="57"/>
    </row>
    <row r="31" spans="1:25" ht="18" customHeight="1">
      <c r="A31" s="45"/>
      <c r="B31" s="46"/>
      <c r="C31" s="46"/>
      <c r="D31" s="48">
        <v>0</v>
      </c>
      <c r="E31" s="48">
        <f>W31/1000</f>
        <v>0</v>
      </c>
      <c r="F31" s="38">
        <f>E31-D31</f>
        <v>0</v>
      </c>
      <c r="G31" s="39">
        <f>IF(D31=0,0,F31/D31)</f>
        <v>0</v>
      </c>
      <c r="H31" s="144" t="s">
        <v>194</v>
      </c>
      <c r="I31" s="160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560" t="s">
        <v>69</v>
      </c>
      <c r="V31" s="560"/>
      <c r="W31" s="146">
        <f>W32</f>
        <v>0</v>
      </c>
      <c r="X31" s="147" t="s">
        <v>57</v>
      </c>
    </row>
    <row r="32" spans="1:25" ht="18" customHeight="1">
      <c r="A32" s="45"/>
      <c r="B32" s="46"/>
      <c r="C32" s="59"/>
      <c r="D32" s="61"/>
      <c r="E32" s="61"/>
      <c r="F32" s="62"/>
      <c r="G32" s="202"/>
      <c r="H32" s="67"/>
      <c r="I32" s="221"/>
      <c r="J32" s="220"/>
      <c r="K32" s="220"/>
      <c r="L32" s="220"/>
      <c r="M32" s="245"/>
      <c r="N32" s="74"/>
      <c r="O32" s="69"/>
      <c r="P32" s="74"/>
      <c r="Q32" s="79"/>
      <c r="R32" s="76"/>
      <c r="S32" s="76"/>
      <c r="T32" s="245"/>
      <c r="U32" s="220"/>
      <c r="V32" s="68"/>
      <c r="W32" s="68"/>
      <c r="X32" s="57"/>
    </row>
    <row r="33" spans="1:26" ht="18" customHeight="1">
      <c r="A33" s="45"/>
      <c r="B33" s="46"/>
      <c r="C33" s="46" t="s">
        <v>195</v>
      </c>
      <c r="D33" s="215">
        <v>400</v>
      </c>
      <c r="E33" s="215">
        <f>E34</f>
        <v>400</v>
      </c>
      <c r="F33" s="216">
        <f>E33-D33</f>
        <v>0</v>
      </c>
      <c r="G33" s="217">
        <f>IF(D33=0,0,F33/D33)</f>
        <v>0</v>
      </c>
      <c r="H33" s="203" t="s">
        <v>196</v>
      </c>
      <c r="I33" s="204"/>
      <c r="J33" s="205"/>
      <c r="K33" s="205"/>
      <c r="L33" s="205"/>
      <c r="M33" s="205"/>
      <c r="N33" s="205"/>
      <c r="O33" s="206"/>
      <c r="P33" s="206"/>
      <c r="Q33" s="206"/>
      <c r="R33" s="206"/>
      <c r="S33" s="206"/>
      <c r="T33" s="206"/>
      <c r="U33" s="232" t="s">
        <v>69</v>
      </c>
      <c r="V33" s="233"/>
      <c r="W33" s="233">
        <f>W34</f>
        <v>400000</v>
      </c>
      <c r="X33" s="266" t="s">
        <v>57</v>
      </c>
    </row>
    <row r="34" spans="1:26" ht="25.5" customHeight="1">
      <c r="A34" s="45"/>
      <c r="B34" s="46"/>
      <c r="C34" s="46" t="s">
        <v>193</v>
      </c>
      <c r="D34" s="48">
        <v>400</v>
      </c>
      <c r="E34" s="48">
        <f>W34/1000</f>
        <v>400</v>
      </c>
      <c r="F34" s="272">
        <f>E34-D34</f>
        <v>0</v>
      </c>
      <c r="G34" s="182">
        <f>IF(D34=0,0,F34/D34)</f>
        <v>0</v>
      </c>
      <c r="H34" s="144" t="s">
        <v>288</v>
      </c>
      <c r="I34" s="160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560" t="s">
        <v>69</v>
      </c>
      <c r="V34" s="560"/>
      <c r="W34" s="146">
        <f>SUM(W35:W35)</f>
        <v>400000</v>
      </c>
      <c r="X34" s="147" t="s">
        <v>66</v>
      </c>
    </row>
    <row r="35" spans="1:26" ht="21" customHeight="1">
      <c r="A35" s="45"/>
      <c r="B35" s="46"/>
      <c r="C35" s="46"/>
      <c r="D35" s="48"/>
      <c r="E35" s="48"/>
      <c r="F35" s="270"/>
      <c r="G35" s="271"/>
      <c r="H35" s="67" t="s">
        <v>73</v>
      </c>
      <c r="I35" s="292"/>
      <c r="J35" s="291"/>
      <c r="K35" s="291"/>
      <c r="L35" s="423">
        <v>100000</v>
      </c>
      <c r="M35" s="424" t="s">
        <v>57</v>
      </c>
      <c r="N35" s="424" t="s">
        <v>58</v>
      </c>
      <c r="O35" s="291">
        <v>4</v>
      </c>
      <c r="P35" s="291" t="s">
        <v>366</v>
      </c>
      <c r="Q35" s="424"/>
      <c r="R35" s="427"/>
      <c r="S35" s="424"/>
      <c r="T35" s="424" t="s">
        <v>53</v>
      </c>
      <c r="U35" s="275"/>
      <c r="V35" s="278"/>
      <c r="W35" s="275">
        <f>L35*O35</f>
        <v>400000</v>
      </c>
      <c r="X35" s="295" t="s">
        <v>57</v>
      </c>
    </row>
    <row r="36" spans="1:26" ht="21" customHeight="1">
      <c r="A36" s="58"/>
      <c r="B36" s="59"/>
      <c r="C36" s="59"/>
      <c r="D36" s="61"/>
      <c r="E36" s="61"/>
      <c r="F36" s="62"/>
      <c r="G36" s="202"/>
      <c r="H36" s="71"/>
      <c r="I36" s="223"/>
      <c r="J36" s="222"/>
      <c r="K36" s="222"/>
      <c r="L36" s="222"/>
      <c r="M36" s="200"/>
      <c r="N36" s="208"/>
      <c r="O36" s="209"/>
      <c r="P36" s="208"/>
      <c r="Q36" s="210"/>
      <c r="R36" s="211"/>
      <c r="S36" s="211"/>
      <c r="T36" s="200"/>
      <c r="U36" s="222"/>
      <c r="V36" s="72"/>
      <c r="W36" s="72"/>
      <c r="X36" s="73"/>
    </row>
    <row r="37" spans="1:26" ht="21" customHeight="1">
      <c r="A37" s="35" t="s">
        <v>197</v>
      </c>
      <c r="B37" s="36" t="s">
        <v>197</v>
      </c>
      <c r="C37" s="410" t="s">
        <v>242</v>
      </c>
      <c r="D37" s="247">
        <v>0</v>
      </c>
      <c r="E37" s="247">
        <f>SUM(E38,E41)</f>
        <v>0</v>
      </c>
      <c r="F37" s="248">
        <f>E37-D37</f>
        <v>0</v>
      </c>
      <c r="G37" s="249">
        <f>IF(D37=0,0,F37/D37)</f>
        <v>0</v>
      </c>
      <c r="H37" s="250" t="s">
        <v>244</v>
      </c>
      <c r="I37" s="251"/>
      <c r="J37" s="252"/>
      <c r="K37" s="252"/>
      <c r="L37" s="251"/>
      <c r="M37" s="251"/>
      <c r="N37" s="251"/>
      <c r="O37" s="251"/>
      <c r="P37" s="251" t="s">
        <v>67</v>
      </c>
      <c r="Q37" s="253"/>
      <c r="R37" s="253"/>
      <c r="S37" s="253"/>
      <c r="T37" s="253"/>
      <c r="U37" s="253"/>
      <c r="V37" s="253"/>
      <c r="W37" s="254">
        <f>W38+W41</f>
        <v>0</v>
      </c>
      <c r="X37" s="265" t="s">
        <v>25</v>
      </c>
    </row>
    <row r="38" spans="1:26" ht="21" customHeight="1">
      <c r="A38" s="45"/>
      <c r="B38" s="46"/>
      <c r="C38" s="36" t="s">
        <v>198</v>
      </c>
      <c r="D38" s="215">
        <v>0</v>
      </c>
      <c r="E38" s="215">
        <f>E39</f>
        <v>0</v>
      </c>
      <c r="F38" s="216">
        <f>E38-D38</f>
        <v>0</v>
      </c>
      <c r="G38" s="217">
        <f>IF(D38=0,0,F38/D38)</f>
        <v>0</v>
      </c>
      <c r="H38" s="203" t="s">
        <v>200</v>
      </c>
      <c r="I38" s="204"/>
      <c r="J38" s="205"/>
      <c r="K38" s="205"/>
      <c r="L38" s="205"/>
      <c r="M38" s="205"/>
      <c r="N38" s="205"/>
      <c r="O38" s="206"/>
      <c r="P38" s="206"/>
      <c r="Q38" s="206"/>
      <c r="R38" s="206"/>
      <c r="S38" s="206"/>
      <c r="T38" s="206"/>
      <c r="U38" s="232" t="s">
        <v>69</v>
      </c>
      <c r="V38" s="233"/>
      <c r="W38" s="234">
        <f>W39</f>
        <v>0</v>
      </c>
      <c r="X38" s="266" t="s">
        <v>57</v>
      </c>
    </row>
    <row r="39" spans="1:26" ht="21" customHeight="1">
      <c r="A39" s="45"/>
      <c r="B39" s="46"/>
      <c r="C39" s="46" t="s">
        <v>199</v>
      </c>
      <c r="D39" s="48">
        <v>0</v>
      </c>
      <c r="E39" s="48">
        <f>W39/1000</f>
        <v>0</v>
      </c>
      <c r="F39" s="38">
        <f>E39-D39</f>
        <v>0</v>
      </c>
      <c r="G39" s="39">
        <f>IF(D39=0,0,F39/D39)</f>
        <v>0</v>
      </c>
      <c r="H39" s="144" t="s">
        <v>200</v>
      </c>
      <c r="I39" s="160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560" t="s">
        <v>69</v>
      </c>
      <c r="V39" s="560"/>
      <c r="W39" s="146">
        <f>W40</f>
        <v>0</v>
      </c>
      <c r="X39" s="147" t="s">
        <v>57</v>
      </c>
    </row>
    <row r="40" spans="1:26" ht="21" customHeight="1">
      <c r="A40" s="45"/>
      <c r="B40" s="46"/>
      <c r="C40" s="46" t="s">
        <v>197</v>
      </c>
      <c r="D40" s="48"/>
      <c r="E40" s="48"/>
      <c r="F40" s="49"/>
      <c r="G40" s="31"/>
      <c r="H40" s="67"/>
      <c r="I40" s="221"/>
      <c r="J40" s="220"/>
      <c r="K40" s="220"/>
      <c r="L40" s="220"/>
      <c r="M40" s="245"/>
      <c r="N40" s="74"/>
      <c r="O40" s="69"/>
      <c r="P40" s="74"/>
      <c r="Q40" s="79"/>
      <c r="R40" s="76"/>
      <c r="S40" s="76"/>
      <c r="T40" s="245"/>
      <c r="U40" s="220"/>
      <c r="V40" s="68"/>
      <c r="W40" s="68"/>
      <c r="X40" s="57"/>
    </row>
    <row r="41" spans="1:26" ht="21" customHeight="1">
      <c r="A41" s="45"/>
      <c r="B41" s="46"/>
      <c r="C41" s="36" t="s">
        <v>191</v>
      </c>
      <c r="D41" s="215">
        <v>0</v>
      </c>
      <c r="E41" s="215">
        <f>E42</f>
        <v>0</v>
      </c>
      <c r="F41" s="216">
        <f>E41-D41</f>
        <v>0</v>
      </c>
      <c r="G41" s="217">
        <f>IF(D41=0,0,F41/D41)</f>
        <v>0</v>
      </c>
      <c r="H41" s="203" t="s">
        <v>201</v>
      </c>
      <c r="I41" s="204"/>
      <c r="J41" s="205"/>
      <c r="K41" s="205"/>
      <c r="L41" s="205"/>
      <c r="M41" s="205"/>
      <c r="N41" s="205"/>
      <c r="O41" s="206"/>
      <c r="P41" s="206"/>
      <c r="Q41" s="206"/>
      <c r="R41" s="206"/>
      <c r="S41" s="206"/>
      <c r="T41" s="206"/>
      <c r="U41" s="232" t="s">
        <v>69</v>
      </c>
      <c r="V41" s="233"/>
      <c r="W41" s="233">
        <f>W42</f>
        <v>0</v>
      </c>
      <c r="X41" s="266" t="s">
        <v>57</v>
      </c>
    </row>
    <row r="42" spans="1:26" ht="21" customHeight="1">
      <c r="A42" s="45"/>
      <c r="B42" s="46"/>
      <c r="C42" s="46" t="s">
        <v>197</v>
      </c>
      <c r="D42" s="48">
        <v>0</v>
      </c>
      <c r="E42" s="48">
        <f>W42/1000</f>
        <v>0</v>
      </c>
      <c r="F42" s="38">
        <f>E42-D42</f>
        <v>0</v>
      </c>
      <c r="G42" s="39">
        <f>IF(D42=0,0,F42/D42)</f>
        <v>0</v>
      </c>
      <c r="H42" s="67"/>
      <c r="I42" s="221"/>
      <c r="J42" s="220"/>
      <c r="K42" s="220"/>
      <c r="L42" s="220"/>
      <c r="M42" s="245"/>
      <c r="N42" s="74"/>
      <c r="O42" s="69"/>
      <c r="P42" s="74"/>
      <c r="Q42" s="79"/>
      <c r="R42" s="76"/>
      <c r="S42" s="76"/>
      <c r="T42" s="245"/>
      <c r="U42" s="220"/>
      <c r="V42" s="68"/>
      <c r="W42" s="68"/>
      <c r="X42" s="57"/>
    </row>
    <row r="43" spans="1:26" ht="21" customHeight="1">
      <c r="A43" s="58"/>
      <c r="B43" s="59"/>
      <c r="C43" s="59"/>
      <c r="D43" s="61"/>
      <c r="E43" s="61"/>
      <c r="F43" s="62"/>
      <c r="G43" s="202"/>
      <c r="H43" s="71"/>
      <c r="I43" s="223"/>
      <c r="J43" s="222"/>
      <c r="K43" s="222"/>
      <c r="L43" s="222"/>
      <c r="M43" s="200"/>
      <c r="N43" s="208"/>
      <c r="O43" s="209"/>
      <c r="P43" s="208"/>
      <c r="Q43" s="210"/>
      <c r="R43" s="211"/>
      <c r="S43" s="211"/>
      <c r="T43" s="200"/>
      <c r="U43" s="222"/>
      <c r="V43" s="72"/>
      <c r="W43" s="72"/>
      <c r="X43" s="73"/>
    </row>
    <row r="44" spans="1:26" ht="21" customHeight="1">
      <c r="A44" s="35" t="s">
        <v>74</v>
      </c>
      <c r="B44" s="36" t="s">
        <v>13</v>
      </c>
      <c r="C44" s="410" t="s">
        <v>242</v>
      </c>
      <c r="D44" s="247">
        <v>0</v>
      </c>
      <c r="E44" s="247">
        <f>SUM(E45,E48)</f>
        <v>0</v>
      </c>
      <c r="F44" s="248">
        <f>E44-D44</f>
        <v>0</v>
      </c>
      <c r="G44" s="249">
        <f>IF(D44=0,0,F44/D44)</f>
        <v>0</v>
      </c>
      <c r="H44" s="250" t="s">
        <v>245</v>
      </c>
      <c r="I44" s="251"/>
      <c r="J44" s="252"/>
      <c r="K44" s="252"/>
      <c r="L44" s="251"/>
      <c r="M44" s="251"/>
      <c r="N44" s="251"/>
      <c r="O44" s="251"/>
      <c r="P44" s="251" t="s">
        <v>67</v>
      </c>
      <c r="Q44" s="253"/>
      <c r="R44" s="253"/>
      <c r="S44" s="253"/>
      <c r="T44" s="253"/>
      <c r="U44" s="253"/>
      <c r="V44" s="253"/>
      <c r="W44" s="254">
        <f>W46+W48</f>
        <v>0</v>
      </c>
      <c r="X44" s="265" t="s">
        <v>25</v>
      </c>
    </row>
    <row r="45" spans="1:26" ht="21" customHeight="1">
      <c r="A45" s="45"/>
      <c r="B45" s="46"/>
      <c r="C45" s="36" t="s">
        <v>202</v>
      </c>
      <c r="D45" s="215">
        <v>0</v>
      </c>
      <c r="E45" s="215">
        <f>E46</f>
        <v>0</v>
      </c>
      <c r="F45" s="216">
        <f>E45-D45</f>
        <v>0</v>
      </c>
      <c r="G45" s="217">
        <f>IF(D45=0,0,F45/D45)</f>
        <v>0</v>
      </c>
      <c r="H45" s="203" t="s">
        <v>249</v>
      </c>
      <c r="I45" s="204"/>
      <c r="J45" s="205"/>
      <c r="K45" s="205"/>
      <c r="L45" s="205"/>
      <c r="M45" s="205"/>
      <c r="N45" s="205"/>
      <c r="O45" s="206"/>
      <c r="P45" s="206"/>
      <c r="Q45" s="206"/>
      <c r="R45" s="206"/>
      <c r="S45" s="206"/>
      <c r="T45" s="206"/>
      <c r="U45" s="232" t="s">
        <v>239</v>
      </c>
      <c r="V45" s="233"/>
      <c r="W45" s="234">
        <f>SUM(W46:W46)</f>
        <v>0</v>
      </c>
      <c r="X45" s="266" t="s">
        <v>238</v>
      </c>
      <c r="Y45" s="23"/>
      <c r="Z45" s="24"/>
    </row>
    <row r="46" spans="1:26" ht="21" customHeight="1">
      <c r="A46" s="45"/>
      <c r="B46" s="46"/>
      <c r="C46" s="46" t="s">
        <v>203</v>
      </c>
      <c r="D46" s="48">
        <v>0</v>
      </c>
      <c r="E46" s="48">
        <f>W46/1000</f>
        <v>0</v>
      </c>
      <c r="F46" s="38">
        <f>E46-D46</f>
        <v>0</v>
      </c>
      <c r="G46" s="39">
        <f>IF(D46=0,0,F46/D46)</f>
        <v>0</v>
      </c>
      <c r="H46" s="144" t="s">
        <v>206</v>
      </c>
      <c r="I46" s="160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560" t="s">
        <v>69</v>
      </c>
      <c r="V46" s="560"/>
      <c r="W46" s="146"/>
      <c r="X46" s="147" t="s">
        <v>57</v>
      </c>
      <c r="Y46" s="23"/>
      <c r="Z46" s="24"/>
    </row>
    <row r="47" spans="1:26" ht="21" customHeight="1">
      <c r="A47" s="45"/>
      <c r="B47" s="46"/>
      <c r="C47" s="46"/>
      <c r="D47" s="48"/>
      <c r="E47" s="48"/>
      <c r="F47" s="49"/>
      <c r="G47" s="31"/>
      <c r="H47" s="67" t="s">
        <v>231</v>
      </c>
      <c r="I47" s="221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45"/>
      <c r="V47" s="245"/>
      <c r="W47" s="68"/>
      <c r="X47" s="57" t="s">
        <v>232</v>
      </c>
      <c r="Y47" s="23"/>
      <c r="Z47" s="24"/>
    </row>
    <row r="48" spans="1:26" ht="21" customHeight="1">
      <c r="A48" s="45"/>
      <c r="B48" s="46"/>
      <c r="C48" s="36" t="s">
        <v>204</v>
      </c>
      <c r="D48" s="215">
        <v>0</v>
      </c>
      <c r="E48" s="215">
        <f>E49</f>
        <v>0</v>
      </c>
      <c r="F48" s="216">
        <f>E48-D48</f>
        <v>0</v>
      </c>
      <c r="G48" s="217">
        <f>IF(D48=0,0,F48/D48)</f>
        <v>0</v>
      </c>
      <c r="H48" s="203" t="s">
        <v>250</v>
      </c>
      <c r="I48" s="204"/>
      <c r="J48" s="205"/>
      <c r="K48" s="205"/>
      <c r="L48" s="205"/>
      <c r="M48" s="205"/>
      <c r="N48" s="205"/>
      <c r="O48" s="206"/>
      <c r="P48" s="206"/>
      <c r="Q48" s="206"/>
      <c r="R48" s="206"/>
      <c r="S48" s="206"/>
      <c r="T48" s="206"/>
      <c r="U48" s="232" t="s">
        <v>239</v>
      </c>
      <c r="V48" s="233"/>
      <c r="W48" s="233">
        <f>SUM(W49:W49)</f>
        <v>0</v>
      </c>
      <c r="X48" s="266" t="s">
        <v>238</v>
      </c>
      <c r="Y48" s="23"/>
      <c r="Z48" s="24"/>
    </row>
    <row r="49" spans="1:26" ht="21" customHeight="1">
      <c r="A49" s="45"/>
      <c r="B49" s="46"/>
      <c r="C49" s="46" t="s">
        <v>203</v>
      </c>
      <c r="D49" s="48">
        <v>0</v>
      </c>
      <c r="E49" s="48">
        <f>W49/1000</f>
        <v>0</v>
      </c>
      <c r="F49" s="38">
        <f>E49-D49</f>
        <v>0</v>
      </c>
      <c r="G49" s="39">
        <f>IF(D49=0,0,F49/D49)</f>
        <v>0</v>
      </c>
      <c r="H49" s="144" t="s">
        <v>207</v>
      </c>
      <c r="I49" s="148"/>
      <c r="J49" s="220"/>
      <c r="K49" s="220"/>
      <c r="L49" s="220"/>
      <c r="M49" s="245"/>
      <c r="N49" s="74"/>
      <c r="O49" s="69"/>
      <c r="P49" s="74"/>
      <c r="Q49" s="79"/>
      <c r="R49" s="76"/>
      <c r="S49" s="76"/>
      <c r="T49" s="245"/>
      <c r="U49" s="560" t="s">
        <v>69</v>
      </c>
      <c r="V49" s="560"/>
      <c r="W49" s="146"/>
      <c r="X49" s="147" t="s">
        <v>57</v>
      </c>
      <c r="Y49" s="23"/>
      <c r="Z49" s="24"/>
    </row>
    <row r="50" spans="1:26" ht="21" customHeight="1">
      <c r="A50" s="45"/>
      <c r="B50" s="46"/>
      <c r="C50" s="46" t="s">
        <v>297</v>
      </c>
      <c r="D50" s="48"/>
      <c r="E50" s="48"/>
      <c r="F50" s="49"/>
      <c r="G50" s="31"/>
      <c r="H50" s="71"/>
      <c r="I50" s="342"/>
      <c r="J50" s="291"/>
      <c r="K50" s="291"/>
      <c r="L50" s="291"/>
      <c r="M50" s="409"/>
      <c r="N50" s="74"/>
      <c r="O50" s="69"/>
      <c r="P50" s="74"/>
      <c r="Q50" s="79"/>
      <c r="R50" s="76"/>
      <c r="S50" s="76"/>
      <c r="T50" s="409"/>
      <c r="U50" s="200"/>
      <c r="V50" s="200"/>
      <c r="W50" s="72"/>
      <c r="X50" s="73"/>
      <c r="Y50" s="23"/>
      <c r="Z50" s="24"/>
    </row>
    <row r="51" spans="1:26" ht="21" customHeight="1">
      <c r="A51" s="35" t="s">
        <v>14</v>
      </c>
      <c r="B51" s="36" t="s">
        <v>14</v>
      </c>
      <c r="C51" s="410" t="s">
        <v>242</v>
      </c>
      <c r="D51" s="247">
        <v>7438</v>
      </c>
      <c r="E51" s="247">
        <f>SUM(E52,E65,E69)</f>
        <v>3020</v>
      </c>
      <c r="F51" s="248">
        <f>E51-D51</f>
        <v>-4418</v>
      </c>
      <c r="G51" s="249">
        <f>IF(D51=0,0,F51/D51)</f>
        <v>-0.59397687550416778</v>
      </c>
      <c r="H51" s="250" t="s">
        <v>246</v>
      </c>
      <c r="I51" s="251"/>
      <c r="J51" s="252"/>
      <c r="K51" s="252"/>
      <c r="L51" s="251"/>
      <c r="M51" s="251"/>
      <c r="N51" s="251"/>
      <c r="O51" s="251"/>
      <c r="P51" s="251" t="s">
        <v>67</v>
      </c>
      <c r="Q51" s="253"/>
      <c r="R51" s="253"/>
      <c r="S51" s="253"/>
      <c r="T51" s="253"/>
      <c r="U51" s="253"/>
      <c r="V51" s="253"/>
      <c r="W51" s="254">
        <f>SUM(W52,W65)</f>
        <v>3020000</v>
      </c>
      <c r="X51" s="265" t="s">
        <v>25</v>
      </c>
    </row>
    <row r="52" spans="1:26" ht="21" customHeight="1">
      <c r="A52" s="45"/>
      <c r="B52" s="46"/>
      <c r="C52" s="36" t="s">
        <v>208</v>
      </c>
      <c r="D52" s="215">
        <v>4975</v>
      </c>
      <c r="E52" s="215">
        <f>SUM(E53,E56,E59,E62)</f>
        <v>1920</v>
      </c>
      <c r="F52" s="216">
        <f>E52-D52</f>
        <v>-3055</v>
      </c>
      <c r="G52" s="217">
        <f>IF(D52=0,0,F52/D52)</f>
        <v>-0.61407035175879399</v>
      </c>
      <c r="H52" s="203" t="s">
        <v>251</v>
      </c>
      <c r="I52" s="204"/>
      <c r="J52" s="205"/>
      <c r="K52" s="205"/>
      <c r="L52" s="205"/>
      <c r="M52" s="205"/>
      <c r="N52" s="205"/>
      <c r="O52" s="206"/>
      <c r="P52" s="206"/>
      <c r="Q52" s="206"/>
      <c r="R52" s="206"/>
      <c r="S52" s="206"/>
      <c r="T52" s="206"/>
      <c r="U52" s="232" t="s">
        <v>239</v>
      </c>
      <c r="V52" s="233"/>
      <c r="W52" s="234">
        <f>SUM(W53,W56,W59,W62)</f>
        <v>1920000</v>
      </c>
      <c r="X52" s="266" t="s">
        <v>238</v>
      </c>
    </row>
    <row r="53" spans="1:26" ht="21" customHeight="1">
      <c r="A53" s="45"/>
      <c r="B53" s="46"/>
      <c r="C53" s="46" t="s">
        <v>209</v>
      </c>
      <c r="D53" s="48">
        <v>4275</v>
      </c>
      <c r="E53" s="48">
        <f>W53/1000</f>
        <v>1800</v>
      </c>
      <c r="F53" s="38">
        <f>E53-D53</f>
        <v>-2475</v>
      </c>
      <c r="G53" s="39">
        <f>IF(D53=0,0,F53/D53)</f>
        <v>-0.57894736842105265</v>
      </c>
      <c r="H53" s="144" t="s">
        <v>233</v>
      </c>
      <c r="I53" s="160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560" t="s">
        <v>69</v>
      </c>
      <c r="V53" s="560"/>
      <c r="W53" s="146">
        <f>ROUNDUP(SUM(V54:W55),-3)</f>
        <v>1800000</v>
      </c>
      <c r="X53" s="147" t="s">
        <v>57</v>
      </c>
    </row>
    <row r="54" spans="1:26" ht="21" customHeight="1">
      <c r="A54" s="45"/>
      <c r="B54" s="46"/>
      <c r="C54" s="46"/>
      <c r="D54" s="48"/>
      <c r="E54" s="48"/>
      <c r="F54" s="49"/>
      <c r="G54" s="31"/>
      <c r="H54" s="282" t="s">
        <v>256</v>
      </c>
      <c r="I54" s="221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45"/>
      <c r="V54" s="245"/>
      <c r="W54" s="68">
        <v>1800000</v>
      </c>
      <c r="X54" s="57" t="s">
        <v>232</v>
      </c>
    </row>
    <row r="55" spans="1:26" ht="21" customHeight="1">
      <c r="A55" s="45"/>
      <c r="B55" s="46"/>
      <c r="C55" s="46"/>
      <c r="D55" s="61"/>
      <c r="E55" s="61"/>
      <c r="F55" s="62"/>
      <c r="G55" s="202"/>
      <c r="H55" s="283"/>
      <c r="I55" s="223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00"/>
      <c r="V55" s="200"/>
      <c r="W55" s="72"/>
      <c r="X55" s="73"/>
    </row>
    <row r="56" spans="1:26" ht="21" customHeight="1">
      <c r="A56" s="45"/>
      <c r="B56" s="46"/>
      <c r="C56" s="46"/>
      <c r="D56" s="48">
        <v>0</v>
      </c>
      <c r="E56" s="48">
        <f>W56/1000</f>
        <v>0</v>
      </c>
      <c r="F56" s="38">
        <f>E56-D56</f>
        <v>0</v>
      </c>
      <c r="G56" s="39">
        <f>IF(D56=0,0,F56/D56)</f>
        <v>0</v>
      </c>
      <c r="H56" s="144" t="s">
        <v>234</v>
      </c>
      <c r="I56" s="160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560" t="s">
        <v>69</v>
      </c>
      <c r="V56" s="560"/>
      <c r="W56" s="146">
        <f>ROUNDUP(SUM(V57:W57),-3)</f>
        <v>0</v>
      </c>
      <c r="X56" s="147" t="s">
        <v>57</v>
      </c>
    </row>
    <row r="57" spans="1:26" ht="21" customHeight="1">
      <c r="A57" s="45"/>
      <c r="B57" s="46"/>
      <c r="C57" s="46"/>
      <c r="D57" s="48"/>
      <c r="E57" s="48"/>
      <c r="F57" s="49"/>
      <c r="G57" s="31"/>
      <c r="H57" s="282" t="s">
        <v>257</v>
      </c>
      <c r="I57" s="221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45"/>
      <c r="V57" s="245"/>
      <c r="W57" s="68">
        <v>0</v>
      </c>
      <c r="X57" s="57" t="s">
        <v>232</v>
      </c>
    </row>
    <row r="58" spans="1:26" ht="21" customHeight="1">
      <c r="A58" s="45"/>
      <c r="B58" s="46"/>
      <c r="C58" s="46"/>
      <c r="D58" s="61"/>
      <c r="E58" s="61"/>
      <c r="F58" s="62"/>
      <c r="G58" s="202"/>
      <c r="H58" s="71"/>
      <c r="I58" s="223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00"/>
      <c r="V58" s="200"/>
      <c r="W58" s="72"/>
      <c r="X58" s="73"/>
    </row>
    <row r="59" spans="1:26" ht="21" customHeight="1">
      <c r="A59" s="45"/>
      <c r="B59" s="46"/>
      <c r="C59" s="46"/>
      <c r="D59" s="48">
        <v>1</v>
      </c>
      <c r="E59" s="48">
        <f>W59/1000</f>
        <v>0</v>
      </c>
      <c r="F59" s="38">
        <f>E59-D59</f>
        <v>-1</v>
      </c>
      <c r="G59" s="39">
        <f>IF(D59=0,0,F59/D59)</f>
        <v>-1</v>
      </c>
      <c r="H59" s="144" t="s">
        <v>235</v>
      </c>
      <c r="I59" s="160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560" t="s">
        <v>69</v>
      </c>
      <c r="V59" s="560"/>
      <c r="W59" s="146">
        <f>ROUND(SUM(V60:W60),-2)</f>
        <v>0</v>
      </c>
      <c r="X59" s="147" t="s">
        <v>57</v>
      </c>
    </row>
    <row r="60" spans="1:26" ht="21" customHeight="1">
      <c r="A60" s="45"/>
      <c r="B60" s="46"/>
      <c r="C60" s="46"/>
      <c r="D60" s="48"/>
      <c r="E60" s="48"/>
      <c r="F60" s="49"/>
      <c r="G60" s="31"/>
      <c r="H60" s="282" t="s">
        <v>258</v>
      </c>
      <c r="I60" s="221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45"/>
      <c r="V60" s="245"/>
      <c r="W60" s="68">
        <v>0</v>
      </c>
      <c r="X60" s="57" t="s">
        <v>232</v>
      </c>
    </row>
    <row r="61" spans="1:26" ht="21" customHeight="1">
      <c r="A61" s="45"/>
      <c r="B61" s="46"/>
      <c r="C61" s="46"/>
      <c r="D61" s="61"/>
      <c r="E61" s="61"/>
      <c r="F61" s="62"/>
      <c r="G61" s="202"/>
      <c r="H61" s="71"/>
      <c r="I61" s="223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00"/>
      <c r="V61" s="200"/>
      <c r="W61" s="72"/>
      <c r="X61" s="73"/>
    </row>
    <row r="62" spans="1:26" ht="21" customHeight="1">
      <c r="A62" s="45"/>
      <c r="B62" s="46"/>
      <c r="C62" s="46"/>
      <c r="D62" s="37">
        <v>699</v>
      </c>
      <c r="E62" s="37">
        <f>W62/1000</f>
        <v>120</v>
      </c>
      <c r="F62" s="38">
        <f>E62-D62</f>
        <v>-579</v>
      </c>
      <c r="G62" s="39">
        <f>IF(D62=0,0,F62/D62)</f>
        <v>-0.8283261802575107</v>
      </c>
      <c r="H62" s="144" t="s">
        <v>236</v>
      </c>
      <c r="I62" s="160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560" t="s">
        <v>69</v>
      </c>
      <c r="V62" s="560"/>
      <c r="W62" s="146">
        <f>ROUNDUP(SUM(V63:W63),-3)</f>
        <v>120000</v>
      </c>
      <c r="X62" s="147" t="s">
        <v>57</v>
      </c>
    </row>
    <row r="63" spans="1:26" ht="21" customHeight="1">
      <c r="A63" s="45"/>
      <c r="B63" s="46"/>
      <c r="C63" s="46"/>
      <c r="D63" s="48"/>
      <c r="E63" s="48"/>
      <c r="F63" s="49"/>
      <c r="G63" s="31"/>
      <c r="H63" s="282" t="s">
        <v>259</v>
      </c>
      <c r="I63" s="221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45"/>
      <c r="V63" s="245"/>
      <c r="W63" s="68">
        <v>120000</v>
      </c>
      <c r="X63" s="57" t="s">
        <v>232</v>
      </c>
    </row>
    <row r="64" spans="1:26" ht="21" customHeight="1">
      <c r="A64" s="45"/>
      <c r="B64" s="46"/>
      <c r="C64" s="46"/>
      <c r="D64" s="48"/>
      <c r="E64" s="48"/>
      <c r="F64" s="49"/>
      <c r="G64" s="31"/>
      <c r="H64" s="67"/>
      <c r="I64" s="221"/>
      <c r="J64" s="220"/>
      <c r="K64" s="220"/>
      <c r="L64" s="220"/>
      <c r="M64" s="245"/>
      <c r="N64" s="74"/>
      <c r="O64" s="69"/>
      <c r="P64" s="74"/>
      <c r="Q64" s="79"/>
      <c r="R64" s="76"/>
      <c r="S64" s="76"/>
      <c r="T64" s="245"/>
      <c r="U64" s="220"/>
      <c r="V64" s="68"/>
      <c r="W64" s="68"/>
      <c r="X64" s="57"/>
    </row>
    <row r="65" spans="1:46" ht="21" customHeight="1">
      <c r="A65" s="45"/>
      <c r="B65" s="46"/>
      <c r="C65" s="36" t="s">
        <v>208</v>
      </c>
      <c r="D65" s="215">
        <v>2463</v>
      </c>
      <c r="E65" s="215">
        <f>E66</f>
        <v>1100</v>
      </c>
      <c r="F65" s="216">
        <f>E65-D65</f>
        <v>-1363</v>
      </c>
      <c r="G65" s="217">
        <f>IF(D65=0,0,F65/D65)</f>
        <v>-0.55339017458384088</v>
      </c>
      <c r="H65" s="203" t="s">
        <v>210</v>
      </c>
      <c r="I65" s="204"/>
      <c r="J65" s="205"/>
      <c r="K65" s="205"/>
      <c r="L65" s="205"/>
      <c r="M65" s="205"/>
      <c r="N65" s="205"/>
      <c r="O65" s="206"/>
      <c r="P65" s="206"/>
      <c r="Q65" s="206"/>
      <c r="R65" s="206"/>
      <c r="S65" s="206"/>
      <c r="T65" s="206"/>
      <c r="U65" s="232" t="s">
        <v>69</v>
      </c>
      <c r="V65" s="233"/>
      <c r="W65" s="233">
        <f>W66</f>
        <v>1100000</v>
      </c>
      <c r="X65" s="266" t="s">
        <v>57</v>
      </c>
    </row>
    <row r="66" spans="1:46" ht="21" customHeight="1">
      <c r="A66" s="45"/>
      <c r="B66" s="46"/>
      <c r="C66" s="46" t="s">
        <v>209</v>
      </c>
      <c r="D66" s="48">
        <v>2463</v>
      </c>
      <c r="E66" s="48">
        <f>W66/1000</f>
        <v>1100</v>
      </c>
      <c r="F66" s="38">
        <f>E66-D66</f>
        <v>-1363</v>
      </c>
      <c r="G66" s="39">
        <f>IF(D66=0,0,F66/D66)</f>
        <v>-0.55339017458384088</v>
      </c>
      <c r="H66" s="284" t="s">
        <v>260</v>
      </c>
      <c r="I66" s="160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560"/>
      <c r="V66" s="560"/>
      <c r="W66" s="146">
        <f>ROUNDUP(SUM(V67:W67),-3)</f>
        <v>1100000</v>
      </c>
      <c r="X66" s="147" t="s">
        <v>57</v>
      </c>
    </row>
    <row r="67" spans="1:46" ht="21" customHeight="1">
      <c r="A67" s="45"/>
      <c r="B67" s="46"/>
      <c r="C67" s="46" t="s">
        <v>205</v>
      </c>
      <c r="D67" s="48"/>
      <c r="E67" s="48"/>
      <c r="F67" s="49"/>
      <c r="G67" s="70"/>
      <c r="H67" s="282" t="s">
        <v>261</v>
      </c>
      <c r="I67" s="221"/>
      <c r="J67" s="220"/>
      <c r="K67" s="220"/>
      <c r="L67" s="220"/>
      <c r="M67" s="220"/>
      <c r="N67" s="220"/>
      <c r="O67" s="220"/>
      <c r="P67" s="54"/>
      <c r="Q67" s="54"/>
      <c r="R67" s="54"/>
      <c r="S67" s="220"/>
      <c r="T67" s="220"/>
      <c r="U67" s="220"/>
      <c r="V67" s="68"/>
      <c r="W67" s="68">
        <v>1100000</v>
      </c>
      <c r="X67" s="57" t="s">
        <v>136</v>
      </c>
    </row>
    <row r="68" spans="1:46" ht="21" customHeight="1">
      <c r="A68" s="45"/>
      <c r="B68" s="46"/>
      <c r="C68" s="46"/>
      <c r="D68" s="48"/>
      <c r="E68" s="48"/>
      <c r="F68" s="49"/>
      <c r="G68" s="70"/>
      <c r="H68" s="67"/>
      <c r="I68" s="221"/>
      <c r="J68" s="220"/>
      <c r="K68" s="220"/>
      <c r="L68" s="220"/>
      <c r="M68" s="220"/>
      <c r="N68" s="220"/>
      <c r="O68" s="220"/>
      <c r="P68" s="54"/>
      <c r="Q68" s="54"/>
      <c r="R68" s="54"/>
      <c r="S68" s="220"/>
      <c r="T68" s="220"/>
      <c r="U68" s="220"/>
      <c r="V68" s="68"/>
      <c r="W68" s="68"/>
      <c r="X68" s="57"/>
    </row>
    <row r="69" spans="1:46" ht="21" customHeight="1">
      <c r="A69" s="45"/>
      <c r="B69" s="46"/>
      <c r="C69" s="36" t="s">
        <v>211</v>
      </c>
      <c r="D69" s="215">
        <v>0</v>
      </c>
      <c r="E69" s="215">
        <f>E70</f>
        <v>0</v>
      </c>
      <c r="F69" s="216">
        <f>E69-D69</f>
        <v>0</v>
      </c>
      <c r="G69" s="217">
        <f>IF(D69=0,0,F69/D69)</f>
        <v>0</v>
      </c>
      <c r="H69" s="203" t="s">
        <v>213</v>
      </c>
      <c r="I69" s="204"/>
      <c r="J69" s="205"/>
      <c r="K69" s="205"/>
      <c r="L69" s="205"/>
      <c r="M69" s="205"/>
      <c r="N69" s="205"/>
      <c r="O69" s="206"/>
      <c r="P69" s="206"/>
      <c r="Q69" s="206"/>
      <c r="R69" s="206"/>
      <c r="S69" s="206"/>
      <c r="T69" s="206"/>
      <c r="U69" s="232" t="s">
        <v>69</v>
      </c>
      <c r="V69" s="233"/>
      <c r="W69" s="233">
        <f>ROUND(SUM(V70:W71),-3)</f>
        <v>0</v>
      </c>
      <c r="X69" s="266" t="s">
        <v>57</v>
      </c>
    </row>
    <row r="70" spans="1:46" ht="21" customHeight="1">
      <c r="A70" s="45"/>
      <c r="B70" s="46"/>
      <c r="C70" s="46" t="s">
        <v>212</v>
      </c>
      <c r="D70" s="48">
        <v>0</v>
      </c>
      <c r="E70" s="48">
        <f>W70/1000</f>
        <v>0</v>
      </c>
      <c r="F70" s="38">
        <f>E70-D70</f>
        <v>0</v>
      </c>
      <c r="G70" s="39">
        <f>IF(D70=0,0,F70/D70)</f>
        <v>0</v>
      </c>
      <c r="H70" s="67"/>
      <c r="I70" s="221"/>
      <c r="J70" s="220"/>
      <c r="K70" s="220"/>
      <c r="L70" s="220"/>
      <c r="M70" s="245"/>
      <c r="N70" s="74"/>
      <c r="O70" s="69"/>
      <c r="P70" s="74"/>
      <c r="Q70" s="79"/>
      <c r="R70" s="76"/>
      <c r="S70" s="76"/>
      <c r="T70" s="245"/>
      <c r="U70" s="220"/>
      <c r="V70" s="68"/>
      <c r="W70" s="68">
        <f>L70*O70</f>
        <v>0</v>
      </c>
      <c r="X70" s="57" t="s">
        <v>57</v>
      </c>
    </row>
    <row r="71" spans="1:46" ht="21" customHeight="1">
      <c r="A71" s="58"/>
      <c r="B71" s="59"/>
      <c r="C71" s="59"/>
      <c r="D71" s="61"/>
      <c r="E71" s="61"/>
      <c r="F71" s="62"/>
      <c r="G71" s="83"/>
      <c r="H71" s="71"/>
      <c r="I71" s="223"/>
      <c r="J71" s="222"/>
      <c r="K71" s="222"/>
      <c r="L71" s="222"/>
      <c r="M71" s="222"/>
      <c r="N71" s="222"/>
      <c r="O71" s="222"/>
      <c r="P71" s="129"/>
      <c r="Q71" s="129"/>
      <c r="R71" s="129"/>
      <c r="S71" s="222"/>
      <c r="T71" s="222"/>
      <c r="U71" s="222"/>
      <c r="V71" s="72"/>
      <c r="W71" s="72">
        <v>0</v>
      </c>
      <c r="X71" s="73" t="s">
        <v>57</v>
      </c>
    </row>
    <row r="72" spans="1:46" ht="21" customHeight="1">
      <c r="A72" s="45" t="s">
        <v>75</v>
      </c>
      <c r="B72" s="86" t="s">
        <v>16</v>
      </c>
      <c r="C72" s="410" t="s">
        <v>242</v>
      </c>
      <c r="D72" s="247">
        <v>762</v>
      </c>
      <c r="E72" s="247">
        <f>SUM(E73,E76,E83)</f>
        <v>762</v>
      </c>
      <c r="F72" s="248">
        <f>E72-D72</f>
        <v>0</v>
      </c>
      <c r="G72" s="249">
        <f>IF(D72=0,0,F72/D72)</f>
        <v>0</v>
      </c>
      <c r="H72" s="250" t="s">
        <v>247</v>
      </c>
      <c r="I72" s="251"/>
      <c r="J72" s="252"/>
      <c r="K72" s="252"/>
      <c r="L72" s="251"/>
      <c r="M72" s="251"/>
      <c r="N72" s="251"/>
      <c r="O72" s="251"/>
      <c r="P72" s="251" t="s">
        <v>67</v>
      </c>
      <c r="Q72" s="253"/>
      <c r="R72" s="253"/>
      <c r="S72" s="253"/>
      <c r="T72" s="253"/>
      <c r="U72" s="253"/>
      <c r="V72" s="253"/>
      <c r="W72" s="263">
        <f>SUM(W73,W76,W83)</f>
        <v>762000</v>
      </c>
      <c r="X72" s="269" t="s">
        <v>238</v>
      </c>
    </row>
    <row r="73" spans="1:46" s="4" customFormat="1" ht="21" customHeight="1">
      <c r="A73" s="45"/>
      <c r="B73" s="95"/>
      <c r="C73" s="36" t="s">
        <v>214</v>
      </c>
      <c r="D73" s="215">
        <v>0</v>
      </c>
      <c r="E73" s="215">
        <f>E74</f>
        <v>0</v>
      </c>
      <c r="F73" s="216">
        <f>E73-D73</f>
        <v>0</v>
      </c>
      <c r="G73" s="217">
        <f>IF(D73=0,0,F73/D73)</f>
        <v>0</v>
      </c>
      <c r="H73" s="203" t="s">
        <v>219</v>
      </c>
      <c r="I73" s="204"/>
      <c r="J73" s="205"/>
      <c r="K73" s="205"/>
      <c r="L73" s="205"/>
      <c r="M73" s="205"/>
      <c r="N73" s="205"/>
      <c r="O73" s="206"/>
      <c r="P73" s="206"/>
      <c r="Q73" s="206"/>
      <c r="R73" s="206"/>
      <c r="S73" s="206"/>
      <c r="T73" s="206"/>
      <c r="U73" s="232" t="s">
        <v>69</v>
      </c>
      <c r="V73" s="233"/>
      <c r="W73" s="234">
        <f>SUM(W74:W74)</f>
        <v>0</v>
      </c>
      <c r="X73" s="266" t="s">
        <v>57</v>
      </c>
      <c r="Y73" s="255"/>
      <c r="Z73" s="256"/>
      <c r="AA73" s="256"/>
      <c r="AB73" s="257"/>
      <c r="AC73" s="258"/>
      <c r="AD73" s="259"/>
      <c r="AE73" s="260"/>
      <c r="AF73" s="261"/>
      <c r="AG73" s="261"/>
      <c r="AH73" s="260"/>
      <c r="AI73" s="260"/>
      <c r="AJ73" s="260"/>
      <c r="AK73" s="260"/>
      <c r="AL73" s="260"/>
      <c r="AM73" s="259"/>
      <c r="AN73" s="259"/>
      <c r="AO73" s="259"/>
      <c r="AP73" s="259"/>
      <c r="AQ73" s="259"/>
      <c r="AR73" s="259"/>
      <c r="AS73" s="262"/>
      <c r="AT73" s="260"/>
    </row>
    <row r="74" spans="1:46" ht="21" customHeight="1">
      <c r="A74" s="60"/>
      <c r="B74" s="97"/>
      <c r="C74" s="46" t="s">
        <v>215</v>
      </c>
      <c r="D74" s="48">
        <v>0</v>
      </c>
      <c r="E74" s="48">
        <f>W74/1000</f>
        <v>0</v>
      </c>
      <c r="F74" s="38">
        <f>E74-D74</f>
        <v>0</v>
      </c>
      <c r="G74" s="39">
        <f>IF(D74=0,0,F74/D74)</f>
        <v>0</v>
      </c>
      <c r="H74" s="144" t="s">
        <v>219</v>
      </c>
      <c r="I74" s="160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560" t="s">
        <v>69</v>
      </c>
      <c r="V74" s="560"/>
      <c r="W74" s="146">
        <f>SUM(W75:W75)</f>
        <v>0</v>
      </c>
      <c r="X74" s="147" t="s">
        <v>57</v>
      </c>
    </row>
    <row r="75" spans="1:46" s="11" customFormat="1" ht="19.5" customHeight="1">
      <c r="A75" s="60"/>
      <c r="B75" s="89"/>
      <c r="C75" s="46"/>
      <c r="D75" s="48"/>
      <c r="E75" s="48"/>
      <c r="F75" s="49"/>
      <c r="G75" s="31"/>
      <c r="H75" s="67"/>
      <c r="I75" s="221"/>
      <c r="J75" s="220"/>
      <c r="K75" s="220"/>
      <c r="L75" s="220"/>
      <c r="M75" s="245"/>
      <c r="N75" s="74"/>
      <c r="O75" s="69"/>
      <c r="P75" s="74"/>
      <c r="Q75" s="79"/>
      <c r="R75" s="76"/>
      <c r="S75" s="76"/>
      <c r="T75" s="245"/>
      <c r="U75" s="220"/>
      <c r="V75" s="68"/>
      <c r="W75" s="68"/>
      <c r="X75" s="57"/>
      <c r="Y75" s="6"/>
    </row>
    <row r="76" spans="1:46" s="11" customFormat="1" ht="19.5" customHeight="1">
      <c r="A76" s="60"/>
      <c r="B76" s="89"/>
      <c r="C76" s="36" t="s">
        <v>216</v>
      </c>
      <c r="D76" s="215">
        <v>17</v>
      </c>
      <c r="E76" s="215">
        <f>E77</f>
        <v>17</v>
      </c>
      <c r="F76" s="216">
        <f>E76-D76</f>
        <v>0</v>
      </c>
      <c r="G76" s="217">
        <f>IF(D76=0,0,F76/D76)</f>
        <v>0</v>
      </c>
      <c r="H76" s="203" t="s">
        <v>220</v>
      </c>
      <c r="I76" s="204"/>
      <c r="J76" s="205"/>
      <c r="K76" s="205"/>
      <c r="L76" s="205"/>
      <c r="M76" s="205"/>
      <c r="N76" s="205"/>
      <c r="O76" s="206"/>
      <c r="P76" s="206"/>
      <c r="Q76" s="206"/>
      <c r="R76" s="206"/>
      <c r="S76" s="206"/>
      <c r="T76" s="206"/>
      <c r="U76" s="232" t="s">
        <v>69</v>
      </c>
      <c r="V76" s="233"/>
      <c r="W76" s="233">
        <f>SUM(W77:W77)</f>
        <v>17000</v>
      </c>
      <c r="X76" s="266" t="s">
        <v>57</v>
      </c>
      <c r="Y76" s="6"/>
    </row>
    <row r="77" spans="1:46" s="11" customFormat="1" ht="19.5" customHeight="1">
      <c r="A77" s="60"/>
      <c r="B77" s="89"/>
      <c r="C77" s="46" t="s">
        <v>217</v>
      </c>
      <c r="D77" s="48">
        <v>17</v>
      </c>
      <c r="E77" s="48">
        <f>W77/1000</f>
        <v>17</v>
      </c>
      <c r="F77" s="38">
        <f>E77-D77</f>
        <v>0</v>
      </c>
      <c r="G77" s="39">
        <f>IF(D77=0,0,F77/D77)</f>
        <v>0</v>
      </c>
      <c r="H77" s="429" t="s">
        <v>299</v>
      </c>
      <c r="I77" s="178"/>
      <c r="J77" s="177"/>
      <c r="K77" s="177"/>
      <c r="L77" s="177"/>
      <c r="M77" s="177"/>
      <c r="N77" s="177"/>
      <c r="O77" s="177"/>
      <c r="P77" s="177" t="s">
        <v>298</v>
      </c>
      <c r="Q77" s="177"/>
      <c r="R77" s="177"/>
      <c r="S77" s="177"/>
      <c r="T77" s="177"/>
      <c r="U77" s="560" t="s">
        <v>69</v>
      </c>
      <c r="V77" s="560"/>
      <c r="W77" s="146">
        <f>SUM(W78:W81)</f>
        <v>17000</v>
      </c>
      <c r="X77" s="147" t="s">
        <v>57</v>
      </c>
      <c r="Y77" s="6"/>
    </row>
    <row r="78" spans="1:46" s="11" customFormat="1" ht="19.5" customHeight="1">
      <c r="A78" s="60"/>
      <c r="B78" s="89"/>
      <c r="C78" s="46" t="s">
        <v>179</v>
      </c>
      <c r="D78" s="48"/>
      <c r="E78" s="48"/>
      <c r="F78" s="49"/>
      <c r="G78" s="70"/>
      <c r="H78" s="397" t="s">
        <v>300</v>
      </c>
      <c r="I78" s="292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68"/>
      <c r="W78" s="278">
        <v>8000</v>
      </c>
      <c r="X78" s="57" t="s">
        <v>25</v>
      </c>
      <c r="Y78" s="6"/>
    </row>
    <row r="79" spans="1:46" s="11" customFormat="1" ht="19.5" customHeight="1">
      <c r="A79" s="60"/>
      <c r="B79" s="89"/>
      <c r="C79" s="46"/>
      <c r="D79" s="48"/>
      <c r="E79" s="48"/>
      <c r="F79" s="49"/>
      <c r="G79" s="70"/>
      <c r="H79" s="67" t="s">
        <v>363</v>
      </c>
      <c r="I79" s="292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68"/>
      <c r="W79" s="278">
        <v>4000</v>
      </c>
      <c r="X79" s="57" t="s">
        <v>359</v>
      </c>
      <c r="Y79" s="6"/>
    </row>
    <row r="80" spans="1:46" s="11" customFormat="1" ht="19.5" customHeight="1">
      <c r="A80" s="60"/>
      <c r="B80" s="89"/>
      <c r="C80" s="46"/>
      <c r="D80" s="48"/>
      <c r="E80" s="48"/>
      <c r="F80" s="49"/>
      <c r="G80" s="70"/>
      <c r="H80" s="67" t="s">
        <v>364</v>
      </c>
      <c r="I80" s="292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68"/>
      <c r="W80" s="278">
        <v>2000</v>
      </c>
      <c r="X80" s="57" t="s">
        <v>25</v>
      </c>
      <c r="Y80" s="6"/>
    </row>
    <row r="81" spans="1:25" s="11" customFormat="1" ht="19.5" customHeight="1">
      <c r="A81" s="60"/>
      <c r="B81" s="89"/>
      <c r="C81" s="46"/>
      <c r="D81" s="48"/>
      <c r="E81" s="48"/>
      <c r="F81" s="49"/>
      <c r="G81" s="70"/>
      <c r="H81" s="67" t="s">
        <v>365</v>
      </c>
      <c r="I81" s="291"/>
      <c r="J81" s="291"/>
      <c r="K81" s="291"/>
      <c r="L81" s="291"/>
      <c r="M81" s="291"/>
      <c r="N81" s="291"/>
      <c r="O81" s="291"/>
      <c r="P81" s="561"/>
      <c r="Q81" s="561"/>
      <c r="R81" s="291"/>
      <c r="S81" s="291"/>
      <c r="T81" s="291"/>
      <c r="U81" s="291"/>
      <c r="V81" s="291"/>
      <c r="W81" s="275">
        <v>3000</v>
      </c>
      <c r="X81" s="57" t="s">
        <v>25</v>
      </c>
      <c r="Y81" s="6"/>
    </row>
    <row r="82" spans="1:25" s="11" customFormat="1" ht="19.5" customHeight="1">
      <c r="A82" s="60"/>
      <c r="B82" s="89"/>
      <c r="C82" s="46"/>
      <c r="D82" s="48"/>
      <c r="E82" s="48"/>
      <c r="F82" s="49"/>
      <c r="G82" s="70"/>
      <c r="H82" s="67"/>
      <c r="I82" s="221"/>
      <c r="J82" s="220"/>
      <c r="K82" s="220"/>
      <c r="L82" s="220"/>
      <c r="M82" s="220"/>
      <c r="N82" s="220"/>
      <c r="O82" s="220"/>
      <c r="P82" s="54"/>
      <c r="Q82" s="54"/>
      <c r="R82" s="54"/>
      <c r="S82" s="220"/>
      <c r="T82" s="220"/>
      <c r="U82" s="220"/>
      <c r="V82" s="68"/>
      <c r="W82" s="68"/>
      <c r="X82" s="57"/>
      <c r="Y82" s="6"/>
    </row>
    <row r="83" spans="1:25" s="11" customFormat="1" ht="19.5" customHeight="1">
      <c r="A83" s="60"/>
      <c r="B83" s="89"/>
      <c r="C83" s="36" t="s">
        <v>191</v>
      </c>
      <c r="D83" s="215">
        <v>745</v>
      </c>
      <c r="E83" s="215">
        <f>E84</f>
        <v>745</v>
      </c>
      <c r="F83" s="216">
        <f>E83-D83</f>
        <v>0</v>
      </c>
      <c r="G83" s="217">
        <f>IF(D83=0,0,F83/D83)</f>
        <v>0</v>
      </c>
      <c r="H83" s="203" t="s">
        <v>237</v>
      </c>
      <c r="I83" s="204"/>
      <c r="J83" s="205"/>
      <c r="K83" s="205"/>
      <c r="L83" s="205"/>
      <c r="M83" s="205"/>
      <c r="N83" s="205"/>
      <c r="O83" s="206"/>
      <c r="P83" s="206"/>
      <c r="Q83" s="206"/>
      <c r="R83" s="206"/>
      <c r="S83" s="206"/>
      <c r="T83" s="206"/>
      <c r="U83" s="232" t="s">
        <v>239</v>
      </c>
      <c r="V83" s="233"/>
      <c r="W83" s="233">
        <f>SUM(W84:W84)</f>
        <v>745000</v>
      </c>
      <c r="X83" s="266" t="s">
        <v>238</v>
      </c>
      <c r="Y83" s="6"/>
    </row>
    <row r="84" spans="1:25" s="11" customFormat="1" ht="19.5" customHeight="1">
      <c r="A84" s="60"/>
      <c r="B84" s="89"/>
      <c r="C84" s="46" t="s">
        <v>218</v>
      </c>
      <c r="D84" s="48">
        <v>745</v>
      </c>
      <c r="E84" s="48">
        <f>W84/1000</f>
        <v>745</v>
      </c>
      <c r="F84" s="38">
        <f>E84-D84</f>
        <v>0</v>
      </c>
      <c r="G84" s="39">
        <f>IF(D84=0,0,F84/D84)</f>
        <v>0</v>
      </c>
      <c r="H84" s="96" t="s">
        <v>426</v>
      </c>
      <c r="I84" s="171"/>
      <c r="J84" s="179"/>
      <c r="K84" s="179"/>
      <c r="L84" s="179"/>
      <c r="M84" s="179"/>
      <c r="N84" s="179"/>
      <c r="O84" s="179"/>
      <c r="P84" s="179" t="s">
        <v>298</v>
      </c>
      <c r="Q84" s="179"/>
      <c r="R84" s="179"/>
      <c r="S84" s="179"/>
      <c r="T84" s="179"/>
      <c r="U84" s="560" t="s">
        <v>69</v>
      </c>
      <c r="V84" s="560"/>
      <c r="W84" s="146">
        <f>SUM(W85:W89)</f>
        <v>745000</v>
      </c>
      <c r="X84" s="147" t="s">
        <v>57</v>
      </c>
      <c r="Y84" s="6"/>
    </row>
    <row r="85" spans="1:25" s="11" customFormat="1" ht="19.5" customHeight="1">
      <c r="A85" s="60"/>
      <c r="B85" s="89"/>
      <c r="C85" s="46"/>
      <c r="D85" s="48"/>
      <c r="E85" s="48"/>
      <c r="F85" s="49"/>
      <c r="G85" s="31"/>
      <c r="H85" s="67" t="s">
        <v>422</v>
      </c>
      <c r="I85" s="292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68"/>
      <c r="W85" s="278">
        <v>16000</v>
      </c>
      <c r="X85" s="57" t="s">
        <v>359</v>
      </c>
      <c r="Y85" s="6"/>
    </row>
    <row r="86" spans="1:25" s="11" customFormat="1" ht="19.5" customHeight="1">
      <c r="A86" s="60"/>
      <c r="B86" s="89"/>
      <c r="C86" s="46"/>
      <c r="D86" s="48"/>
      <c r="E86" s="48"/>
      <c r="F86" s="49"/>
      <c r="G86" s="31"/>
      <c r="H86" s="67" t="s">
        <v>423</v>
      </c>
      <c r="I86" s="292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68"/>
      <c r="W86" s="278">
        <v>4000</v>
      </c>
      <c r="X86" s="57" t="s">
        <v>25</v>
      </c>
      <c r="Y86" s="6"/>
    </row>
    <row r="87" spans="1:25" s="11" customFormat="1" ht="19.5" customHeight="1">
      <c r="A87" s="60"/>
      <c r="B87" s="89"/>
      <c r="C87" s="46"/>
      <c r="D87" s="48"/>
      <c r="E87" s="48"/>
      <c r="F87" s="49"/>
      <c r="G87" s="31"/>
      <c r="H87" s="67" t="s">
        <v>424</v>
      </c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75">
        <v>5000</v>
      </c>
      <c r="X87" s="57" t="s">
        <v>25</v>
      </c>
      <c r="Y87" s="6"/>
    </row>
    <row r="88" spans="1:25" s="11" customFormat="1" ht="19.5" customHeight="1">
      <c r="A88" s="60"/>
      <c r="B88" s="89"/>
      <c r="C88" s="46"/>
      <c r="D88" s="48"/>
      <c r="E88" s="48"/>
      <c r="F88" s="49"/>
      <c r="G88" s="31"/>
      <c r="H88" s="67" t="s">
        <v>446</v>
      </c>
      <c r="I88" s="291"/>
      <c r="J88" s="291"/>
      <c r="K88" s="291"/>
      <c r="L88" s="291">
        <v>60000</v>
      </c>
      <c r="M88" s="291" t="s">
        <v>25</v>
      </c>
      <c r="N88" s="292" t="s">
        <v>26</v>
      </c>
      <c r="O88" s="291">
        <v>1</v>
      </c>
      <c r="P88" s="292" t="s">
        <v>145</v>
      </c>
      <c r="Q88" s="292" t="s">
        <v>26</v>
      </c>
      <c r="R88" s="291">
        <v>12</v>
      </c>
      <c r="S88" s="291" t="s">
        <v>29</v>
      </c>
      <c r="T88" s="502" t="s">
        <v>27</v>
      </c>
      <c r="U88" s="502"/>
      <c r="V88" s="292"/>
      <c r="W88" s="275">
        <f>L88*O88*R88</f>
        <v>720000</v>
      </c>
      <c r="X88" s="57" t="s">
        <v>125</v>
      </c>
      <c r="Y88" s="6"/>
    </row>
    <row r="89" spans="1:25" s="11" customFormat="1" ht="19.5" customHeight="1" thickBot="1">
      <c r="A89" s="99"/>
      <c r="B89" s="100"/>
      <c r="C89" s="100"/>
      <c r="D89" s="102"/>
      <c r="E89" s="102"/>
      <c r="F89" s="103"/>
      <c r="G89" s="104"/>
      <c r="H89" s="63"/>
      <c r="I89" s="65"/>
      <c r="J89" s="65"/>
      <c r="K89" s="65"/>
      <c r="L89" s="65"/>
      <c r="M89" s="65"/>
      <c r="N89" s="64"/>
      <c r="O89" s="65"/>
      <c r="P89" s="64"/>
      <c r="Q89" s="64"/>
      <c r="R89" s="65"/>
      <c r="S89" s="65"/>
      <c r="T89" s="105"/>
      <c r="U89" s="105"/>
      <c r="V89" s="64"/>
      <c r="W89" s="65"/>
      <c r="X89" s="66"/>
      <c r="Y89" s="6"/>
    </row>
    <row r="90" spans="1:25" s="11" customFormat="1" ht="19.5" customHeight="1">
      <c r="A90" s="7"/>
      <c r="B90" s="7"/>
      <c r="C90" s="7"/>
      <c r="D90" s="9"/>
      <c r="E90" s="9"/>
      <c r="F90" s="10"/>
      <c r="G90" s="12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6"/>
    </row>
  </sheetData>
  <mergeCells count="24">
    <mergeCell ref="P81:Q81"/>
    <mergeCell ref="U84:V84"/>
    <mergeCell ref="U17:V17"/>
    <mergeCell ref="U19:V19"/>
    <mergeCell ref="A2:C2"/>
    <mergeCell ref="D2:D3"/>
    <mergeCell ref="A4:C4"/>
    <mergeCell ref="U53:V53"/>
    <mergeCell ref="U74:V74"/>
    <mergeCell ref="E2:E3"/>
    <mergeCell ref="U39:V39"/>
    <mergeCell ref="F2:G2"/>
    <mergeCell ref="H2:X3"/>
    <mergeCell ref="U29:V29"/>
    <mergeCell ref="U46:V46"/>
    <mergeCell ref="A1:F1"/>
    <mergeCell ref="U77:V77"/>
    <mergeCell ref="U34:V34"/>
    <mergeCell ref="U31:V31"/>
    <mergeCell ref="U49:V49"/>
    <mergeCell ref="U56:V56"/>
    <mergeCell ref="U66:V66"/>
    <mergeCell ref="U59:V59"/>
    <mergeCell ref="U62:V62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91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14" sqref="K114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10.77734375" style="22" customWidth="1"/>
    <col min="4" max="4" width="10.33203125" style="18" customWidth="1"/>
    <col min="5" max="5" width="7.88671875" style="18" bestFit="1" customWidth="1"/>
    <col min="6" max="6" width="9.109375" style="18" bestFit="1" customWidth="1"/>
    <col min="7" max="7" width="8.5546875" style="18" bestFit="1" customWidth="1"/>
    <col min="8" max="9" width="7" style="18" bestFit="1" customWidth="1"/>
    <col min="10" max="10" width="7.77734375" style="18" customWidth="1"/>
    <col min="11" max="11" width="8.5546875" style="18" customWidth="1"/>
    <col min="12" max="12" width="7.77734375" style="18" customWidth="1"/>
    <col min="13" max="13" width="7.109375" style="18" bestFit="1" customWidth="1"/>
    <col min="14" max="14" width="7.21875" style="175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.21875" style="5" bestFit="1" customWidth="1"/>
    <col min="20" max="20" width="3.21875" style="5" bestFit="1" customWidth="1"/>
    <col min="21" max="21" width="4" style="5" bestFit="1" customWidth="1"/>
    <col min="22" max="22" width="7.88671875" style="5" bestFit="1" customWidth="1"/>
    <col min="23" max="23" width="3.21875" style="5" customWidth="1"/>
    <col min="24" max="24" width="4.109375" style="5" bestFit="1" customWidth="1"/>
    <col min="25" max="25" width="4.77734375" style="5" customWidth="1"/>
    <col min="26" max="26" width="4.6640625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2" style="5" bestFit="1" customWidth="1"/>
    <col min="31" max="31" width="2.77734375" style="5" customWidth="1"/>
    <col min="32" max="32" width="5.77734375" style="4" customWidth="1"/>
    <col min="33" max="16384" width="13.77734375" style="4"/>
  </cols>
  <sheetData>
    <row r="1" spans="1:32" s="11" customFormat="1" ht="21" customHeight="1" thickBot="1">
      <c r="A1" s="559" t="s">
        <v>466</v>
      </c>
      <c r="B1" s="559"/>
      <c r="C1" s="559"/>
      <c r="D1" s="559"/>
      <c r="E1" s="559"/>
      <c r="F1" s="106"/>
      <c r="G1" s="106"/>
      <c r="H1" s="106"/>
      <c r="I1" s="106"/>
      <c r="J1" s="106"/>
      <c r="K1" s="106"/>
      <c r="L1" s="106"/>
      <c r="M1" s="106"/>
      <c r="N1" s="167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563" t="s">
        <v>22</v>
      </c>
      <c r="B2" s="564"/>
      <c r="C2" s="564"/>
      <c r="D2" s="569" t="s">
        <v>467</v>
      </c>
      <c r="E2" s="589" t="s">
        <v>468</v>
      </c>
      <c r="F2" s="590"/>
      <c r="G2" s="590"/>
      <c r="H2" s="590"/>
      <c r="I2" s="590"/>
      <c r="J2" s="590"/>
      <c r="K2" s="590"/>
      <c r="L2" s="591"/>
      <c r="M2" s="571" t="s">
        <v>23</v>
      </c>
      <c r="N2" s="571"/>
      <c r="O2" s="575" t="s">
        <v>54</v>
      </c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77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570"/>
      <c r="E3" s="150" t="s">
        <v>130</v>
      </c>
      <c r="F3" s="529" t="s">
        <v>408</v>
      </c>
      <c r="G3" s="529" t="s">
        <v>310</v>
      </c>
      <c r="H3" s="529" t="s">
        <v>311</v>
      </c>
      <c r="I3" s="529" t="s">
        <v>63</v>
      </c>
      <c r="J3" s="529" t="s">
        <v>126</v>
      </c>
      <c r="K3" s="529" t="s">
        <v>128</v>
      </c>
      <c r="L3" s="529" t="s">
        <v>64</v>
      </c>
      <c r="M3" s="149" t="s">
        <v>131</v>
      </c>
      <c r="N3" s="107" t="s">
        <v>4</v>
      </c>
      <c r="O3" s="578"/>
      <c r="P3" s="579"/>
      <c r="Q3" s="579"/>
      <c r="R3" s="579"/>
      <c r="S3" s="579"/>
      <c r="T3" s="579"/>
      <c r="U3" s="579"/>
      <c r="V3" s="579"/>
      <c r="W3" s="579"/>
      <c r="X3" s="579"/>
      <c r="Y3" s="579"/>
      <c r="Z3" s="579"/>
      <c r="AA3" s="579"/>
      <c r="AB3" s="579"/>
      <c r="AC3" s="579"/>
      <c r="AD3" s="579"/>
      <c r="AE3" s="580"/>
    </row>
    <row r="4" spans="1:32" s="11" customFormat="1" ht="21" customHeight="1">
      <c r="A4" s="587" t="s">
        <v>31</v>
      </c>
      <c r="B4" s="588"/>
      <c r="C4" s="588"/>
      <c r="D4" s="305">
        <f>D5+D93+D107+D164+D173+D176</f>
        <v>67483.600000000006</v>
      </c>
      <c r="E4" s="472">
        <f t="shared" ref="E4:L4" si="0">SUM(E5,E93,E107,E164,E173,E176)</f>
        <v>63674</v>
      </c>
      <c r="F4" s="472">
        <f t="shared" si="0"/>
        <v>47200</v>
      </c>
      <c r="G4" s="472">
        <f t="shared" si="0"/>
        <v>0</v>
      </c>
      <c r="H4" s="472">
        <f t="shared" si="0"/>
        <v>300</v>
      </c>
      <c r="I4" s="472">
        <f t="shared" si="0"/>
        <v>1508</v>
      </c>
      <c r="J4" s="472">
        <f t="shared" si="0"/>
        <v>13820</v>
      </c>
      <c r="K4" s="472">
        <f t="shared" si="0"/>
        <v>0</v>
      </c>
      <c r="L4" s="472">
        <f t="shared" si="0"/>
        <v>846</v>
      </c>
      <c r="M4" s="306">
        <f>E4-D4</f>
        <v>-3809.6000000000058</v>
      </c>
      <c r="N4" s="307">
        <f>IF(D4=0,0,M4/D4)</f>
        <v>-5.6452234320635022E-2</v>
      </c>
      <c r="O4" s="308" t="s">
        <v>270</v>
      </c>
      <c r="P4" s="309"/>
      <c r="Q4" s="309"/>
      <c r="R4" s="309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>
        <f>SUM(AD5,AD93,AD107,AD164,AD173,AD176)</f>
        <v>63674000</v>
      </c>
      <c r="AE4" s="311" t="s">
        <v>25</v>
      </c>
      <c r="AF4" s="2"/>
    </row>
    <row r="5" spans="1:32" s="11" customFormat="1" ht="21" customHeight="1">
      <c r="A5" s="111" t="s">
        <v>6</v>
      </c>
      <c r="B5" s="585" t="s">
        <v>7</v>
      </c>
      <c r="C5" s="586"/>
      <c r="D5" s="312">
        <v>45416</v>
      </c>
      <c r="E5" s="312">
        <f t="shared" ref="E5:L5" si="1">SUM(E6,E54,E64)</f>
        <v>46397</v>
      </c>
      <c r="F5" s="312">
        <f t="shared" si="1"/>
        <v>42392</v>
      </c>
      <c r="G5" s="312">
        <f t="shared" si="1"/>
        <v>0</v>
      </c>
      <c r="H5" s="312">
        <f t="shared" si="1"/>
        <v>300</v>
      </c>
      <c r="I5" s="312">
        <f t="shared" si="1"/>
        <v>440</v>
      </c>
      <c r="J5" s="312">
        <f t="shared" si="1"/>
        <v>3145</v>
      </c>
      <c r="K5" s="312">
        <f t="shared" si="1"/>
        <v>0</v>
      </c>
      <c r="L5" s="312">
        <f t="shared" si="1"/>
        <v>120</v>
      </c>
      <c r="M5" s="313">
        <f>E5-D5</f>
        <v>981</v>
      </c>
      <c r="N5" s="314">
        <f>IF(D5=0,0,M5/D5)</f>
        <v>2.1600317068874407E-2</v>
      </c>
      <c r="O5" s="315" t="s">
        <v>271</v>
      </c>
      <c r="P5" s="315"/>
      <c r="Q5" s="315"/>
      <c r="R5" s="315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>
        <f>SUM(AD6,AD54,AD64)</f>
        <v>46397000</v>
      </c>
      <c r="AE5" s="317" t="s">
        <v>25</v>
      </c>
      <c r="AF5" s="2"/>
    </row>
    <row r="6" spans="1:32" s="11" customFormat="1" ht="21" customHeight="1">
      <c r="A6" s="45"/>
      <c r="B6" s="36" t="s">
        <v>8</v>
      </c>
      <c r="C6" s="318" t="s">
        <v>5</v>
      </c>
      <c r="D6" s="319">
        <v>36683</v>
      </c>
      <c r="E6" s="319">
        <f t="shared" ref="E6:L6" si="2">SUM(E7,E11,E14,E23,E26,E46)</f>
        <v>38721</v>
      </c>
      <c r="F6" s="319">
        <f t="shared" si="2"/>
        <v>38136</v>
      </c>
      <c r="G6" s="319">
        <f t="shared" si="2"/>
        <v>0</v>
      </c>
      <c r="H6" s="319">
        <f t="shared" si="2"/>
        <v>300</v>
      </c>
      <c r="I6" s="319">
        <f t="shared" si="2"/>
        <v>0</v>
      </c>
      <c r="J6" s="319">
        <f t="shared" si="2"/>
        <v>200</v>
      </c>
      <c r="K6" s="319">
        <f t="shared" si="2"/>
        <v>0</v>
      </c>
      <c r="L6" s="319">
        <f t="shared" si="2"/>
        <v>85</v>
      </c>
      <c r="M6" s="320">
        <f>E6-D6</f>
        <v>2038</v>
      </c>
      <c r="N6" s="321">
        <f>IF(D6=0,0,M6/D6)</f>
        <v>5.5557070032440092E-2</v>
      </c>
      <c r="O6" s="322" t="s">
        <v>272</v>
      </c>
      <c r="P6" s="322"/>
      <c r="Q6" s="322"/>
      <c r="R6" s="322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>
        <f>SUM(AD7,AD11,AD14,AD23,AD26,AD46)</f>
        <v>38721000</v>
      </c>
      <c r="AE6" s="324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56">
        <v>24142</v>
      </c>
      <c r="E7" s="113">
        <f>AD7/1000</f>
        <v>25086</v>
      </c>
      <c r="F7" s="113">
        <f>SUMIF($AB$8:$AB$10,"보조",$AD$8:$AD$10)/1000</f>
        <v>25086</v>
      </c>
      <c r="G7" s="113">
        <v>0</v>
      </c>
      <c r="H7" s="113">
        <v>0</v>
      </c>
      <c r="I7" s="113">
        <f>SUMIF($AB$8:$AB$9,"후원",$AD$8:$AD$9)/1000</f>
        <v>0</v>
      </c>
      <c r="J7" s="113">
        <f>SUMIF($AB$8:$AB$9,"입소",$AD$8:$AD$9)/1000</f>
        <v>0</v>
      </c>
      <c r="K7" s="113">
        <f>SUMIF($AB$8:$AB$9,"법인",$AD$8:$AD$9)/1000</f>
        <v>0</v>
      </c>
      <c r="L7" s="113">
        <f>SUMIF($AB$8:$AB$9,"잡수",$AD$8:$AD$9)/1000</f>
        <v>0</v>
      </c>
      <c r="M7" s="112">
        <f>E7-D7</f>
        <v>944</v>
      </c>
      <c r="N7" s="280">
        <f>IF(D7=0,0,M7/D7)</f>
        <v>3.9101979951950958E-2</v>
      </c>
      <c r="O7" s="115" t="s">
        <v>77</v>
      </c>
      <c r="P7" s="115"/>
      <c r="Q7" s="153"/>
      <c r="R7" s="153"/>
      <c r="S7" s="153"/>
      <c r="T7" s="152"/>
      <c r="U7" s="152"/>
      <c r="V7" s="152"/>
      <c r="W7" s="98" t="s">
        <v>132</v>
      </c>
      <c r="X7" s="98"/>
      <c r="Y7" s="98"/>
      <c r="Z7" s="98"/>
      <c r="AA7" s="98"/>
      <c r="AB7" s="98"/>
      <c r="AC7" s="117"/>
      <c r="AD7" s="117">
        <f>SUM(AD8:AD9)</f>
        <v>25086000</v>
      </c>
      <c r="AE7" s="118" t="s">
        <v>57</v>
      </c>
      <c r="AF7" s="1"/>
    </row>
    <row r="8" spans="1:32" s="11" customFormat="1" ht="21" customHeight="1">
      <c r="A8" s="45"/>
      <c r="B8" s="46"/>
      <c r="C8" s="46"/>
      <c r="D8" s="154"/>
      <c r="E8" s="108"/>
      <c r="F8" s="108"/>
      <c r="G8" s="108"/>
      <c r="H8" s="108"/>
      <c r="I8" s="108"/>
      <c r="J8" s="108"/>
      <c r="K8" s="108"/>
      <c r="L8" s="108"/>
      <c r="M8" s="108"/>
      <c r="N8" s="70"/>
      <c r="O8" s="279" t="s">
        <v>472</v>
      </c>
      <c r="P8" s="277"/>
      <c r="Q8" s="277"/>
      <c r="R8" s="277" t="s">
        <v>477</v>
      </c>
      <c r="S8" s="359">
        <v>2042000</v>
      </c>
      <c r="T8" s="275" t="s">
        <v>125</v>
      </c>
      <c r="U8" s="277" t="s">
        <v>58</v>
      </c>
      <c r="V8" s="275">
        <v>6</v>
      </c>
      <c r="W8" s="275" t="s">
        <v>163</v>
      </c>
      <c r="X8" s="275"/>
      <c r="Y8" s="275"/>
      <c r="Z8" s="275" t="s">
        <v>266</v>
      </c>
      <c r="AA8" s="275"/>
      <c r="AB8" s="275" t="s">
        <v>285</v>
      </c>
      <c r="AC8" s="278"/>
      <c r="AD8" s="278">
        <f>S8*V8</f>
        <v>12252000</v>
      </c>
      <c r="AE8" s="295" t="s">
        <v>125</v>
      </c>
      <c r="AF8" s="2"/>
    </row>
    <row r="9" spans="1:32" s="11" customFormat="1" ht="21" customHeight="1">
      <c r="A9" s="45"/>
      <c r="B9" s="46"/>
      <c r="C9" s="46"/>
      <c r="D9" s="154"/>
      <c r="E9" s="108"/>
      <c r="F9" s="108"/>
      <c r="G9" s="108"/>
      <c r="H9" s="108"/>
      <c r="I9" s="108"/>
      <c r="J9" s="108"/>
      <c r="K9" s="108"/>
      <c r="L9" s="108"/>
      <c r="M9" s="108"/>
      <c r="N9" s="70"/>
      <c r="O9" s="411"/>
      <c r="P9" s="412"/>
      <c r="Q9" s="412"/>
      <c r="R9" s="412" t="s">
        <v>478</v>
      </c>
      <c r="S9" s="359">
        <v>2139000</v>
      </c>
      <c r="T9" s="275" t="s">
        <v>25</v>
      </c>
      <c r="U9" s="277" t="s">
        <v>26</v>
      </c>
      <c r="V9" s="275">
        <v>6</v>
      </c>
      <c r="W9" s="275" t="s">
        <v>29</v>
      </c>
      <c r="X9" s="275"/>
      <c r="Y9" s="275"/>
      <c r="Z9" s="275" t="s">
        <v>27</v>
      </c>
      <c r="AA9" s="275"/>
      <c r="AB9" s="275" t="s">
        <v>431</v>
      </c>
      <c r="AC9" s="278"/>
      <c r="AD9" s="278">
        <f>S9*V9</f>
        <v>12834000</v>
      </c>
      <c r="AE9" s="295" t="s">
        <v>25</v>
      </c>
      <c r="AF9" s="2"/>
    </row>
    <row r="10" spans="1:32" s="11" customFormat="1" ht="21" customHeight="1">
      <c r="A10" s="45"/>
      <c r="B10" s="46"/>
      <c r="C10" s="46"/>
      <c r="D10" s="154"/>
      <c r="E10" s="108"/>
      <c r="F10" s="108"/>
      <c r="G10" s="108"/>
      <c r="H10" s="108"/>
      <c r="I10" s="108"/>
      <c r="J10" s="108"/>
      <c r="K10" s="108"/>
      <c r="L10" s="108"/>
      <c r="M10" s="108"/>
      <c r="N10" s="70"/>
      <c r="O10" s="531"/>
      <c r="P10" s="532"/>
      <c r="Q10" s="532"/>
      <c r="R10" s="532"/>
      <c r="S10" s="339"/>
      <c r="T10" s="339"/>
      <c r="U10" s="354"/>
      <c r="V10" s="339"/>
      <c r="W10" s="339"/>
      <c r="X10" s="339"/>
      <c r="Y10" s="339"/>
      <c r="Z10" s="339"/>
      <c r="AA10" s="339"/>
      <c r="AB10" s="339"/>
      <c r="AC10" s="340"/>
      <c r="AD10" s="340"/>
      <c r="AE10" s="341"/>
      <c r="AF10" s="1"/>
    </row>
    <row r="11" spans="1:32" s="11" customFormat="1" ht="21" customHeight="1">
      <c r="A11" s="45"/>
      <c r="B11" s="46"/>
      <c r="C11" s="36" t="s">
        <v>76</v>
      </c>
      <c r="D11" s="156">
        <v>0</v>
      </c>
      <c r="E11" s="113">
        <f>SUM(F11:L11)</f>
        <v>0</v>
      </c>
      <c r="F11" s="113">
        <f>SUMIF($AB$12:$AB$13,"",$AD$12:$AD$13)/1000</f>
        <v>0</v>
      </c>
      <c r="G11" s="113">
        <f>SUMIF($AB$12:$AB$13,"",$AD$12:$AD$13)/1000</f>
        <v>0</v>
      </c>
      <c r="H11" s="113">
        <f>SUMIF($AB$12:$AB$13,"시비",$AD$12:$AD$13)/1000</f>
        <v>0</v>
      </c>
      <c r="I11" s="113">
        <f>SUMIF($AB$12:$AB$13,"후원",$AD$12:$AD$13)/1000</f>
        <v>0</v>
      </c>
      <c r="J11" s="113">
        <f>SUMIF($AB$12:$AB$13,"입소",$AD$12:$AD$13)/1000</f>
        <v>0</v>
      </c>
      <c r="K11" s="113">
        <f>SUMIF($AB$12:$AB$13,"법인",$AD$12:$AD$13)/1000</f>
        <v>0</v>
      </c>
      <c r="L11" s="113">
        <f>SUMIF($AB$12:$AB$13,"잡소",$AD$12:$AD$13)/1000</f>
        <v>0</v>
      </c>
      <c r="M11" s="122">
        <f>E11-D11</f>
        <v>0</v>
      </c>
      <c r="N11" s="120">
        <f>IF(D11=0,0,M11/D11)</f>
        <v>0</v>
      </c>
      <c r="O11" s="429" t="s">
        <v>79</v>
      </c>
      <c r="P11" s="115"/>
      <c r="Q11" s="178"/>
      <c r="R11" s="178"/>
      <c r="S11" s="178"/>
      <c r="T11" s="177"/>
      <c r="U11" s="177"/>
      <c r="V11" s="152"/>
      <c r="W11" s="98" t="s">
        <v>132</v>
      </c>
      <c r="X11" s="98"/>
      <c r="Y11" s="98"/>
      <c r="Z11" s="98"/>
      <c r="AA11" s="98"/>
      <c r="AB11" s="98"/>
      <c r="AC11" s="117"/>
      <c r="AD11" s="117">
        <f>SUM(AD12)</f>
        <v>0</v>
      </c>
      <c r="AE11" s="118" t="s">
        <v>57</v>
      </c>
      <c r="AF11" s="1"/>
    </row>
    <row r="12" spans="1:32" s="11" customFormat="1" ht="21" customHeight="1">
      <c r="A12" s="45"/>
      <c r="B12" s="46"/>
      <c r="C12" s="46"/>
      <c r="D12" s="154"/>
      <c r="E12" s="108"/>
      <c r="F12" s="108"/>
      <c r="G12" s="108"/>
      <c r="H12" s="108"/>
      <c r="I12" s="108"/>
      <c r="J12" s="108"/>
      <c r="K12" s="108"/>
      <c r="L12" s="108"/>
      <c r="M12" s="108"/>
      <c r="N12" s="70"/>
      <c r="O12" s="430"/>
      <c r="P12" s="80"/>
      <c r="Q12" s="50"/>
      <c r="R12" s="50"/>
      <c r="S12" s="123"/>
      <c r="T12" s="123"/>
      <c r="U12" s="124"/>
      <c r="V12" s="123"/>
      <c r="W12" s="123"/>
      <c r="X12" s="124"/>
      <c r="Y12" s="294"/>
      <c r="Z12" s="90"/>
      <c r="AA12" s="90"/>
      <c r="AB12" s="291"/>
      <c r="AC12" s="68"/>
      <c r="AD12" s="132">
        <f>S12*V12*Y12</f>
        <v>0</v>
      </c>
      <c r="AE12" s="57" t="s">
        <v>78</v>
      </c>
      <c r="AF12" s="1"/>
    </row>
    <row r="13" spans="1:32" s="11" customFormat="1" ht="21" customHeight="1">
      <c r="A13" s="45"/>
      <c r="B13" s="46"/>
      <c r="C13" s="46"/>
      <c r="D13" s="154"/>
      <c r="E13" s="108"/>
      <c r="F13" s="108"/>
      <c r="G13" s="108"/>
      <c r="H13" s="108"/>
      <c r="I13" s="108"/>
      <c r="J13" s="108"/>
      <c r="K13" s="108"/>
      <c r="L13" s="108"/>
      <c r="M13" s="108"/>
      <c r="N13" s="70"/>
      <c r="O13" s="50"/>
      <c r="P13" s="50"/>
      <c r="Q13" s="50"/>
      <c r="R13" s="50"/>
      <c r="S13" s="51"/>
      <c r="T13" s="51"/>
      <c r="U13" s="50"/>
      <c r="V13" s="51"/>
      <c r="W13" s="51"/>
      <c r="X13" s="50"/>
      <c r="Y13" s="91"/>
      <c r="Z13" s="51"/>
      <c r="AA13" s="51"/>
      <c r="AB13" s="51"/>
      <c r="AC13" s="68"/>
      <c r="AD13" s="51"/>
      <c r="AE13" s="57"/>
      <c r="AF13" s="1"/>
    </row>
    <row r="14" spans="1:32" s="11" customFormat="1" ht="21" customHeight="1">
      <c r="A14" s="45"/>
      <c r="B14" s="46"/>
      <c r="C14" s="36" t="s">
        <v>33</v>
      </c>
      <c r="D14" s="156">
        <v>6685</v>
      </c>
      <c r="E14" s="113">
        <f>AD14/1000</f>
        <v>7010</v>
      </c>
      <c r="F14" s="113">
        <f>ROUND(SUMIF($AB$16:$AB$22,"보조",$AD$16:$AD$22)/1000,0)</f>
        <v>7010</v>
      </c>
      <c r="G14" s="113">
        <f>SUMIF($AB$16:$AB$22,"7종",$AD$16:$AD$22)/1000</f>
        <v>0</v>
      </c>
      <c r="H14" s="113">
        <f>SUMIF($AB$16:$AB$22,"시비",$AD$16:$AD$22)/1000</f>
        <v>0</v>
      </c>
      <c r="I14" s="113">
        <f>SUMIF($AB$16:$AB$22,"후원",$AD$16:$AD$22)/1000</f>
        <v>0</v>
      </c>
      <c r="J14" s="113">
        <f>SUMIF($AB$16:$AB$22,"입소",$AD$16:$AD$22)/1000</f>
        <v>0</v>
      </c>
      <c r="K14" s="113">
        <f>SUMIF($AB$16:$AB$22,"법인",$AD$16:$AD$22)/1000</f>
        <v>0</v>
      </c>
      <c r="L14" s="113">
        <f>SUMIF($AB$16:$AB$22,"잡수",$AD$16:$AD$22)/1000</f>
        <v>0</v>
      </c>
      <c r="M14" s="112">
        <f>E14-D14</f>
        <v>325</v>
      </c>
      <c r="N14" s="120">
        <f>IF(D14=0,0,M14/D14)</f>
        <v>4.8616305160807775E-2</v>
      </c>
      <c r="O14" s="96" t="s">
        <v>34</v>
      </c>
      <c r="P14" s="171"/>
      <c r="Q14" s="92"/>
      <c r="R14" s="92"/>
      <c r="S14" s="92"/>
      <c r="T14" s="88"/>
      <c r="U14" s="88"/>
      <c r="V14" s="88"/>
      <c r="W14" s="172" t="s">
        <v>132</v>
      </c>
      <c r="X14" s="172"/>
      <c r="Y14" s="172"/>
      <c r="Z14" s="172"/>
      <c r="AA14" s="172"/>
      <c r="AB14" s="172"/>
      <c r="AC14" s="174"/>
      <c r="AD14" s="174">
        <f>SUM(명절휴가비,연장근로수당)</f>
        <v>7010000</v>
      </c>
      <c r="AE14" s="173" t="s">
        <v>57</v>
      </c>
      <c r="AF14" s="1"/>
    </row>
    <row r="15" spans="1:32" s="11" customFormat="1" ht="21" customHeight="1">
      <c r="A15" s="45"/>
      <c r="B15" s="46"/>
      <c r="C15" s="46"/>
      <c r="D15" s="154"/>
      <c r="E15" s="108"/>
      <c r="F15" s="108"/>
      <c r="G15" s="108"/>
      <c r="H15" s="108"/>
      <c r="I15" s="108"/>
      <c r="J15" s="108"/>
      <c r="K15" s="108"/>
      <c r="L15" s="108"/>
      <c r="M15" s="108"/>
      <c r="N15" s="70"/>
      <c r="O15" s="354" t="s">
        <v>276</v>
      </c>
      <c r="P15" s="277"/>
      <c r="Q15" s="277"/>
      <c r="R15" s="277"/>
      <c r="S15" s="277"/>
      <c r="T15" s="275"/>
      <c r="U15" s="275"/>
      <c r="V15" s="275"/>
      <c r="W15" s="339" t="s">
        <v>275</v>
      </c>
      <c r="X15" s="339"/>
      <c r="Y15" s="339"/>
      <c r="Z15" s="339"/>
      <c r="AA15" s="339"/>
      <c r="AB15" s="339"/>
      <c r="AC15" s="340" t="s">
        <v>277</v>
      </c>
      <c r="AD15" s="340">
        <f>ROUND(SUM(AD16:AD17),-3)</f>
        <v>2508000</v>
      </c>
      <c r="AE15" s="341" t="s">
        <v>274</v>
      </c>
      <c r="AF15" s="17"/>
    </row>
    <row r="16" spans="1:32" s="11" customFormat="1" ht="21" customHeight="1">
      <c r="A16" s="45"/>
      <c r="B16" s="46"/>
      <c r="C16" s="46"/>
      <c r="D16" s="154"/>
      <c r="E16" s="108"/>
      <c r="F16" s="108"/>
      <c r="G16" s="108"/>
      <c r="H16" s="108"/>
      <c r="I16" s="108"/>
      <c r="J16" s="108"/>
      <c r="K16" s="108"/>
      <c r="L16" s="108"/>
      <c r="M16" s="108"/>
      <c r="N16" s="70"/>
      <c r="O16" s="277" t="s">
        <v>472</v>
      </c>
      <c r="P16" s="277"/>
      <c r="Q16" s="277"/>
      <c r="R16" s="292" t="s">
        <v>479</v>
      </c>
      <c r="S16" s="431">
        <v>2042000</v>
      </c>
      <c r="T16" s="291" t="s">
        <v>57</v>
      </c>
      <c r="U16" s="292" t="s">
        <v>58</v>
      </c>
      <c r="V16" s="432">
        <v>0.6</v>
      </c>
      <c r="W16" s="275"/>
      <c r="X16" s="275"/>
      <c r="Y16" s="275"/>
      <c r="Z16" s="275" t="s">
        <v>301</v>
      </c>
      <c r="AA16" s="275"/>
      <c r="AB16" s="275" t="s">
        <v>302</v>
      </c>
      <c r="AC16" s="278"/>
      <c r="AD16" s="278">
        <f>ROUND(S16*V16,-3)</f>
        <v>1225000</v>
      </c>
      <c r="AE16" s="295" t="s">
        <v>274</v>
      </c>
      <c r="AF16" s="513"/>
    </row>
    <row r="17" spans="1:32" s="11" customFormat="1" ht="21" customHeight="1">
      <c r="A17" s="45"/>
      <c r="B17" s="46"/>
      <c r="C17" s="46"/>
      <c r="D17" s="154"/>
      <c r="E17" s="108"/>
      <c r="F17" s="108"/>
      <c r="G17" s="108"/>
      <c r="H17" s="108"/>
      <c r="I17" s="108"/>
      <c r="J17" s="108"/>
      <c r="K17" s="108"/>
      <c r="L17" s="108"/>
      <c r="M17" s="108"/>
      <c r="N17" s="70"/>
      <c r="O17" s="277"/>
      <c r="P17" s="277"/>
      <c r="Q17" s="277"/>
      <c r="R17" s="277" t="s">
        <v>480</v>
      </c>
      <c r="S17" s="359">
        <v>2139000</v>
      </c>
      <c r="T17" s="275" t="s">
        <v>57</v>
      </c>
      <c r="U17" s="292" t="s">
        <v>58</v>
      </c>
      <c r="V17" s="432">
        <v>0.6</v>
      </c>
      <c r="W17" s="275"/>
      <c r="X17" s="275"/>
      <c r="Y17" s="275"/>
      <c r="Z17" s="275" t="s">
        <v>301</v>
      </c>
      <c r="AA17" s="275"/>
      <c r="AB17" s="275" t="s">
        <v>302</v>
      </c>
      <c r="AC17" s="278"/>
      <c r="AD17" s="278">
        <f>ROUND(S17*V17,-3)</f>
        <v>1283000</v>
      </c>
      <c r="AE17" s="295" t="s">
        <v>57</v>
      </c>
      <c r="AF17" s="513"/>
    </row>
    <row r="18" spans="1:32" s="11" customFormat="1" ht="21" customHeight="1">
      <c r="A18" s="45"/>
      <c r="B18" s="46"/>
      <c r="C18" s="46"/>
      <c r="D18" s="154"/>
      <c r="E18" s="108"/>
      <c r="F18" s="108"/>
      <c r="G18" s="108"/>
      <c r="H18" s="108"/>
      <c r="I18" s="108"/>
      <c r="J18" s="108"/>
      <c r="K18" s="108"/>
      <c r="L18" s="108"/>
      <c r="M18" s="108"/>
      <c r="N18" s="70"/>
      <c r="O18" s="277"/>
      <c r="P18" s="277"/>
      <c r="Q18" s="277"/>
      <c r="R18" s="277"/>
      <c r="S18" s="277"/>
      <c r="T18" s="275"/>
      <c r="U18" s="275"/>
      <c r="V18" s="275"/>
      <c r="W18" s="275"/>
      <c r="X18" s="275"/>
      <c r="Y18" s="275"/>
      <c r="Z18" s="275"/>
      <c r="AA18" s="275"/>
      <c r="AB18" s="275"/>
      <c r="AC18" s="278"/>
      <c r="AD18" s="278"/>
      <c r="AE18" s="295"/>
      <c r="AF18" s="17"/>
    </row>
    <row r="19" spans="1:32" s="11" customFormat="1" ht="21" customHeight="1">
      <c r="A19" s="45"/>
      <c r="B19" s="46"/>
      <c r="C19" s="46"/>
      <c r="D19" s="154"/>
      <c r="E19" s="108"/>
      <c r="F19" s="108"/>
      <c r="G19" s="108"/>
      <c r="H19" s="108"/>
      <c r="I19" s="108"/>
      <c r="J19" s="108"/>
      <c r="K19" s="108"/>
      <c r="L19" s="108"/>
      <c r="M19" s="108"/>
      <c r="N19" s="70"/>
      <c r="O19" s="354" t="s">
        <v>475</v>
      </c>
      <c r="P19" s="277"/>
      <c r="Q19" s="277"/>
      <c r="R19" s="277"/>
      <c r="S19" s="277"/>
      <c r="T19" s="275"/>
      <c r="U19" s="275"/>
      <c r="V19" s="275"/>
      <c r="W19" s="339" t="s">
        <v>275</v>
      </c>
      <c r="X19" s="339"/>
      <c r="Y19" s="339"/>
      <c r="Z19" s="339"/>
      <c r="AA19" s="339"/>
      <c r="AB19" s="339"/>
      <c r="AC19" s="340" t="s">
        <v>277</v>
      </c>
      <c r="AD19" s="340">
        <f>ROUND(SUM(AD20:AD22),-3)</f>
        <v>4502000</v>
      </c>
      <c r="AE19" s="341" t="s">
        <v>274</v>
      </c>
      <c r="AF19" s="17"/>
    </row>
    <row r="20" spans="1:32" s="11" customFormat="1" ht="21" customHeight="1">
      <c r="A20" s="45"/>
      <c r="B20" s="46"/>
      <c r="C20" s="46"/>
      <c r="D20" s="154"/>
      <c r="E20" s="108"/>
      <c r="F20" s="108"/>
      <c r="G20" s="108"/>
      <c r="H20" s="108"/>
      <c r="I20" s="108"/>
      <c r="J20" s="108"/>
      <c r="K20" s="108"/>
      <c r="L20" s="108"/>
      <c r="M20" s="108"/>
      <c r="N20" s="70"/>
      <c r="O20" s="277" t="s">
        <v>473</v>
      </c>
      <c r="P20" s="277"/>
      <c r="Q20" s="277"/>
      <c r="R20" s="292" t="s">
        <v>481</v>
      </c>
      <c r="S20" s="431">
        <v>2042000</v>
      </c>
      <c r="T20" s="275" t="s">
        <v>25</v>
      </c>
      <c r="U20" s="326" t="s">
        <v>430</v>
      </c>
      <c r="V20" s="433">
        <v>209</v>
      </c>
      <c r="W20" s="434">
        <v>1.5</v>
      </c>
      <c r="X20" s="277" t="s">
        <v>26</v>
      </c>
      <c r="Y20" s="436">
        <v>25</v>
      </c>
      <c r="Z20" s="435">
        <v>6</v>
      </c>
      <c r="AA20" s="275" t="s">
        <v>27</v>
      </c>
      <c r="AB20" s="275" t="s">
        <v>431</v>
      </c>
      <c r="AC20" s="278"/>
      <c r="AD20" s="278">
        <f>ROUNDUP(ROUNDDOWN(S20/V20*W20*Y20,-1)*Z20,-3)</f>
        <v>2199000</v>
      </c>
      <c r="AE20" s="295" t="s">
        <v>25</v>
      </c>
      <c r="AF20" s="513"/>
    </row>
    <row r="21" spans="1:32" s="11" customFormat="1" ht="21" customHeight="1">
      <c r="A21" s="45"/>
      <c r="B21" s="46"/>
      <c r="C21" s="46"/>
      <c r="D21" s="154"/>
      <c r="E21" s="108"/>
      <c r="F21" s="108"/>
      <c r="G21" s="108"/>
      <c r="H21" s="108"/>
      <c r="I21" s="108"/>
      <c r="J21" s="108"/>
      <c r="K21" s="108"/>
      <c r="L21" s="108"/>
      <c r="M21" s="108"/>
      <c r="N21" s="70"/>
      <c r="O21" s="277"/>
      <c r="P21" s="277"/>
      <c r="Q21" s="277"/>
      <c r="R21" s="277" t="s">
        <v>482</v>
      </c>
      <c r="S21" s="359">
        <v>2139000</v>
      </c>
      <c r="T21" s="275" t="s">
        <v>25</v>
      </c>
      <c r="U21" s="326" t="s">
        <v>430</v>
      </c>
      <c r="V21" s="433">
        <v>209</v>
      </c>
      <c r="W21" s="434">
        <v>1.5</v>
      </c>
      <c r="X21" s="277" t="s">
        <v>26</v>
      </c>
      <c r="Y21" s="436">
        <v>25</v>
      </c>
      <c r="Z21" s="435">
        <v>6</v>
      </c>
      <c r="AA21" s="275" t="s">
        <v>27</v>
      </c>
      <c r="AB21" s="275" t="s">
        <v>431</v>
      </c>
      <c r="AC21" s="278"/>
      <c r="AD21" s="278">
        <f>ROUND(ROUNDUP(S21/V21*W21*Y21,-1)*Z21,-3)</f>
        <v>2303000</v>
      </c>
      <c r="AE21" s="295" t="s">
        <v>25</v>
      </c>
      <c r="AF21" s="513"/>
    </row>
    <row r="22" spans="1:32" s="11" customFormat="1" ht="21" customHeight="1">
      <c r="A22" s="45"/>
      <c r="B22" s="46"/>
      <c r="C22" s="46"/>
      <c r="D22" s="154"/>
      <c r="E22" s="108"/>
      <c r="F22" s="108"/>
      <c r="G22" s="108"/>
      <c r="H22" s="108"/>
      <c r="I22" s="108"/>
      <c r="J22" s="108"/>
      <c r="K22" s="108"/>
      <c r="L22" s="108"/>
      <c r="M22" s="108"/>
      <c r="N22" s="70"/>
      <c r="O22" s="277"/>
      <c r="P22" s="277"/>
      <c r="Q22" s="277"/>
      <c r="R22" s="277"/>
      <c r="S22" s="359"/>
      <c r="T22" s="275"/>
      <c r="U22" s="326"/>
      <c r="V22" s="433"/>
      <c r="W22" s="434"/>
      <c r="X22" s="277"/>
      <c r="Y22" s="436"/>
      <c r="Z22" s="435"/>
      <c r="AA22" s="275"/>
      <c r="AB22" s="275"/>
      <c r="AC22" s="278"/>
      <c r="AD22" s="278"/>
      <c r="AE22" s="295"/>
      <c r="AF22" s="513"/>
    </row>
    <row r="23" spans="1:32" s="11" customFormat="1" ht="21" customHeight="1">
      <c r="A23" s="45"/>
      <c r="B23" s="46"/>
      <c r="C23" s="36" t="s">
        <v>9</v>
      </c>
      <c r="D23" s="156">
        <v>2569</v>
      </c>
      <c r="E23" s="113">
        <f>AD23/1000</f>
        <v>2675</v>
      </c>
      <c r="F23" s="113">
        <f>SUMIF($AB$24:$AB$25,"보조",$AD$24:$AD$25)/1000</f>
        <v>2675</v>
      </c>
      <c r="G23" s="113">
        <f>SUMIF($AB$24:$AB$24,"7종",$AD$24:$AD$24)/1000</f>
        <v>0</v>
      </c>
      <c r="H23" s="113">
        <f>SUMIF($AB$24:$AB$24,"시비",$AD$24:$AD$24)/1000</f>
        <v>0</v>
      </c>
      <c r="I23" s="113">
        <f>SUMIF($AB$24:$AB$24,"후원",$AD$24:$AD$24)/1000</f>
        <v>0</v>
      </c>
      <c r="J23" s="113">
        <f>SUMIF($AB$24:$AB$24,"입소",$AD$24:$AD$24)/1000</f>
        <v>0</v>
      </c>
      <c r="K23" s="113">
        <f>SUMIF($AB$24:$AB$24,"법인",$AD$24:$AD$24)/1000</f>
        <v>0</v>
      </c>
      <c r="L23" s="113">
        <f>SUMIF($AB$24:$AB$24,"잡수",$AD$24:$AD$24)/1000</f>
        <v>0</v>
      </c>
      <c r="M23" s="112">
        <f>E23-D23</f>
        <v>106</v>
      </c>
      <c r="N23" s="120">
        <f>IF(D23=0,0,M23/D23)</f>
        <v>4.1261191124951344E-2</v>
      </c>
      <c r="O23" s="333" t="s">
        <v>35</v>
      </c>
      <c r="P23" s="446"/>
      <c r="Q23" s="334"/>
      <c r="R23" s="334"/>
      <c r="S23" s="334"/>
      <c r="T23" s="335"/>
      <c r="U23" s="335"/>
      <c r="V23" s="335"/>
      <c r="W23" s="330" t="s">
        <v>398</v>
      </c>
      <c r="X23" s="330"/>
      <c r="Y23" s="330"/>
      <c r="Z23" s="330"/>
      <c r="AA23" s="330"/>
      <c r="AB23" s="330"/>
      <c r="AC23" s="331" t="s">
        <v>399</v>
      </c>
      <c r="AD23" s="331">
        <f>ROUND(SUM(AD24:AD25),-3)</f>
        <v>2675000</v>
      </c>
      <c r="AE23" s="332" t="s">
        <v>400</v>
      </c>
      <c r="AF23" s="2"/>
    </row>
    <row r="24" spans="1:32" s="11" customFormat="1" ht="21" customHeight="1">
      <c r="A24" s="45"/>
      <c r="B24" s="46"/>
      <c r="C24" s="46"/>
      <c r="D24" s="157"/>
      <c r="E24" s="108"/>
      <c r="F24" s="108"/>
      <c r="G24" s="108"/>
      <c r="H24" s="108"/>
      <c r="I24" s="108"/>
      <c r="J24" s="108"/>
      <c r="K24" s="108"/>
      <c r="L24" s="108"/>
      <c r="M24" s="114"/>
      <c r="N24" s="70"/>
      <c r="O24" s="277" t="s">
        <v>474</v>
      </c>
      <c r="P24" s="277"/>
      <c r="Q24" s="277"/>
      <c r="R24" s="277"/>
      <c r="S24" s="275">
        <f>SUM(AD7,AD14)</f>
        <v>32096000</v>
      </c>
      <c r="T24" s="326" t="s">
        <v>400</v>
      </c>
      <c r="U24" s="326" t="s">
        <v>401</v>
      </c>
      <c r="V24" s="447">
        <v>12</v>
      </c>
      <c r="W24" s="325" t="s">
        <v>402</v>
      </c>
      <c r="X24" s="275"/>
      <c r="Y24" s="275"/>
      <c r="Z24" s="275"/>
      <c r="AA24" s="275" t="s">
        <v>403</v>
      </c>
      <c r="AB24" s="275" t="s">
        <v>404</v>
      </c>
      <c r="AC24" s="278"/>
      <c r="AD24" s="278">
        <f>ROUND(S24/V24,-3)</f>
        <v>2675000</v>
      </c>
      <c r="AE24" s="295" t="s">
        <v>400</v>
      </c>
      <c r="AF24" s="2"/>
    </row>
    <row r="25" spans="1:32" s="11" customFormat="1" ht="21" customHeight="1">
      <c r="A25" s="45"/>
      <c r="B25" s="46"/>
      <c r="C25" s="46"/>
      <c r="D25" s="157"/>
      <c r="E25" s="108"/>
      <c r="F25" s="108"/>
      <c r="G25" s="108"/>
      <c r="H25" s="108"/>
      <c r="I25" s="108"/>
      <c r="J25" s="108"/>
      <c r="K25" s="108"/>
      <c r="L25" s="108"/>
      <c r="M25" s="114"/>
      <c r="N25" s="70"/>
      <c r="O25" s="277"/>
      <c r="P25" s="277"/>
      <c r="Q25" s="277"/>
      <c r="R25" s="277"/>
      <c r="S25" s="275"/>
      <c r="T25" s="326"/>
      <c r="U25" s="326"/>
      <c r="V25" s="447"/>
      <c r="W25" s="325"/>
      <c r="X25" s="275"/>
      <c r="Y25" s="275"/>
      <c r="Z25" s="275"/>
      <c r="AA25" s="275"/>
      <c r="AB25" s="275"/>
      <c r="AC25" s="278"/>
      <c r="AD25" s="278"/>
      <c r="AE25" s="295"/>
      <c r="AF25" s="2"/>
    </row>
    <row r="26" spans="1:32" s="11" customFormat="1" ht="21" customHeight="1">
      <c r="A26" s="45"/>
      <c r="B26" s="46"/>
      <c r="C26" s="121" t="s">
        <v>80</v>
      </c>
      <c r="D26" s="156">
        <v>3040</v>
      </c>
      <c r="E26" s="113">
        <f>AD26/1000</f>
        <v>3365</v>
      </c>
      <c r="F26" s="113">
        <f>SUMIF($AB$29:$AB$45,"보조",$AD$29:$AD$45)/1000</f>
        <v>3365</v>
      </c>
      <c r="G26" s="113">
        <f>SUMIF($AB$29:$AB$45,"7종",$AD$29:$AD$45)/1000</f>
        <v>0</v>
      </c>
      <c r="H26" s="113">
        <f>SUMIF($AB$29:$AB$45,"시비",$AD$29:$AD$45)/1000</f>
        <v>0</v>
      </c>
      <c r="I26" s="113">
        <f>SUMIF($AB$29:$AB$45,"후원",$AD$29:$AD$45)/1000</f>
        <v>0</v>
      </c>
      <c r="J26" s="113">
        <f>SUMIF($AB$29:$AB$45,"입소",$AD$29:$AD$45)/1000</f>
        <v>0</v>
      </c>
      <c r="K26" s="113">
        <f>SUMIF($AB$29:$AB$45,"법인",$AD$29:$AD$45)/1000</f>
        <v>0</v>
      </c>
      <c r="L26" s="113">
        <f>SUMIF($AB$29:$AB$45,"잡수",$AD$29:$AD$45)/1000</f>
        <v>0</v>
      </c>
      <c r="M26" s="122">
        <f>E26-D26</f>
        <v>325</v>
      </c>
      <c r="N26" s="120">
        <f>IF(D26=0,0,M26/D26)</f>
        <v>0.1069078947368421</v>
      </c>
      <c r="O26" s="96" t="s">
        <v>36</v>
      </c>
      <c r="P26" s="171"/>
      <c r="Q26" s="92"/>
      <c r="R26" s="92"/>
      <c r="S26" s="92"/>
      <c r="T26" s="88"/>
      <c r="U26" s="88"/>
      <c r="V26" s="88"/>
      <c r="W26" s="172" t="s">
        <v>427</v>
      </c>
      <c r="X26" s="172"/>
      <c r="Y26" s="172"/>
      <c r="Z26" s="172"/>
      <c r="AA26" s="172"/>
      <c r="AB26" s="172"/>
      <c r="AC26" s="174"/>
      <c r="AD26" s="174">
        <f>SUM(AD28,AD31,AD34,AD37,AD40,AD43)</f>
        <v>3365000</v>
      </c>
      <c r="AE26" s="173" t="s">
        <v>25</v>
      </c>
    </row>
    <row r="27" spans="1:32" s="11" customFormat="1" ht="21" customHeight="1">
      <c r="A27" s="45"/>
      <c r="B27" s="46"/>
      <c r="C27" s="46" t="s">
        <v>133</v>
      </c>
      <c r="D27" s="154"/>
      <c r="E27" s="108"/>
      <c r="F27" s="108"/>
      <c r="G27" s="108"/>
      <c r="H27" s="108"/>
      <c r="I27" s="108"/>
      <c r="J27" s="108"/>
      <c r="K27" s="108"/>
      <c r="L27" s="108"/>
      <c r="M27" s="108"/>
      <c r="N27" s="70"/>
      <c r="O27" s="153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52"/>
      <c r="AD27" s="52"/>
      <c r="AE27" s="34"/>
      <c r="AF27" s="2"/>
    </row>
    <row r="28" spans="1:32" s="11" customFormat="1" ht="21" customHeight="1">
      <c r="A28" s="45"/>
      <c r="B28" s="46"/>
      <c r="C28" s="46"/>
      <c r="D28" s="154"/>
      <c r="E28" s="108"/>
      <c r="F28" s="108"/>
      <c r="G28" s="108"/>
      <c r="H28" s="108"/>
      <c r="I28" s="108"/>
      <c r="J28" s="108"/>
      <c r="K28" s="108"/>
      <c r="L28" s="108"/>
      <c r="M28" s="108"/>
      <c r="N28" s="70"/>
      <c r="O28" s="354" t="s">
        <v>428</v>
      </c>
      <c r="P28" s="277"/>
      <c r="Q28" s="277"/>
      <c r="R28" s="277"/>
      <c r="S28" s="277"/>
      <c r="T28" s="275"/>
      <c r="U28" s="275"/>
      <c r="V28" s="275"/>
      <c r="W28" s="339" t="s">
        <v>429</v>
      </c>
      <c r="X28" s="339"/>
      <c r="Y28" s="339"/>
      <c r="Z28" s="339"/>
      <c r="AA28" s="339"/>
      <c r="AB28" s="339"/>
      <c r="AC28" s="340"/>
      <c r="AD28" s="340">
        <f>ROUND(SUM(AD29:AD29),-3)</f>
        <v>1605000</v>
      </c>
      <c r="AE28" s="341" t="s">
        <v>25</v>
      </c>
      <c r="AF28" s="2"/>
    </row>
    <row r="29" spans="1:32" s="11" customFormat="1" ht="21" customHeight="1">
      <c r="A29" s="45"/>
      <c r="B29" s="46"/>
      <c r="C29" s="46"/>
      <c r="D29" s="154"/>
      <c r="E29" s="108"/>
      <c r="F29" s="108"/>
      <c r="G29" s="108"/>
      <c r="H29" s="108"/>
      <c r="I29" s="108"/>
      <c r="J29" s="108"/>
      <c r="K29" s="108"/>
      <c r="L29" s="108"/>
      <c r="M29" s="108"/>
      <c r="N29" s="70"/>
      <c r="O29" s="277"/>
      <c r="P29" s="277"/>
      <c r="Q29" s="277"/>
      <c r="R29" s="277"/>
      <c r="S29" s="275">
        <f>S24</f>
        <v>32096000</v>
      </c>
      <c r="T29" s="326" t="s">
        <v>25</v>
      </c>
      <c r="U29" s="325" t="s">
        <v>26</v>
      </c>
      <c r="V29" s="432">
        <v>0.1</v>
      </c>
      <c r="W29" s="326" t="s">
        <v>430</v>
      </c>
      <c r="X29" s="357">
        <v>2</v>
      </c>
      <c r="Y29" s="328"/>
      <c r="Z29" s="328"/>
      <c r="AA29" s="326" t="s">
        <v>27</v>
      </c>
      <c r="AB29" s="275" t="s">
        <v>431</v>
      </c>
      <c r="AC29" s="278"/>
      <c r="AD29" s="278">
        <f>ROUNDUP(S29*V29/X29,-3)</f>
        <v>1605000</v>
      </c>
      <c r="AE29" s="295" t="s">
        <v>25</v>
      </c>
      <c r="AF29" s="2"/>
    </row>
    <row r="30" spans="1:32" s="11" customFormat="1" ht="21" customHeight="1">
      <c r="A30" s="45"/>
      <c r="B30" s="46"/>
      <c r="C30" s="46"/>
      <c r="D30" s="154"/>
      <c r="E30" s="108"/>
      <c r="F30" s="108"/>
      <c r="G30" s="108"/>
      <c r="H30" s="108"/>
      <c r="I30" s="108"/>
      <c r="J30" s="108"/>
      <c r="K30" s="108"/>
      <c r="L30" s="108"/>
      <c r="M30" s="108"/>
      <c r="N30" s="70"/>
      <c r="O30" s="277"/>
      <c r="P30" s="277"/>
      <c r="Q30" s="277"/>
      <c r="R30" s="277"/>
      <c r="S30" s="275"/>
      <c r="T30" s="326"/>
      <c r="U30" s="325"/>
      <c r="V30" s="470"/>
      <c r="W30" s="326"/>
      <c r="X30" s="357"/>
      <c r="Y30" s="328"/>
      <c r="Z30" s="328"/>
      <c r="AA30" s="326"/>
      <c r="AB30" s="275"/>
      <c r="AC30" s="278"/>
      <c r="AD30" s="278"/>
      <c r="AE30" s="295"/>
      <c r="AF30" s="2"/>
    </row>
    <row r="31" spans="1:32" s="11" customFormat="1" ht="21" customHeight="1">
      <c r="A31" s="45"/>
      <c r="B31" s="46"/>
      <c r="C31" s="46"/>
      <c r="D31" s="154"/>
      <c r="E31" s="108"/>
      <c r="F31" s="108"/>
      <c r="G31" s="108"/>
      <c r="H31" s="108"/>
      <c r="I31" s="108"/>
      <c r="J31" s="108"/>
      <c r="K31" s="108"/>
      <c r="L31" s="108"/>
      <c r="M31" s="108"/>
      <c r="N31" s="70"/>
      <c r="O31" s="354" t="s">
        <v>432</v>
      </c>
      <c r="P31" s="277"/>
      <c r="Q31" s="277"/>
      <c r="R31" s="277"/>
      <c r="S31" s="277"/>
      <c r="T31" s="275"/>
      <c r="U31" s="275"/>
      <c r="V31" s="471"/>
      <c r="W31" s="339" t="s">
        <v>429</v>
      </c>
      <c r="X31" s="339"/>
      <c r="Y31" s="339"/>
      <c r="Z31" s="339"/>
      <c r="AA31" s="339"/>
      <c r="AB31" s="339"/>
      <c r="AC31" s="340" t="s">
        <v>433</v>
      </c>
      <c r="AD31" s="340">
        <f>ROUND(SUM(AD32:AD32),-3)</f>
        <v>1071000</v>
      </c>
      <c r="AE31" s="341" t="s">
        <v>25</v>
      </c>
      <c r="AF31" s="2"/>
    </row>
    <row r="32" spans="1:32" s="11" customFormat="1" ht="21" customHeight="1">
      <c r="A32" s="45"/>
      <c r="B32" s="46"/>
      <c r="C32" s="46"/>
      <c r="D32" s="154"/>
      <c r="E32" s="108"/>
      <c r="F32" s="108"/>
      <c r="G32" s="108"/>
      <c r="H32" s="108"/>
      <c r="I32" s="108"/>
      <c r="J32" s="108"/>
      <c r="K32" s="108"/>
      <c r="L32" s="108"/>
      <c r="M32" s="108"/>
      <c r="N32" s="70"/>
      <c r="O32" s="277"/>
      <c r="P32" s="277"/>
      <c r="Q32" s="277"/>
      <c r="R32" s="277"/>
      <c r="S32" s="275">
        <f>S29</f>
        <v>32096000</v>
      </c>
      <c r="T32" s="326" t="s">
        <v>25</v>
      </c>
      <c r="U32" s="325" t="s">
        <v>26</v>
      </c>
      <c r="V32" s="521">
        <v>6.6699999999999995E-2</v>
      </c>
      <c r="W32" s="326" t="s">
        <v>430</v>
      </c>
      <c r="X32" s="358">
        <v>2</v>
      </c>
      <c r="Y32" s="328"/>
      <c r="Z32" s="328"/>
      <c r="AA32" s="326" t="s">
        <v>27</v>
      </c>
      <c r="AB32" s="275" t="s">
        <v>431</v>
      </c>
      <c r="AC32" s="278"/>
      <c r="AD32" s="278">
        <f>ROUNDUP(S32*V32/X32,-3)</f>
        <v>1071000</v>
      </c>
      <c r="AE32" s="295" t="s">
        <v>25</v>
      </c>
      <c r="AF32" s="2"/>
    </row>
    <row r="33" spans="1:32" s="11" customFormat="1" ht="21" customHeight="1">
      <c r="A33" s="45"/>
      <c r="B33" s="46"/>
      <c r="C33" s="46"/>
      <c r="D33" s="154"/>
      <c r="E33" s="108"/>
      <c r="F33" s="108"/>
      <c r="G33" s="108"/>
      <c r="H33" s="108"/>
      <c r="I33" s="108"/>
      <c r="J33" s="108"/>
      <c r="K33" s="108"/>
      <c r="L33" s="108"/>
      <c r="M33" s="108"/>
      <c r="N33" s="70"/>
      <c r="O33" s="277"/>
      <c r="P33" s="277"/>
      <c r="Q33" s="277"/>
      <c r="R33" s="277"/>
      <c r="S33" s="275"/>
      <c r="T33" s="326"/>
      <c r="U33" s="325"/>
      <c r="V33" s="470"/>
      <c r="W33" s="326"/>
      <c r="X33" s="358"/>
      <c r="Y33" s="328"/>
      <c r="Z33" s="328"/>
      <c r="AA33" s="326"/>
      <c r="AB33" s="275"/>
      <c r="AC33" s="278"/>
      <c r="AD33" s="278"/>
      <c r="AE33" s="295"/>
      <c r="AF33" s="2"/>
    </row>
    <row r="34" spans="1:32" s="11" customFormat="1" ht="21" customHeight="1">
      <c r="A34" s="45"/>
      <c r="B34" s="46"/>
      <c r="C34" s="46"/>
      <c r="D34" s="154"/>
      <c r="E34" s="108"/>
      <c r="F34" s="108"/>
      <c r="G34" s="108"/>
      <c r="H34" s="108"/>
      <c r="I34" s="108"/>
      <c r="J34" s="108"/>
      <c r="K34" s="108"/>
      <c r="L34" s="108"/>
      <c r="M34" s="108"/>
      <c r="N34" s="70"/>
      <c r="O34" s="354" t="s">
        <v>434</v>
      </c>
      <c r="P34" s="277"/>
      <c r="Q34" s="277"/>
      <c r="R34" s="277"/>
      <c r="S34" s="277"/>
      <c r="T34" s="275"/>
      <c r="U34" s="275"/>
      <c r="V34" s="471"/>
      <c r="W34" s="339" t="s">
        <v>429</v>
      </c>
      <c r="X34" s="339"/>
      <c r="Y34" s="339"/>
      <c r="Z34" s="339"/>
      <c r="AA34" s="339"/>
      <c r="AB34" s="339"/>
      <c r="AC34" s="340" t="s">
        <v>433</v>
      </c>
      <c r="AD34" s="340">
        <f>ROUNDUP(SUM(AD35:AD35),-3)</f>
        <v>110000</v>
      </c>
      <c r="AE34" s="341" t="s">
        <v>25</v>
      </c>
      <c r="AF34" s="2"/>
    </row>
    <row r="35" spans="1:32" s="11" customFormat="1" ht="21" customHeight="1">
      <c r="A35" s="45"/>
      <c r="B35" s="46"/>
      <c r="C35" s="46"/>
      <c r="D35" s="154"/>
      <c r="E35" s="108"/>
      <c r="F35" s="108"/>
      <c r="G35" s="108"/>
      <c r="H35" s="108"/>
      <c r="I35" s="108"/>
      <c r="J35" s="108"/>
      <c r="K35" s="108"/>
      <c r="L35" s="108"/>
      <c r="M35" s="108"/>
      <c r="N35" s="70"/>
      <c r="O35" s="277"/>
      <c r="P35" s="277"/>
      <c r="Q35" s="277"/>
      <c r="R35" s="277"/>
      <c r="S35" s="359">
        <f>AD32</f>
        <v>1071000</v>
      </c>
      <c r="T35" s="326" t="s">
        <v>25</v>
      </c>
      <c r="U35" s="325" t="s">
        <v>26</v>
      </c>
      <c r="V35" s="521">
        <v>0.10249999999999999</v>
      </c>
      <c r="W35" s="325"/>
      <c r="X35" s="327"/>
      <c r="Y35" s="328"/>
      <c r="Z35" s="328"/>
      <c r="AA35" s="326" t="s">
        <v>27</v>
      </c>
      <c r="AB35" s="275" t="s">
        <v>431</v>
      </c>
      <c r="AC35" s="278"/>
      <c r="AD35" s="278">
        <f>ROUNDUP(S35*V35,-3)</f>
        <v>110000</v>
      </c>
      <c r="AE35" s="295" t="s">
        <v>25</v>
      </c>
      <c r="AF35" s="2"/>
    </row>
    <row r="36" spans="1:32" s="11" customFormat="1" ht="21" customHeight="1">
      <c r="A36" s="45"/>
      <c r="B36" s="46"/>
      <c r="C36" s="46"/>
      <c r="D36" s="154"/>
      <c r="E36" s="108"/>
      <c r="F36" s="108"/>
      <c r="G36" s="108"/>
      <c r="H36" s="108"/>
      <c r="I36" s="108"/>
      <c r="J36" s="108"/>
      <c r="K36" s="108"/>
      <c r="L36" s="108"/>
      <c r="M36" s="108"/>
      <c r="N36" s="70"/>
      <c r="O36" s="277"/>
      <c r="P36" s="277"/>
      <c r="Q36" s="277"/>
      <c r="R36" s="277"/>
      <c r="S36" s="359"/>
      <c r="T36" s="326"/>
      <c r="U36" s="325"/>
      <c r="V36" s="470"/>
      <c r="W36" s="325"/>
      <c r="X36" s="327"/>
      <c r="Y36" s="328"/>
      <c r="Z36" s="328"/>
      <c r="AA36" s="326"/>
      <c r="AB36" s="275"/>
      <c r="AC36" s="278"/>
      <c r="AD36" s="278"/>
      <c r="AE36" s="295"/>
      <c r="AF36" s="2"/>
    </row>
    <row r="37" spans="1:32" s="11" customFormat="1" ht="21" customHeight="1">
      <c r="A37" s="45"/>
      <c r="B37" s="46"/>
      <c r="C37" s="46"/>
      <c r="D37" s="154"/>
      <c r="E37" s="108"/>
      <c r="F37" s="108"/>
      <c r="G37" s="108"/>
      <c r="H37" s="108"/>
      <c r="I37" s="108"/>
      <c r="J37" s="108"/>
      <c r="K37" s="108"/>
      <c r="L37" s="108"/>
      <c r="M37" s="108"/>
      <c r="N37" s="70"/>
      <c r="O37" s="354" t="s">
        <v>435</v>
      </c>
      <c r="P37" s="277"/>
      <c r="Q37" s="277"/>
      <c r="R37" s="277"/>
      <c r="S37" s="275"/>
      <c r="T37" s="275"/>
      <c r="U37" s="275"/>
      <c r="V37" s="471"/>
      <c r="W37" s="339" t="s">
        <v>429</v>
      </c>
      <c r="X37" s="339"/>
      <c r="Y37" s="339"/>
      <c r="Z37" s="339"/>
      <c r="AA37" s="339"/>
      <c r="AB37" s="339"/>
      <c r="AC37" s="340" t="s">
        <v>433</v>
      </c>
      <c r="AD37" s="340">
        <f>ROUND(SUM(AD38:AD38),-3)</f>
        <v>338000</v>
      </c>
      <c r="AE37" s="341" t="s">
        <v>25</v>
      </c>
      <c r="AF37" s="2"/>
    </row>
    <row r="38" spans="1:32" s="11" customFormat="1" ht="21" customHeight="1">
      <c r="A38" s="45"/>
      <c r="B38" s="46"/>
      <c r="C38" s="46"/>
      <c r="D38" s="154"/>
      <c r="E38" s="108"/>
      <c r="F38" s="108"/>
      <c r="G38" s="108"/>
      <c r="H38" s="108"/>
      <c r="I38" s="108"/>
      <c r="J38" s="108"/>
      <c r="K38" s="108"/>
      <c r="L38" s="108"/>
      <c r="M38" s="108"/>
      <c r="N38" s="70"/>
      <c r="O38" s="277"/>
      <c r="P38" s="277"/>
      <c r="Q38" s="277"/>
      <c r="R38" s="277"/>
      <c r="S38" s="275">
        <f>S32</f>
        <v>32096000</v>
      </c>
      <c r="T38" s="326" t="s">
        <v>25</v>
      </c>
      <c r="U38" s="325" t="s">
        <v>26</v>
      </c>
      <c r="V38" s="521">
        <v>1.0500000000000001E-2</v>
      </c>
      <c r="W38" s="325"/>
      <c r="X38" s="327"/>
      <c r="Y38" s="328"/>
      <c r="Z38" s="328"/>
      <c r="AA38" s="326" t="s">
        <v>27</v>
      </c>
      <c r="AB38" s="275" t="s">
        <v>431</v>
      </c>
      <c r="AC38" s="278"/>
      <c r="AD38" s="278">
        <f>ROUNDUP(S38*V38,-3)</f>
        <v>338000</v>
      </c>
      <c r="AE38" s="295" t="s">
        <v>25</v>
      </c>
      <c r="AF38" s="2"/>
    </row>
    <row r="39" spans="1:32" s="11" customFormat="1" ht="21" customHeight="1">
      <c r="A39" s="45"/>
      <c r="B39" s="46"/>
      <c r="C39" s="46"/>
      <c r="D39" s="154"/>
      <c r="E39" s="108"/>
      <c r="F39" s="108"/>
      <c r="G39" s="108"/>
      <c r="H39" s="108"/>
      <c r="I39" s="108"/>
      <c r="J39" s="108"/>
      <c r="K39" s="108"/>
      <c r="L39" s="108"/>
      <c r="M39" s="108"/>
      <c r="N39" s="70"/>
      <c r="O39" s="277"/>
      <c r="P39" s="277"/>
      <c r="Q39" s="277"/>
      <c r="R39" s="277"/>
      <c r="S39" s="275"/>
      <c r="T39" s="326"/>
      <c r="U39" s="325"/>
      <c r="V39" s="470"/>
      <c r="W39" s="325"/>
      <c r="X39" s="327"/>
      <c r="Y39" s="328"/>
      <c r="Z39" s="328"/>
      <c r="AA39" s="326"/>
      <c r="AB39" s="275"/>
      <c r="AC39" s="278"/>
      <c r="AD39" s="278"/>
      <c r="AE39" s="295"/>
      <c r="AF39" s="2"/>
    </row>
    <row r="40" spans="1:32" s="11" customFormat="1" ht="21" customHeight="1">
      <c r="A40" s="45"/>
      <c r="B40" s="46"/>
      <c r="C40" s="46"/>
      <c r="D40" s="154"/>
      <c r="E40" s="108"/>
      <c r="F40" s="108"/>
      <c r="G40" s="108"/>
      <c r="H40" s="108"/>
      <c r="I40" s="108"/>
      <c r="J40" s="108"/>
      <c r="K40" s="108"/>
      <c r="L40" s="108"/>
      <c r="M40" s="108"/>
      <c r="N40" s="70"/>
      <c r="O40" s="487" t="s">
        <v>436</v>
      </c>
      <c r="P40" s="438"/>
      <c r="Q40" s="438"/>
      <c r="R40" s="438"/>
      <c r="S40" s="438"/>
      <c r="T40" s="437"/>
      <c r="U40" s="437"/>
      <c r="V40" s="494"/>
      <c r="W40" s="486" t="s">
        <v>429</v>
      </c>
      <c r="X40" s="486"/>
      <c r="Y40" s="486"/>
      <c r="Z40" s="486"/>
      <c r="AA40" s="486"/>
      <c r="AB40" s="486"/>
      <c r="AC40" s="377" t="s">
        <v>433</v>
      </c>
      <c r="AD40" s="377">
        <f>ROUND(SUM(AD41:AD41),-3)</f>
        <v>241000</v>
      </c>
      <c r="AE40" s="368" t="s">
        <v>25</v>
      </c>
      <c r="AF40" s="2"/>
    </row>
    <row r="41" spans="1:32" s="11" customFormat="1" ht="21" customHeight="1">
      <c r="A41" s="45"/>
      <c r="B41" s="46"/>
      <c r="C41" s="46"/>
      <c r="D41" s="154"/>
      <c r="E41" s="108"/>
      <c r="F41" s="108"/>
      <c r="G41" s="108"/>
      <c r="H41" s="108"/>
      <c r="I41" s="108"/>
      <c r="J41" s="108"/>
      <c r="K41" s="108"/>
      <c r="L41" s="108"/>
      <c r="M41" s="108"/>
      <c r="N41" s="70"/>
      <c r="O41" s="438"/>
      <c r="P41" s="438"/>
      <c r="Q41" s="438"/>
      <c r="R41" s="438"/>
      <c r="S41" s="437">
        <f>S38</f>
        <v>32096000</v>
      </c>
      <c r="T41" s="287" t="s">
        <v>25</v>
      </c>
      <c r="U41" s="360" t="s">
        <v>26</v>
      </c>
      <c r="V41" s="522">
        <v>7.4999999999999997E-3</v>
      </c>
      <c r="W41" s="360"/>
      <c r="X41" s="363"/>
      <c r="Y41" s="76"/>
      <c r="Z41" s="76"/>
      <c r="AA41" s="287" t="s">
        <v>27</v>
      </c>
      <c r="AB41" s="437" t="s">
        <v>431</v>
      </c>
      <c r="AC41" s="133"/>
      <c r="AD41" s="133">
        <f>ROUNDUP(S41*V41,-3)</f>
        <v>241000</v>
      </c>
      <c r="AE41" s="134" t="s">
        <v>25</v>
      </c>
      <c r="AF41" s="2"/>
    </row>
    <row r="42" spans="1:32" s="11" customFormat="1" ht="21" customHeight="1">
      <c r="A42" s="45"/>
      <c r="B42" s="46"/>
      <c r="C42" s="46"/>
      <c r="D42" s="154"/>
      <c r="E42" s="108"/>
      <c r="F42" s="108"/>
      <c r="G42" s="108"/>
      <c r="H42" s="108"/>
      <c r="I42" s="108"/>
      <c r="J42" s="108"/>
      <c r="K42" s="108"/>
      <c r="L42" s="108"/>
      <c r="M42" s="108"/>
      <c r="N42" s="70"/>
      <c r="O42" s="277"/>
      <c r="P42" s="277"/>
      <c r="Q42" s="277"/>
      <c r="R42" s="277"/>
      <c r="S42" s="275"/>
      <c r="T42" s="326"/>
      <c r="U42" s="325"/>
      <c r="V42" s="470"/>
      <c r="W42" s="325"/>
      <c r="X42" s="327"/>
      <c r="Y42" s="328"/>
      <c r="Z42" s="328"/>
      <c r="AA42" s="326"/>
      <c r="AB42" s="275"/>
      <c r="AC42" s="278"/>
      <c r="AD42" s="278"/>
      <c r="AE42" s="295"/>
      <c r="AF42" s="2"/>
    </row>
    <row r="43" spans="1:32" s="11" customFormat="1" ht="21" customHeight="1">
      <c r="A43" s="45"/>
      <c r="B43" s="46"/>
      <c r="C43" s="46"/>
      <c r="D43" s="154"/>
      <c r="E43" s="108"/>
      <c r="F43" s="108"/>
      <c r="G43" s="108"/>
      <c r="H43" s="108"/>
      <c r="I43" s="108"/>
      <c r="J43" s="108"/>
      <c r="K43" s="108"/>
      <c r="L43" s="108"/>
      <c r="M43" s="108"/>
      <c r="N43" s="70"/>
      <c r="O43" s="354" t="s">
        <v>437</v>
      </c>
      <c r="P43" s="277"/>
      <c r="Q43" s="277"/>
      <c r="R43" s="277"/>
      <c r="S43" s="277"/>
      <c r="T43" s="275"/>
      <c r="U43" s="275"/>
      <c r="V43" s="275"/>
      <c r="W43" s="339" t="s">
        <v>429</v>
      </c>
      <c r="X43" s="339"/>
      <c r="Y43" s="339"/>
      <c r="Z43" s="339"/>
      <c r="AA43" s="339"/>
      <c r="AB43" s="339" t="s">
        <v>438</v>
      </c>
      <c r="AC43" s="340" t="s">
        <v>433</v>
      </c>
      <c r="AD43" s="340">
        <v>0</v>
      </c>
      <c r="AE43" s="341" t="s">
        <v>25</v>
      </c>
      <c r="AF43" s="2"/>
    </row>
    <row r="44" spans="1:32" s="11" customFormat="1" ht="21" customHeight="1">
      <c r="A44" s="45"/>
      <c r="B44" s="46"/>
      <c r="C44" s="46"/>
      <c r="D44" s="154"/>
      <c r="E44" s="108"/>
      <c r="F44" s="108"/>
      <c r="G44" s="108"/>
      <c r="H44" s="108"/>
      <c r="I44" s="108"/>
      <c r="J44" s="108"/>
      <c r="K44" s="108"/>
      <c r="L44" s="108"/>
      <c r="M44" s="108"/>
      <c r="N44" s="70"/>
      <c r="O44" s="277"/>
      <c r="P44" s="277"/>
      <c r="Q44" s="277"/>
      <c r="R44" s="277"/>
      <c r="S44" s="277"/>
      <c r="T44" s="275"/>
      <c r="U44" s="275"/>
      <c r="V44" s="275"/>
      <c r="W44" s="275"/>
      <c r="X44" s="275"/>
      <c r="Y44" s="275"/>
      <c r="Z44" s="275"/>
      <c r="AA44" s="275"/>
      <c r="AB44" s="275"/>
      <c r="AC44" s="278"/>
      <c r="AD44" s="278"/>
      <c r="AE44" s="295"/>
      <c r="AF44" s="2"/>
    </row>
    <row r="45" spans="1:32" s="11" customFormat="1" ht="21" customHeight="1">
      <c r="A45" s="45"/>
      <c r="B45" s="46"/>
      <c r="C45" s="46"/>
      <c r="D45" s="154"/>
      <c r="E45" s="108"/>
      <c r="F45" s="108"/>
      <c r="G45" s="108"/>
      <c r="H45" s="108"/>
      <c r="I45" s="108"/>
      <c r="J45" s="108"/>
      <c r="K45" s="108"/>
      <c r="L45" s="108"/>
      <c r="M45" s="108"/>
      <c r="N45" s="70"/>
      <c r="O45" s="277"/>
      <c r="P45" s="277"/>
      <c r="Q45" s="277"/>
      <c r="R45" s="277"/>
      <c r="S45" s="277"/>
      <c r="T45" s="275"/>
      <c r="U45" s="275"/>
      <c r="V45" s="275"/>
      <c r="W45" s="275"/>
      <c r="X45" s="275"/>
      <c r="Y45" s="275"/>
      <c r="Z45" s="275"/>
      <c r="AA45" s="275"/>
      <c r="AB45" s="275"/>
      <c r="AC45" s="278"/>
      <c r="AD45" s="278"/>
      <c r="AE45" s="295"/>
      <c r="AF45" s="2"/>
    </row>
    <row r="46" spans="1:32" s="11" customFormat="1" ht="21" customHeight="1">
      <c r="A46" s="45"/>
      <c r="B46" s="46"/>
      <c r="C46" s="36" t="s">
        <v>81</v>
      </c>
      <c r="D46" s="156">
        <v>247</v>
      </c>
      <c r="E46" s="113">
        <f>AD46/1000</f>
        <v>585</v>
      </c>
      <c r="F46" s="113">
        <v>0</v>
      </c>
      <c r="G46" s="113">
        <f>SUMIF($AB$47:$AB$53,"7종",$AD$47:$AD$53)/1000</f>
        <v>0</v>
      </c>
      <c r="H46" s="113">
        <f>SUMIF($AB$47:$AB$53,"시비",$AD$47:$AD$53)/1000</f>
        <v>300</v>
      </c>
      <c r="I46" s="113">
        <f>SUMIF($AB$47:$AB$53,"후원",$AD$47:$AD$53)/1000</f>
        <v>0</v>
      </c>
      <c r="J46" s="113">
        <f>SUMIF($AB$47:$AB$53,"입소",$AD$47:$AD$53)/1000</f>
        <v>200</v>
      </c>
      <c r="K46" s="113">
        <f>SUMIF($AB$47:$AB$53,"법인",$AD$47:$AD$53)/1000</f>
        <v>0</v>
      </c>
      <c r="L46" s="113">
        <f>SUMIF($AB$47:$AB$53,"잡수",$AD$47:$AD$53)/1000</f>
        <v>85</v>
      </c>
      <c r="M46" s="112">
        <f>E46-D46</f>
        <v>338</v>
      </c>
      <c r="N46" s="120">
        <f>IF(D46=0,0,M46/D46)</f>
        <v>1.368421052631579</v>
      </c>
      <c r="O46" s="296" t="s">
        <v>82</v>
      </c>
      <c r="P46" s="451"/>
      <c r="Q46" s="297"/>
      <c r="R46" s="297"/>
      <c r="S46" s="334"/>
      <c r="T46" s="298"/>
      <c r="U46" s="298"/>
      <c r="V46" s="298"/>
      <c r="W46" s="299" t="s">
        <v>132</v>
      </c>
      <c r="X46" s="299"/>
      <c r="Y46" s="299"/>
      <c r="Z46" s="299"/>
      <c r="AA46" s="299"/>
      <c r="AB46" s="299"/>
      <c r="AC46" s="300"/>
      <c r="AD46" s="300">
        <f>SUM(AD47:AD52)</f>
        <v>585000</v>
      </c>
      <c r="AE46" s="450" t="s">
        <v>25</v>
      </c>
      <c r="AF46" s="21"/>
    </row>
    <row r="47" spans="1:32" s="11" customFormat="1" ht="21" customHeight="1">
      <c r="A47" s="45"/>
      <c r="B47" s="46"/>
      <c r="C47" s="46" t="s">
        <v>135</v>
      </c>
      <c r="D47" s="154"/>
      <c r="E47" s="108"/>
      <c r="F47" s="108"/>
      <c r="G47" s="108"/>
      <c r="H47" s="108"/>
      <c r="I47" s="108"/>
      <c r="J47" s="108"/>
      <c r="K47" s="108"/>
      <c r="L47" s="108"/>
      <c r="M47" s="108"/>
      <c r="N47" s="70"/>
      <c r="O47" s="438" t="s">
        <v>303</v>
      </c>
      <c r="P47" s="438"/>
      <c r="Q47" s="438"/>
      <c r="R47" s="438"/>
      <c r="S47" s="275">
        <v>300000</v>
      </c>
      <c r="T47" s="287" t="s">
        <v>304</v>
      </c>
      <c r="U47" s="360" t="s">
        <v>305</v>
      </c>
      <c r="V47" s="362">
        <v>1</v>
      </c>
      <c r="W47" s="360" t="s">
        <v>306</v>
      </c>
      <c r="X47" s="363"/>
      <c r="Y47" s="76"/>
      <c r="Z47" s="76"/>
      <c r="AA47" s="287" t="s">
        <v>307</v>
      </c>
      <c r="AB47" s="437" t="s">
        <v>409</v>
      </c>
      <c r="AC47" s="133"/>
      <c r="AD47" s="133">
        <f t="shared" ref="AD47:AD50" si="3">ROUNDUP(S47*V47,-3)</f>
        <v>300000</v>
      </c>
      <c r="AE47" s="134" t="s">
        <v>304</v>
      </c>
      <c r="AF47" s="2"/>
    </row>
    <row r="48" spans="1:32" s="11" customFormat="1" ht="21" customHeight="1">
      <c r="A48" s="45"/>
      <c r="B48" s="46"/>
      <c r="C48" s="46"/>
      <c r="D48" s="154"/>
      <c r="E48" s="108"/>
      <c r="F48" s="108"/>
      <c r="G48" s="108"/>
      <c r="H48" s="108"/>
      <c r="I48" s="108"/>
      <c r="J48" s="108"/>
      <c r="K48" s="108"/>
      <c r="L48" s="108"/>
      <c r="M48" s="108"/>
      <c r="N48" s="70"/>
      <c r="O48" s="438" t="s">
        <v>356</v>
      </c>
      <c r="P48" s="438"/>
      <c r="Q48" s="438"/>
      <c r="R48" s="438"/>
      <c r="S48" s="275">
        <v>50000</v>
      </c>
      <c r="T48" s="287" t="s">
        <v>357</v>
      </c>
      <c r="U48" s="360" t="s">
        <v>58</v>
      </c>
      <c r="V48" s="362">
        <v>1</v>
      </c>
      <c r="W48" s="360" t="s">
        <v>56</v>
      </c>
      <c r="X48" s="363"/>
      <c r="Y48" s="76"/>
      <c r="Z48" s="76"/>
      <c r="AA48" s="287"/>
      <c r="AB48" s="437" t="s">
        <v>268</v>
      </c>
      <c r="AC48" s="133"/>
      <c r="AD48" s="133">
        <f t="shared" si="3"/>
        <v>50000</v>
      </c>
      <c r="AE48" s="134" t="s">
        <v>357</v>
      </c>
      <c r="AF48" s="513"/>
    </row>
    <row r="49" spans="1:32" s="11" customFormat="1" ht="21" customHeight="1">
      <c r="A49" s="45"/>
      <c r="B49" s="46"/>
      <c r="C49" s="46"/>
      <c r="D49" s="154"/>
      <c r="E49" s="108"/>
      <c r="F49" s="108"/>
      <c r="G49" s="108"/>
      <c r="H49" s="108"/>
      <c r="I49" s="108"/>
      <c r="J49" s="108"/>
      <c r="K49" s="108"/>
      <c r="L49" s="108"/>
      <c r="M49" s="108"/>
      <c r="N49" s="70"/>
      <c r="O49" s="277" t="s">
        <v>447</v>
      </c>
      <c r="P49" s="277"/>
      <c r="Q49" s="277"/>
      <c r="R49" s="277"/>
      <c r="S49" s="275">
        <v>20000</v>
      </c>
      <c r="T49" s="326" t="s">
        <v>25</v>
      </c>
      <c r="U49" s="325" t="s">
        <v>26</v>
      </c>
      <c r="V49" s="424">
        <v>1</v>
      </c>
      <c r="W49" s="325" t="s">
        <v>145</v>
      </c>
      <c r="X49" s="327"/>
      <c r="Y49" s="328"/>
      <c r="Z49" s="328"/>
      <c r="AA49" s="326" t="s">
        <v>27</v>
      </c>
      <c r="AB49" s="275" t="s">
        <v>476</v>
      </c>
      <c r="AC49" s="278"/>
      <c r="AD49" s="278">
        <f t="shared" si="3"/>
        <v>20000</v>
      </c>
      <c r="AE49" s="295" t="s">
        <v>25</v>
      </c>
      <c r="AF49" s="513"/>
    </row>
    <row r="50" spans="1:32" s="11" customFormat="1" ht="21" customHeight="1">
      <c r="A50" s="45"/>
      <c r="B50" s="46"/>
      <c r="C50" s="46"/>
      <c r="D50" s="154"/>
      <c r="E50" s="108"/>
      <c r="F50" s="108"/>
      <c r="G50" s="108"/>
      <c r="H50" s="108"/>
      <c r="I50" s="108"/>
      <c r="J50" s="108"/>
      <c r="K50" s="108"/>
      <c r="L50" s="108"/>
      <c r="M50" s="108"/>
      <c r="N50" s="70"/>
      <c r="O50" s="277" t="s">
        <v>453</v>
      </c>
      <c r="P50" s="277"/>
      <c r="Q50" s="277"/>
      <c r="R50" s="277"/>
      <c r="S50" s="275">
        <v>150000</v>
      </c>
      <c r="T50" s="326" t="s">
        <v>25</v>
      </c>
      <c r="U50" s="325" t="s">
        <v>26</v>
      </c>
      <c r="V50" s="424">
        <v>1</v>
      </c>
      <c r="W50" s="325" t="s">
        <v>454</v>
      </c>
      <c r="X50" s="327"/>
      <c r="Y50" s="328"/>
      <c r="Z50" s="328"/>
      <c r="AA50" s="326" t="s">
        <v>27</v>
      </c>
      <c r="AB50" s="275" t="s">
        <v>268</v>
      </c>
      <c r="AC50" s="278"/>
      <c r="AD50" s="278">
        <f t="shared" si="3"/>
        <v>150000</v>
      </c>
      <c r="AE50" s="295" t="s">
        <v>25</v>
      </c>
      <c r="AF50" s="513"/>
    </row>
    <row r="51" spans="1:32" s="11" customFormat="1" ht="21" customHeight="1">
      <c r="A51" s="45"/>
      <c r="B51" s="46"/>
      <c r="C51" s="46"/>
      <c r="D51" s="154"/>
      <c r="E51" s="108"/>
      <c r="F51" s="108"/>
      <c r="G51" s="108"/>
      <c r="H51" s="108"/>
      <c r="I51" s="108"/>
      <c r="J51" s="108"/>
      <c r="K51" s="108"/>
      <c r="L51" s="108"/>
      <c r="M51" s="108"/>
      <c r="N51" s="70"/>
      <c r="O51" s="277" t="s">
        <v>458</v>
      </c>
      <c r="P51" s="277"/>
      <c r="Q51" s="277"/>
      <c r="R51" s="277"/>
      <c r="S51" s="275">
        <v>25000</v>
      </c>
      <c r="T51" s="326" t="s">
        <v>25</v>
      </c>
      <c r="U51" s="325" t="s">
        <v>26</v>
      </c>
      <c r="V51" s="424">
        <v>1</v>
      </c>
      <c r="W51" s="325" t="s">
        <v>455</v>
      </c>
      <c r="X51" s="327"/>
      <c r="Y51" s="328"/>
      <c r="Z51" s="328"/>
      <c r="AA51" s="326" t="s">
        <v>27</v>
      </c>
      <c r="AB51" s="275" t="s">
        <v>328</v>
      </c>
      <c r="AC51" s="278"/>
      <c r="AD51" s="278">
        <f>ROUNDUP(S51*V51,-3)</f>
        <v>25000</v>
      </c>
      <c r="AE51" s="295" t="s">
        <v>25</v>
      </c>
      <c r="AF51" s="513"/>
    </row>
    <row r="52" spans="1:32" s="11" customFormat="1" ht="21" customHeight="1">
      <c r="A52" s="45"/>
      <c r="B52" s="46"/>
      <c r="C52" s="46"/>
      <c r="D52" s="154"/>
      <c r="E52" s="108"/>
      <c r="F52" s="108"/>
      <c r="G52" s="108"/>
      <c r="H52" s="108"/>
      <c r="I52" s="108"/>
      <c r="J52" s="108"/>
      <c r="K52" s="108"/>
      <c r="L52" s="108"/>
      <c r="M52" s="108"/>
      <c r="N52" s="70"/>
      <c r="O52" s="277" t="s">
        <v>483</v>
      </c>
      <c r="P52" s="277"/>
      <c r="Q52" s="277"/>
      <c r="R52" s="277"/>
      <c r="S52" s="275">
        <v>20000</v>
      </c>
      <c r="T52" s="326" t="s">
        <v>57</v>
      </c>
      <c r="U52" s="325" t="s">
        <v>58</v>
      </c>
      <c r="V52" s="424">
        <v>1</v>
      </c>
      <c r="W52" s="325" t="s">
        <v>56</v>
      </c>
      <c r="X52" s="327" t="s">
        <v>26</v>
      </c>
      <c r="Y52" s="328">
        <v>2</v>
      </c>
      <c r="Z52" s="514" t="s">
        <v>448</v>
      </c>
      <c r="AA52" s="326" t="s">
        <v>53</v>
      </c>
      <c r="AB52" s="275" t="s">
        <v>484</v>
      </c>
      <c r="AC52" s="278"/>
      <c r="AD52" s="278">
        <f>ROUNDUP(S52*V52*Y52,-3)</f>
        <v>40000</v>
      </c>
      <c r="AE52" s="295" t="s">
        <v>57</v>
      </c>
      <c r="AF52" s="513"/>
    </row>
    <row r="53" spans="1:32" s="11" customFormat="1" ht="21" customHeight="1">
      <c r="A53" s="45"/>
      <c r="B53" s="59"/>
      <c r="C53" s="59"/>
      <c r="D53" s="155"/>
      <c r="E53" s="110"/>
      <c r="F53" s="110"/>
      <c r="G53" s="110"/>
      <c r="H53" s="110"/>
      <c r="I53" s="110"/>
      <c r="J53" s="110"/>
      <c r="K53" s="110"/>
      <c r="L53" s="110"/>
      <c r="M53" s="110"/>
      <c r="N53" s="83"/>
      <c r="O53" s="449"/>
      <c r="P53" s="449"/>
      <c r="Q53" s="449"/>
      <c r="R53" s="449"/>
      <c r="S53" s="339"/>
      <c r="T53" s="364"/>
      <c r="U53" s="364"/>
      <c r="V53" s="364"/>
      <c r="W53" s="448"/>
      <c r="X53" s="364"/>
      <c r="Y53" s="364"/>
      <c r="Z53" s="364"/>
      <c r="AA53" s="448"/>
      <c r="AB53" s="364"/>
      <c r="AC53" s="364"/>
      <c r="AD53" s="448"/>
      <c r="AE53" s="365"/>
      <c r="AF53" s="2"/>
    </row>
    <row r="54" spans="1:32" s="11" customFormat="1" ht="21" customHeight="1">
      <c r="A54" s="45"/>
      <c r="B54" s="46" t="s">
        <v>134</v>
      </c>
      <c r="C54" s="46" t="s">
        <v>5</v>
      </c>
      <c r="D54" s="108">
        <v>240</v>
      </c>
      <c r="E54" s="108">
        <f t="shared" ref="E54:L54" si="4">SUM(E55,E57,E59)</f>
        <v>240</v>
      </c>
      <c r="F54" s="108">
        <f t="shared" si="4"/>
        <v>100</v>
      </c>
      <c r="G54" s="108">
        <f t="shared" si="4"/>
        <v>0</v>
      </c>
      <c r="H54" s="108">
        <f t="shared" si="4"/>
        <v>0</v>
      </c>
      <c r="I54" s="108">
        <f t="shared" si="4"/>
        <v>0</v>
      </c>
      <c r="J54" s="108">
        <f t="shared" si="4"/>
        <v>140</v>
      </c>
      <c r="K54" s="108">
        <f t="shared" si="4"/>
        <v>0</v>
      </c>
      <c r="L54" s="108">
        <f t="shared" si="4"/>
        <v>0</v>
      </c>
      <c r="M54" s="108">
        <f>E54-D54</f>
        <v>0</v>
      </c>
      <c r="N54" s="70">
        <f>IF(D54=0,0,M54/D54)</f>
        <v>0</v>
      </c>
      <c r="O54" s="369" t="s">
        <v>141</v>
      </c>
      <c r="P54" s="369"/>
      <c r="Q54" s="369"/>
      <c r="R54" s="369"/>
      <c r="S54" s="473"/>
      <c r="T54" s="370"/>
      <c r="U54" s="370"/>
      <c r="V54" s="370"/>
      <c r="W54" s="298"/>
      <c r="X54" s="298"/>
      <c r="Y54" s="298"/>
      <c r="Z54" s="298"/>
      <c r="AA54" s="298"/>
      <c r="AB54" s="298"/>
      <c r="AC54" s="452"/>
      <c r="AD54" s="452">
        <f>SUM(AD55,AD57,AD59)</f>
        <v>240000</v>
      </c>
      <c r="AE54" s="453" t="s">
        <v>25</v>
      </c>
      <c r="AF54" s="5"/>
    </row>
    <row r="55" spans="1:32" s="11" customFormat="1" ht="21" customHeight="1">
      <c r="A55" s="45"/>
      <c r="B55" s="46" t="s">
        <v>140</v>
      </c>
      <c r="C55" s="36" t="s">
        <v>10</v>
      </c>
      <c r="D55" s="156">
        <v>0</v>
      </c>
      <c r="E55" s="113">
        <f>AD55/1000</f>
        <v>0</v>
      </c>
      <c r="F55" s="112">
        <f>SUMIF($AB$56:$AB$56,"보조",$AD$56:$AD$56)/1000</f>
        <v>0</v>
      </c>
      <c r="G55" s="112">
        <f>SUMIF($AB$56:$AB$56,"7종",$AD$56:$AD$56)/1000</f>
        <v>0</v>
      </c>
      <c r="H55" s="112">
        <f>SUMIF($AB$56:$AB$56,"시비",$AD$56:$AD$56)/1000</f>
        <v>0</v>
      </c>
      <c r="I55" s="112">
        <f>SUMIF($AB$56:$AB$56,"후원",$AD$56:$AD$56)/1000</f>
        <v>0</v>
      </c>
      <c r="J55" s="112">
        <f>SUMIF($AB$56:$AB$56,"입소",$AD$56:$AD$56)/1000</f>
        <v>0</v>
      </c>
      <c r="K55" s="112">
        <f>SUMIF($AB$56:$AB$56,"법인",$AD$56:$AD$56)/1000</f>
        <v>0</v>
      </c>
      <c r="L55" s="112">
        <f>SUMIF($AB$56:$AB$56,"잡수",$AD$56:$AD$56)/1000</f>
        <v>0</v>
      </c>
      <c r="M55" s="112">
        <f>E55-D55</f>
        <v>0</v>
      </c>
      <c r="N55" s="120">
        <f>IF(D55=0,0,M55/D55)</f>
        <v>0</v>
      </c>
      <c r="O55" s="296" t="s">
        <v>37</v>
      </c>
      <c r="P55" s="454"/>
      <c r="Q55" s="301"/>
      <c r="R55" s="301"/>
      <c r="S55" s="477"/>
      <c r="T55" s="289"/>
      <c r="U55" s="289"/>
      <c r="V55" s="289"/>
      <c r="W55" s="289"/>
      <c r="X55" s="289"/>
      <c r="Y55" s="299" t="s">
        <v>143</v>
      </c>
      <c r="Z55" s="299"/>
      <c r="AA55" s="299"/>
      <c r="AB55" s="299"/>
      <c r="AC55" s="300"/>
      <c r="AD55" s="300">
        <f>AD56</f>
        <v>0</v>
      </c>
      <c r="AE55" s="450" t="s">
        <v>25</v>
      </c>
    </row>
    <row r="56" spans="1:32" s="11" customFormat="1" ht="21" customHeight="1">
      <c r="A56" s="45"/>
      <c r="B56" s="46"/>
      <c r="C56" s="59"/>
      <c r="D56" s="155"/>
      <c r="E56" s="110"/>
      <c r="F56" s="110"/>
      <c r="G56" s="110"/>
      <c r="H56" s="110"/>
      <c r="I56" s="110"/>
      <c r="J56" s="110"/>
      <c r="K56" s="110"/>
      <c r="L56" s="110"/>
      <c r="M56" s="110"/>
      <c r="N56" s="83"/>
      <c r="O56" s="504"/>
      <c r="P56" s="504"/>
      <c r="Q56" s="504"/>
      <c r="R56" s="504"/>
      <c r="S56" s="339"/>
      <c r="T56" s="367"/>
      <c r="U56" s="367"/>
      <c r="V56" s="503"/>
      <c r="W56" s="504"/>
      <c r="X56" s="503"/>
      <c r="Y56" s="503"/>
      <c r="Z56" s="503"/>
      <c r="AA56" s="503"/>
      <c r="AB56" s="503"/>
      <c r="AC56" s="503"/>
      <c r="AD56" s="503"/>
      <c r="AE56" s="368"/>
      <c r="AF56" s="2"/>
    </row>
    <row r="57" spans="1:32" s="11" customFormat="1" ht="21" customHeight="1">
      <c r="A57" s="45"/>
      <c r="B57" s="46"/>
      <c r="C57" s="46" t="s">
        <v>11</v>
      </c>
      <c r="D57" s="154">
        <v>0</v>
      </c>
      <c r="E57" s="505">
        <f>AD57/1000</f>
        <v>0</v>
      </c>
      <c r="F57" s="108">
        <v>0</v>
      </c>
      <c r="G57" s="108">
        <v>0</v>
      </c>
      <c r="H57" s="108">
        <v>0</v>
      </c>
      <c r="I57" s="108">
        <v>0</v>
      </c>
      <c r="J57" s="108">
        <v>0</v>
      </c>
      <c r="K57" s="108">
        <v>0</v>
      </c>
      <c r="L57" s="108">
        <v>0</v>
      </c>
      <c r="M57" s="108">
        <f>E57-D57</f>
        <v>0</v>
      </c>
      <c r="N57" s="70">
        <f>IF(D57=0,0,M57/D57)</f>
        <v>0</v>
      </c>
      <c r="O57" s="506" t="s">
        <v>142</v>
      </c>
      <c r="P57" s="288"/>
      <c r="Q57" s="369"/>
      <c r="R57" s="369"/>
      <c r="S57" s="369"/>
      <c r="T57" s="370"/>
      <c r="U57" s="370"/>
      <c r="V57" s="370"/>
      <c r="W57" s="370"/>
      <c r="X57" s="370"/>
      <c r="Y57" s="507" t="s">
        <v>143</v>
      </c>
      <c r="Z57" s="507"/>
      <c r="AA57" s="507"/>
      <c r="AB57" s="507"/>
      <c r="AC57" s="508"/>
      <c r="AD57" s="508">
        <v>0</v>
      </c>
      <c r="AE57" s="509" t="s">
        <v>25</v>
      </c>
      <c r="AF57" s="1"/>
    </row>
    <row r="58" spans="1:32" s="11" customFormat="1" ht="21" customHeight="1">
      <c r="A58" s="45"/>
      <c r="B58" s="46"/>
      <c r="C58" s="59"/>
      <c r="D58" s="155"/>
      <c r="E58" s="110"/>
      <c r="F58" s="110"/>
      <c r="G58" s="110"/>
      <c r="H58" s="110"/>
      <c r="I58" s="110"/>
      <c r="J58" s="110"/>
      <c r="K58" s="110"/>
      <c r="L58" s="110"/>
      <c r="M58" s="110"/>
      <c r="N58" s="83"/>
      <c r="O58" s="449"/>
      <c r="P58" s="449"/>
      <c r="Q58" s="449"/>
      <c r="R58" s="449"/>
      <c r="S58" s="448"/>
      <c r="T58" s="367"/>
      <c r="U58" s="367"/>
      <c r="V58" s="448"/>
      <c r="W58" s="449"/>
      <c r="X58" s="448"/>
      <c r="Y58" s="448"/>
      <c r="Z58" s="448"/>
      <c r="AA58" s="448"/>
      <c r="AB58" s="448"/>
      <c r="AC58" s="448"/>
      <c r="AD58" s="448"/>
      <c r="AE58" s="368"/>
      <c r="AF58" s="1"/>
    </row>
    <row r="59" spans="1:32" s="11" customFormat="1" ht="21" customHeight="1">
      <c r="A59" s="45"/>
      <c r="B59" s="46"/>
      <c r="C59" s="46" t="s">
        <v>83</v>
      </c>
      <c r="D59" s="154">
        <v>240</v>
      </c>
      <c r="E59" s="113">
        <f>AD59/1000</f>
        <v>240</v>
      </c>
      <c r="F59" s="108">
        <f>SUMIF($AB$60:$AB$62,"보조",$AD$60:$AD$62)/1000</f>
        <v>100</v>
      </c>
      <c r="G59" s="108">
        <f>SUMIF($AB$60:$AB$62,"7종",$AD$60:$AD$62)/1000</f>
        <v>0</v>
      </c>
      <c r="H59" s="108">
        <f>SUMIF($AB$60:$AB$62,"시비",$AD$60:$AD$62)/1000</f>
        <v>0</v>
      </c>
      <c r="I59" s="108">
        <f>SUMIF($AB$60:$AB$62,"후원",$AD$60:$AD$62)/1000</f>
        <v>0</v>
      </c>
      <c r="J59" s="108">
        <f>SUMIF($AB$60:$AB$62,"입소",$AD$60:$AD$62)/1000</f>
        <v>140</v>
      </c>
      <c r="K59" s="108">
        <f>SUMIF($AB$60:$AB$62,"법인",$AD$60:$AD$62)/1000</f>
        <v>0</v>
      </c>
      <c r="L59" s="108">
        <f>SUMIF($AB$60:$AB$62,"잡수",$AD$60:$AD$62)/1000</f>
        <v>0</v>
      </c>
      <c r="M59" s="108">
        <f>E59-D59</f>
        <v>0</v>
      </c>
      <c r="N59" s="70">
        <f>IF(D59=0,0,M59/D59)</f>
        <v>0</v>
      </c>
      <c r="O59" s="288" t="s">
        <v>38</v>
      </c>
      <c r="P59" s="369"/>
      <c r="Q59" s="369"/>
      <c r="R59" s="369"/>
      <c r="S59" s="474"/>
      <c r="T59" s="370"/>
      <c r="U59" s="370"/>
      <c r="V59" s="370"/>
      <c r="W59" s="370"/>
      <c r="X59" s="370"/>
      <c r="Y59" s="299" t="s">
        <v>143</v>
      </c>
      <c r="Z59" s="299"/>
      <c r="AA59" s="299"/>
      <c r="AB59" s="299"/>
      <c r="AC59" s="300"/>
      <c r="AD59" s="300">
        <f>SUM(AD60:AD62)</f>
        <v>240000</v>
      </c>
      <c r="AE59" s="450" t="s">
        <v>25</v>
      </c>
      <c r="AF59" s="1"/>
    </row>
    <row r="60" spans="1:32" s="14" customFormat="1" ht="21" customHeight="1">
      <c r="A60" s="45"/>
      <c r="B60" s="46"/>
      <c r="C60" s="46"/>
      <c r="D60" s="154"/>
      <c r="E60" s="108"/>
      <c r="F60" s="108"/>
      <c r="G60" s="108"/>
      <c r="H60" s="108"/>
      <c r="I60" s="108"/>
      <c r="J60" s="108"/>
      <c r="K60" s="108"/>
      <c r="L60" s="108"/>
      <c r="M60" s="108"/>
      <c r="N60" s="70"/>
      <c r="O60" s="438" t="s">
        <v>383</v>
      </c>
      <c r="P60" s="438"/>
      <c r="Q60" s="438"/>
      <c r="R60" s="438"/>
      <c r="S60" s="275">
        <v>50000</v>
      </c>
      <c r="T60" s="437" t="s">
        <v>384</v>
      </c>
      <c r="U60" s="438" t="s">
        <v>385</v>
      </c>
      <c r="V60" s="455">
        <v>2</v>
      </c>
      <c r="W60" s="438" t="s">
        <v>385</v>
      </c>
      <c r="X60" s="456">
        <v>1</v>
      </c>
      <c r="Y60" s="294"/>
      <c r="Z60" s="287"/>
      <c r="AA60" s="287" t="s">
        <v>386</v>
      </c>
      <c r="AB60" s="287" t="s">
        <v>414</v>
      </c>
      <c r="AC60" s="437"/>
      <c r="AD60" s="437">
        <f>S60*V60*X60</f>
        <v>100000</v>
      </c>
      <c r="AE60" s="134" t="s">
        <v>384</v>
      </c>
      <c r="AF60" s="4"/>
    </row>
    <row r="61" spans="1:32" s="14" customFormat="1" ht="21" customHeight="1">
      <c r="A61" s="45"/>
      <c r="B61" s="46"/>
      <c r="C61" s="46"/>
      <c r="D61" s="154"/>
      <c r="E61" s="108"/>
      <c r="F61" s="108"/>
      <c r="G61" s="108"/>
      <c r="H61" s="108"/>
      <c r="I61" s="108"/>
      <c r="J61" s="108"/>
      <c r="K61" s="108"/>
      <c r="L61" s="108"/>
      <c r="M61" s="108"/>
      <c r="N61" s="70"/>
      <c r="O61" s="438"/>
      <c r="P61" s="438"/>
      <c r="Q61" s="438"/>
      <c r="R61" s="438"/>
      <c r="S61" s="275">
        <v>50000</v>
      </c>
      <c r="T61" s="437" t="s">
        <v>378</v>
      </c>
      <c r="U61" s="438" t="s">
        <v>379</v>
      </c>
      <c r="V61" s="455">
        <v>2</v>
      </c>
      <c r="W61" s="438" t="s">
        <v>379</v>
      </c>
      <c r="X61" s="456">
        <v>1</v>
      </c>
      <c r="Y61" s="294"/>
      <c r="Z61" s="287"/>
      <c r="AA61" s="287" t="s">
        <v>380</v>
      </c>
      <c r="AB61" s="287" t="s">
        <v>387</v>
      </c>
      <c r="AC61" s="437"/>
      <c r="AD61" s="437">
        <f>S61*V61*X61</f>
        <v>100000</v>
      </c>
      <c r="AE61" s="134" t="s">
        <v>378</v>
      </c>
      <c r="AF61" s="4"/>
    </row>
    <row r="62" spans="1:32" s="14" customFormat="1" ht="21" customHeight="1">
      <c r="A62" s="45"/>
      <c r="B62" s="46"/>
      <c r="C62" s="46"/>
      <c r="D62" s="154"/>
      <c r="E62" s="108"/>
      <c r="F62" s="108"/>
      <c r="G62" s="108"/>
      <c r="H62" s="108"/>
      <c r="I62" s="108"/>
      <c r="J62" s="108"/>
      <c r="K62" s="108"/>
      <c r="L62" s="108"/>
      <c r="M62" s="108"/>
      <c r="N62" s="70"/>
      <c r="O62" s="438" t="s">
        <v>381</v>
      </c>
      <c r="P62" s="438"/>
      <c r="Q62" s="438"/>
      <c r="R62" s="438"/>
      <c r="S62" s="275">
        <v>10000</v>
      </c>
      <c r="T62" s="437" t="s">
        <v>378</v>
      </c>
      <c r="U62" s="438" t="s">
        <v>379</v>
      </c>
      <c r="V62" s="455">
        <v>4</v>
      </c>
      <c r="W62" s="437"/>
      <c r="X62" s="438"/>
      <c r="Y62" s="294"/>
      <c r="Z62" s="287"/>
      <c r="AA62" s="287" t="s">
        <v>380</v>
      </c>
      <c r="AB62" s="287" t="s">
        <v>387</v>
      </c>
      <c r="AC62" s="437"/>
      <c r="AD62" s="437">
        <f>S62*V62</f>
        <v>40000</v>
      </c>
      <c r="AE62" s="134" t="s">
        <v>378</v>
      </c>
      <c r="AF62" s="4"/>
    </row>
    <row r="63" spans="1:32" s="14" customFormat="1" ht="21" customHeight="1">
      <c r="A63" s="45"/>
      <c r="B63" s="46"/>
      <c r="C63" s="46"/>
      <c r="D63" s="154"/>
      <c r="E63" s="108"/>
      <c r="F63" s="108"/>
      <c r="G63" s="108"/>
      <c r="H63" s="108"/>
      <c r="I63" s="108"/>
      <c r="J63" s="108"/>
      <c r="K63" s="108"/>
      <c r="L63" s="108"/>
      <c r="M63" s="108"/>
      <c r="N63" s="70"/>
      <c r="O63" s="438"/>
      <c r="P63" s="438"/>
      <c r="Q63" s="438"/>
      <c r="R63" s="438"/>
      <c r="S63" s="275"/>
      <c r="T63" s="293"/>
      <c r="U63" s="293"/>
      <c r="V63" s="437"/>
      <c r="W63" s="438"/>
      <c r="X63" s="437"/>
      <c r="Y63" s="437"/>
      <c r="Z63" s="437"/>
      <c r="AA63" s="437"/>
      <c r="AB63" s="437"/>
      <c r="AC63" s="437"/>
      <c r="AD63" s="437"/>
      <c r="AE63" s="134"/>
      <c r="AF63" s="4"/>
    </row>
    <row r="64" spans="1:32" s="11" customFormat="1" ht="21" customHeight="1">
      <c r="A64" s="45"/>
      <c r="B64" s="36" t="s">
        <v>12</v>
      </c>
      <c r="C64" s="168" t="s">
        <v>5</v>
      </c>
      <c r="D64" s="169">
        <v>8493</v>
      </c>
      <c r="E64" s="169">
        <f t="shared" ref="E64:L64" si="5">SUM(E65,E68,E75,E81,E86,E90)</f>
        <v>7436</v>
      </c>
      <c r="F64" s="169">
        <f t="shared" si="5"/>
        <v>4156</v>
      </c>
      <c r="G64" s="169">
        <f t="shared" si="5"/>
        <v>0</v>
      </c>
      <c r="H64" s="169">
        <f t="shared" si="5"/>
        <v>0</v>
      </c>
      <c r="I64" s="169">
        <f t="shared" si="5"/>
        <v>440</v>
      </c>
      <c r="J64" s="169">
        <f t="shared" si="5"/>
        <v>2805</v>
      </c>
      <c r="K64" s="169">
        <f t="shared" si="5"/>
        <v>0</v>
      </c>
      <c r="L64" s="169">
        <f t="shared" si="5"/>
        <v>35</v>
      </c>
      <c r="M64" s="169">
        <f>E64-D64</f>
        <v>-1057</v>
      </c>
      <c r="N64" s="170">
        <f>IF(D64=0,0,M64/D64)</f>
        <v>-0.12445543388673025</v>
      </c>
      <c r="O64" s="451" t="s">
        <v>144</v>
      </c>
      <c r="P64" s="451"/>
      <c r="Q64" s="451"/>
      <c r="R64" s="451"/>
      <c r="S64" s="330"/>
      <c r="T64" s="457"/>
      <c r="U64" s="299"/>
      <c r="V64" s="583"/>
      <c r="W64" s="584"/>
      <c r="X64" s="299"/>
      <c r="Y64" s="299"/>
      <c r="Z64" s="299"/>
      <c r="AA64" s="299"/>
      <c r="AB64" s="299"/>
      <c r="AC64" s="299"/>
      <c r="AD64" s="299">
        <f>SUM(AD65,AD68,AD75,AD81,AD86,AD90)</f>
        <v>7436000</v>
      </c>
      <c r="AE64" s="450" t="s">
        <v>25</v>
      </c>
      <c r="AF64" s="1"/>
    </row>
    <row r="65" spans="1:34" s="11" customFormat="1" ht="21" customHeight="1">
      <c r="A65" s="45"/>
      <c r="B65" s="46"/>
      <c r="C65" s="46" t="s">
        <v>84</v>
      </c>
      <c r="D65" s="154">
        <v>40</v>
      </c>
      <c r="E65" s="113">
        <f>AD65/1000</f>
        <v>80</v>
      </c>
      <c r="F65" s="108">
        <f>SUMIF($AB$66:$AB$67,"보조",$AD$66:$AD$67)/1000</f>
        <v>0</v>
      </c>
      <c r="G65" s="108">
        <f>SUMIF($AB$66:$AB$67,"7종",$AD$66:$AD$67)/1000</f>
        <v>0</v>
      </c>
      <c r="H65" s="108">
        <f>SUMIF($AB$66:$AB$67,"시비",$AD$66:$AD$67)/1000</f>
        <v>0</v>
      </c>
      <c r="I65" s="108">
        <f>SUMIF($AB$66:$AB$67,"후원",$AD$66:$AD$67)/1000</f>
        <v>80</v>
      </c>
      <c r="J65" s="108">
        <f>SUMIF($AB$66:$AB$67,"입소",$AD$66:$AD$67)/1000</f>
        <v>0</v>
      </c>
      <c r="K65" s="108">
        <f>SUMIF($AB$66:$AB$67,"법인",$AD$66:$AD$67)/1000</f>
        <v>0</v>
      </c>
      <c r="L65" s="108">
        <f>SUMIF($AB$66:$AB$67,"잡수",$AD$66:$AD$67)/1000</f>
        <v>0</v>
      </c>
      <c r="M65" s="108">
        <f>E65-D65</f>
        <v>40</v>
      </c>
      <c r="N65" s="70">
        <f>IF(D65=0,0,M65/D65)</f>
        <v>1</v>
      </c>
      <c r="O65" s="288" t="s">
        <v>40</v>
      </c>
      <c r="P65" s="369"/>
      <c r="Q65" s="369"/>
      <c r="R65" s="369"/>
      <c r="S65" s="474"/>
      <c r="T65" s="370"/>
      <c r="U65" s="370"/>
      <c r="V65" s="370"/>
      <c r="W65" s="370"/>
      <c r="X65" s="370"/>
      <c r="Y65" s="299" t="s">
        <v>143</v>
      </c>
      <c r="Z65" s="299"/>
      <c r="AA65" s="299"/>
      <c r="AB65" s="299"/>
      <c r="AC65" s="300"/>
      <c r="AD65" s="300">
        <f>SUM(AD66:AD66)</f>
        <v>80000</v>
      </c>
      <c r="AE65" s="450" t="s">
        <v>25</v>
      </c>
      <c r="AF65" s="20"/>
      <c r="AG65" s="19"/>
      <c r="AH65" s="19"/>
    </row>
    <row r="66" spans="1:34" s="11" customFormat="1" ht="21" customHeight="1">
      <c r="A66" s="45"/>
      <c r="B66" s="46"/>
      <c r="C66" s="46"/>
      <c r="D66" s="154"/>
      <c r="E66" s="108"/>
      <c r="F66" s="108"/>
      <c r="G66" s="108"/>
      <c r="H66" s="108"/>
      <c r="I66" s="108"/>
      <c r="J66" s="108"/>
      <c r="K66" s="108"/>
      <c r="L66" s="108"/>
      <c r="M66" s="108"/>
      <c r="N66" s="70"/>
      <c r="O66" s="438" t="s">
        <v>273</v>
      </c>
      <c r="P66" s="438"/>
      <c r="Q66" s="438"/>
      <c r="R66" s="438"/>
      <c r="S66" s="275">
        <v>20000</v>
      </c>
      <c r="T66" s="293" t="s">
        <v>25</v>
      </c>
      <c r="U66" s="293" t="s">
        <v>26</v>
      </c>
      <c r="V66" s="437">
        <v>1</v>
      </c>
      <c r="W66" s="293" t="s">
        <v>145</v>
      </c>
      <c r="X66" s="437" t="s">
        <v>26</v>
      </c>
      <c r="Y66" s="437">
        <v>4</v>
      </c>
      <c r="Z66" s="437" t="s">
        <v>264</v>
      </c>
      <c r="AA66" s="437" t="s">
        <v>27</v>
      </c>
      <c r="AB66" s="437" t="s">
        <v>489</v>
      </c>
      <c r="AC66" s="437"/>
      <c r="AD66" s="437">
        <f>S66*V66*Y66</f>
        <v>80000</v>
      </c>
      <c r="AE66" s="134" t="s">
        <v>263</v>
      </c>
      <c r="AF66" s="2"/>
    </row>
    <row r="67" spans="1:34" s="11" customFormat="1" ht="21" customHeight="1">
      <c r="A67" s="45"/>
      <c r="B67" s="46"/>
      <c r="C67" s="46"/>
      <c r="D67" s="154"/>
      <c r="E67" s="108"/>
      <c r="F67" s="108"/>
      <c r="G67" s="108"/>
      <c r="H67" s="108"/>
      <c r="I67" s="108"/>
      <c r="J67" s="108"/>
      <c r="K67" s="108"/>
      <c r="L67" s="108">
        <v>38</v>
      </c>
      <c r="M67" s="108"/>
      <c r="N67" s="70"/>
      <c r="O67" s="438"/>
      <c r="P67" s="438"/>
      <c r="Q67" s="438"/>
      <c r="R67" s="438"/>
      <c r="S67" s="275"/>
      <c r="T67" s="293"/>
      <c r="U67" s="293"/>
      <c r="V67" s="437"/>
      <c r="W67" s="293"/>
      <c r="X67" s="437"/>
      <c r="Y67" s="437"/>
      <c r="Z67" s="437"/>
      <c r="AA67" s="437"/>
      <c r="AB67" s="437"/>
      <c r="AC67" s="437"/>
      <c r="AD67" s="437"/>
      <c r="AE67" s="134" t="s">
        <v>66</v>
      </c>
      <c r="AF67" s="2"/>
    </row>
    <row r="68" spans="1:34" s="11" customFormat="1" ht="21" customHeight="1">
      <c r="A68" s="45"/>
      <c r="B68" s="46"/>
      <c r="C68" s="36" t="s">
        <v>41</v>
      </c>
      <c r="D68" s="156">
        <v>2024</v>
      </c>
      <c r="E68" s="113">
        <f>AD68/1000</f>
        <v>1171</v>
      </c>
      <c r="F68" s="122">
        <f>SUMIF($AB$69:$AB$74,"보조",$AD$69:$AD$74)/1000</f>
        <v>756</v>
      </c>
      <c r="G68" s="122">
        <f>SUMIF($AB$69:$AB$74,"7종",$AD$69:$AD$74)/1000</f>
        <v>0</v>
      </c>
      <c r="H68" s="122">
        <f>SUMIF($AB$69:$AB$74,"시비",$AD$69:$AD$74)/1000</f>
        <v>0</v>
      </c>
      <c r="I68" s="122">
        <f>SUMIF($AB$69:$AB$74,"후원",$AD$69:$AD$74)/1000</f>
        <v>0</v>
      </c>
      <c r="J68" s="122">
        <f>SUMIF($AB$69:$AB$74,"입소",$AD$69:$AD$74)/1000</f>
        <v>380</v>
      </c>
      <c r="K68" s="122">
        <f>SUMIF($AB$69:$AB$74,"법인",$AD$69:$AD$74)/1000</f>
        <v>0</v>
      </c>
      <c r="L68" s="122">
        <f>SUMIF($AB$69:$AB$74,"잡수",$AD$69:$AD$74)/1000</f>
        <v>35</v>
      </c>
      <c r="M68" s="112">
        <f>E68-D68</f>
        <v>-853</v>
      </c>
      <c r="N68" s="120">
        <f>IF(D68=0,0,M68/D68)</f>
        <v>-0.42144268774703558</v>
      </c>
      <c r="O68" s="296" t="s">
        <v>42</v>
      </c>
      <c r="P68" s="297"/>
      <c r="Q68" s="297"/>
      <c r="R68" s="297"/>
      <c r="S68" s="334"/>
      <c r="T68" s="298"/>
      <c r="U68" s="298"/>
      <c r="V68" s="298"/>
      <c r="W68" s="298"/>
      <c r="X68" s="298"/>
      <c r="Y68" s="299" t="s">
        <v>28</v>
      </c>
      <c r="Z68" s="299"/>
      <c r="AA68" s="299"/>
      <c r="AB68" s="299"/>
      <c r="AC68" s="300"/>
      <c r="AD68" s="300">
        <f>ROUNDDOWN(SUM(AD69:AD73),-3)</f>
        <v>1171000</v>
      </c>
      <c r="AE68" s="450" t="s">
        <v>25</v>
      </c>
      <c r="AF68" s="1"/>
    </row>
    <row r="69" spans="1:34" s="11" customFormat="1" ht="21" customHeight="1">
      <c r="A69" s="45"/>
      <c r="B69" s="46"/>
      <c r="C69" s="46" t="s">
        <v>149</v>
      </c>
      <c r="D69" s="154"/>
      <c r="E69" s="108"/>
      <c r="F69" s="108"/>
      <c r="G69" s="108"/>
      <c r="H69" s="108"/>
      <c r="I69" s="108"/>
      <c r="J69" s="108"/>
      <c r="K69" s="108"/>
      <c r="L69" s="108"/>
      <c r="M69" s="108"/>
      <c r="N69" s="70"/>
      <c r="O69" s="301" t="s">
        <v>312</v>
      </c>
      <c r="P69" s="438"/>
      <c r="Q69" s="438"/>
      <c r="R69" s="438"/>
      <c r="S69" s="437"/>
      <c r="T69" s="293"/>
      <c r="U69" s="437"/>
      <c r="V69" s="480"/>
      <c r="W69" s="496"/>
      <c r="X69" s="496"/>
      <c r="Y69" s="480"/>
      <c r="Z69" s="497"/>
      <c r="AA69" s="480"/>
      <c r="AB69" s="498" t="s">
        <v>414</v>
      </c>
      <c r="AC69" s="498"/>
      <c r="AD69" s="275">
        <v>384000</v>
      </c>
      <c r="AE69" s="499" t="s">
        <v>25</v>
      </c>
      <c r="AF69" s="1"/>
    </row>
    <row r="70" spans="1:34" s="11" customFormat="1" ht="21" customHeight="1">
      <c r="A70" s="45"/>
      <c r="B70" s="46"/>
      <c r="C70" s="46"/>
      <c r="D70" s="154"/>
      <c r="E70" s="108"/>
      <c r="F70" s="108"/>
      <c r="G70" s="108"/>
      <c r="H70" s="108"/>
      <c r="I70" s="108"/>
      <c r="J70" s="108"/>
      <c r="K70" s="108"/>
      <c r="L70" s="108"/>
      <c r="M70" s="108"/>
      <c r="N70" s="70"/>
      <c r="O70" s="438" t="s">
        <v>367</v>
      </c>
      <c r="P70" s="438"/>
      <c r="Q70" s="438"/>
      <c r="R70" s="438"/>
      <c r="S70" s="437"/>
      <c r="T70" s="293"/>
      <c r="U70" s="293"/>
      <c r="V70" s="302">
        <v>31000</v>
      </c>
      <c r="W70" s="303" t="s">
        <v>57</v>
      </c>
      <c r="X70" s="303" t="s">
        <v>26</v>
      </c>
      <c r="Y70" s="302">
        <v>12</v>
      </c>
      <c r="Z70" s="304" t="s">
        <v>29</v>
      </c>
      <c r="AA70" s="302" t="s">
        <v>27</v>
      </c>
      <c r="AB70" s="437" t="s">
        <v>85</v>
      </c>
      <c r="AC70" s="437"/>
      <c r="AD70" s="437">
        <f>V70*Y70</f>
        <v>372000</v>
      </c>
      <c r="AE70" s="134" t="s">
        <v>57</v>
      </c>
      <c r="AF70" s="1"/>
    </row>
    <row r="71" spans="1:34" s="11" customFormat="1" ht="21" customHeight="1">
      <c r="A71" s="45"/>
      <c r="B71" s="46"/>
      <c r="C71" s="46"/>
      <c r="D71" s="154"/>
      <c r="E71" s="108"/>
      <c r="F71" s="108"/>
      <c r="G71" s="108"/>
      <c r="H71" s="108"/>
      <c r="I71" s="108"/>
      <c r="J71" s="108"/>
      <c r="K71" s="108"/>
      <c r="L71" s="108"/>
      <c r="M71" s="108"/>
      <c r="N71" s="70"/>
      <c r="O71" s="438" t="s">
        <v>329</v>
      </c>
      <c r="P71" s="438"/>
      <c r="Q71" s="438"/>
      <c r="R71" s="438"/>
      <c r="S71" s="437"/>
      <c r="T71" s="293"/>
      <c r="U71" s="293"/>
      <c r="V71" s="437"/>
      <c r="W71" s="437"/>
      <c r="X71" s="437"/>
      <c r="Y71" s="437"/>
      <c r="Z71" s="437"/>
      <c r="AA71" s="437"/>
      <c r="AB71" s="437" t="s">
        <v>372</v>
      </c>
      <c r="AC71" s="437"/>
      <c r="AD71" s="437">
        <v>200000</v>
      </c>
      <c r="AE71" s="134" t="s">
        <v>125</v>
      </c>
      <c r="AF71" s="1"/>
    </row>
    <row r="72" spans="1:34" s="11" customFormat="1" ht="21" customHeight="1">
      <c r="A72" s="45"/>
      <c r="B72" s="46"/>
      <c r="C72" s="46"/>
      <c r="D72" s="154"/>
      <c r="E72" s="108"/>
      <c r="F72" s="108"/>
      <c r="G72" s="108"/>
      <c r="H72" s="108"/>
      <c r="I72" s="108"/>
      <c r="J72" s="108"/>
      <c r="K72" s="108"/>
      <c r="L72" s="108"/>
      <c r="M72" s="108"/>
      <c r="N72" s="70"/>
      <c r="O72" s="438" t="s">
        <v>313</v>
      </c>
      <c r="P72" s="438"/>
      <c r="Q72" s="438"/>
      <c r="R72" s="438"/>
      <c r="S72" s="437"/>
      <c r="T72" s="293"/>
      <c r="U72" s="293"/>
      <c r="V72" s="437"/>
      <c r="W72" s="438"/>
      <c r="X72" s="437"/>
      <c r="Y72" s="437"/>
      <c r="Z72" s="437"/>
      <c r="AA72" s="437"/>
      <c r="AB72" s="437" t="s">
        <v>372</v>
      </c>
      <c r="AC72" s="437"/>
      <c r="AD72" s="437">
        <v>180000</v>
      </c>
      <c r="AE72" s="134" t="s">
        <v>278</v>
      </c>
      <c r="AF72" s="20"/>
      <c r="AH72" s="515"/>
    </row>
    <row r="73" spans="1:34" s="11" customFormat="1" ht="21" customHeight="1">
      <c r="A73" s="45"/>
      <c r="B73" s="46"/>
      <c r="C73" s="46"/>
      <c r="D73" s="154"/>
      <c r="E73" s="108"/>
      <c r="F73" s="108"/>
      <c r="G73" s="108"/>
      <c r="H73" s="108"/>
      <c r="I73" s="108"/>
      <c r="J73" s="108"/>
      <c r="K73" s="108"/>
      <c r="L73" s="108"/>
      <c r="M73" s="108"/>
      <c r="N73" s="70"/>
      <c r="O73" s="438"/>
      <c r="P73" s="438"/>
      <c r="Q73" s="438"/>
      <c r="R73" s="438"/>
      <c r="S73" s="437"/>
      <c r="T73" s="293"/>
      <c r="U73" s="293"/>
      <c r="V73" s="437"/>
      <c r="W73" s="438"/>
      <c r="X73" s="437"/>
      <c r="Y73" s="437"/>
      <c r="Z73" s="437"/>
      <c r="AA73" s="437"/>
      <c r="AB73" s="275" t="s">
        <v>485</v>
      </c>
      <c r="AC73" s="275"/>
      <c r="AD73" s="275">
        <v>35000</v>
      </c>
      <c r="AE73" s="295" t="s">
        <v>125</v>
      </c>
      <c r="AF73" s="510"/>
    </row>
    <row r="74" spans="1:34" s="11" customFormat="1" ht="21" customHeight="1">
      <c r="A74" s="45"/>
      <c r="B74" s="46"/>
      <c r="C74" s="59"/>
      <c r="D74" s="155"/>
      <c r="E74" s="110"/>
      <c r="F74" s="110"/>
      <c r="G74" s="110"/>
      <c r="H74" s="110"/>
      <c r="I74" s="110"/>
      <c r="J74" s="110"/>
      <c r="K74" s="110"/>
      <c r="L74" s="110"/>
      <c r="M74" s="110"/>
      <c r="N74" s="83"/>
      <c r="O74" s="459"/>
      <c r="P74" s="459"/>
      <c r="Q74" s="459"/>
      <c r="R74" s="459"/>
      <c r="S74" s="459"/>
      <c r="T74" s="459"/>
      <c r="U74" s="459"/>
      <c r="V74" s="459"/>
      <c r="W74" s="459"/>
      <c r="X74" s="459"/>
      <c r="Y74" s="459"/>
      <c r="Z74" s="459"/>
      <c r="AA74" s="459"/>
      <c r="AB74" s="459"/>
      <c r="AC74" s="459"/>
      <c r="AD74" s="460"/>
      <c r="AE74" s="461"/>
      <c r="AF74" s="1"/>
    </row>
    <row r="75" spans="1:34" s="11" customFormat="1" ht="21" customHeight="1">
      <c r="A75" s="45"/>
      <c r="B75" s="46"/>
      <c r="C75" s="46" t="s">
        <v>39</v>
      </c>
      <c r="D75" s="154">
        <v>5722</v>
      </c>
      <c r="E75" s="113">
        <f>AD75/1000</f>
        <v>5300</v>
      </c>
      <c r="F75" s="392">
        <f>SUMIF($AB$76:$AB$80,"보조",$AD$76:$AD$80)/1000</f>
        <v>3400</v>
      </c>
      <c r="G75" s="392">
        <f>SUMIF($AB$76:$AB$80,"7종",$AD$76:$AD$80)/1000</f>
        <v>0</v>
      </c>
      <c r="H75" s="392">
        <f>SUMIF($AB$76:$AB$80,"시비",$AD$76:$AD$80)/1000</f>
        <v>0</v>
      </c>
      <c r="I75" s="392">
        <f>SUMIF($AB$76:$AB$80,"후원",$AD$76:$AD$80)/1000</f>
        <v>0</v>
      </c>
      <c r="J75" s="392">
        <f>SUMIF($AB$76:$AB$80,"입소",$AD$76:$AD$80)/1000</f>
        <v>1900</v>
      </c>
      <c r="K75" s="392">
        <f>SUMIF($AB$76:$AB$80,"법인",$AD$76:$AD$80)/1000</f>
        <v>0</v>
      </c>
      <c r="L75" s="392">
        <f>SUMIF($AB$76:$AB$80,"잡수",$AD$76:$AD$80)/1000</f>
        <v>0</v>
      </c>
      <c r="M75" s="108">
        <f>E75-D75</f>
        <v>-422</v>
      </c>
      <c r="N75" s="70">
        <f>IF(D75=0,0,M75/D75)</f>
        <v>-7.3750436910171274E-2</v>
      </c>
      <c r="O75" s="288" t="s">
        <v>43</v>
      </c>
      <c r="P75" s="369"/>
      <c r="Q75" s="369"/>
      <c r="R75" s="369"/>
      <c r="S75" s="369"/>
      <c r="T75" s="370"/>
      <c r="U75" s="370"/>
      <c r="V75" s="370"/>
      <c r="W75" s="370"/>
      <c r="X75" s="370"/>
      <c r="Y75" s="299" t="s">
        <v>267</v>
      </c>
      <c r="Z75" s="299"/>
      <c r="AA75" s="299"/>
      <c r="AB75" s="299"/>
      <c r="AC75" s="300"/>
      <c r="AD75" s="300">
        <f>ROUND(SUM(AD76:AD79),-3)</f>
        <v>5300000</v>
      </c>
      <c r="AE75" s="450" t="s">
        <v>25</v>
      </c>
      <c r="AF75" s="1"/>
    </row>
    <row r="76" spans="1:34" s="11" customFormat="1" ht="21" customHeight="1">
      <c r="A76" s="45"/>
      <c r="B76" s="46"/>
      <c r="C76" s="46"/>
      <c r="D76" s="154"/>
      <c r="E76" s="108"/>
      <c r="F76" s="108"/>
      <c r="G76" s="108"/>
      <c r="H76" s="108"/>
      <c r="I76" s="108"/>
      <c r="J76" s="108"/>
      <c r="K76" s="108"/>
      <c r="L76" s="108"/>
      <c r="M76" s="108"/>
      <c r="N76" s="70"/>
      <c r="O76" s="301" t="s">
        <v>314</v>
      </c>
      <c r="P76" s="438"/>
      <c r="Q76" s="438"/>
      <c r="R76" s="438"/>
      <c r="S76" s="437">
        <v>50000</v>
      </c>
      <c r="T76" s="303" t="s">
        <v>25</v>
      </c>
      <c r="U76" s="303" t="s">
        <v>26</v>
      </c>
      <c r="V76" s="302">
        <v>12</v>
      </c>
      <c r="W76" s="304" t="s">
        <v>29</v>
      </c>
      <c r="X76" s="302" t="s">
        <v>27</v>
      </c>
      <c r="Y76" s="437"/>
      <c r="Z76" s="437"/>
      <c r="AA76" s="437"/>
      <c r="AB76" s="437" t="s">
        <v>414</v>
      </c>
      <c r="AC76" s="437"/>
      <c r="AD76" s="437">
        <f>S76*V76</f>
        <v>600000</v>
      </c>
      <c r="AE76" s="134" t="s">
        <v>25</v>
      </c>
      <c r="AF76" s="1"/>
    </row>
    <row r="77" spans="1:34" s="11" customFormat="1" ht="21" customHeight="1">
      <c r="A77" s="45"/>
      <c r="B77" s="46"/>
      <c r="C77" s="46"/>
      <c r="D77" s="154"/>
      <c r="E77" s="108"/>
      <c r="F77" s="108"/>
      <c r="G77" s="108"/>
      <c r="H77" s="108"/>
      <c r="I77" s="108"/>
      <c r="J77" s="108"/>
      <c r="K77" s="108"/>
      <c r="L77" s="108"/>
      <c r="M77" s="108"/>
      <c r="N77" s="70"/>
      <c r="O77" s="438" t="s">
        <v>316</v>
      </c>
      <c r="P77" s="438"/>
      <c r="Q77" s="438"/>
      <c r="R77" s="438"/>
      <c r="S77" s="437">
        <v>400000</v>
      </c>
      <c r="T77" s="293" t="s">
        <v>263</v>
      </c>
      <c r="U77" s="293" t="s">
        <v>26</v>
      </c>
      <c r="V77" s="437">
        <v>7</v>
      </c>
      <c r="W77" s="438" t="s">
        <v>265</v>
      </c>
      <c r="X77" s="437" t="s">
        <v>27</v>
      </c>
      <c r="Y77" s="437"/>
      <c r="Z77" s="437"/>
      <c r="AA77" s="437"/>
      <c r="AB77" s="437" t="s">
        <v>389</v>
      </c>
      <c r="AC77" s="437"/>
      <c r="AD77" s="437">
        <f>S77*V77</f>
        <v>2800000</v>
      </c>
      <c r="AE77" s="134" t="s">
        <v>25</v>
      </c>
      <c r="AF77" s="1"/>
    </row>
    <row r="78" spans="1:34" s="11" customFormat="1" ht="21" customHeight="1">
      <c r="A78" s="45"/>
      <c r="B78" s="46"/>
      <c r="C78" s="46"/>
      <c r="D78" s="154"/>
      <c r="E78" s="108"/>
      <c r="F78" s="108"/>
      <c r="G78" s="108"/>
      <c r="H78" s="108"/>
      <c r="I78" s="108"/>
      <c r="J78" s="108"/>
      <c r="K78" s="108"/>
      <c r="L78" s="108"/>
      <c r="M78" s="108"/>
      <c r="N78" s="70"/>
      <c r="O78" s="438"/>
      <c r="P78" s="438"/>
      <c r="Q78" s="438"/>
      <c r="R78" s="438"/>
      <c r="S78" s="437">
        <v>360000</v>
      </c>
      <c r="T78" s="293" t="s">
        <v>57</v>
      </c>
      <c r="U78" s="293" t="s">
        <v>26</v>
      </c>
      <c r="V78" s="437">
        <v>5</v>
      </c>
      <c r="W78" s="438" t="s">
        <v>163</v>
      </c>
      <c r="X78" s="437" t="s">
        <v>27</v>
      </c>
      <c r="Y78" s="437"/>
      <c r="Z78" s="437"/>
      <c r="AA78" s="437"/>
      <c r="AB78" s="437" t="s">
        <v>490</v>
      </c>
      <c r="AC78" s="437"/>
      <c r="AD78" s="437">
        <f>S78*V78</f>
        <v>1800000</v>
      </c>
      <c r="AE78" s="134" t="s">
        <v>25</v>
      </c>
      <c r="AF78" s="1"/>
    </row>
    <row r="79" spans="1:34" s="14" customFormat="1" ht="21" customHeight="1">
      <c r="A79" s="45"/>
      <c r="B79" s="46"/>
      <c r="C79" s="46"/>
      <c r="D79" s="154"/>
      <c r="E79" s="108"/>
      <c r="F79" s="108"/>
      <c r="G79" s="108"/>
      <c r="H79" s="108"/>
      <c r="I79" s="108"/>
      <c r="J79" s="108"/>
      <c r="K79" s="108"/>
      <c r="L79" s="108"/>
      <c r="M79" s="108"/>
      <c r="N79" s="70"/>
      <c r="O79" s="438" t="s">
        <v>382</v>
      </c>
      <c r="P79" s="438"/>
      <c r="Q79" s="438"/>
      <c r="R79" s="438"/>
      <c r="S79" s="437"/>
      <c r="T79" s="293"/>
      <c r="U79" s="293"/>
      <c r="V79" s="437"/>
      <c r="W79" s="438"/>
      <c r="X79" s="437"/>
      <c r="Y79" s="437"/>
      <c r="Z79" s="437"/>
      <c r="AA79" s="437"/>
      <c r="AB79" s="437" t="s">
        <v>268</v>
      </c>
      <c r="AC79" s="437"/>
      <c r="AD79" s="437">
        <v>100000</v>
      </c>
      <c r="AE79" s="134" t="s">
        <v>25</v>
      </c>
      <c r="AF79" s="4"/>
    </row>
    <row r="80" spans="1:34" s="14" customFormat="1" ht="21" customHeight="1">
      <c r="A80" s="45"/>
      <c r="B80" s="46"/>
      <c r="C80" s="46"/>
      <c r="D80" s="154"/>
      <c r="E80" s="108"/>
      <c r="F80" s="108"/>
      <c r="G80" s="108"/>
      <c r="H80" s="108"/>
      <c r="I80" s="108"/>
      <c r="J80" s="108"/>
      <c r="K80" s="108"/>
      <c r="L80" s="108"/>
      <c r="M80" s="108"/>
      <c r="N80" s="70"/>
      <c r="O80" s="119"/>
      <c r="P80" s="50"/>
      <c r="Q80" s="50"/>
      <c r="R80" s="50"/>
      <c r="S80" s="51"/>
      <c r="T80" s="55"/>
      <c r="U80" s="55"/>
      <c r="V80" s="51"/>
      <c r="W80" s="50"/>
      <c r="X80" s="51"/>
      <c r="Y80" s="51"/>
      <c r="Z80" s="51"/>
      <c r="AA80" s="51"/>
      <c r="AB80" s="139"/>
      <c r="AC80" s="51"/>
      <c r="AD80" s="51"/>
      <c r="AE80" s="57"/>
      <c r="AF80" s="4"/>
    </row>
    <row r="81" spans="1:33" ht="21" customHeight="1">
      <c r="A81" s="45"/>
      <c r="B81" s="46"/>
      <c r="C81" s="36" t="s">
        <v>15</v>
      </c>
      <c r="D81" s="156">
        <v>322</v>
      </c>
      <c r="E81" s="113">
        <f>AD81/1000</f>
        <v>290</v>
      </c>
      <c r="F81" s="112">
        <v>0</v>
      </c>
      <c r="G81" s="112">
        <f>SUMIF($AB$82:$AB$85,"7종",$AD$82:$AD$85)/1000</f>
        <v>0</v>
      </c>
      <c r="H81" s="112">
        <f>SUMIF($AB$82:$AB$85,"시비",$AD$82:$AD$85)/1000</f>
        <v>0</v>
      </c>
      <c r="I81" s="112">
        <f>SUMIF($AB$82:$AB$85,"후원",$AD$82:$AD$85)/1000</f>
        <v>0</v>
      </c>
      <c r="J81" s="112">
        <f>SUMIF($AB$82:$AB$85,"입소",$AD$82:$AD$85)/1000</f>
        <v>290</v>
      </c>
      <c r="K81" s="112">
        <f>SUMIF($AB$82:$AB$85,"법인",$AD$82:$AD$85)/1000</f>
        <v>0</v>
      </c>
      <c r="L81" s="112">
        <f>SUMIF($AB$82:$AB$85,"잡수",$AD$82:$AD$85)/1000</f>
        <v>0</v>
      </c>
      <c r="M81" s="181">
        <f>E81-D81</f>
        <v>-32</v>
      </c>
      <c r="N81" s="120">
        <f>IF(D81=0,0,M81/D81)</f>
        <v>-9.9378881987577633E-2</v>
      </c>
      <c r="O81" s="333" t="s">
        <v>44</v>
      </c>
      <c r="P81" s="334"/>
      <c r="Q81" s="334"/>
      <c r="R81" s="334"/>
      <c r="S81" s="334"/>
      <c r="T81" s="335"/>
      <c r="U81" s="335"/>
      <c r="V81" s="335"/>
      <c r="W81" s="335"/>
      <c r="X81" s="335"/>
      <c r="Y81" s="330" t="s">
        <v>267</v>
      </c>
      <c r="Z81" s="330"/>
      <c r="AA81" s="330"/>
      <c r="AB81" s="330"/>
      <c r="AC81" s="331"/>
      <c r="AD81" s="331">
        <f>SUM(AD82:AD85)</f>
        <v>290000</v>
      </c>
      <c r="AE81" s="332" t="s">
        <v>25</v>
      </c>
    </row>
    <row r="82" spans="1:33" s="11" customFormat="1" ht="21" customHeight="1">
      <c r="A82" s="45"/>
      <c r="B82" s="46"/>
      <c r="C82" s="46"/>
      <c r="D82" s="154"/>
      <c r="E82" s="108"/>
      <c r="F82" s="108"/>
      <c r="G82" s="108"/>
      <c r="H82" s="108"/>
      <c r="I82" s="108"/>
      <c r="J82" s="108"/>
      <c r="K82" s="108"/>
      <c r="L82" s="108"/>
      <c r="M82" s="108"/>
      <c r="N82" s="70"/>
      <c r="O82" s="277" t="s">
        <v>319</v>
      </c>
      <c r="P82" s="337"/>
      <c r="Q82" s="337"/>
      <c r="R82" s="337"/>
      <c r="S82" s="277"/>
      <c r="T82" s="278"/>
      <c r="U82" s="336"/>
      <c r="V82" s="480">
        <v>20000</v>
      </c>
      <c r="W82" s="496" t="s">
        <v>57</v>
      </c>
      <c r="X82" s="496" t="s">
        <v>26</v>
      </c>
      <c r="Y82" s="480">
        <v>1</v>
      </c>
      <c r="Z82" s="497" t="s">
        <v>321</v>
      </c>
      <c r="AA82" s="480" t="s">
        <v>27</v>
      </c>
      <c r="AB82" s="275" t="s">
        <v>407</v>
      </c>
      <c r="AC82" s="275"/>
      <c r="AD82" s="275">
        <f t="shared" ref="AD82" si="6">V82*Y82</f>
        <v>20000</v>
      </c>
      <c r="AE82" s="295" t="s">
        <v>57</v>
      </c>
      <c r="AF82" s="511"/>
    </row>
    <row r="83" spans="1:33" s="11" customFormat="1" ht="21" customHeight="1">
      <c r="A83" s="45"/>
      <c r="B83" s="46"/>
      <c r="C83" s="46"/>
      <c r="D83" s="154"/>
      <c r="E83" s="108"/>
      <c r="F83" s="108"/>
      <c r="G83" s="108"/>
      <c r="H83" s="108"/>
      <c r="I83" s="108"/>
      <c r="J83" s="108"/>
      <c r="K83" s="108"/>
      <c r="L83" s="108"/>
      <c r="M83" s="108"/>
      <c r="N83" s="70"/>
      <c r="O83" s="438" t="s">
        <v>320</v>
      </c>
      <c r="P83" s="366"/>
      <c r="Q83" s="366"/>
      <c r="R83" s="366"/>
      <c r="S83" s="437">
        <v>660000</v>
      </c>
      <c r="T83" s="293" t="s">
        <v>57</v>
      </c>
      <c r="U83" s="293" t="s">
        <v>26</v>
      </c>
      <c r="V83" s="275">
        <v>1</v>
      </c>
      <c r="W83" s="438" t="s">
        <v>71</v>
      </c>
      <c r="X83" s="287" t="s">
        <v>70</v>
      </c>
      <c r="Y83" s="464">
        <v>3</v>
      </c>
      <c r="Z83" s="437"/>
      <c r="AA83" s="437" t="s">
        <v>27</v>
      </c>
      <c r="AB83" s="437" t="s">
        <v>407</v>
      </c>
      <c r="AC83" s="437"/>
      <c r="AD83" s="500">
        <f>ROUNDDOWN(S83*V83/Y83,-4)</f>
        <v>220000</v>
      </c>
      <c r="AE83" s="134" t="s">
        <v>57</v>
      </c>
      <c r="AF83" s="512"/>
      <c r="AG83" s="1"/>
    </row>
    <row r="84" spans="1:33" s="11" customFormat="1" ht="21" customHeight="1">
      <c r="A84" s="45"/>
      <c r="B84" s="46"/>
      <c r="C84" s="46"/>
      <c r="D84" s="154"/>
      <c r="E84" s="108"/>
      <c r="F84" s="108"/>
      <c r="G84" s="108"/>
      <c r="H84" s="108"/>
      <c r="I84" s="108"/>
      <c r="J84" s="108"/>
      <c r="K84" s="108"/>
      <c r="L84" s="108"/>
      <c r="M84" s="108"/>
      <c r="N84" s="70"/>
      <c r="O84" s="277" t="s">
        <v>353</v>
      </c>
      <c r="P84" s="337"/>
      <c r="Q84" s="337"/>
      <c r="R84" s="337"/>
      <c r="S84" s="277"/>
      <c r="T84" s="278"/>
      <c r="U84" s="336"/>
      <c r="V84" s="302"/>
      <c r="W84" s="303"/>
      <c r="X84" s="303"/>
      <c r="Y84" s="302"/>
      <c r="Z84" s="304"/>
      <c r="AA84" s="302" t="s">
        <v>27</v>
      </c>
      <c r="AB84" s="437" t="s">
        <v>315</v>
      </c>
      <c r="AC84" s="437"/>
      <c r="AD84" s="437">
        <v>50000</v>
      </c>
      <c r="AE84" s="134" t="s">
        <v>57</v>
      </c>
      <c r="AF84" s="511"/>
    </row>
    <row r="85" spans="1:33" s="11" customFormat="1" ht="21" customHeight="1">
      <c r="A85" s="45"/>
      <c r="B85" s="46"/>
      <c r="C85" s="46"/>
      <c r="D85" s="154"/>
      <c r="E85" s="108"/>
      <c r="F85" s="108"/>
      <c r="G85" s="108"/>
      <c r="H85" s="108"/>
      <c r="I85" s="108"/>
      <c r="J85" s="108"/>
      <c r="K85" s="108"/>
      <c r="L85" s="108"/>
      <c r="M85" s="108"/>
      <c r="N85" s="70"/>
      <c r="O85" s="124"/>
      <c r="P85" s="125"/>
      <c r="Q85" s="125"/>
      <c r="R85" s="125"/>
      <c r="S85" s="125"/>
      <c r="T85" s="125"/>
      <c r="U85" s="125"/>
      <c r="V85" s="125"/>
      <c r="W85" s="125"/>
      <c r="X85" s="125"/>
      <c r="Y85" s="75"/>
      <c r="Z85" s="75"/>
      <c r="AA85" s="302"/>
      <c r="AB85" s="75"/>
      <c r="AC85" s="75"/>
      <c r="AD85" s="51"/>
      <c r="AE85" s="134"/>
      <c r="AF85" s="1"/>
    </row>
    <row r="86" spans="1:33" s="11" customFormat="1" ht="21" customHeight="1">
      <c r="A86" s="45"/>
      <c r="B86" s="46"/>
      <c r="C86" s="36" t="s">
        <v>45</v>
      </c>
      <c r="D86" s="156">
        <v>335</v>
      </c>
      <c r="E86" s="113">
        <f>AD86/1000</f>
        <v>395</v>
      </c>
      <c r="F86" s="112">
        <v>0</v>
      </c>
      <c r="G86" s="112">
        <f>SUMIF($AB$87:$AB$89,"7종",$AD$87:$AD$89)/1000</f>
        <v>0</v>
      </c>
      <c r="H86" s="112">
        <f>SUMIF($AB$87:$AB$89,"시비",$AD$87:$AD$89)/1000</f>
        <v>0</v>
      </c>
      <c r="I86" s="112">
        <f>SUMIF($AB$87:$AB$89,"후원",$AD$87:$AD$89)/1000</f>
        <v>360</v>
      </c>
      <c r="J86" s="112">
        <f>SUMIF($AB$87:$AB$89,"입소",$AD$87:$AD$89)/1000</f>
        <v>35</v>
      </c>
      <c r="K86" s="112">
        <f>SUMIF($AB$87:$AB$89,"법인",$AD$87:$AD$89)/1000</f>
        <v>0</v>
      </c>
      <c r="L86" s="112">
        <f>SUMIF($AB$87:$AB$89,"잡수",$AD$87:$AD$89)/1000</f>
        <v>0</v>
      </c>
      <c r="M86" s="112">
        <f>E86-D86</f>
        <v>60</v>
      </c>
      <c r="N86" s="120">
        <f>IF(D86=0,0,M86/D86)</f>
        <v>0.17910447761194029</v>
      </c>
      <c r="O86" s="296" t="s">
        <v>46</v>
      </c>
      <c r="P86" s="297"/>
      <c r="Q86" s="297"/>
      <c r="R86" s="297"/>
      <c r="S86" s="334"/>
      <c r="T86" s="298"/>
      <c r="U86" s="298"/>
      <c r="V86" s="298"/>
      <c r="W86" s="298"/>
      <c r="X86" s="298"/>
      <c r="Y86" s="299" t="s">
        <v>143</v>
      </c>
      <c r="Z86" s="299"/>
      <c r="AA86" s="299"/>
      <c r="AB86" s="299"/>
      <c r="AC86" s="300"/>
      <c r="AD86" s="300">
        <f>SUM(AD87:AD88)</f>
        <v>395000</v>
      </c>
      <c r="AE86" s="450" t="s">
        <v>25</v>
      </c>
      <c r="AF86" s="1"/>
    </row>
    <row r="87" spans="1:33" s="11" customFormat="1" ht="21" customHeight="1">
      <c r="A87" s="45"/>
      <c r="B87" s="46"/>
      <c r="C87" s="46"/>
      <c r="D87" s="109"/>
      <c r="E87" s="108"/>
      <c r="F87" s="108"/>
      <c r="G87" s="108"/>
      <c r="H87" s="108"/>
      <c r="I87" s="108"/>
      <c r="J87" s="108"/>
      <c r="K87" s="108"/>
      <c r="L87" s="108"/>
      <c r="M87" s="108"/>
      <c r="N87" s="70"/>
      <c r="O87" s="438" t="s">
        <v>323</v>
      </c>
      <c r="P87" s="438"/>
      <c r="Q87" s="438"/>
      <c r="R87" s="438"/>
      <c r="S87" s="275">
        <v>30000</v>
      </c>
      <c r="T87" s="293" t="s">
        <v>279</v>
      </c>
      <c r="U87" s="293" t="s">
        <v>26</v>
      </c>
      <c r="V87" s="437">
        <v>12</v>
      </c>
      <c r="W87" s="438" t="s">
        <v>264</v>
      </c>
      <c r="X87" s="437" t="s">
        <v>27</v>
      </c>
      <c r="Y87" s="437"/>
      <c r="Z87" s="437"/>
      <c r="AA87" s="437"/>
      <c r="AB87" s="437" t="s">
        <v>289</v>
      </c>
      <c r="AC87" s="437"/>
      <c r="AD87" s="437">
        <f>S87*V87</f>
        <v>360000</v>
      </c>
      <c r="AE87" s="134" t="s">
        <v>25</v>
      </c>
      <c r="AF87" s="1"/>
    </row>
    <row r="88" spans="1:33" ht="21" customHeight="1">
      <c r="A88" s="45"/>
      <c r="B88" s="46"/>
      <c r="C88" s="46"/>
      <c r="D88" s="154"/>
      <c r="E88" s="108"/>
      <c r="F88" s="108"/>
      <c r="G88" s="108"/>
      <c r="H88" s="108"/>
      <c r="I88" s="108"/>
      <c r="J88" s="108"/>
      <c r="K88" s="108"/>
      <c r="L88" s="108"/>
      <c r="M88" s="108"/>
      <c r="N88" s="70"/>
      <c r="O88" s="438" t="s">
        <v>324</v>
      </c>
      <c r="P88" s="438"/>
      <c r="Q88" s="438"/>
      <c r="R88" s="438"/>
      <c r="S88" s="275"/>
      <c r="T88" s="293"/>
      <c r="U88" s="293"/>
      <c r="V88" s="437"/>
      <c r="W88" s="438"/>
      <c r="X88" s="437"/>
      <c r="Y88" s="437"/>
      <c r="Z88" s="437"/>
      <c r="AA88" s="437"/>
      <c r="AB88" s="437" t="s">
        <v>315</v>
      </c>
      <c r="AC88" s="437"/>
      <c r="AD88" s="437">
        <v>35000</v>
      </c>
      <c r="AE88" s="134" t="s">
        <v>25</v>
      </c>
    </row>
    <row r="89" spans="1:33" s="11" customFormat="1" ht="21" customHeight="1">
      <c r="A89" s="45"/>
      <c r="B89" s="46"/>
      <c r="C89" s="59"/>
      <c r="D89" s="126"/>
      <c r="E89" s="110"/>
      <c r="F89" s="110"/>
      <c r="G89" s="110"/>
      <c r="H89" s="110"/>
      <c r="I89" s="110"/>
      <c r="J89" s="110"/>
      <c r="K89" s="110"/>
      <c r="L89" s="110"/>
      <c r="M89" s="110"/>
      <c r="N89" s="83"/>
      <c r="O89" s="449"/>
      <c r="P89" s="449"/>
      <c r="Q89" s="449"/>
      <c r="R89" s="449"/>
      <c r="S89" s="339"/>
      <c r="T89" s="367"/>
      <c r="U89" s="448"/>
      <c r="V89" s="581"/>
      <c r="W89" s="582"/>
      <c r="X89" s="448"/>
      <c r="Y89" s="448"/>
      <c r="Z89" s="448"/>
      <c r="AA89" s="448"/>
      <c r="AB89" s="448"/>
      <c r="AC89" s="448"/>
      <c r="AD89" s="448"/>
      <c r="AE89" s="368"/>
      <c r="AF89" s="1"/>
    </row>
    <row r="90" spans="1:33" s="11" customFormat="1" ht="21" customHeight="1">
      <c r="A90" s="45"/>
      <c r="B90" s="46"/>
      <c r="C90" s="36" t="s">
        <v>86</v>
      </c>
      <c r="D90" s="127">
        <v>50</v>
      </c>
      <c r="E90" s="113">
        <f>AD90/1000</f>
        <v>200</v>
      </c>
      <c r="F90" s="112">
        <f>SUMIF($AB$91:$AB$92,"보조",$AD$91:$AD$92)/1000</f>
        <v>0</v>
      </c>
      <c r="G90" s="112">
        <f>SUMIF($AB$91:$AB$92,"7종",$AD$91:$AD$92)/1000</f>
        <v>0</v>
      </c>
      <c r="H90" s="112">
        <f>SUMIF($AB$91:$AB$92,"시비",$AD$91:$AD$92)/1000</f>
        <v>0</v>
      </c>
      <c r="I90" s="112">
        <f>SUMIF($AB$91:$AB$92,"후원",$AD$91:$AD$92)/1000</f>
        <v>0</v>
      </c>
      <c r="J90" s="112">
        <f>SUMIF($AB$91:$AB$92,"입소",$AD$91:$AD$92)/1000</f>
        <v>200</v>
      </c>
      <c r="K90" s="112">
        <f>SUMIF($AB$91:$AB$92,"법인",$AD$91:$AD$92)/1000</f>
        <v>0</v>
      </c>
      <c r="L90" s="112">
        <f>SUMIF($AB$91:$AB$92,"잡수",$AD$91:$AD$92)/1000</f>
        <v>0</v>
      </c>
      <c r="M90" s="112">
        <f>E90-D90</f>
        <v>150</v>
      </c>
      <c r="N90" s="120">
        <f>IF(D90=0,0,M90/D90)</f>
        <v>3</v>
      </c>
      <c r="O90" s="288" t="s">
        <v>87</v>
      </c>
      <c r="P90" s="297"/>
      <c r="Q90" s="297"/>
      <c r="R90" s="297"/>
      <c r="S90" s="334"/>
      <c r="T90" s="298"/>
      <c r="U90" s="298"/>
      <c r="V90" s="298"/>
      <c r="W90" s="298"/>
      <c r="X90" s="298"/>
      <c r="Y90" s="299" t="s">
        <v>143</v>
      </c>
      <c r="Z90" s="299"/>
      <c r="AA90" s="299"/>
      <c r="AB90" s="299"/>
      <c r="AC90" s="300"/>
      <c r="AD90" s="300">
        <f>SUM(AD91:AD92)</f>
        <v>200000</v>
      </c>
      <c r="AE90" s="450" t="s">
        <v>25</v>
      </c>
      <c r="AF90" s="1"/>
    </row>
    <row r="91" spans="1:33" s="11" customFormat="1" ht="20.25" customHeight="1">
      <c r="A91" s="45"/>
      <c r="B91" s="46"/>
      <c r="C91" s="46"/>
      <c r="D91" s="128"/>
      <c r="E91" s="108"/>
      <c r="F91" s="108"/>
      <c r="G91" s="108"/>
      <c r="H91" s="108"/>
      <c r="I91" s="108"/>
      <c r="J91" s="108"/>
      <c r="K91" s="108"/>
      <c r="L91" s="108"/>
      <c r="M91" s="108"/>
      <c r="N91" s="70"/>
      <c r="O91" s="438" t="s">
        <v>322</v>
      </c>
      <c r="P91" s="438"/>
      <c r="Q91" s="438"/>
      <c r="R91" s="438"/>
      <c r="S91" s="275">
        <v>50000</v>
      </c>
      <c r="T91" s="437" t="s">
        <v>263</v>
      </c>
      <c r="U91" s="360" t="s">
        <v>269</v>
      </c>
      <c r="V91" s="437">
        <v>4</v>
      </c>
      <c r="W91" s="437" t="s">
        <v>368</v>
      </c>
      <c r="X91" s="360"/>
      <c r="Y91" s="437"/>
      <c r="Z91" s="437"/>
      <c r="AA91" s="437" t="s">
        <v>266</v>
      </c>
      <c r="AB91" s="437" t="s">
        <v>491</v>
      </c>
      <c r="AC91" s="133"/>
      <c r="AD91" s="133">
        <f>S91*V91</f>
        <v>200000</v>
      </c>
      <c r="AE91" s="134" t="s">
        <v>263</v>
      </c>
      <c r="AF91" s="2"/>
    </row>
    <row r="92" spans="1:33" s="11" customFormat="1" ht="21" customHeight="1">
      <c r="A92" s="45"/>
      <c r="B92" s="46"/>
      <c r="C92" s="47"/>
      <c r="D92" s="154"/>
      <c r="E92" s="108"/>
      <c r="F92" s="108"/>
      <c r="G92" s="108"/>
      <c r="H92" s="108"/>
      <c r="I92" s="108"/>
      <c r="J92" s="108"/>
      <c r="K92" s="108"/>
      <c r="L92" s="108"/>
      <c r="M92" s="108"/>
      <c r="N92" s="83"/>
      <c r="O92" s="449"/>
      <c r="P92" s="449"/>
      <c r="Q92" s="449"/>
      <c r="R92" s="449"/>
      <c r="S92" s="339"/>
      <c r="T92" s="449"/>
      <c r="U92" s="448"/>
      <c r="V92" s="462"/>
      <c r="W92" s="462"/>
      <c r="X92" s="448"/>
      <c r="Y92" s="448"/>
      <c r="Z92" s="448"/>
      <c r="AA92" s="448"/>
      <c r="AB92" s="448"/>
      <c r="AC92" s="448"/>
      <c r="AD92" s="448"/>
      <c r="AE92" s="368"/>
      <c r="AF92" s="2"/>
    </row>
    <row r="93" spans="1:33" s="11" customFormat="1" ht="21" customHeight="1">
      <c r="A93" s="111" t="s">
        <v>47</v>
      </c>
      <c r="B93" s="598" t="s">
        <v>20</v>
      </c>
      <c r="C93" s="598"/>
      <c r="D93" s="184">
        <v>6511.6</v>
      </c>
      <c r="E93" s="184">
        <f>E94</f>
        <v>100</v>
      </c>
      <c r="F93" s="184">
        <f t="shared" ref="F93:L93" si="7">F94</f>
        <v>0</v>
      </c>
      <c r="G93" s="184">
        <f t="shared" si="7"/>
        <v>0</v>
      </c>
      <c r="H93" s="184">
        <f t="shared" si="7"/>
        <v>0</v>
      </c>
      <c r="I93" s="184">
        <f t="shared" si="7"/>
        <v>0</v>
      </c>
      <c r="J93" s="184">
        <f t="shared" si="7"/>
        <v>100</v>
      </c>
      <c r="K93" s="184">
        <f t="shared" si="7"/>
        <v>0</v>
      </c>
      <c r="L93" s="184">
        <f t="shared" si="7"/>
        <v>0</v>
      </c>
      <c r="M93" s="184">
        <f>E93-D93</f>
        <v>-6411.6</v>
      </c>
      <c r="N93" s="166">
        <f>IF(D93=0,0,M93/D93)</f>
        <v>-0.98464279132624855</v>
      </c>
      <c r="O93" s="178" t="s">
        <v>146</v>
      </c>
      <c r="P93" s="32"/>
      <c r="Q93" s="32"/>
      <c r="R93" s="32"/>
      <c r="S93" s="47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>
        <f>AD94</f>
        <v>100000</v>
      </c>
      <c r="AE93" s="34" t="s">
        <v>25</v>
      </c>
      <c r="AF93" s="2"/>
    </row>
    <row r="94" spans="1:33" s="11" customFormat="1" ht="21" customHeight="1">
      <c r="A94" s="183" t="s">
        <v>153</v>
      </c>
      <c r="B94" s="46" t="s">
        <v>17</v>
      </c>
      <c r="C94" s="46" t="s">
        <v>147</v>
      </c>
      <c r="D94" s="108">
        <v>6511.6</v>
      </c>
      <c r="E94" s="108">
        <f t="shared" ref="E94:L94" si="8">SUM(E95,E97,E101)</f>
        <v>100</v>
      </c>
      <c r="F94" s="108">
        <f t="shared" si="8"/>
        <v>0</v>
      </c>
      <c r="G94" s="108">
        <f t="shared" si="8"/>
        <v>0</v>
      </c>
      <c r="H94" s="108">
        <f t="shared" si="8"/>
        <v>0</v>
      </c>
      <c r="I94" s="108">
        <f t="shared" si="8"/>
        <v>0</v>
      </c>
      <c r="J94" s="108">
        <f t="shared" si="8"/>
        <v>100</v>
      </c>
      <c r="K94" s="108">
        <f t="shared" si="8"/>
        <v>0</v>
      </c>
      <c r="L94" s="108">
        <f t="shared" si="8"/>
        <v>0</v>
      </c>
      <c r="M94" s="108">
        <f>E94-D94</f>
        <v>-6411.6</v>
      </c>
      <c r="N94" s="70">
        <f>IF(D94=0,0,M94/D94)</f>
        <v>-0.98464279132624855</v>
      </c>
      <c r="O94" s="180" t="s">
        <v>148</v>
      </c>
      <c r="P94" s="92"/>
      <c r="Q94" s="92"/>
      <c r="R94" s="92"/>
      <c r="S94" s="334"/>
      <c r="T94" s="88"/>
      <c r="U94" s="88"/>
      <c r="V94" s="88"/>
      <c r="W94" s="88"/>
      <c r="X94" s="88"/>
      <c r="Y94" s="88"/>
      <c r="Z94" s="88"/>
      <c r="AA94" s="88"/>
      <c r="AB94" s="88"/>
      <c r="AC94" s="93"/>
      <c r="AD94" s="93">
        <f>SUM(AD95,AD97,AD101)</f>
        <v>100000</v>
      </c>
      <c r="AE94" s="94" t="s">
        <v>25</v>
      </c>
      <c r="AF94" s="1"/>
    </row>
    <row r="95" spans="1:33" s="11" customFormat="1" ht="21" customHeight="1">
      <c r="A95" s="45"/>
      <c r="B95" s="46"/>
      <c r="C95" s="36" t="s">
        <v>148</v>
      </c>
      <c r="D95" s="181">
        <v>0</v>
      </c>
      <c r="E95" s="113">
        <f>AD95/1000</f>
        <v>0</v>
      </c>
      <c r="F95" s="181">
        <f>SUMIF($AB$96:$AB$96,"보조",$AD$96:$AD$96)/1000</f>
        <v>0</v>
      </c>
      <c r="G95" s="181">
        <f>SUMIF($AB$96:$AB$96,"7종",$AD$96:$AD$96)/1000</f>
        <v>0</v>
      </c>
      <c r="H95" s="181">
        <f>SUMIF($AB$96:$AB$96,"시비",$AD$96:$AD$96)/1000</f>
        <v>0</v>
      </c>
      <c r="I95" s="181">
        <f>SUMIF($AB$96:$AB$96,"후원",$AD$96:$AD$96)/1000</f>
        <v>0</v>
      </c>
      <c r="J95" s="181">
        <f>SUMIF($AB$96:$AB$96,"입소",$AD$96:$AD$96)/1000</f>
        <v>0</v>
      </c>
      <c r="K95" s="181">
        <f>SUMIF($AB$96:$AB$96,"법인",$AD$96:$AD$96)/1000</f>
        <v>0</v>
      </c>
      <c r="L95" s="181">
        <f>SUMIF($AB$96:$AB$96,"잡수",$AD$96:$AD$96)/1000</f>
        <v>0</v>
      </c>
      <c r="M95" s="181">
        <f>E95-D95</f>
        <v>0</v>
      </c>
      <c r="N95" s="182">
        <f>IF(D95=0,0,M95/D95)</f>
        <v>0</v>
      </c>
      <c r="O95" s="96" t="s">
        <v>48</v>
      </c>
      <c r="P95" s="180"/>
      <c r="Q95" s="180"/>
      <c r="R95" s="180"/>
      <c r="S95" s="334"/>
      <c r="T95" s="179"/>
      <c r="U95" s="179"/>
      <c r="V95" s="179"/>
      <c r="W95" s="179"/>
      <c r="X95" s="179"/>
      <c r="Y95" s="172" t="s">
        <v>143</v>
      </c>
      <c r="Z95" s="172"/>
      <c r="AA95" s="172"/>
      <c r="AB95" s="172"/>
      <c r="AC95" s="174"/>
      <c r="AD95" s="174">
        <f>SUM(AD96:AD96)</f>
        <v>0</v>
      </c>
      <c r="AE95" s="173" t="s">
        <v>25</v>
      </c>
      <c r="AF95" s="1"/>
    </row>
    <row r="96" spans="1:33" s="11" customFormat="1" ht="21" customHeight="1">
      <c r="A96" s="45"/>
      <c r="B96" s="46"/>
      <c r="C96" s="46"/>
      <c r="D96" s="109"/>
      <c r="E96" s="108"/>
      <c r="F96" s="108"/>
      <c r="G96" s="108"/>
      <c r="H96" s="108"/>
      <c r="I96" s="108"/>
      <c r="J96" s="108"/>
      <c r="K96" s="108"/>
      <c r="L96" s="108"/>
      <c r="M96" s="108"/>
      <c r="N96" s="70"/>
      <c r="O96" s="176"/>
      <c r="P96" s="141"/>
      <c r="Q96" s="141"/>
      <c r="R96" s="141"/>
      <c r="S96" s="474"/>
      <c r="T96" s="140"/>
      <c r="U96" s="140"/>
      <c r="V96" s="140"/>
      <c r="W96" s="140"/>
      <c r="X96" s="140"/>
      <c r="Y96" s="140"/>
      <c r="Z96" s="140"/>
      <c r="AA96" s="140"/>
      <c r="AB96" s="142"/>
      <c r="AC96" s="52"/>
      <c r="AD96" s="278"/>
      <c r="AE96" s="57"/>
      <c r="AF96" s="2"/>
    </row>
    <row r="97" spans="1:32" s="11" customFormat="1" ht="21" customHeight="1">
      <c r="A97" s="45"/>
      <c r="B97" s="46"/>
      <c r="C97" s="36" t="s">
        <v>18</v>
      </c>
      <c r="D97" s="156">
        <v>2811.6</v>
      </c>
      <c r="E97" s="113">
        <f>AD97/1000</f>
        <v>0</v>
      </c>
      <c r="F97" s="112">
        <f>SUMIF($AB$98:$AB$100,"보조",$AD$98:$AD$100)/1000</f>
        <v>0</v>
      </c>
      <c r="G97" s="112">
        <f>SUMIF($AB$98:$AB$100,"7종",$AD$98:$AD$100)/1000</f>
        <v>0</v>
      </c>
      <c r="H97" s="112">
        <f>SUMIF($AB$98:$AB$100,"시비",$AD$98:$AD$100)/1000</f>
        <v>0</v>
      </c>
      <c r="I97" s="112">
        <f>SUMIF($AB$98:$AB$100,"후원",$AD$98:$AD$100)/1000</f>
        <v>0</v>
      </c>
      <c r="J97" s="112">
        <f>SUMIF($AB$98:$AB$100,"입소",$AD$98:$AD$100)/1000</f>
        <v>0</v>
      </c>
      <c r="K97" s="112">
        <f>SUMIF($AB$98:$AB$100,"법인",$AD$98:$AD$100)/1000</f>
        <v>0</v>
      </c>
      <c r="L97" s="112">
        <f>SUMIF($AB$98:$AB$100,"잡수",$AD$98:$AD$100)/1000</f>
        <v>0</v>
      </c>
      <c r="M97" s="112">
        <f>E97-D97</f>
        <v>-2811.6</v>
      </c>
      <c r="N97" s="120">
        <f>IF(D97=0,0,M97/D97)</f>
        <v>-1</v>
      </c>
      <c r="O97" s="96" t="s">
        <v>49</v>
      </c>
      <c r="P97" s="92"/>
      <c r="Q97" s="92"/>
      <c r="R97" s="92"/>
      <c r="S97" s="334"/>
      <c r="T97" s="88"/>
      <c r="U97" s="88"/>
      <c r="V97" s="88"/>
      <c r="W97" s="88"/>
      <c r="X97" s="88"/>
      <c r="Y97" s="172" t="s">
        <v>143</v>
      </c>
      <c r="Z97" s="172"/>
      <c r="AA97" s="172"/>
      <c r="AB97" s="172"/>
      <c r="AC97" s="174"/>
      <c r="AD97" s="174">
        <f>SUM(AD98:AD99)</f>
        <v>0</v>
      </c>
      <c r="AE97" s="173" t="s">
        <v>25</v>
      </c>
      <c r="AF97" s="1"/>
    </row>
    <row r="98" spans="1:32" s="11" customFormat="1" ht="21" customHeight="1">
      <c r="A98" s="45"/>
      <c r="B98" s="46"/>
      <c r="C98" s="46"/>
      <c r="D98" s="109"/>
      <c r="E98" s="108"/>
      <c r="F98" s="108"/>
      <c r="G98" s="108"/>
      <c r="H98" s="108"/>
      <c r="I98" s="108"/>
      <c r="J98" s="108"/>
      <c r="K98" s="108"/>
      <c r="L98" s="108"/>
      <c r="M98" s="108"/>
      <c r="N98" s="70"/>
      <c r="O98" s="438" t="s">
        <v>487</v>
      </c>
      <c r="P98" s="438"/>
      <c r="Q98" s="438"/>
      <c r="R98" s="438"/>
      <c r="S98" s="437"/>
      <c r="T98" s="293"/>
      <c r="U98" s="293"/>
      <c r="V98" s="437"/>
      <c r="W98" s="438"/>
      <c r="X98" s="437"/>
      <c r="Y98" s="437"/>
      <c r="Z98" s="437"/>
      <c r="AA98" s="437"/>
      <c r="AB98" s="437" t="s">
        <v>388</v>
      </c>
      <c r="AC98" s="437"/>
      <c r="AD98" s="437"/>
      <c r="AE98" s="134" t="s">
        <v>25</v>
      </c>
      <c r="AF98" s="2"/>
    </row>
    <row r="99" spans="1:32" s="11" customFormat="1" ht="21" customHeight="1">
      <c r="A99" s="45"/>
      <c r="B99" s="46"/>
      <c r="C99" s="46"/>
      <c r="D99" s="109"/>
      <c r="E99" s="108"/>
      <c r="F99" s="108"/>
      <c r="G99" s="108"/>
      <c r="H99" s="108"/>
      <c r="I99" s="108"/>
      <c r="J99" s="108"/>
      <c r="K99" s="108"/>
      <c r="L99" s="108"/>
      <c r="M99" s="108"/>
      <c r="N99" s="70"/>
      <c r="O99" s="438" t="s">
        <v>325</v>
      </c>
      <c r="P99" s="438"/>
      <c r="Q99" s="438"/>
      <c r="R99" s="438"/>
      <c r="S99" s="275"/>
      <c r="T99" s="293"/>
      <c r="U99" s="293"/>
      <c r="V99" s="437"/>
      <c r="W99" s="438"/>
      <c r="X99" s="437"/>
      <c r="Y99" s="437"/>
      <c r="Z99" s="437"/>
      <c r="AA99" s="437"/>
      <c r="AB99" s="437"/>
      <c r="AC99" s="437"/>
      <c r="AD99" s="437"/>
      <c r="AE99" s="134" t="s">
        <v>57</v>
      </c>
      <c r="AF99" s="2"/>
    </row>
    <row r="100" spans="1:32" s="11" customFormat="1" ht="21" customHeight="1">
      <c r="A100" s="45"/>
      <c r="B100" s="46"/>
      <c r="C100" s="46"/>
      <c r="D100" s="109"/>
      <c r="E100" s="108"/>
      <c r="F100" s="108"/>
      <c r="G100" s="108"/>
      <c r="H100" s="108"/>
      <c r="I100" s="108"/>
      <c r="J100" s="108"/>
      <c r="K100" s="108"/>
      <c r="L100" s="108"/>
      <c r="M100" s="108"/>
      <c r="N100" s="70"/>
      <c r="O100" s="151"/>
      <c r="P100" s="50"/>
      <c r="Q100" s="50"/>
      <c r="R100" s="50"/>
      <c r="S100" s="275"/>
      <c r="T100" s="116"/>
      <c r="U100" s="55"/>
      <c r="V100" s="68"/>
      <c r="W100" s="68"/>
      <c r="X100" s="51"/>
      <c r="Y100" s="51"/>
      <c r="Z100" s="51"/>
      <c r="AA100" s="51"/>
      <c r="AB100" s="51"/>
      <c r="AC100" s="51"/>
      <c r="AD100" s="51"/>
      <c r="AE100" s="57"/>
      <c r="AF100" s="2"/>
    </row>
    <row r="101" spans="1:32" s="11" customFormat="1" ht="21" customHeight="1">
      <c r="A101" s="45"/>
      <c r="B101" s="46"/>
      <c r="C101" s="36" t="s">
        <v>50</v>
      </c>
      <c r="D101" s="156">
        <v>3700</v>
      </c>
      <c r="E101" s="113">
        <f>AD101/1000</f>
        <v>100</v>
      </c>
      <c r="F101" s="112">
        <f>SUMIF($AB$102:$AB$106,"보조",$AD$102:$AD$106)/1000</f>
        <v>0</v>
      </c>
      <c r="G101" s="112">
        <f>SUMIF($AB$102:$AB$106,"7종",$AD$102:$AD$106)/1000</f>
        <v>0</v>
      </c>
      <c r="H101" s="112">
        <f>SUMIF($AB$102:$AB$106,"시비",$AD$102:$AD$106)/1000</f>
        <v>0</v>
      </c>
      <c r="I101" s="112">
        <f>SUMIF($AB$102:$AB$106,"후원",$AD$102:$AD$106)/1000</f>
        <v>0</v>
      </c>
      <c r="J101" s="112">
        <f>SUMIF($AB$102:$AB$106,"입소",$AD$102:$AD$106)/1000</f>
        <v>100</v>
      </c>
      <c r="K101" s="112">
        <f>SUMIF($AB$102:$AB$106,"법인",$AD$102:$AD$106)/1000</f>
        <v>0</v>
      </c>
      <c r="L101" s="112">
        <f>SUMIF($AB$102:$AB$106,"잡수",$AD$102:$AD$106)/1000</f>
        <v>0</v>
      </c>
      <c r="M101" s="112">
        <f>E101-D101</f>
        <v>-3600</v>
      </c>
      <c r="N101" s="120">
        <f>IF(D101=0,0,M101/D101)</f>
        <v>-0.97297297297297303</v>
      </c>
      <c r="O101" s="96" t="s">
        <v>51</v>
      </c>
      <c r="P101" s="92"/>
      <c r="Q101" s="92"/>
      <c r="R101" s="92"/>
      <c r="S101" s="334"/>
      <c r="T101" s="88"/>
      <c r="U101" s="88"/>
      <c r="V101" s="88"/>
      <c r="W101" s="88"/>
      <c r="X101" s="88"/>
      <c r="Y101" s="172" t="s">
        <v>143</v>
      </c>
      <c r="Z101" s="172"/>
      <c r="AA101" s="172"/>
      <c r="AB101" s="172"/>
      <c r="AC101" s="174"/>
      <c r="AD101" s="174">
        <f>SUM(AD102:AD105)</f>
        <v>100000</v>
      </c>
      <c r="AE101" s="173" t="s">
        <v>25</v>
      </c>
      <c r="AF101" s="1"/>
    </row>
    <row r="102" spans="1:32" s="1" customFormat="1" ht="21" customHeight="1">
      <c r="A102" s="45"/>
      <c r="B102" s="46"/>
      <c r="C102" s="46" t="s">
        <v>158</v>
      </c>
      <c r="D102" s="154"/>
      <c r="E102" s="108"/>
      <c r="F102" s="108"/>
      <c r="G102" s="108"/>
      <c r="H102" s="108"/>
      <c r="I102" s="108"/>
      <c r="J102" s="108"/>
      <c r="K102" s="108"/>
      <c r="L102" s="108"/>
      <c r="M102" s="108"/>
      <c r="N102" s="70"/>
      <c r="O102" s="438" t="s">
        <v>370</v>
      </c>
      <c r="P102" s="356"/>
      <c r="Q102" s="356"/>
      <c r="R102" s="356"/>
      <c r="S102" s="275"/>
      <c r="T102" s="293"/>
      <c r="U102" s="293"/>
      <c r="V102" s="355"/>
      <c r="W102" s="356"/>
      <c r="X102" s="355"/>
      <c r="Y102" s="355"/>
      <c r="Z102" s="355"/>
      <c r="AA102" s="355"/>
      <c r="AB102" s="355" t="s">
        <v>285</v>
      </c>
      <c r="AC102" s="355"/>
      <c r="AD102" s="355"/>
      <c r="AE102" s="134" t="s">
        <v>25</v>
      </c>
      <c r="AF102" s="2"/>
    </row>
    <row r="103" spans="1:32" s="1" customFormat="1" ht="21" customHeight="1">
      <c r="A103" s="45"/>
      <c r="B103" s="46"/>
      <c r="C103" s="46"/>
      <c r="D103" s="154"/>
      <c r="E103" s="108"/>
      <c r="F103" s="108"/>
      <c r="G103" s="108"/>
      <c r="H103" s="108"/>
      <c r="I103" s="108"/>
      <c r="J103" s="108"/>
      <c r="K103" s="108"/>
      <c r="L103" s="108"/>
      <c r="M103" s="108"/>
      <c r="N103" s="70"/>
      <c r="O103" s="438" t="s">
        <v>325</v>
      </c>
      <c r="P103" s="356"/>
      <c r="Q103" s="356"/>
      <c r="R103" s="356"/>
      <c r="S103" s="275"/>
      <c r="T103" s="293"/>
      <c r="U103" s="293"/>
      <c r="V103" s="355"/>
      <c r="W103" s="356"/>
      <c r="X103" s="355"/>
      <c r="Y103" s="355"/>
      <c r="Z103" s="355"/>
      <c r="AA103" s="355"/>
      <c r="AB103" s="393" t="s">
        <v>444</v>
      </c>
      <c r="AC103" s="355"/>
      <c r="AD103" s="355"/>
      <c r="AE103" s="134" t="s">
        <v>278</v>
      </c>
      <c r="AF103" s="2"/>
    </row>
    <row r="104" spans="1:32" s="1" customFormat="1" ht="21" customHeight="1">
      <c r="A104" s="45"/>
      <c r="B104" s="46"/>
      <c r="C104" s="46"/>
      <c r="D104" s="154"/>
      <c r="E104" s="108"/>
      <c r="F104" s="108"/>
      <c r="G104" s="108"/>
      <c r="H104" s="108"/>
      <c r="I104" s="108"/>
      <c r="J104" s="108"/>
      <c r="K104" s="108"/>
      <c r="L104" s="108"/>
      <c r="M104" s="108"/>
      <c r="N104" s="70"/>
      <c r="O104" s="277" t="s">
        <v>317</v>
      </c>
      <c r="P104" s="337"/>
      <c r="Q104" s="337"/>
      <c r="R104" s="337"/>
      <c r="S104" s="277"/>
      <c r="T104" s="278"/>
      <c r="U104" s="336"/>
      <c r="V104" s="480">
        <v>60000</v>
      </c>
      <c r="W104" s="303" t="s">
        <v>57</v>
      </c>
      <c r="X104" s="303" t="s">
        <v>26</v>
      </c>
      <c r="Y104" s="302">
        <v>1</v>
      </c>
      <c r="Z104" s="304" t="s">
        <v>71</v>
      </c>
      <c r="AA104" s="302" t="s">
        <v>27</v>
      </c>
      <c r="AB104" s="437" t="s">
        <v>268</v>
      </c>
      <c r="AC104" s="437"/>
      <c r="AD104" s="437">
        <f t="shared" ref="AD104:AD105" si="9">V104*Y104</f>
        <v>60000</v>
      </c>
      <c r="AE104" s="134" t="s">
        <v>57</v>
      </c>
      <c r="AF104" s="2"/>
    </row>
    <row r="105" spans="1:32" s="1" customFormat="1" ht="21" customHeight="1">
      <c r="A105" s="45"/>
      <c r="B105" s="46"/>
      <c r="C105" s="46"/>
      <c r="D105" s="154"/>
      <c r="E105" s="108"/>
      <c r="F105" s="108"/>
      <c r="G105" s="108"/>
      <c r="H105" s="108"/>
      <c r="I105" s="108"/>
      <c r="J105" s="108"/>
      <c r="K105" s="108"/>
      <c r="L105" s="108"/>
      <c r="M105" s="108"/>
      <c r="N105" s="70"/>
      <c r="O105" s="277" t="s">
        <v>318</v>
      </c>
      <c r="P105" s="337"/>
      <c r="Q105" s="337"/>
      <c r="R105" s="337"/>
      <c r="S105" s="277"/>
      <c r="T105" s="278"/>
      <c r="U105" s="336"/>
      <c r="V105" s="480">
        <v>40000</v>
      </c>
      <c r="W105" s="303" t="s">
        <v>57</v>
      </c>
      <c r="X105" s="303" t="s">
        <v>26</v>
      </c>
      <c r="Y105" s="302">
        <v>1</v>
      </c>
      <c r="Z105" s="304" t="s">
        <v>71</v>
      </c>
      <c r="AA105" s="302" t="s">
        <v>27</v>
      </c>
      <c r="AB105" s="437" t="s">
        <v>268</v>
      </c>
      <c r="AC105" s="437"/>
      <c r="AD105" s="437">
        <f t="shared" si="9"/>
        <v>40000</v>
      </c>
      <c r="AE105" s="134" t="s">
        <v>57</v>
      </c>
      <c r="AF105" s="2"/>
    </row>
    <row r="106" spans="1:32" s="1" customFormat="1" ht="21" customHeight="1">
      <c r="A106" s="45"/>
      <c r="B106" s="46"/>
      <c r="C106" s="46"/>
      <c r="D106" s="154"/>
      <c r="E106" s="108"/>
      <c r="F106" s="108"/>
      <c r="G106" s="108"/>
      <c r="H106" s="108"/>
      <c r="I106" s="108"/>
      <c r="J106" s="108"/>
      <c r="K106" s="108"/>
      <c r="L106" s="108"/>
      <c r="M106" s="108"/>
      <c r="N106" s="70"/>
      <c r="O106" s="151"/>
      <c r="P106" s="50"/>
      <c r="Q106" s="50"/>
      <c r="R106" s="50"/>
      <c r="S106" s="275"/>
      <c r="T106" s="55"/>
      <c r="U106" s="55"/>
      <c r="V106" s="51"/>
      <c r="W106" s="50"/>
      <c r="X106" s="51"/>
      <c r="Y106" s="51"/>
      <c r="Z106" s="51"/>
      <c r="AA106" s="51"/>
      <c r="AB106" s="123"/>
      <c r="AC106" s="51"/>
      <c r="AD106" s="51"/>
      <c r="AE106" s="57"/>
      <c r="AF106" s="2"/>
    </row>
    <row r="107" spans="1:32" s="11" customFormat="1" ht="21" customHeight="1">
      <c r="A107" s="185" t="s">
        <v>19</v>
      </c>
      <c r="B107" s="596" t="s">
        <v>20</v>
      </c>
      <c r="C107" s="597"/>
      <c r="D107" s="186">
        <v>15514</v>
      </c>
      <c r="E107" s="186">
        <f t="shared" ref="E107:L107" si="10">SUM(E108,E132)</f>
        <v>17135</v>
      </c>
      <c r="F107" s="186">
        <f t="shared" si="10"/>
        <v>4800</v>
      </c>
      <c r="G107" s="186">
        <f t="shared" si="10"/>
        <v>0</v>
      </c>
      <c r="H107" s="186">
        <f t="shared" si="10"/>
        <v>0</v>
      </c>
      <c r="I107" s="186">
        <f t="shared" si="10"/>
        <v>1060</v>
      </c>
      <c r="J107" s="186">
        <f t="shared" si="10"/>
        <v>10555</v>
      </c>
      <c r="K107" s="186">
        <f t="shared" si="10"/>
        <v>0</v>
      </c>
      <c r="L107" s="186">
        <f t="shared" si="10"/>
        <v>720</v>
      </c>
      <c r="M107" s="186">
        <f>E107-D107</f>
        <v>1621</v>
      </c>
      <c r="N107" s="187">
        <f>IF(D107=0,0,M107/D107)</f>
        <v>0.1044862704653861</v>
      </c>
      <c r="O107" s="180" t="s">
        <v>150</v>
      </c>
      <c r="P107" s="92"/>
      <c r="Q107" s="92"/>
      <c r="R107" s="92"/>
      <c r="S107" s="334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>
        <f>SUM(AD108,AD132)</f>
        <v>17135000</v>
      </c>
      <c r="AE107" s="94" t="s">
        <v>25</v>
      </c>
      <c r="AF107" s="13"/>
    </row>
    <row r="108" spans="1:32" s="11" customFormat="1" ht="21" customHeight="1">
      <c r="A108" s="46"/>
      <c r="B108" s="36" t="s">
        <v>91</v>
      </c>
      <c r="C108" s="36" t="s">
        <v>151</v>
      </c>
      <c r="D108" s="112">
        <v>12819</v>
      </c>
      <c r="E108" s="112">
        <f t="shared" ref="E108:L108" si="11">SUM(E109,E117,E121,E125,E129)</f>
        <v>14020</v>
      </c>
      <c r="F108" s="112">
        <f t="shared" si="11"/>
        <v>4800</v>
      </c>
      <c r="G108" s="112">
        <f t="shared" si="11"/>
        <v>0</v>
      </c>
      <c r="H108" s="112">
        <f t="shared" si="11"/>
        <v>0</v>
      </c>
      <c r="I108" s="112">
        <f t="shared" si="11"/>
        <v>1060</v>
      </c>
      <c r="J108" s="112">
        <f t="shared" si="11"/>
        <v>7440</v>
      </c>
      <c r="K108" s="112">
        <f t="shared" si="11"/>
        <v>0</v>
      </c>
      <c r="L108" s="112">
        <f t="shared" si="11"/>
        <v>720</v>
      </c>
      <c r="M108" s="112">
        <f>E108-D108</f>
        <v>1201</v>
      </c>
      <c r="N108" s="120">
        <f>IF(D108=0,0,M108/D108)</f>
        <v>9.3689055308526406E-2</v>
      </c>
      <c r="O108" s="92"/>
      <c r="P108" s="92"/>
      <c r="Q108" s="92"/>
      <c r="R108" s="92"/>
      <c r="S108" s="334"/>
      <c r="T108" s="88"/>
      <c r="U108" s="88"/>
      <c r="V108" s="88"/>
      <c r="W108" s="88"/>
      <c r="X108" s="88"/>
      <c r="Y108" s="88" t="s">
        <v>28</v>
      </c>
      <c r="Z108" s="88"/>
      <c r="AA108" s="88"/>
      <c r="AB108" s="88"/>
      <c r="AC108" s="93"/>
      <c r="AD108" s="93">
        <f>SUM(AD109,AD117,AD121,AD125,AD129)</f>
        <v>14020000</v>
      </c>
      <c r="AE108" s="94" t="s">
        <v>25</v>
      </c>
      <c r="AF108" s="1"/>
    </row>
    <row r="109" spans="1:32" s="11" customFormat="1" ht="21" customHeight="1">
      <c r="A109" s="46"/>
      <c r="B109" s="46"/>
      <c r="C109" s="36" t="s">
        <v>59</v>
      </c>
      <c r="D109" s="156">
        <v>10956</v>
      </c>
      <c r="E109" s="482">
        <f>AD109/1000</f>
        <v>12200</v>
      </c>
      <c r="F109" s="112">
        <f>SUMIF($AB$110:$AB$116,"보조",$AD$110:$AD$116)/1000</f>
        <v>4800</v>
      </c>
      <c r="G109" s="112">
        <f>SUMIF($AB$110:$AB$116,"7종",$AD$110:$AD$116)/1000</f>
        <v>0</v>
      </c>
      <c r="H109" s="112">
        <f>SUMIF($AB$110:$AB$116,"시비",$AD$110:$AD$116)/1000</f>
        <v>0</v>
      </c>
      <c r="I109" s="112">
        <f>SUMIF($AB$110:$AB$116,"후원",$AD$110:$AD$116)/1000</f>
        <v>0</v>
      </c>
      <c r="J109" s="112">
        <f>SUMIF($AB$110:$AB$116,"입소",$AD$110:$AD$116)/1000</f>
        <v>6680</v>
      </c>
      <c r="K109" s="112">
        <f>SUMIF($AB$110:$AB$116,"법인",$AD$110:$AD$116)/1000</f>
        <v>0</v>
      </c>
      <c r="L109" s="112">
        <f>SUMIF($AB$110:$AB$116,"잡수",$AD$110:$AD$116)/1000</f>
        <v>720</v>
      </c>
      <c r="M109" s="112">
        <f>E109-D109</f>
        <v>1244</v>
      </c>
      <c r="N109" s="120">
        <f>IF(D109=0,0,M109/D109)</f>
        <v>0.11354508944870391</v>
      </c>
      <c r="O109" s="296" t="s">
        <v>92</v>
      </c>
      <c r="P109" s="297"/>
      <c r="Q109" s="297"/>
      <c r="R109" s="297"/>
      <c r="S109" s="334"/>
      <c r="T109" s="298"/>
      <c r="U109" s="298"/>
      <c r="V109" s="298"/>
      <c r="W109" s="298"/>
      <c r="X109" s="298"/>
      <c r="Y109" s="458" t="s">
        <v>143</v>
      </c>
      <c r="Z109" s="458"/>
      <c r="AA109" s="458"/>
      <c r="AB109" s="458"/>
      <c r="AC109" s="300"/>
      <c r="AD109" s="300">
        <f>ROUNDDOWN(SUM(AD110:AD115),-3)</f>
        <v>12200000</v>
      </c>
      <c r="AE109" s="450" t="s">
        <v>25</v>
      </c>
      <c r="AF109" s="1"/>
    </row>
    <row r="110" spans="1:32" s="11" customFormat="1" ht="21" customHeight="1">
      <c r="A110" s="46"/>
      <c r="B110" s="46"/>
      <c r="C110" s="46"/>
      <c r="D110" s="109"/>
      <c r="E110" s="483"/>
      <c r="F110" s="108"/>
      <c r="G110" s="108"/>
      <c r="H110" s="108"/>
      <c r="I110" s="108"/>
      <c r="J110" s="108"/>
      <c r="K110" s="108"/>
      <c r="L110" s="108"/>
      <c r="M110" s="108"/>
      <c r="N110" s="70"/>
      <c r="O110" s="438" t="s">
        <v>441</v>
      </c>
      <c r="P110" s="438"/>
      <c r="Q110" s="437"/>
      <c r="R110" s="437"/>
      <c r="S110" s="275">
        <v>200000</v>
      </c>
      <c r="T110" s="437" t="s">
        <v>279</v>
      </c>
      <c r="U110" s="293" t="s">
        <v>280</v>
      </c>
      <c r="V110" s="437">
        <v>6</v>
      </c>
      <c r="W110" s="437" t="s">
        <v>282</v>
      </c>
      <c r="X110" s="293" t="s">
        <v>280</v>
      </c>
      <c r="Y110" s="437">
        <v>4</v>
      </c>
      <c r="Z110" s="437" t="s">
        <v>281</v>
      </c>
      <c r="AA110" s="287" t="s">
        <v>283</v>
      </c>
      <c r="AB110" s="437" t="s">
        <v>285</v>
      </c>
      <c r="AC110" s="133"/>
      <c r="AD110" s="133">
        <f t="shared" ref="AD110:AD114" si="12">ROUNDDOWN(S110*V110*Y110,-3)</f>
        <v>4800000</v>
      </c>
      <c r="AE110" s="134" t="s">
        <v>25</v>
      </c>
      <c r="AF110" s="2"/>
    </row>
    <row r="111" spans="1:32" s="11" customFormat="1" ht="21" customHeight="1">
      <c r="A111" s="46"/>
      <c r="B111" s="46"/>
      <c r="C111" s="46"/>
      <c r="D111" s="109"/>
      <c r="E111" s="483"/>
      <c r="F111" s="108"/>
      <c r="G111" s="108"/>
      <c r="H111" s="108"/>
      <c r="I111" s="108"/>
      <c r="J111" s="108"/>
      <c r="K111" s="108"/>
      <c r="L111" s="108"/>
      <c r="M111" s="108"/>
      <c r="N111" s="70"/>
      <c r="O111" s="438" t="s">
        <v>440</v>
      </c>
      <c r="P111" s="438"/>
      <c r="Q111" s="438"/>
      <c r="R111" s="438"/>
      <c r="S111" s="275">
        <v>30000</v>
      </c>
      <c r="T111" s="437" t="s">
        <v>125</v>
      </c>
      <c r="U111" s="293" t="s">
        <v>269</v>
      </c>
      <c r="V111" s="437">
        <v>6</v>
      </c>
      <c r="W111" s="437" t="s">
        <v>439</v>
      </c>
      <c r="X111" s="293" t="s">
        <v>269</v>
      </c>
      <c r="Y111" s="437">
        <v>4</v>
      </c>
      <c r="Z111" s="437" t="s">
        <v>281</v>
      </c>
      <c r="AA111" s="287" t="s">
        <v>266</v>
      </c>
      <c r="AB111" s="437" t="s">
        <v>372</v>
      </c>
      <c r="AC111" s="133"/>
      <c r="AD111" s="133">
        <f t="shared" si="12"/>
        <v>720000</v>
      </c>
      <c r="AE111" s="134" t="s">
        <v>25</v>
      </c>
      <c r="AF111" s="2"/>
    </row>
    <row r="112" spans="1:32" s="11" customFormat="1" ht="21" customHeight="1">
      <c r="A112" s="46"/>
      <c r="B112" s="46"/>
      <c r="C112" s="46"/>
      <c r="D112" s="109"/>
      <c r="E112" s="483"/>
      <c r="F112" s="108"/>
      <c r="G112" s="108"/>
      <c r="H112" s="108"/>
      <c r="I112" s="108"/>
      <c r="J112" s="108"/>
      <c r="K112" s="108"/>
      <c r="L112" s="108"/>
      <c r="M112" s="108"/>
      <c r="N112" s="70"/>
      <c r="O112" s="438" t="s">
        <v>440</v>
      </c>
      <c r="P112" s="438"/>
      <c r="Q112" s="438"/>
      <c r="R112" s="438"/>
      <c r="S112" s="275">
        <v>230000</v>
      </c>
      <c r="T112" s="437" t="s">
        <v>125</v>
      </c>
      <c r="U112" s="293" t="s">
        <v>269</v>
      </c>
      <c r="V112" s="437">
        <v>6</v>
      </c>
      <c r="W112" s="437" t="s">
        <v>445</v>
      </c>
      <c r="X112" s="293" t="s">
        <v>269</v>
      </c>
      <c r="Y112" s="437">
        <v>4</v>
      </c>
      <c r="Z112" s="437" t="s">
        <v>281</v>
      </c>
      <c r="AA112" s="287" t="s">
        <v>266</v>
      </c>
      <c r="AB112" s="437" t="s">
        <v>372</v>
      </c>
      <c r="AC112" s="133"/>
      <c r="AD112" s="133">
        <f t="shared" si="12"/>
        <v>5520000</v>
      </c>
      <c r="AE112" s="134" t="s">
        <v>25</v>
      </c>
      <c r="AF112" s="2"/>
    </row>
    <row r="113" spans="1:33" s="11" customFormat="1" ht="21" customHeight="1">
      <c r="A113" s="46"/>
      <c r="B113" s="46"/>
      <c r="C113" s="46"/>
      <c r="D113" s="109"/>
      <c r="E113" s="483"/>
      <c r="F113" s="108"/>
      <c r="G113" s="108"/>
      <c r="H113" s="108"/>
      <c r="I113" s="108"/>
      <c r="J113" s="108"/>
      <c r="K113" s="108"/>
      <c r="L113" s="108"/>
      <c r="M113" s="108"/>
      <c r="N113" s="70"/>
      <c r="O113" s="438" t="s">
        <v>459</v>
      </c>
      <c r="P113" s="438"/>
      <c r="Q113" s="438"/>
      <c r="R113" s="438"/>
      <c r="S113" s="275">
        <v>5000</v>
      </c>
      <c r="T113" s="437" t="s">
        <v>25</v>
      </c>
      <c r="U113" s="293" t="s">
        <v>26</v>
      </c>
      <c r="V113" s="437">
        <v>12</v>
      </c>
      <c r="W113" s="437" t="s">
        <v>29</v>
      </c>
      <c r="X113" s="293" t="s">
        <v>26</v>
      </c>
      <c r="Y113" s="437">
        <v>4</v>
      </c>
      <c r="Z113" s="437" t="s">
        <v>145</v>
      </c>
      <c r="AA113" s="528" t="s">
        <v>27</v>
      </c>
      <c r="AB113" s="437" t="s">
        <v>486</v>
      </c>
      <c r="AC113" s="133"/>
      <c r="AD113" s="133">
        <v>240000</v>
      </c>
      <c r="AE113" s="134" t="s">
        <v>25</v>
      </c>
      <c r="AF113" s="2"/>
    </row>
    <row r="114" spans="1:33" s="11" customFormat="1" ht="21" customHeight="1">
      <c r="A114" s="46"/>
      <c r="B114" s="46"/>
      <c r="C114" s="46"/>
      <c r="D114" s="109"/>
      <c r="E114" s="483"/>
      <c r="F114" s="108"/>
      <c r="G114" s="108"/>
      <c r="H114" s="108"/>
      <c r="I114" s="108"/>
      <c r="J114" s="108"/>
      <c r="K114" s="108"/>
      <c r="L114" s="108"/>
      <c r="M114" s="108"/>
      <c r="N114" s="70"/>
      <c r="O114" s="438" t="s">
        <v>442</v>
      </c>
      <c r="P114" s="438"/>
      <c r="Q114" s="438"/>
      <c r="R114" s="438"/>
      <c r="S114" s="275">
        <v>60000</v>
      </c>
      <c r="T114" s="437" t="s">
        <v>125</v>
      </c>
      <c r="U114" s="293" t="s">
        <v>269</v>
      </c>
      <c r="V114" s="437">
        <v>12</v>
      </c>
      <c r="W114" s="437" t="s">
        <v>443</v>
      </c>
      <c r="X114" s="293" t="s">
        <v>269</v>
      </c>
      <c r="Y114" s="437">
        <v>1</v>
      </c>
      <c r="Z114" s="437" t="s">
        <v>281</v>
      </c>
      <c r="AA114" s="287" t="s">
        <v>266</v>
      </c>
      <c r="AB114" s="437" t="s">
        <v>328</v>
      </c>
      <c r="AC114" s="133"/>
      <c r="AD114" s="133">
        <f t="shared" si="12"/>
        <v>720000</v>
      </c>
      <c r="AE114" s="134" t="s">
        <v>327</v>
      </c>
      <c r="AF114" s="2"/>
    </row>
    <row r="115" spans="1:33" s="11" customFormat="1" ht="21" customHeight="1">
      <c r="A115" s="46"/>
      <c r="B115" s="46"/>
      <c r="C115" s="46"/>
      <c r="D115" s="109"/>
      <c r="E115" s="483"/>
      <c r="F115" s="108"/>
      <c r="G115" s="108"/>
      <c r="H115" s="108"/>
      <c r="I115" s="108"/>
      <c r="J115" s="108"/>
      <c r="K115" s="108"/>
      <c r="L115" s="108"/>
      <c r="M115" s="108"/>
      <c r="N115" s="70"/>
      <c r="O115" s="438" t="s">
        <v>326</v>
      </c>
      <c r="P115" s="438"/>
      <c r="Q115" s="437"/>
      <c r="R115" s="437"/>
      <c r="S115" s="275"/>
      <c r="T115" s="437"/>
      <c r="U115" s="293"/>
      <c r="V115" s="437"/>
      <c r="W115" s="437"/>
      <c r="X115" s="293"/>
      <c r="Y115" s="437"/>
      <c r="Z115" s="437"/>
      <c r="AA115" s="287"/>
      <c r="AB115" s="437" t="s">
        <v>488</v>
      </c>
      <c r="AC115" s="133"/>
      <c r="AD115" s="133">
        <v>200000</v>
      </c>
      <c r="AE115" s="134" t="s">
        <v>25</v>
      </c>
      <c r="AF115" s="2"/>
    </row>
    <row r="116" spans="1:33" s="11" customFormat="1" ht="21" customHeight="1">
      <c r="A116" s="46"/>
      <c r="B116" s="46"/>
      <c r="C116" s="59"/>
      <c r="D116" s="155"/>
      <c r="E116" s="484"/>
      <c r="F116" s="110"/>
      <c r="G116" s="110"/>
      <c r="H116" s="110"/>
      <c r="I116" s="110"/>
      <c r="J116" s="110"/>
      <c r="K116" s="110"/>
      <c r="L116" s="110"/>
      <c r="M116" s="110"/>
      <c r="N116" s="83"/>
      <c r="O116" s="465"/>
      <c r="P116" s="465"/>
      <c r="Q116" s="465"/>
      <c r="R116" s="465"/>
      <c r="S116" s="475"/>
      <c r="T116" s="465"/>
      <c r="U116" s="465"/>
      <c r="V116" s="465"/>
      <c r="W116" s="465"/>
      <c r="X116" s="465"/>
      <c r="Y116" s="465"/>
      <c r="Z116" s="465"/>
      <c r="AA116" s="465"/>
      <c r="AB116" s="465"/>
      <c r="AC116" s="465"/>
      <c r="AD116" s="466"/>
      <c r="AE116" s="365"/>
      <c r="AF116" s="2"/>
    </row>
    <row r="117" spans="1:33" s="11" customFormat="1" ht="21" customHeight="1">
      <c r="A117" s="46"/>
      <c r="B117" s="46"/>
      <c r="C117" s="46" t="s">
        <v>93</v>
      </c>
      <c r="D117" s="154">
        <v>653</v>
      </c>
      <c r="E117" s="482">
        <f>AD117/1000</f>
        <v>660</v>
      </c>
      <c r="F117" s="108">
        <v>0</v>
      </c>
      <c r="G117" s="108">
        <f>SUMIF($AB$118:$AB$120,"7종",$AD$118:$AD$120)/1000</f>
        <v>0</v>
      </c>
      <c r="H117" s="108">
        <f>SUMIF($AB$118:$AB$120,"시비",$AD$118:$AD$120)/1000</f>
        <v>0</v>
      </c>
      <c r="I117" s="108">
        <f>SUMIF($AB$118:$AB$120,"후원",$AD$118:$AD$120)/1000</f>
        <v>660</v>
      </c>
      <c r="J117" s="108">
        <f>SUMIF($AB$118:$AB$120,"입소",$AD$118:$AD$120)/1000</f>
        <v>0</v>
      </c>
      <c r="K117" s="108">
        <f>SUMIF($AB$118:$AB$120,"법인",$AD$118:$AD$120)/1000</f>
        <v>0</v>
      </c>
      <c r="L117" s="108">
        <f>SUMIF($AB$118:$AB$120,"잡수",$AD$118:$AD$120)/1000</f>
        <v>0</v>
      </c>
      <c r="M117" s="108">
        <f>E117-D117</f>
        <v>7</v>
      </c>
      <c r="N117" s="70">
        <f>IF(D117=0,0,M117/D117)</f>
        <v>1.0719754977029096E-2</v>
      </c>
      <c r="O117" s="296" t="s">
        <v>94</v>
      </c>
      <c r="P117" s="297"/>
      <c r="Q117" s="297"/>
      <c r="R117" s="297"/>
      <c r="S117" s="334"/>
      <c r="T117" s="298"/>
      <c r="U117" s="298"/>
      <c r="V117" s="298"/>
      <c r="W117" s="298"/>
      <c r="X117" s="298"/>
      <c r="Y117" s="299" t="s">
        <v>143</v>
      </c>
      <c r="Z117" s="299"/>
      <c r="AA117" s="299"/>
      <c r="AB117" s="299"/>
      <c r="AC117" s="300"/>
      <c r="AD117" s="300">
        <f>SUM(AD118:AD120)</f>
        <v>660000</v>
      </c>
      <c r="AE117" s="450" t="s">
        <v>25</v>
      </c>
      <c r="AF117" s="1"/>
    </row>
    <row r="118" spans="1:33" s="11" customFormat="1" ht="21" customHeight="1">
      <c r="A118" s="46"/>
      <c r="B118" s="46"/>
      <c r="C118" s="46" t="s">
        <v>152</v>
      </c>
      <c r="D118" s="154"/>
      <c r="E118" s="483"/>
      <c r="F118" s="108"/>
      <c r="G118" s="108"/>
      <c r="H118" s="108"/>
      <c r="I118" s="108"/>
      <c r="J118" s="108"/>
      <c r="K118" s="108"/>
      <c r="L118" s="108"/>
      <c r="M118" s="108"/>
      <c r="N118" s="70"/>
      <c r="O118" s="438" t="s">
        <v>369</v>
      </c>
      <c r="P118" s="438"/>
      <c r="Q118" s="438"/>
      <c r="R118" s="438"/>
      <c r="S118" s="275"/>
      <c r="T118" s="293"/>
      <c r="U118" s="293"/>
      <c r="V118" s="437">
        <v>50000</v>
      </c>
      <c r="W118" s="293" t="s">
        <v>57</v>
      </c>
      <c r="X118" s="293" t="s">
        <v>26</v>
      </c>
      <c r="Y118" s="302">
        <v>6</v>
      </c>
      <c r="Z118" s="304" t="s">
        <v>29</v>
      </c>
      <c r="AA118" s="302" t="s">
        <v>27</v>
      </c>
      <c r="AB118" s="437" t="s">
        <v>289</v>
      </c>
      <c r="AC118" s="437"/>
      <c r="AD118" s="437">
        <f>V118*Y118</f>
        <v>300000</v>
      </c>
      <c r="AE118" s="134" t="s">
        <v>278</v>
      </c>
      <c r="AF118" s="2"/>
      <c r="AG118" s="515"/>
    </row>
    <row r="119" spans="1:33" s="11" customFormat="1" ht="21" customHeight="1">
      <c r="A119" s="46"/>
      <c r="B119" s="46"/>
      <c r="C119" s="46"/>
      <c r="D119" s="154"/>
      <c r="E119" s="483"/>
      <c r="F119" s="108"/>
      <c r="G119" s="108"/>
      <c r="H119" s="108"/>
      <c r="I119" s="108"/>
      <c r="J119" s="108"/>
      <c r="K119" s="108"/>
      <c r="L119" s="108"/>
      <c r="M119" s="108"/>
      <c r="N119" s="70"/>
      <c r="O119" s="438" t="s">
        <v>330</v>
      </c>
      <c r="P119" s="438"/>
      <c r="Q119" s="438"/>
      <c r="R119" s="438"/>
      <c r="S119" s="275"/>
      <c r="T119" s="293"/>
      <c r="U119" s="293"/>
      <c r="V119" s="437"/>
      <c r="W119" s="437"/>
      <c r="X119" s="437"/>
      <c r="Y119" s="437"/>
      <c r="Z119" s="437"/>
      <c r="AA119" s="437"/>
      <c r="AB119" s="437" t="s">
        <v>289</v>
      </c>
      <c r="AC119" s="437"/>
      <c r="AD119" s="437">
        <v>360000</v>
      </c>
      <c r="AE119" s="134" t="s">
        <v>278</v>
      </c>
      <c r="AF119" s="2"/>
    </row>
    <row r="120" spans="1:33" s="11" customFormat="1" ht="21" customHeight="1">
      <c r="A120" s="46"/>
      <c r="B120" s="46"/>
      <c r="C120" s="46"/>
      <c r="D120" s="154"/>
      <c r="E120" s="108"/>
      <c r="F120" s="108"/>
      <c r="G120" s="108"/>
      <c r="H120" s="108"/>
      <c r="I120" s="108"/>
      <c r="J120" s="108"/>
      <c r="K120" s="108"/>
      <c r="L120" s="108"/>
      <c r="M120" s="108"/>
      <c r="N120" s="70"/>
      <c r="O120" s="449"/>
      <c r="P120" s="449"/>
      <c r="Q120" s="449"/>
      <c r="R120" s="449"/>
      <c r="S120" s="339"/>
      <c r="T120" s="367"/>
      <c r="U120" s="293"/>
      <c r="V120" s="377"/>
      <c r="W120" s="448"/>
      <c r="X120" s="448"/>
      <c r="Y120" s="448"/>
      <c r="Z120" s="448"/>
      <c r="AA120" s="448"/>
      <c r="AB120" s="448"/>
      <c r="AC120" s="448"/>
      <c r="AD120" s="448"/>
      <c r="AE120" s="368"/>
      <c r="AF120" s="1"/>
    </row>
    <row r="121" spans="1:33" s="11" customFormat="1" ht="21" customHeight="1">
      <c r="A121" s="46"/>
      <c r="B121" s="46"/>
      <c r="C121" s="36" t="s">
        <v>88</v>
      </c>
      <c r="D121" s="156">
        <v>800</v>
      </c>
      <c r="E121" s="113">
        <f>AD121/1000</f>
        <v>800</v>
      </c>
      <c r="F121" s="112">
        <v>0</v>
      </c>
      <c r="G121" s="112">
        <f>SUMIF($AB$123:$AB$124,"7종",$AD$123:$AD$124)/1000</f>
        <v>0</v>
      </c>
      <c r="H121" s="112">
        <f>SUMIF($AB$123:$AB$124,"시비",$AD$123:$AD$124)/1000</f>
        <v>0</v>
      </c>
      <c r="I121" s="112">
        <f>SUMIF($AB$123:$AB$124,"후원",$AD$123:$AD$124)/1000</f>
        <v>400</v>
      </c>
      <c r="J121" s="112">
        <v>400</v>
      </c>
      <c r="K121" s="112">
        <f>SUMIF($AB$123:$AB$124,"법인",$AD$123:$AD$124)/1000</f>
        <v>0</v>
      </c>
      <c r="L121" s="112">
        <f>SUMIF($AB$123:$AB$124,"잡수",$AD$123:$AD$124)/1000</f>
        <v>0</v>
      </c>
      <c r="M121" s="112">
        <f>E121-D121</f>
        <v>0</v>
      </c>
      <c r="N121" s="120">
        <f>IF(D121=0,0,M121/D121)</f>
        <v>0</v>
      </c>
      <c r="O121" s="296" t="s">
        <v>138</v>
      </c>
      <c r="P121" s="451"/>
      <c r="Q121" s="297"/>
      <c r="R121" s="297"/>
      <c r="S121" s="334"/>
      <c r="T121" s="298"/>
      <c r="U121" s="298"/>
      <c r="V121" s="298"/>
      <c r="W121" s="298"/>
      <c r="X121" s="298"/>
      <c r="Y121" s="299" t="s">
        <v>143</v>
      </c>
      <c r="Z121" s="299"/>
      <c r="AA121" s="299"/>
      <c r="AB121" s="299"/>
      <c r="AC121" s="300"/>
      <c r="AD121" s="300">
        <f>SUM(AD122:AD123)</f>
        <v>800000</v>
      </c>
      <c r="AE121" s="450" t="s">
        <v>25</v>
      </c>
      <c r="AF121" s="1"/>
    </row>
    <row r="122" spans="1:33" s="11" customFormat="1" ht="21" customHeight="1">
      <c r="A122" s="46"/>
      <c r="B122" s="46"/>
      <c r="C122" s="46"/>
      <c r="D122" s="128"/>
      <c r="E122" s="505"/>
      <c r="F122" s="108"/>
      <c r="G122" s="108"/>
      <c r="H122" s="108"/>
      <c r="I122" s="108"/>
      <c r="J122" s="108"/>
      <c r="K122" s="108"/>
      <c r="L122" s="108"/>
      <c r="M122" s="108"/>
      <c r="N122" s="70"/>
      <c r="O122" s="438" t="s">
        <v>492</v>
      </c>
      <c r="P122" s="438"/>
      <c r="Q122" s="437"/>
      <c r="R122" s="437"/>
      <c r="S122" s="275">
        <v>200000</v>
      </c>
      <c r="T122" s="437" t="s">
        <v>125</v>
      </c>
      <c r="U122" s="438" t="s">
        <v>269</v>
      </c>
      <c r="V122" s="437">
        <v>2</v>
      </c>
      <c r="W122" s="437" t="s">
        <v>56</v>
      </c>
      <c r="X122" s="438"/>
      <c r="Y122" s="437"/>
      <c r="Z122" s="437"/>
      <c r="AA122" s="437" t="s">
        <v>266</v>
      </c>
      <c r="AB122" s="437" t="s">
        <v>268</v>
      </c>
      <c r="AC122" s="133"/>
      <c r="AD122" s="133">
        <f>S122*V122</f>
        <v>400000</v>
      </c>
      <c r="AE122" s="134" t="s">
        <v>25</v>
      </c>
      <c r="AF122" s="1"/>
    </row>
    <row r="123" spans="1:33" s="11" customFormat="1" ht="21" customHeight="1">
      <c r="A123" s="46"/>
      <c r="B123" s="46"/>
      <c r="C123" s="46"/>
      <c r="D123" s="109"/>
      <c r="E123" s="108"/>
      <c r="F123" s="108"/>
      <c r="G123" s="108"/>
      <c r="H123" s="108"/>
      <c r="I123" s="108"/>
      <c r="J123" s="108"/>
      <c r="K123" s="108"/>
      <c r="L123" s="108"/>
      <c r="M123" s="108"/>
      <c r="N123" s="70"/>
      <c r="O123" s="438" t="s">
        <v>493</v>
      </c>
      <c r="P123" s="438"/>
      <c r="Q123" s="437"/>
      <c r="R123" s="437"/>
      <c r="S123" s="275">
        <v>200000</v>
      </c>
      <c r="T123" s="437" t="s">
        <v>279</v>
      </c>
      <c r="U123" s="438" t="s">
        <v>280</v>
      </c>
      <c r="V123" s="437">
        <v>2</v>
      </c>
      <c r="W123" s="437" t="s">
        <v>56</v>
      </c>
      <c r="X123" s="438"/>
      <c r="Y123" s="437"/>
      <c r="Z123" s="437"/>
      <c r="AA123" s="437" t="s">
        <v>283</v>
      </c>
      <c r="AB123" s="437" t="s">
        <v>489</v>
      </c>
      <c r="AC123" s="133"/>
      <c r="AD123" s="133">
        <f>S123*V123</f>
        <v>400000</v>
      </c>
      <c r="AE123" s="134" t="s">
        <v>25</v>
      </c>
      <c r="AF123" s="1"/>
    </row>
    <row r="124" spans="1:33" s="11" customFormat="1" ht="21" customHeight="1">
      <c r="A124" s="46"/>
      <c r="B124" s="46"/>
      <c r="C124" s="46"/>
      <c r="D124" s="154"/>
      <c r="E124" s="108"/>
      <c r="F124" s="108"/>
      <c r="G124" s="108"/>
      <c r="H124" s="108"/>
      <c r="I124" s="108"/>
      <c r="J124" s="108"/>
      <c r="K124" s="108"/>
      <c r="L124" s="108"/>
      <c r="M124" s="108"/>
      <c r="N124" s="70"/>
      <c r="O124" s="438"/>
      <c r="P124" s="438"/>
      <c r="Q124" s="437"/>
      <c r="R124" s="437"/>
      <c r="S124" s="275"/>
      <c r="T124" s="437"/>
      <c r="U124" s="438"/>
      <c r="V124" s="437"/>
      <c r="W124" s="437"/>
      <c r="X124" s="438"/>
      <c r="Y124" s="437"/>
      <c r="Z124" s="437"/>
      <c r="AA124" s="437"/>
      <c r="AB124" s="437"/>
      <c r="AC124" s="133"/>
      <c r="AD124" s="133"/>
      <c r="AE124" s="134"/>
      <c r="AF124" s="1"/>
    </row>
    <row r="125" spans="1:33" s="11" customFormat="1" ht="21" customHeight="1">
      <c r="A125" s="46"/>
      <c r="B125" s="46"/>
      <c r="C125" s="36" t="s">
        <v>89</v>
      </c>
      <c r="D125" s="156">
        <v>260</v>
      </c>
      <c r="E125" s="113">
        <f>AD125/1000</f>
        <v>210</v>
      </c>
      <c r="F125" s="112">
        <v>0</v>
      </c>
      <c r="G125" s="112">
        <f>SUMIF($AB$126:$AB$128,"7종",$AD$126:$AD$128)/1000</f>
        <v>0</v>
      </c>
      <c r="H125" s="112">
        <f>SUMIF($AB$126:$AB$128,"시비",$AD$126:$AD$128)/1000</f>
        <v>0</v>
      </c>
      <c r="I125" s="112">
        <f>SUMIF($AB$126:$AB$128,"후원",$AD$126:$AD$128)/1000</f>
        <v>0</v>
      </c>
      <c r="J125" s="112">
        <f>SUMIF($AB$126:$AB$128,"입소",$AD$126:$AD$128)/1000</f>
        <v>210</v>
      </c>
      <c r="K125" s="112">
        <f>SUMIF($AB$126:$AB$128,"법인",$AD$126:$AD$128)/1000</f>
        <v>0</v>
      </c>
      <c r="L125" s="112">
        <f>SUMIF($AB$126:$AB$128,"잡수",$AD$126:$AD$128)/1000</f>
        <v>0</v>
      </c>
      <c r="M125" s="112">
        <f>E125-D125</f>
        <v>-50</v>
      </c>
      <c r="N125" s="120">
        <f>IF(D125=0,0,M125/D125)</f>
        <v>-0.19230769230769232</v>
      </c>
      <c r="O125" s="296" t="s">
        <v>139</v>
      </c>
      <c r="P125" s="451"/>
      <c r="Q125" s="297"/>
      <c r="R125" s="297"/>
      <c r="S125" s="334"/>
      <c r="T125" s="298"/>
      <c r="U125" s="298"/>
      <c r="V125" s="298"/>
      <c r="W125" s="298"/>
      <c r="X125" s="298"/>
      <c r="Y125" s="299" t="s">
        <v>143</v>
      </c>
      <c r="Z125" s="299"/>
      <c r="AA125" s="299"/>
      <c r="AB125" s="299"/>
      <c r="AC125" s="300"/>
      <c r="AD125" s="300">
        <f>SUM(AD126:AD127)</f>
        <v>210000</v>
      </c>
      <c r="AE125" s="450" t="s">
        <v>25</v>
      </c>
      <c r="AF125" s="1"/>
    </row>
    <row r="126" spans="1:33" s="14" customFormat="1" ht="21" customHeight="1">
      <c r="A126" s="46"/>
      <c r="B126" s="46"/>
      <c r="C126" s="46"/>
      <c r="D126" s="154"/>
      <c r="E126" s="108"/>
      <c r="F126" s="108"/>
      <c r="G126" s="108"/>
      <c r="H126" s="108"/>
      <c r="I126" s="108"/>
      <c r="J126" s="108"/>
      <c r="K126" s="108"/>
      <c r="L126" s="108"/>
      <c r="M126" s="108"/>
      <c r="N126" s="70"/>
      <c r="O126" s="438" t="s">
        <v>308</v>
      </c>
      <c r="P126" s="438"/>
      <c r="Q126" s="437"/>
      <c r="R126" s="437"/>
      <c r="S126" s="275">
        <v>40000</v>
      </c>
      <c r="T126" s="437" t="s">
        <v>279</v>
      </c>
      <c r="U126" s="438" t="s">
        <v>280</v>
      </c>
      <c r="V126" s="437">
        <v>1</v>
      </c>
      <c r="W126" s="437" t="s">
        <v>284</v>
      </c>
      <c r="X126" s="438" t="s">
        <v>280</v>
      </c>
      <c r="Y126" s="437">
        <v>4</v>
      </c>
      <c r="Z126" s="437" t="s">
        <v>281</v>
      </c>
      <c r="AA126" s="437" t="s">
        <v>283</v>
      </c>
      <c r="AB126" s="437" t="s">
        <v>406</v>
      </c>
      <c r="AC126" s="133"/>
      <c r="AD126" s="133">
        <f>S126*V126*Y126</f>
        <v>160000</v>
      </c>
      <c r="AE126" s="134" t="s">
        <v>25</v>
      </c>
      <c r="AF126" s="5"/>
    </row>
    <row r="127" spans="1:33" s="14" customFormat="1" ht="21" customHeight="1">
      <c r="A127" s="46"/>
      <c r="B127" s="46"/>
      <c r="C127" s="46"/>
      <c r="D127" s="154"/>
      <c r="E127" s="108"/>
      <c r="F127" s="108"/>
      <c r="G127" s="108"/>
      <c r="H127" s="108"/>
      <c r="I127" s="108"/>
      <c r="J127" s="108"/>
      <c r="K127" s="108"/>
      <c r="L127" s="108"/>
      <c r="M127" s="108"/>
      <c r="N127" s="276"/>
      <c r="O127" s="282" t="s">
        <v>309</v>
      </c>
      <c r="P127" s="438"/>
      <c r="Q127" s="437"/>
      <c r="R127" s="437"/>
      <c r="S127" s="275"/>
      <c r="T127" s="437"/>
      <c r="U127" s="438"/>
      <c r="V127" s="437"/>
      <c r="W127" s="437"/>
      <c r="X127" s="438"/>
      <c r="Y127" s="437"/>
      <c r="Z127" s="437"/>
      <c r="AA127" s="437"/>
      <c r="AB127" s="437" t="s">
        <v>406</v>
      </c>
      <c r="AC127" s="133"/>
      <c r="AD127" s="133">
        <v>50000</v>
      </c>
      <c r="AE127" s="134" t="s">
        <v>371</v>
      </c>
      <c r="AF127" s="5"/>
    </row>
    <row r="128" spans="1:33" s="11" customFormat="1" ht="21" customHeight="1">
      <c r="A128" s="46"/>
      <c r="B128" s="46"/>
      <c r="C128" s="59"/>
      <c r="D128" s="155"/>
      <c r="E128" s="161"/>
      <c r="F128" s="161"/>
      <c r="G128" s="161"/>
      <c r="H128" s="161"/>
      <c r="I128" s="161"/>
      <c r="J128" s="161"/>
      <c r="K128" s="161"/>
      <c r="L128" s="161"/>
      <c r="M128" s="130"/>
      <c r="N128" s="83"/>
      <c r="O128" s="373"/>
      <c r="P128" s="373"/>
      <c r="Q128" s="373"/>
      <c r="R128" s="373"/>
      <c r="S128" s="476"/>
      <c r="T128" s="131"/>
      <c r="U128" s="437"/>
      <c r="V128" s="287"/>
      <c r="W128" s="437"/>
      <c r="X128" s="437"/>
      <c r="Y128" s="437"/>
      <c r="Z128" s="437"/>
      <c r="AA128" s="437"/>
      <c r="AB128" s="437"/>
      <c r="AC128" s="437"/>
      <c r="AD128" s="437"/>
      <c r="AE128" s="134"/>
      <c r="AF128" s="1"/>
    </row>
    <row r="129" spans="1:33" s="11" customFormat="1" ht="21" customHeight="1">
      <c r="A129" s="46"/>
      <c r="B129" s="46"/>
      <c r="C129" s="46" t="s">
        <v>90</v>
      </c>
      <c r="D129" s="128">
        <v>150</v>
      </c>
      <c r="E129" s="113">
        <f>AD129/1000</f>
        <v>150</v>
      </c>
      <c r="F129" s="108">
        <v>0</v>
      </c>
      <c r="G129" s="108">
        <f>SUMIF($AB$130:$AB$131,"7종",$AD$130:$AD$131)/1000</f>
        <v>0</v>
      </c>
      <c r="H129" s="108">
        <f>SUMIF($AB$130:$AB$131,"시비",$AD$130:$AD$131)/1000</f>
        <v>0</v>
      </c>
      <c r="I129" s="108">
        <f>SUMIF($AB$130:$AB$131,"후원",$AD$130:$AD$131)/1000</f>
        <v>0</v>
      </c>
      <c r="J129" s="108">
        <f>SUMIF($AB$130:$AB$131,"입소",$AD$130:$AD$131)/1000</f>
        <v>150</v>
      </c>
      <c r="K129" s="108">
        <f>SUMIF($AB$130:$AB$131,"법인",$AD$130:$AD$131)/1000</f>
        <v>0</v>
      </c>
      <c r="L129" s="108">
        <f>SUMIF($AB$130:$AB$131,"잡수",$AD$130:$AD$131)/1000</f>
        <v>0</v>
      </c>
      <c r="M129" s="108">
        <f>E129-D129</f>
        <v>0</v>
      </c>
      <c r="N129" s="70">
        <f>IF(D129=0,0,M129/D129)</f>
        <v>0</v>
      </c>
      <c r="O129" s="296" t="s">
        <v>95</v>
      </c>
      <c r="P129" s="297"/>
      <c r="Q129" s="297"/>
      <c r="R129" s="297"/>
      <c r="S129" s="334"/>
      <c r="T129" s="298"/>
      <c r="U129" s="298"/>
      <c r="V129" s="298"/>
      <c r="W129" s="298"/>
      <c r="X129" s="298"/>
      <c r="Y129" s="299" t="s">
        <v>143</v>
      </c>
      <c r="Z129" s="299"/>
      <c r="AA129" s="299"/>
      <c r="AB129" s="299"/>
      <c r="AC129" s="300"/>
      <c r="AD129" s="300">
        <f>ROUND(SUM(AD130:AD130),-3)</f>
        <v>150000</v>
      </c>
      <c r="AE129" s="450" t="s">
        <v>25</v>
      </c>
      <c r="AF129" s="1"/>
    </row>
    <row r="130" spans="1:33" s="11" customFormat="1" ht="21" customHeight="1">
      <c r="A130" s="46"/>
      <c r="B130" s="46"/>
      <c r="C130" s="46"/>
      <c r="D130" s="154"/>
      <c r="E130" s="108"/>
      <c r="F130" s="108"/>
      <c r="G130" s="108"/>
      <c r="H130" s="108"/>
      <c r="I130" s="108"/>
      <c r="J130" s="108"/>
      <c r="K130" s="108"/>
      <c r="L130" s="108"/>
      <c r="M130" s="108"/>
      <c r="N130" s="70"/>
      <c r="O130" s="438" t="s">
        <v>331</v>
      </c>
      <c r="P130" s="438"/>
      <c r="Q130" s="438"/>
      <c r="R130" s="438"/>
      <c r="S130" s="275">
        <v>25000</v>
      </c>
      <c r="T130" s="293" t="s">
        <v>279</v>
      </c>
      <c r="U130" s="293" t="s">
        <v>26</v>
      </c>
      <c r="V130" s="437">
        <v>6</v>
      </c>
      <c r="W130" s="437" t="s">
        <v>282</v>
      </c>
      <c r="X130" s="287"/>
      <c r="Y130" s="371"/>
      <c r="Z130" s="361"/>
      <c r="AA130" s="372" t="s">
        <v>283</v>
      </c>
      <c r="AB130" s="437" t="s">
        <v>406</v>
      </c>
      <c r="AC130" s="437"/>
      <c r="AD130" s="437">
        <f>S130*V130</f>
        <v>150000</v>
      </c>
      <c r="AE130" s="134" t="s">
        <v>25</v>
      </c>
      <c r="AF130" s="1"/>
    </row>
    <row r="131" spans="1:33" s="11" customFormat="1" ht="21" customHeight="1">
      <c r="A131" s="46"/>
      <c r="B131" s="46"/>
      <c r="C131" s="46"/>
      <c r="D131" s="154"/>
      <c r="E131" s="108"/>
      <c r="F131" s="108"/>
      <c r="G131" s="108"/>
      <c r="H131" s="108"/>
      <c r="I131" s="108"/>
      <c r="J131" s="108"/>
      <c r="K131" s="108"/>
      <c r="L131" s="108"/>
      <c r="M131" s="108"/>
      <c r="N131" s="70"/>
      <c r="O131" s="438"/>
      <c r="P131" s="438"/>
      <c r="Q131" s="438"/>
      <c r="R131" s="438"/>
      <c r="S131" s="275"/>
      <c r="T131" s="293"/>
      <c r="U131" s="438"/>
      <c r="V131" s="437"/>
      <c r="W131" s="438"/>
      <c r="X131" s="437"/>
      <c r="Y131" s="437"/>
      <c r="Z131" s="437"/>
      <c r="AA131" s="437"/>
      <c r="AB131" s="437"/>
      <c r="AC131" s="437"/>
      <c r="AD131" s="437"/>
      <c r="AE131" s="134"/>
      <c r="AF131" s="1"/>
    </row>
    <row r="132" spans="1:33" s="11" customFormat="1" ht="21" customHeight="1">
      <c r="A132" s="46"/>
      <c r="B132" s="36" t="s">
        <v>96</v>
      </c>
      <c r="C132" s="168" t="s">
        <v>147</v>
      </c>
      <c r="D132" s="169">
        <v>2695</v>
      </c>
      <c r="E132" s="169">
        <f t="shared" ref="E132:L132" si="13">SUM(E133,E137,E140,E143,E147,E154,E158)</f>
        <v>3115</v>
      </c>
      <c r="F132" s="169">
        <f t="shared" si="13"/>
        <v>0</v>
      </c>
      <c r="G132" s="169">
        <f t="shared" si="13"/>
        <v>0</v>
      </c>
      <c r="H132" s="169">
        <f t="shared" si="13"/>
        <v>0</v>
      </c>
      <c r="I132" s="169">
        <f t="shared" si="13"/>
        <v>0</v>
      </c>
      <c r="J132" s="169">
        <f t="shared" si="13"/>
        <v>3115</v>
      </c>
      <c r="K132" s="169">
        <f t="shared" si="13"/>
        <v>0</v>
      </c>
      <c r="L132" s="169">
        <f t="shared" si="13"/>
        <v>0</v>
      </c>
      <c r="M132" s="169">
        <f>E132-D132</f>
        <v>420</v>
      </c>
      <c r="N132" s="170">
        <f>IF(D132=0,0,M132/D132)</f>
        <v>0.15584415584415584</v>
      </c>
      <c r="O132" s="171"/>
      <c r="P132" s="171"/>
      <c r="Q132" s="171"/>
      <c r="R132" s="171"/>
      <c r="S132" s="446"/>
      <c r="T132" s="172"/>
      <c r="U132" s="172"/>
      <c r="V132" s="172"/>
      <c r="W132" s="172"/>
      <c r="X132" s="172"/>
      <c r="Y132" s="172" t="s">
        <v>28</v>
      </c>
      <c r="Z132" s="172"/>
      <c r="AA132" s="172"/>
      <c r="AB132" s="172"/>
      <c r="AC132" s="174"/>
      <c r="AD132" s="174">
        <f>SUM(AD133,AD137,AD140,AD143,AD147,AD154,AD158)</f>
        <v>3115000</v>
      </c>
      <c r="AE132" s="173" t="s">
        <v>25</v>
      </c>
      <c r="AF132" s="1"/>
    </row>
    <row r="133" spans="1:33" s="15" customFormat="1" ht="24" customHeight="1">
      <c r="A133" s="46"/>
      <c r="B133" s="46" t="s">
        <v>290</v>
      </c>
      <c r="C133" s="36" t="s">
        <v>332</v>
      </c>
      <c r="D133" s="408">
        <v>200</v>
      </c>
      <c r="E133" s="113">
        <f>AD133/1000</f>
        <v>320</v>
      </c>
      <c r="F133" s="108">
        <f>SUMIF($AB$134:$AB$136,"보조",$AD$134:$AD$136)/1000</f>
        <v>0</v>
      </c>
      <c r="G133" s="108">
        <f>SUMIF($AB$134:$AB$136,"7종",$AD$134:$AD$136)/1000</f>
        <v>0</v>
      </c>
      <c r="H133" s="108">
        <f>SUMIF($AB$134:$AB$136,"시비",$AD$134:$AD$136)/1000</f>
        <v>0</v>
      </c>
      <c r="I133" s="108">
        <f>SUMIF($AB$134:$AB$136,"후원",$AD$134:$AD$136)/1000</f>
        <v>0</v>
      </c>
      <c r="J133" s="108">
        <f>SUMIF($AB$134:$AB$136,"입소",$AD$134:$AD$136)/1000</f>
        <v>320</v>
      </c>
      <c r="K133" s="108">
        <f>SUMIF($AB$134:$AB$136,"법인",$AD$134:$AD$136)/1000</f>
        <v>0</v>
      </c>
      <c r="L133" s="108">
        <f>SUMIF($AB$134:$AB$136,"잡수",$AD$134:$AD$136)/1000</f>
        <v>0</v>
      </c>
      <c r="M133" s="108">
        <f>E133-D133</f>
        <v>120</v>
      </c>
      <c r="N133" s="70">
        <f>IF(D133=0,0,M133/D133)</f>
        <v>0.6</v>
      </c>
      <c r="O133" s="397"/>
      <c r="P133" s="160"/>
      <c r="Q133" s="160"/>
      <c r="R133" s="160"/>
      <c r="S133" s="477"/>
      <c r="T133" s="87"/>
      <c r="U133" s="87"/>
      <c r="V133" s="87"/>
      <c r="W133" s="145" t="s">
        <v>137</v>
      </c>
      <c r="X133" s="145"/>
      <c r="Y133" s="145"/>
      <c r="Z133" s="145"/>
      <c r="AA133" s="145"/>
      <c r="AB133" s="145"/>
      <c r="AC133" s="146"/>
      <c r="AD133" s="146">
        <f>SUM(AD134:AD135)</f>
        <v>320000</v>
      </c>
      <c r="AE133" s="147" t="s">
        <v>25</v>
      </c>
      <c r="AF133" s="16"/>
    </row>
    <row r="134" spans="1:33" s="15" customFormat="1" ht="24" customHeight="1">
      <c r="A134" s="46"/>
      <c r="B134" s="46"/>
      <c r="C134" s="46" t="s">
        <v>333</v>
      </c>
      <c r="D134" s="157"/>
      <c r="E134" s="108"/>
      <c r="F134" s="108"/>
      <c r="G134" s="108"/>
      <c r="H134" s="108"/>
      <c r="I134" s="108"/>
      <c r="J134" s="108"/>
      <c r="K134" s="108"/>
      <c r="L134" s="108"/>
      <c r="M134" s="108"/>
      <c r="N134" s="70"/>
      <c r="O134" s="438" t="s">
        <v>334</v>
      </c>
      <c r="P134" s="396"/>
      <c r="Q134" s="396"/>
      <c r="R134" s="396"/>
      <c r="S134" s="275">
        <v>50000</v>
      </c>
      <c r="T134" s="293" t="s">
        <v>57</v>
      </c>
      <c r="U134" s="293" t="s">
        <v>26</v>
      </c>
      <c r="V134" s="437">
        <v>4</v>
      </c>
      <c r="W134" s="437" t="s">
        <v>335</v>
      </c>
      <c r="X134" s="293" t="s">
        <v>26</v>
      </c>
      <c r="Y134" s="371">
        <v>1</v>
      </c>
      <c r="Z134" s="361" t="s">
        <v>373</v>
      </c>
      <c r="AA134" s="372" t="s">
        <v>53</v>
      </c>
      <c r="AB134" s="437" t="s">
        <v>315</v>
      </c>
      <c r="AC134" s="437"/>
      <c r="AD134" s="437">
        <f>S134*V134*Y134</f>
        <v>200000</v>
      </c>
      <c r="AE134" s="134" t="s">
        <v>25</v>
      </c>
      <c r="AF134" s="16"/>
    </row>
    <row r="135" spans="1:33" s="15" customFormat="1" ht="24" customHeight="1">
      <c r="A135" s="46"/>
      <c r="B135" s="46"/>
      <c r="C135" s="46"/>
      <c r="D135" s="157"/>
      <c r="E135" s="108"/>
      <c r="F135" s="108"/>
      <c r="G135" s="108"/>
      <c r="H135" s="108"/>
      <c r="I135" s="108"/>
      <c r="J135" s="108"/>
      <c r="K135" s="108"/>
      <c r="L135" s="108"/>
      <c r="M135" s="108"/>
      <c r="N135" s="70"/>
      <c r="O135" s="438" t="s">
        <v>496</v>
      </c>
      <c r="P135" s="438"/>
      <c r="Q135" s="438"/>
      <c r="R135" s="438"/>
      <c r="S135" s="275">
        <v>30000</v>
      </c>
      <c r="T135" s="293" t="s">
        <v>57</v>
      </c>
      <c r="U135" s="293" t="s">
        <v>26</v>
      </c>
      <c r="V135" s="437">
        <v>4</v>
      </c>
      <c r="W135" s="437" t="s">
        <v>497</v>
      </c>
      <c r="X135" s="293"/>
      <c r="Y135" s="371"/>
      <c r="Z135" s="361"/>
      <c r="AA135" s="372" t="s">
        <v>53</v>
      </c>
      <c r="AB135" s="437" t="s">
        <v>315</v>
      </c>
      <c r="AC135" s="437"/>
      <c r="AD135" s="437">
        <f>S135*V135</f>
        <v>120000</v>
      </c>
      <c r="AE135" s="134" t="s">
        <v>25</v>
      </c>
      <c r="AF135" s="16"/>
    </row>
    <row r="136" spans="1:33" s="15" customFormat="1" ht="24" customHeight="1">
      <c r="A136" s="46"/>
      <c r="B136" s="46"/>
      <c r="C136" s="59"/>
      <c r="D136" s="155"/>
      <c r="E136" s="110"/>
      <c r="F136" s="110"/>
      <c r="G136" s="110"/>
      <c r="H136" s="110"/>
      <c r="I136" s="110"/>
      <c r="J136" s="110"/>
      <c r="K136" s="110"/>
      <c r="L136" s="110"/>
      <c r="M136" s="110"/>
      <c r="N136" s="83"/>
      <c r="O136" s="395"/>
      <c r="P136" s="395"/>
      <c r="Q136" s="395"/>
      <c r="R136" s="395"/>
      <c r="S136" s="339"/>
      <c r="T136" s="394"/>
      <c r="U136" s="395"/>
      <c r="V136" s="394"/>
      <c r="W136" s="394"/>
      <c r="X136" s="394"/>
      <c r="Y136" s="394"/>
      <c r="Z136" s="394"/>
      <c r="AA136" s="394"/>
      <c r="AB136" s="394"/>
      <c r="AC136" s="394"/>
      <c r="AD136" s="394"/>
      <c r="AE136" s="368"/>
      <c r="AF136" s="16"/>
    </row>
    <row r="137" spans="1:33" s="15" customFormat="1" ht="24" customHeight="1">
      <c r="A137" s="46"/>
      <c r="B137" s="46"/>
      <c r="C137" s="36" t="s">
        <v>336</v>
      </c>
      <c r="D137" s="156">
        <v>200</v>
      </c>
      <c r="E137" s="113">
        <f>AD137/1000</f>
        <v>200</v>
      </c>
      <c r="F137" s="108">
        <f>SUMIF($AB$138:$AB$139,"보조",$AD$138:$AD$139)/1000</f>
        <v>0</v>
      </c>
      <c r="G137" s="108">
        <f>SUMIF($AB$138:$AB$139,"7종",$AD$138:$AD$139)/1000</f>
        <v>0</v>
      </c>
      <c r="H137" s="108">
        <f>SUMIF($AB$138:$AB$139,"시비",$AD$138:$AD$139)/1000</f>
        <v>0</v>
      </c>
      <c r="I137" s="108">
        <f>SUMIF($AB$138:$AB$139,"후원",$AD$138:$AD$139)/1000</f>
        <v>0</v>
      </c>
      <c r="J137" s="108">
        <f>SUMIF($AB$138:$AB$139,"입소",$AD$138:$AD$139)/1000</f>
        <v>200</v>
      </c>
      <c r="K137" s="108">
        <f>SUMIF($AB$138:$AB$139,"법인",$AD$138:$AD$139)/1000</f>
        <v>0</v>
      </c>
      <c r="L137" s="108">
        <f>SUMIF($AB$138:$AB$139,"잡수",$AD$138:$AD$139)/1000</f>
        <v>0</v>
      </c>
      <c r="M137" s="108">
        <f>E137-D137</f>
        <v>0</v>
      </c>
      <c r="N137" s="70">
        <f>IF(D137=0,0,M137/D137)</f>
        <v>0</v>
      </c>
      <c r="O137" s="285"/>
      <c r="P137" s="297"/>
      <c r="Q137" s="297"/>
      <c r="R137" s="401"/>
      <c r="S137" s="478"/>
      <c r="T137" s="401"/>
      <c r="U137" s="401"/>
      <c r="V137" s="401"/>
      <c r="W137" s="402" t="s">
        <v>137</v>
      </c>
      <c r="X137" s="402"/>
      <c r="Y137" s="402"/>
      <c r="Z137" s="402"/>
      <c r="AA137" s="402"/>
      <c r="AB137" s="402"/>
      <c r="AC137" s="403"/>
      <c r="AD137" s="403">
        <f>SUM(AD138:AD138)</f>
        <v>200000</v>
      </c>
      <c r="AE137" s="404" t="s">
        <v>25</v>
      </c>
      <c r="AF137" s="16"/>
    </row>
    <row r="138" spans="1:33" s="15" customFormat="1" ht="24" customHeight="1">
      <c r="A138" s="46"/>
      <c r="B138" s="46"/>
      <c r="C138" s="46" t="s">
        <v>290</v>
      </c>
      <c r="D138" s="157"/>
      <c r="E138" s="108"/>
      <c r="F138" s="108"/>
      <c r="G138" s="108"/>
      <c r="H138" s="108"/>
      <c r="I138" s="108"/>
      <c r="J138" s="108"/>
      <c r="K138" s="108"/>
      <c r="L138" s="108"/>
      <c r="M138" s="108"/>
      <c r="N138" s="70"/>
      <c r="O138" s="438" t="s">
        <v>337</v>
      </c>
      <c r="P138" s="396"/>
      <c r="Q138" s="396"/>
      <c r="R138" s="396"/>
      <c r="S138" s="275">
        <v>200000</v>
      </c>
      <c r="T138" s="293" t="s">
        <v>57</v>
      </c>
      <c r="U138" s="293" t="s">
        <v>26</v>
      </c>
      <c r="V138" s="437">
        <v>1</v>
      </c>
      <c r="W138" s="438" t="s">
        <v>71</v>
      </c>
      <c r="X138" s="437"/>
      <c r="Y138" s="374"/>
      <c r="Z138" s="374" t="s">
        <v>53</v>
      </c>
      <c r="AA138" s="374"/>
      <c r="AB138" s="374" t="s">
        <v>268</v>
      </c>
      <c r="AC138" s="374"/>
      <c r="AD138" s="375">
        <f>S138*V138</f>
        <v>200000</v>
      </c>
      <c r="AE138" s="376" t="s">
        <v>57</v>
      </c>
      <c r="AF138" s="16"/>
    </row>
    <row r="139" spans="1:33" s="15" customFormat="1" ht="24" customHeight="1">
      <c r="A139" s="46"/>
      <c r="B139" s="46"/>
      <c r="C139" s="59"/>
      <c r="D139" s="158"/>
      <c r="E139" s="110"/>
      <c r="F139" s="110"/>
      <c r="G139" s="110"/>
      <c r="H139" s="110"/>
      <c r="I139" s="110"/>
      <c r="J139" s="110"/>
      <c r="K139" s="110"/>
      <c r="L139" s="110"/>
      <c r="M139" s="110"/>
      <c r="N139" s="83"/>
      <c r="O139" s="395"/>
      <c r="P139" s="395"/>
      <c r="Q139" s="395"/>
      <c r="R139" s="395"/>
      <c r="S139" s="354"/>
      <c r="T139" s="394"/>
      <c r="U139" s="394"/>
      <c r="V139" s="394"/>
      <c r="W139" s="394"/>
      <c r="X139" s="394"/>
      <c r="Y139" s="394"/>
      <c r="Z139" s="394"/>
      <c r="AA139" s="394"/>
      <c r="AB139" s="394"/>
      <c r="AC139" s="377"/>
      <c r="AD139" s="377"/>
      <c r="AE139" s="368"/>
      <c r="AF139" s="16"/>
      <c r="AG139" s="16"/>
    </row>
    <row r="140" spans="1:33" s="15" customFormat="1" ht="24" customHeight="1">
      <c r="A140" s="46"/>
      <c r="B140" s="46"/>
      <c r="C140" s="36" t="s">
        <v>338</v>
      </c>
      <c r="D140" s="408">
        <v>300</v>
      </c>
      <c r="E140" s="113">
        <f>AD140/1000</f>
        <v>300</v>
      </c>
      <c r="F140" s="112">
        <f>SUMIF($AB$141:$AB$142,"보조",$AD$141:$AD$142)/1000</f>
        <v>0</v>
      </c>
      <c r="G140" s="112">
        <f>SUMIF($AB$141:$AB$142,"7종",$AD$141:$AD$142)/1000</f>
        <v>0</v>
      </c>
      <c r="H140" s="112">
        <f>SUMIF($AB$141:$AB$142,"시비",$AD$141:$AD$142)/1000</f>
        <v>0</v>
      </c>
      <c r="I140" s="112">
        <f>SUMIF($AB$141:$AB$142,"후원",$AD$141:$AD$142)/1000</f>
        <v>0</v>
      </c>
      <c r="J140" s="112">
        <f>SUMIF($AB$141:$AB$142,"입소",$AD$141:$AD$142)/1000</f>
        <v>300</v>
      </c>
      <c r="K140" s="112">
        <f>SUMIF($AB$141:$AB$142,"법인",$AD$141:$AD$142)/1000</f>
        <v>0</v>
      </c>
      <c r="L140" s="112">
        <f>SUMIF($AB$141:$AB$142,"잡수",$AD$141:$AD$142)/1000</f>
        <v>0</v>
      </c>
      <c r="M140" s="112">
        <f>E140-D140</f>
        <v>0</v>
      </c>
      <c r="N140" s="120">
        <f>IF(D140=0,0,M140/D140)</f>
        <v>0</v>
      </c>
      <c r="O140" s="285"/>
      <c r="P140" s="297"/>
      <c r="Q140" s="297"/>
      <c r="R140" s="401"/>
      <c r="S140" s="478"/>
      <c r="T140" s="401"/>
      <c r="U140" s="401"/>
      <c r="V140" s="401"/>
      <c r="W140" s="402" t="s">
        <v>137</v>
      </c>
      <c r="X140" s="402"/>
      <c r="Y140" s="402"/>
      <c r="Z140" s="402"/>
      <c r="AA140" s="402"/>
      <c r="AB140" s="402"/>
      <c r="AC140" s="403"/>
      <c r="AD140" s="403">
        <f>SUM(AD141:AD141)</f>
        <v>300000</v>
      </c>
      <c r="AE140" s="404" t="s">
        <v>25</v>
      </c>
      <c r="AF140" s="16"/>
      <c r="AG140" s="16"/>
    </row>
    <row r="141" spans="1:33" s="15" customFormat="1" ht="24" customHeight="1">
      <c r="A141" s="46"/>
      <c r="B141" s="46"/>
      <c r="C141" s="46" t="s">
        <v>333</v>
      </c>
      <c r="D141" s="157"/>
      <c r="E141" s="108"/>
      <c r="F141" s="108"/>
      <c r="G141" s="108"/>
      <c r="H141" s="108"/>
      <c r="I141" s="108"/>
      <c r="J141" s="108"/>
      <c r="K141" s="108"/>
      <c r="L141" s="108"/>
      <c r="M141" s="108"/>
      <c r="N141" s="70"/>
      <c r="O141" s="438" t="s">
        <v>339</v>
      </c>
      <c r="P141" s="369"/>
      <c r="Q141" s="369"/>
      <c r="R141" s="366"/>
      <c r="S141" s="275">
        <v>10000</v>
      </c>
      <c r="T141" s="437" t="s">
        <v>57</v>
      </c>
      <c r="U141" s="438" t="s">
        <v>58</v>
      </c>
      <c r="V141" s="437">
        <v>5</v>
      </c>
      <c r="W141" s="437" t="s">
        <v>56</v>
      </c>
      <c r="X141" s="438" t="s">
        <v>58</v>
      </c>
      <c r="Y141" s="469">
        <v>6</v>
      </c>
      <c r="Z141" s="287" t="s">
        <v>71</v>
      </c>
      <c r="AA141" s="287" t="s">
        <v>53</v>
      </c>
      <c r="AB141" s="437" t="s">
        <v>268</v>
      </c>
      <c r="AC141" s="133"/>
      <c r="AD141" s="437">
        <f>S141*V141*Y141</f>
        <v>300000</v>
      </c>
      <c r="AE141" s="134" t="s">
        <v>57</v>
      </c>
      <c r="AF141" s="16"/>
      <c r="AG141" s="16"/>
    </row>
    <row r="142" spans="1:33" s="15" customFormat="1" ht="24" customHeight="1">
      <c r="A142" s="46"/>
      <c r="B142" s="46"/>
      <c r="C142" s="59"/>
      <c r="D142" s="155"/>
      <c r="E142" s="110"/>
      <c r="F142" s="110"/>
      <c r="G142" s="110"/>
      <c r="H142" s="110"/>
      <c r="I142" s="110"/>
      <c r="J142" s="110"/>
      <c r="K142" s="110"/>
      <c r="L142" s="110"/>
      <c r="M142" s="110"/>
      <c r="N142" s="83"/>
      <c r="O142" s="395"/>
      <c r="P142" s="395"/>
      <c r="Q142" s="395"/>
      <c r="R142" s="395"/>
      <c r="S142" s="354"/>
      <c r="T142" s="394"/>
      <c r="U142" s="394"/>
      <c r="V142" s="394"/>
      <c r="W142" s="394"/>
      <c r="X142" s="394"/>
      <c r="Y142" s="394"/>
      <c r="Z142" s="394"/>
      <c r="AA142" s="394"/>
      <c r="AB142" s="394"/>
      <c r="AC142" s="377"/>
      <c r="AD142" s="405"/>
      <c r="AE142" s="368"/>
      <c r="AF142" s="16"/>
    </row>
    <row r="143" spans="1:33" s="15" customFormat="1" ht="24" customHeight="1">
      <c r="A143" s="46"/>
      <c r="B143" s="46"/>
      <c r="C143" s="36" t="s">
        <v>421</v>
      </c>
      <c r="D143" s="156">
        <v>1200</v>
      </c>
      <c r="E143" s="113">
        <f>AD143/1000</f>
        <v>1200</v>
      </c>
      <c r="F143" s="112">
        <f>SUMIF($AB$144:$AB$146,"보조",$AD$144:$AD$146)/1000</f>
        <v>0</v>
      </c>
      <c r="G143" s="112">
        <f>SUMIF($AB$144:$AB$146,"7종",$AD$144:$AD$146)/1000</f>
        <v>0</v>
      </c>
      <c r="H143" s="112">
        <f>SUMIF($AB$144:$AB$146,"시비",$AD$144:$AD$146)/1000</f>
        <v>0</v>
      </c>
      <c r="I143" s="112">
        <f>SUMIF($AB$144:$AB$146,"후원",$AD$144:$AD$146)/1000</f>
        <v>0</v>
      </c>
      <c r="J143" s="112">
        <f>SUMIF($AB$144:$AB$146,"입소",$AD$144:$AD$146)/1000</f>
        <v>1200</v>
      </c>
      <c r="K143" s="112">
        <f>SUMIF($AB$144:$AB$146,"법인",$AD$144:$AD$146)/1000</f>
        <v>0</v>
      </c>
      <c r="L143" s="112">
        <f>SUMIF($AB$144:$AB$146,"잡수",$AD$144:$AD$146)/1000</f>
        <v>0</v>
      </c>
      <c r="M143" s="112">
        <f>E143-D143</f>
        <v>0</v>
      </c>
      <c r="N143" s="120">
        <f>IF(D143=0,0,M143/D143)</f>
        <v>0</v>
      </c>
      <c r="O143" s="285"/>
      <c r="P143" s="297"/>
      <c r="Q143" s="297"/>
      <c r="R143" s="401"/>
      <c r="S143" s="478"/>
      <c r="T143" s="401"/>
      <c r="U143" s="401"/>
      <c r="V143" s="401"/>
      <c r="W143" s="402" t="s">
        <v>137</v>
      </c>
      <c r="X143" s="402"/>
      <c r="Y143" s="402"/>
      <c r="Z143" s="402"/>
      <c r="AA143" s="402"/>
      <c r="AB143" s="402"/>
      <c r="AC143" s="403"/>
      <c r="AD143" s="403">
        <f>SUM(AD144:AD145)</f>
        <v>1200000</v>
      </c>
      <c r="AE143" s="404" t="s">
        <v>25</v>
      </c>
      <c r="AF143" s="16"/>
    </row>
    <row r="144" spans="1:33" s="15" customFormat="1" ht="24" customHeight="1">
      <c r="A144" s="46"/>
      <c r="B144" s="46"/>
      <c r="C144" s="46"/>
      <c r="D144" s="154"/>
      <c r="E144" s="108"/>
      <c r="F144" s="108"/>
      <c r="G144" s="108"/>
      <c r="H144" s="108"/>
      <c r="I144" s="108"/>
      <c r="J144" s="108"/>
      <c r="K144" s="108"/>
      <c r="L144" s="108"/>
      <c r="M144" s="108"/>
      <c r="N144" s="70"/>
      <c r="O144" s="373" t="s">
        <v>494</v>
      </c>
      <c r="P144" s="373"/>
      <c r="Q144" s="373"/>
      <c r="R144" s="373"/>
      <c r="S144" s="275">
        <v>40000</v>
      </c>
      <c r="T144" s="293" t="s">
        <v>57</v>
      </c>
      <c r="U144" s="293" t="s">
        <v>26</v>
      </c>
      <c r="V144" s="437">
        <v>5</v>
      </c>
      <c r="W144" s="438" t="s">
        <v>56</v>
      </c>
      <c r="X144" s="437"/>
      <c r="Y144" s="374"/>
      <c r="Z144" s="374" t="s">
        <v>53</v>
      </c>
      <c r="AA144" s="374"/>
      <c r="AB144" s="374" t="s">
        <v>268</v>
      </c>
      <c r="AC144" s="374"/>
      <c r="AD144" s="375">
        <f t="shared" ref="AD144:AD145" si="14">S144*V144</f>
        <v>200000</v>
      </c>
      <c r="AE144" s="376" t="s">
        <v>57</v>
      </c>
      <c r="AF144" s="16"/>
    </row>
    <row r="145" spans="1:32" s="15" customFormat="1" ht="24" customHeight="1">
      <c r="A145" s="46"/>
      <c r="B145" s="46"/>
      <c r="C145" s="46"/>
      <c r="D145" s="154"/>
      <c r="E145" s="108"/>
      <c r="F145" s="108"/>
      <c r="G145" s="108"/>
      <c r="H145" s="108"/>
      <c r="I145" s="108"/>
      <c r="J145" s="108"/>
      <c r="K145" s="108"/>
      <c r="L145" s="108"/>
      <c r="M145" s="108"/>
      <c r="N145" s="70"/>
      <c r="O145" s="373" t="s">
        <v>498</v>
      </c>
      <c r="P145" s="373"/>
      <c r="Q145" s="373"/>
      <c r="R145" s="373"/>
      <c r="S145" s="275">
        <v>200000</v>
      </c>
      <c r="T145" s="293" t="s">
        <v>57</v>
      </c>
      <c r="U145" s="293" t="s">
        <v>26</v>
      </c>
      <c r="V145" s="437">
        <v>5</v>
      </c>
      <c r="W145" s="438" t="s">
        <v>56</v>
      </c>
      <c r="X145" s="437"/>
      <c r="Y145" s="374"/>
      <c r="Z145" s="374" t="s">
        <v>53</v>
      </c>
      <c r="AA145" s="374"/>
      <c r="AB145" s="374" t="s">
        <v>460</v>
      </c>
      <c r="AC145" s="374"/>
      <c r="AD145" s="375">
        <f t="shared" si="14"/>
        <v>1000000</v>
      </c>
      <c r="AE145" s="376" t="s">
        <v>57</v>
      </c>
      <c r="AF145" s="16"/>
    </row>
    <row r="146" spans="1:32" s="15" customFormat="1" ht="24" customHeight="1">
      <c r="A146" s="46"/>
      <c r="B146" s="46"/>
      <c r="C146" s="59"/>
      <c r="D146" s="155"/>
      <c r="E146" s="110"/>
      <c r="F146" s="110"/>
      <c r="G146" s="110"/>
      <c r="H146" s="110"/>
      <c r="I146" s="110"/>
      <c r="J146" s="110"/>
      <c r="K146" s="110"/>
      <c r="L146" s="110"/>
      <c r="M146" s="110"/>
      <c r="N146" s="83"/>
      <c r="O146" s="398"/>
      <c r="P146" s="398"/>
      <c r="Q146" s="398"/>
      <c r="R146" s="398"/>
      <c r="S146" s="339"/>
      <c r="T146" s="367"/>
      <c r="U146" s="367"/>
      <c r="V146" s="394"/>
      <c r="W146" s="395"/>
      <c r="X146" s="394"/>
      <c r="Y146" s="398"/>
      <c r="Z146" s="398"/>
      <c r="AA146" s="398"/>
      <c r="AB146" s="398"/>
      <c r="AC146" s="398"/>
      <c r="AD146" s="399"/>
      <c r="AE146" s="400"/>
      <c r="AF146" s="16"/>
    </row>
    <row r="147" spans="1:32" s="15" customFormat="1" ht="24" customHeight="1">
      <c r="A147" s="46"/>
      <c r="B147" s="46"/>
      <c r="C147" s="36" t="s">
        <v>340</v>
      </c>
      <c r="D147" s="156">
        <v>355</v>
      </c>
      <c r="E147" s="113">
        <f>AD147/1000</f>
        <v>550</v>
      </c>
      <c r="F147" s="112">
        <f>SUMIF($AB$148:$AB$153,"보조",$AD$148:$AD$153)/1000</f>
        <v>0</v>
      </c>
      <c r="G147" s="112">
        <f>SUMIF($AB$148:$AB$153,"7종",$AD$148:$AD$153)/1000</f>
        <v>0</v>
      </c>
      <c r="H147" s="112">
        <f>SUMIF($AB$148:$AB$153,"시비",$AD$148:$AD$153)/1000</f>
        <v>0</v>
      </c>
      <c r="I147" s="112">
        <f>SUMIF($AB$148:$AB$153,"후원",$AD$148:$AD$153)/1000</f>
        <v>0</v>
      </c>
      <c r="J147" s="112">
        <f>SUMIF($AB$148:$AB$153,"입소",$AD$148:$AD$153)/1000</f>
        <v>550</v>
      </c>
      <c r="K147" s="112">
        <f>SUMIF($AB$148:$AB$153,"법인",$AD$148:$AD$153)/1000</f>
        <v>0</v>
      </c>
      <c r="L147" s="112">
        <f>SUMIF($AB$148:$AB$153,"잡수",$AD$148:$AD$153)/1000</f>
        <v>0</v>
      </c>
      <c r="M147" s="112">
        <f>E147-D147</f>
        <v>195</v>
      </c>
      <c r="N147" s="120">
        <f>IF(D147=0,0,M147/D147)</f>
        <v>0.54929577464788737</v>
      </c>
      <c r="O147" s="285"/>
      <c r="P147" s="297"/>
      <c r="Q147" s="297"/>
      <c r="R147" s="401"/>
      <c r="S147" s="478"/>
      <c r="T147" s="401"/>
      <c r="U147" s="401"/>
      <c r="V147" s="401"/>
      <c r="W147" s="402" t="s">
        <v>137</v>
      </c>
      <c r="X147" s="402"/>
      <c r="Y147" s="402"/>
      <c r="Z147" s="402"/>
      <c r="AA147" s="402"/>
      <c r="AB147" s="402"/>
      <c r="AC147" s="403"/>
      <c r="AD147" s="403">
        <f>SUM(AD148:AD152)</f>
        <v>550000</v>
      </c>
      <c r="AE147" s="404" t="s">
        <v>25</v>
      </c>
      <c r="AF147" s="16"/>
    </row>
    <row r="148" spans="1:32" s="15" customFormat="1" ht="24" customHeight="1">
      <c r="A148" s="46"/>
      <c r="B148" s="46"/>
      <c r="C148" s="46" t="s">
        <v>333</v>
      </c>
      <c r="D148" s="154"/>
      <c r="E148" s="108"/>
      <c r="F148" s="108"/>
      <c r="G148" s="108"/>
      <c r="H148" s="108"/>
      <c r="I148" s="108"/>
      <c r="J148" s="108"/>
      <c r="K148" s="108"/>
      <c r="L148" s="108"/>
      <c r="M148" s="108"/>
      <c r="N148" s="70"/>
      <c r="O148" s="438" t="s">
        <v>374</v>
      </c>
      <c r="P148" s="373"/>
      <c r="Q148" s="373"/>
      <c r="R148" s="373"/>
      <c r="S148" s="275">
        <v>5000</v>
      </c>
      <c r="T148" s="293" t="s">
        <v>57</v>
      </c>
      <c r="U148" s="293" t="s">
        <v>26</v>
      </c>
      <c r="V148" s="437">
        <v>3</v>
      </c>
      <c r="W148" s="438" t="s">
        <v>335</v>
      </c>
      <c r="X148" s="293" t="s">
        <v>26</v>
      </c>
      <c r="Y148" s="469">
        <v>4</v>
      </c>
      <c r="Z148" s="287" t="s">
        <v>71</v>
      </c>
      <c r="AA148" s="374" t="s">
        <v>53</v>
      </c>
      <c r="AB148" s="374" t="s">
        <v>268</v>
      </c>
      <c r="AC148" s="374"/>
      <c r="AD148" s="375">
        <f>S148*V148*Y148</f>
        <v>60000</v>
      </c>
      <c r="AE148" s="376" t="s">
        <v>57</v>
      </c>
      <c r="AF148" s="16"/>
    </row>
    <row r="149" spans="1:32" s="15" customFormat="1" ht="24" customHeight="1">
      <c r="A149" s="46"/>
      <c r="B149" s="46"/>
      <c r="C149" s="46"/>
      <c r="D149" s="154"/>
      <c r="E149" s="108"/>
      <c r="F149" s="108"/>
      <c r="G149" s="108"/>
      <c r="H149" s="108"/>
      <c r="I149" s="108"/>
      <c r="J149" s="108"/>
      <c r="K149" s="108"/>
      <c r="L149" s="108"/>
      <c r="M149" s="108"/>
      <c r="N149" s="70"/>
      <c r="O149" s="438" t="s">
        <v>375</v>
      </c>
      <c r="P149" s="406"/>
      <c r="Q149" s="406"/>
      <c r="R149" s="406"/>
      <c r="S149" s="275">
        <v>15000</v>
      </c>
      <c r="T149" s="293" t="s">
        <v>57</v>
      </c>
      <c r="U149" s="293" t="s">
        <v>26</v>
      </c>
      <c r="V149" s="437">
        <v>3</v>
      </c>
      <c r="W149" s="438" t="s">
        <v>335</v>
      </c>
      <c r="X149" s="293" t="s">
        <v>26</v>
      </c>
      <c r="Y149" s="485">
        <v>4</v>
      </c>
      <c r="Z149" s="468" t="s">
        <v>376</v>
      </c>
      <c r="AA149" s="374" t="s">
        <v>377</v>
      </c>
      <c r="AB149" s="374" t="s">
        <v>268</v>
      </c>
      <c r="AC149" s="374"/>
      <c r="AD149" s="375">
        <f>S149*V149*Y149</f>
        <v>180000</v>
      </c>
      <c r="AE149" s="376" t="s">
        <v>57</v>
      </c>
      <c r="AF149" s="16"/>
    </row>
    <row r="150" spans="1:32" s="15" customFormat="1" ht="24" customHeight="1">
      <c r="A150" s="46"/>
      <c r="B150" s="46"/>
      <c r="C150" s="46"/>
      <c r="D150" s="154"/>
      <c r="E150" s="108"/>
      <c r="F150" s="108"/>
      <c r="G150" s="108"/>
      <c r="H150" s="108"/>
      <c r="I150" s="108"/>
      <c r="J150" s="108"/>
      <c r="K150" s="108"/>
      <c r="L150" s="108"/>
      <c r="M150" s="108"/>
      <c r="N150" s="70"/>
      <c r="O150" s="438" t="s">
        <v>425</v>
      </c>
      <c r="P150" s="406"/>
      <c r="Q150" s="406"/>
      <c r="R150" s="406"/>
      <c r="S150" s="275">
        <v>20000</v>
      </c>
      <c r="T150" s="293" t="s">
        <v>57</v>
      </c>
      <c r="U150" s="293" t="s">
        <v>26</v>
      </c>
      <c r="V150" s="437">
        <v>5</v>
      </c>
      <c r="W150" s="438" t="s">
        <v>281</v>
      </c>
      <c r="X150" s="293" t="s">
        <v>26</v>
      </c>
      <c r="Y150" s="485">
        <v>2</v>
      </c>
      <c r="Z150" s="468" t="s">
        <v>264</v>
      </c>
      <c r="AA150" s="374" t="s">
        <v>266</v>
      </c>
      <c r="AB150" s="374" t="s">
        <v>268</v>
      </c>
      <c r="AC150" s="374"/>
      <c r="AD150" s="375">
        <f>S150*V150*Y150</f>
        <v>200000</v>
      </c>
      <c r="AE150" s="376" t="s">
        <v>57</v>
      </c>
      <c r="AF150" s="16"/>
    </row>
    <row r="151" spans="1:32" s="15" customFormat="1" ht="24" customHeight="1">
      <c r="A151" s="46"/>
      <c r="B151" s="46"/>
      <c r="C151" s="46"/>
      <c r="D151" s="154"/>
      <c r="E151" s="108"/>
      <c r="F151" s="108"/>
      <c r="G151" s="108"/>
      <c r="H151" s="108"/>
      <c r="I151" s="108"/>
      <c r="J151" s="108"/>
      <c r="K151" s="108"/>
      <c r="L151" s="108"/>
      <c r="M151" s="108"/>
      <c r="N151" s="70"/>
      <c r="O151" s="277" t="s">
        <v>456</v>
      </c>
      <c r="P151" s="476"/>
      <c r="Q151" s="476"/>
      <c r="R151" s="476"/>
      <c r="S151" s="275">
        <v>30000</v>
      </c>
      <c r="T151" s="329" t="s">
        <v>57</v>
      </c>
      <c r="U151" s="329" t="s">
        <v>26</v>
      </c>
      <c r="V151" s="275">
        <v>2</v>
      </c>
      <c r="W151" s="277" t="s">
        <v>457</v>
      </c>
      <c r="X151" s="329"/>
      <c r="Y151" s="516"/>
      <c r="Z151" s="517"/>
      <c r="AA151" s="518" t="s">
        <v>53</v>
      </c>
      <c r="AB151" s="518" t="s">
        <v>268</v>
      </c>
      <c r="AC151" s="518"/>
      <c r="AD151" s="519">
        <f>S151*V151</f>
        <v>60000</v>
      </c>
      <c r="AE151" s="520" t="s">
        <v>57</v>
      </c>
      <c r="AF151" s="16"/>
    </row>
    <row r="152" spans="1:32" s="15" customFormat="1" ht="24" customHeight="1">
      <c r="A152" s="46"/>
      <c r="B152" s="46"/>
      <c r="C152" s="46"/>
      <c r="D152" s="154"/>
      <c r="E152" s="108"/>
      <c r="F152" s="108"/>
      <c r="G152" s="108"/>
      <c r="H152" s="108"/>
      <c r="I152" s="108"/>
      <c r="J152" s="108"/>
      <c r="K152" s="108"/>
      <c r="L152" s="108"/>
      <c r="M152" s="108"/>
      <c r="N152" s="70"/>
      <c r="O152" s="438" t="s">
        <v>419</v>
      </c>
      <c r="P152" s="406"/>
      <c r="Q152" s="406"/>
      <c r="R152" s="406"/>
      <c r="S152" s="275">
        <v>10000</v>
      </c>
      <c r="T152" s="293" t="s">
        <v>25</v>
      </c>
      <c r="U152" s="293" t="s">
        <v>26</v>
      </c>
      <c r="V152" s="437">
        <v>5</v>
      </c>
      <c r="W152" s="438" t="s">
        <v>145</v>
      </c>
      <c r="X152" s="293" t="s">
        <v>26</v>
      </c>
      <c r="Y152" s="485">
        <v>1</v>
      </c>
      <c r="Z152" s="468" t="s">
        <v>415</v>
      </c>
      <c r="AA152" s="374" t="s">
        <v>27</v>
      </c>
      <c r="AB152" s="374" t="s">
        <v>418</v>
      </c>
      <c r="AC152" s="374"/>
      <c r="AD152" s="375">
        <f>S152*V152*Y152</f>
        <v>50000</v>
      </c>
      <c r="AE152" s="376" t="s">
        <v>420</v>
      </c>
      <c r="AF152" s="16"/>
    </row>
    <row r="153" spans="1:32" s="15" customFormat="1" ht="24" customHeight="1">
      <c r="A153" s="46"/>
      <c r="B153" s="46"/>
      <c r="C153" s="59"/>
      <c r="D153" s="155"/>
      <c r="E153" s="110"/>
      <c r="F153" s="110"/>
      <c r="G153" s="110"/>
      <c r="H153" s="110"/>
      <c r="I153" s="110"/>
      <c r="J153" s="110"/>
      <c r="K153" s="110"/>
      <c r="L153" s="110"/>
      <c r="M153" s="110"/>
      <c r="N153" s="83"/>
      <c r="O153" s="395"/>
      <c r="P153" s="395"/>
      <c r="Q153" s="395"/>
      <c r="R153" s="395"/>
      <c r="S153" s="354"/>
      <c r="T153" s="394"/>
      <c r="U153" s="394"/>
      <c r="V153" s="394"/>
      <c r="W153" s="394"/>
      <c r="X153" s="394"/>
      <c r="Y153" s="394"/>
      <c r="Z153" s="394"/>
      <c r="AA153" s="394"/>
      <c r="AB153" s="394"/>
      <c r="AC153" s="377"/>
      <c r="AD153" s="405"/>
      <c r="AE153" s="368"/>
      <c r="AF153" s="16"/>
    </row>
    <row r="154" spans="1:32" s="15" customFormat="1" ht="24" customHeight="1">
      <c r="A154" s="46"/>
      <c r="B154" s="46"/>
      <c r="C154" s="36" t="s">
        <v>341</v>
      </c>
      <c r="D154" s="156">
        <v>100</v>
      </c>
      <c r="E154" s="113">
        <f>AD154/1000</f>
        <v>155</v>
      </c>
      <c r="F154" s="112">
        <f>SUMIF($AB$155:$AB$157,"보조",$AD$155:$AD$157)/1000</f>
        <v>0</v>
      </c>
      <c r="G154" s="112">
        <f>SUMIF($AB$155:$AB$157,"7종",$AD$155:$AD$157)/1000</f>
        <v>0</v>
      </c>
      <c r="H154" s="112">
        <f>SUMIF($AB$155:$AB$157,"시비",$AD$155:$AD$157)/1000</f>
        <v>0</v>
      </c>
      <c r="I154" s="112">
        <f>SUMIF($AB$155:$AB$157,"후원",$AD$155:$AD$157)/1000</f>
        <v>0</v>
      </c>
      <c r="J154" s="112">
        <f>SUMIF($AB$155:$AB$157,"입소",$AD$155:$AD$157)/1000</f>
        <v>155</v>
      </c>
      <c r="K154" s="112">
        <f>SUMIF($AB$155:$AB$157,"법인",$AD$155:$AD$157)/1000</f>
        <v>0</v>
      </c>
      <c r="L154" s="112">
        <f>SUMIF($AB$155:$AB$157,"잡수",$AD$155:$AD$157)/1000</f>
        <v>0</v>
      </c>
      <c r="M154" s="112">
        <f>E154-D154</f>
        <v>55</v>
      </c>
      <c r="N154" s="120">
        <f>IF(D154=0,0,M154/D154)</f>
        <v>0.55000000000000004</v>
      </c>
      <c r="O154" s="301"/>
      <c r="P154" s="301"/>
      <c r="Q154" s="301"/>
      <c r="R154" s="301"/>
      <c r="S154" s="477"/>
      <c r="T154" s="289"/>
      <c r="U154" s="289"/>
      <c r="V154" s="289"/>
      <c r="W154" s="402" t="s">
        <v>137</v>
      </c>
      <c r="X154" s="402"/>
      <c r="Y154" s="402"/>
      <c r="Z154" s="402"/>
      <c r="AA154" s="402"/>
      <c r="AB154" s="402"/>
      <c r="AC154" s="403"/>
      <c r="AD154" s="403">
        <f>SUM(AD155:AD156)</f>
        <v>155000</v>
      </c>
      <c r="AE154" s="404" t="s">
        <v>25</v>
      </c>
      <c r="AF154" s="16"/>
    </row>
    <row r="155" spans="1:32" s="15" customFormat="1" ht="24" customHeight="1">
      <c r="A155" s="46"/>
      <c r="B155" s="46"/>
      <c r="C155" s="46" t="s">
        <v>290</v>
      </c>
      <c r="D155" s="154"/>
      <c r="E155" s="108"/>
      <c r="F155" s="108"/>
      <c r="G155" s="108"/>
      <c r="H155" s="108"/>
      <c r="I155" s="108"/>
      <c r="J155" s="108"/>
      <c r="K155" s="108"/>
      <c r="L155" s="108"/>
      <c r="M155" s="108"/>
      <c r="N155" s="70"/>
      <c r="O155" s="438" t="s">
        <v>342</v>
      </c>
      <c r="P155" s="396"/>
      <c r="Q155" s="396"/>
      <c r="R155" s="396"/>
      <c r="S155" s="275">
        <v>5000</v>
      </c>
      <c r="T155" s="437" t="s">
        <v>57</v>
      </c>
      <c r="U155" s="438" t="s">
        <v>58</v>
      </c>
      <c r="V155" s="437">
        <v>5</v>
      </c>
      <c r="W155" s="437" t="s">
        <v>56</v>
      </c>
      <c r="X155" s="438" t="s">
        <v>58</v>
      </c>
      <c r="Y155" s="294">
        <v>2</v>
      </c>
      <c r="Z155" s="287" t="s">
        <v>71</v>
      </c>
      <c r="AA155" s="287" t="s">
        <v>53</v>
      </c>
      <c r="AB155" s="437" t="s">
        <v>268</v>
      </c>
      <c r="AC155" s="133"/>
      <c r="AD155" s="437">
        <f>S155*V155*Y155</f>
        <v>50000</v>
      </c>
      <c r="AE155" s="134" t="s">
        <v>57</v>
      </c>
      <c r="AF155" s="16"/>
    </row>
    <row r="156" spans="1:32" s="15" customFormat="1" ht="24" customHeight="1">
      <c r="A156" s="46"/>
      <c r="B156" s="46"/>
      <c r="C156" s="46"/>
      <c r="D156" s="154"/>
      <c r="E156" s="108"/>
      <c r="F156" s="108"/>
      <c r="G156" s="108"/>
      <c r="H156" s="108"/>
      <c r="I156" s="108"/>
      <c r="J156" s="108"/>
      <c r="K156" s="108"/>
      <c r="L156" s="108"/>
      <c r="M156" s="108"/>
      <c r="N156" s="70"/>
      <c r="O156" s="373" t="s">
        <v>405</v>
      </c>
      <c r="P156" s="369"/>
      <c r="Q156" s="369"/>
      <c r="R156" s="366"/>
      <c r="S156" s="275">
        <v>35000</v>
      </c>
      <c r="T156" s="437" t="s">
        <v>57</v>
      </c>
      <c r="U156" s="438" t="s">
        <v>58</v>
      </c>
      <c r="V156" s="437">
        <v>3</v>
      </c>
      <c r="W156" s="437" t="s">
        <v>56</v>
      </c>
      <c r="X156" s="438" t="s">
        <v>58</v>
      </c>
      <c r="Y156" s="294">
        <v>1</v>
      </c>
      <c r="Z156" s="287" t="s">
        <v>71</v>
      </c>
      <c r="AA156" s="287" t="s">
        <v>53</v>
      </c>
      <c r="AB156" s="437" t="s">
        <v>268</v>
      </c>
      <c r="AC156" s="133"/>
      <c r="AD156" s="437">
        <f>S156*V156*Y156</f>
        <v>105000</v>
      </c>
      <c r="AE156" s="134" t="s">
        <v>57</v>
      </c>
      <c r="AF156" s="16"/>
    </row>
    <row r="157" spans="1:32" s="15" customFormat="1" ht="24" customHeight="1">
      <c r="A157" s="46"/>
      <c r="B157" s="46"/>
      <c r="C157" s="59"/>
      <c r="D157" s="155"/>
      <c r="E157" s="110"/>
      <c r="F157" s="110"/>
      <c r="G157" s="110"/>
      <c r="H157" s="110"/>
      <c r="I157" s="110"/>
      <c r="J157" s="110"/>
      <c r="K157" s="110"/>
      <c r="L157" s="110"/>
      <c r="M157" s="110"/>
      <c r="N157" s="83"/>
      <c r="O157" s="398"/>
      <c r="P157" s="398"/>
      <c r="Q157" s="398"/>
      <c r="R157" s="398"/>
      <c r="S157" s="479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9"/>
      <c r="AE157" s="400"/>
      <c r="AF157" s="16"/>
    </row>
    <row r="158" spans="1:32" s="15" customFormat="1" ht="24" customHeight="1">
      <c r="A158" s="46"/>
      <c r="B158" s="46"/>
      <c r="C158" s="36" t="s">
        <v>292</v>
      </c>
      <c r="D158" s="156">
        <v>340</v>
      </c>
      <c r="E158" s="113">
        <f>AD158/1000</f>
        <v>390</v>
      </c>
      <c r="F158" s="112">
        <f>SUMIF($AB$159:$AB$163,"보조",$AD$159:$AD$163)/1000</f>
        <v>0</v>
      </c>
      <c r="G158" s="112">
        <f>SUMIF($AB$159:$AB$163,"7종",$AD$159:$AD$163)/1000</f>
        <v>0</v>
      </c>
      <c r="H158" s="112">
        <f>SUMIF($AB$159:$AB$163,"시비",$AD$159:$AD$163)/1000</f>
        <v>0</v>
      </c>
      <c r="I158" s="112">
        <f>SUMIF($AB$159:$AB$163,"후원",$AD$159:$AD$163)/1000</f>
        <v>0</v>
      </c>
      <c r="J158" s="112">
        <f>SUMIF($AB$159:$AB$163,"입소",$AD$159:$AD$163)/1000</f>
        <v>390</v>
      </c>
      <c r="K158" s="112">
        <f>SUMIF($AB$159:$AB$163,"법인",$AD$159:$AD$163)/1000</f>
        <v>0</v>
      </c>
      <c r="L158" s="112">
        <f>SUMIF($AB$159:$AB$163,"잡수",$AD$159:$AD$163)/1000</f>
        <v>0</v>
      </c>
      <c r="M158" s="112">
        <f>E158-D158</f>
        <v>50</v>
      </c>
      <c r="N158" s="120">
        <f>IF(D158=0,0,M158/D158)</f>
        <v>0.14705882352941177</v>
      </c>
      <c r="O158" s="285"/>
      <c r="P158" s="297"/>
      <c r="Q158" s="297"/>
      <c r="R158" s="401"/>
      <c r="S158" s="478"/>
      <c r="T158" s="401"/>
      <c r="U158" s="401"/>
      <c r="V158" s="401"/>
      <c r="W158" s="402" t="s">
        <v>137</v>
      </c>
      <c r="X158" s="402"/>
      <c r="Y158" s="402"/>
      <c r="Z158" s="402"/>
      <c r="AA158" s="402"/>
      <c r="AB158" s="402"/>
      <c r="AC158" s="403"/>
      <c r="AD158" s="403">
        <f>SUM(AD159:AD163)</f>
        <v>390000</v>
      </c>
      <c r="AE158" s="404" t="s">
        <v>25</v>
      </c>
      <c r="AF158" s="16"/>
    </row>
    <row r="159" spans="1:32" s="15" customFormat="1" ht="24" customHeight="1">
      <c r="A159" s="46"/>
      <c r="B159" s="46"/>
      <c r="C159" s="46" t="s">
        <v>291</v>
      </c>
      <c r="D159" s="154"/>
      <c r="E159" s="108"/>
      <c r="F159" s="108"/>
      <c r="G159" s="108"/>
      <c r="H159" s="108"/>
      <c r="I159" s="108"/>
      <c r="J159" s="108"/>
      <c r="K159" s="108"/>
      <c r="L159" s="108"/>
      <c r="M159" s="108"/>
      <c r="N159" s="70"/>
      <c r="O159" s="438" t="s">
        <v>343</v>
      </c>
      <c r="P159" s="369"/>
      <c r="Q159" s="369"/>
      <c r="R159" s="366"/>
      <c r="S159" s="275">
        <v>200000</v>
      </c>
      <c r="T159" s="437" t="s">
        <v>57</v>
      </c>
      <c r="U159" s="438" t="s">
        <v>58</v>
      </c>
      <c r="V159" s="437">
        <v>1</v>
      </c>
      <c r="W159" s="437" t="s">
        <v>416</v>
      </c>
      <c r="X159" s="438"/>
      <c r="Y159" s="294"/>
      <c r="Z159" s="287" t="s">
        <v>53</v>
      </c>
      <c r="AA159" s="287"/>
      <c r="AB159" s="437" t="s">
        <v>268</v>
      </c>
      <c r="AC159" s="133"/>
      <c r="AD159" s="437">
        <f>S159*V159</f>
        <v>200000</v>
      </c>
      <c r="AE159" s="134" t="s">
        <v>57</v>
      </c>
      <c r="AF159" s="16"/>
    </row>
    <row r="160" spans="1:32" s="15" customFormat="1" ht="24" customHeight="1">
      <c r="A160" s="46"/>
      <c r="B160" s="46"/>
      <c r="C160" s="46" t="s">
        <v>449</v>
      </c>
      <c r="D160" s="154"/>
      <c r="E160" s="108"/>
      <c r="F160" s="108"/>
      <c r="G160" s="108"/>
      <c r="H160" s="108"/>
      <c r="I160" s="108"/>
      <c r="J160" s="108"/>
      <c r="K160" s="108"/>
      <c r="L160" s="108"/>
      <c r="M160" s="108"/>
      <c r="N160" s="70"/>
      <c r="O160" s="438" t="s">
        <v>417</v>
      </c>
      <c r="P160" s="369"/>
      <c r="Q160" s="369"/>
      <c r="R160" s="366"/>
      <c r="S160" s="275">
        <v>100000</v>
      </c>
      <c r="T160" s="437" t="s">
        <v>57</v>
      </c>
      <c r="U160" s="438" t="s">
        <v>58</v>
      </c>
      <c r="V160" s="437">
        <v>1</v>
      </c>
      <c r="W160" s="437" t="s">
        <v>416</v>
      </c>
      <c r="X160" s="438"/>
      <c r="Y160" s="294"/>
      <c r="Z160" s="287" t="s">
        <v>53</v>
      </c>
      <c r="AA160" s="287"/>
      <c r="AB160" s="437" t="s">
        <v>268</v>
      </c>
      <c r="AC160" s="133"/>
      <c r="AD160" s="437">
        <f>S160*V160</f>
        <v>100000</v>
      </c>
      <c r="AE160" s="134" t="s">
        <v>57</v>
      </c>
      <c r="AF160" s="16"/>
    </row>
    <row r="161" spans="1:32" s="15" customFormat="1" ht="24" customHeight="1">
      <c r="A161" s="46"/>
      <c r="B161" s="46"/>
      <c r="C161" s="46"/>
      <c r="D161" s="154"/>
      <c r="E161" s="108"/>
      <c r="F161" s="108"/>
      <c r="G161" s="108"/>
      <c r="H161" s="108"/>
      <c r="I161" s="108"/>
      <c r="J161" s="108"/>
      <c r="K161" s="108"/>
      <c r="L161" s="108"/>
      <c r="M161" s="108"/>
      <c r="N161" s="70"/>
      <c r="O161" s="438" t="s">
        <v>495</v>
      </c>
      <c r="P161" s="369"/>
      <c r="Q161" s="369"/>
      <c r="R161" s="366"/>
      <c r="S161" s="275">
        <v>30000</v>
      </c>
      <c r="T161" s="437" t="s">
        <v>57</v>
      </c>
      <c r="U161" s="438" t="s">
        <v>58</v>
      </c>
      <c r="V161" s="437">
        <v>1</v>
      </c>
      <c r="W161" s="437" t="s">
        <v>416</v>
      </c>
      <c r="X161" s="438"/>
      <c r="Y161" s="294"/>
      <c r="Z161" s="530" t="s">
        <v>53</v>
      </c>
      <c r="AA161" s="530"/>
      <c r="AB161" s="437" t="s">
        <v>268</v>
      </c>
      <c r="AC161" s="133"/>
      <c r="AD161" s="437">
        <f>S161*V161</f>
        <v>30000</v>
      </c>
      <c r="AE161" s="134" t="s">
        <v>57</v>
      </c>
      <c r="AF161" s="16"/>
    </row>
    <row r="162" spans="1:32" s="15" customFormat="1" ht="24" customHeight="1">
      <c r="A162" s="46"/>
      <c r="B162" s="46"/>
      <c r="C162" s="46"/>
      <c r="D162" s="154"/>
      <c r="E162" s="108"/>
      <c r="F162" s="108"/>
      <c r="G162" s="108"/>
      <c r="H162" s="108"/>
      <c r="I162" s="108"/>
      <c r="J162" s="108"/>
      <c r="K162" s="108"/>
      <c r="L162" s="108"/>
      <c r="M162" s="108"/>
      <c r="N162" s="70"/>
      <c r="O162" s="438" t="s">
        <v>451</v>
      </c>
      <c r="P162" s="369"/>
      <c r="Q162" s="369"/>
      <c r="R162" s="366"/>
      <c r="S162" s="275"/>
      <c r="T162" s="437"/>
      <c r="U162" s="438"/>
      <c r="V162" s="437"/>
      <c r="W162" s="437"/>
      <c r="X162" s="438"/>
      <c r="Y162" s="294"/>
      <c r="Z162" s="501"/>
      <c r="AA162" s="501"/>
      <c r="AB162" s="437" t="s">
        <v>268</v>
      </c>
      <c r="AC162" s="133"/>
      <c r="AD162" s="437">
        <v>60000</v>
      </c>
      <c r="AE162" s="134" t="s">
        <v>450</v>
      </c>
      <c r="AF162" s="16"/>
    </row>
    <row r="163" spans="1:32" s="15" customFormat="1" ht="24" customHeight="1">
      <c r="A163" s="46"/>
      <c r="B163" s="46"/>
      <c r="C163" s="59"/>
      <c r="D163" s="155"/>
      <c r="E163" s="110"/>
      <c r="F163" s="110"/>
      <c r="G163" s="110"/>
      <c r="H163" s="110"/>
      <c r="I163" s="110"/>
      <c r="J163" s="110"/>
      <c r="K163" s="110"/>
      <c r="L163" s="110"/>
      <c r="M163" s="110"/>
      <c r="N163" s="83"/>
      <c r="O163" s="438"/>
      <c r="P163" s="288"/>
      <c r="Q163" s="288"/>
      <c r="R163" s="407"/>
      <c r="S163" s="275"/>
      <c r="T163" s="437"/>
      <c r="U163" s="438"/>
      <c r="V163" s="437"/>
      <c r="W163" s="437"/>
      <c r="X163" s="438"/>
      <c r="Y163" s="294"/>
      <c r="Z163" s="287"/>
      <c r="AA163" s="287"/>
      <c r="AB163" s="437"/>
      <c r="AC163" s="133"/>
      <c r="AD163" s="437"/>
      <c r="AE163" s="134"/>
      <c r="AF163" s="16"/>
    </row>
    <row r="164" spans="1:32" s="11" customFormat="1" ht="21" customHeight="1">
      <c r="A164" s="111" t="s">
        <v>154</v>
      </c>
      <c r="B164" s="594" t="s">
        <v>20</v>
      </c>
      <c r="C164" s="595"/>
      <c r="D164" s="169">
        <v>8</v>
      </c>
      <c r="E164" s="169">
        <f>SUM(E165)</f>
        <v>8</v>
      </c>
      <c r="F164" s="169">
        <f t="shared" ref="F164:L164" si="15">SUM(F165)</f>
        <v>8</v>
      </c>
      <c r="G164" s="169">
        <f t="shared" si="15"/>
        <v>0</v>
      </c>
      <c r="H164" s="169">
        <f t="shared" si="15"/>
        <v>0</v>
      </c>
      <c r="I164" s="169">
        <f t="shared" si="15"/>
        <v>0</v>
      </c>
      <c r="J164" s="169">
        <f t="shared" si="15"/>
        <v>0</v>
      </c>
      <c r="K164" s="169">
        <f t="shared" si="15"/>
        <v>0</v>
      </c>
      <c r="L164" s="169">
        <f t="shared" si="15"/>
        <v>0</v>
      </c>
      <c r="M164" s="169">
        <f>E164-D164</f>
        <v>0</v>
      </c>
      <c r="N164" s="170">
        <f>IF(D164=0,0,M164/D164)</f>
        <v>0</v>
      </c>
      <c r="O164" s="96" t="s">
        <v>157</v>
      </c>
      <c r="P164" s="171"/>
      <c r="Q164" s="171"/>
      <c r="R164" s="171"/>
      <c r="S164" s="330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>
        <f>SUM(AD165)</f>
        <v>8000</v>
      </c>
      <c r="AE164" s="173" t="s">
        <v>25</v>
      </c>
      <c r="AF164" s="1"/>
    </row>
    <row r="165" spans="1:32" s="11" customFormat="1" ht="21" customHeight="1">
      <c r="A165" s="183" t="s">
        <v>156</v>
      </c>
      <c r="B165" s="46" t="s">
        <v>154</v>
      </c>
      <c r="C165" s="46" t="s">
        <v>154</v>
      </c>
      <c r="D165" s="154">
        <v>8</v>
      </c>
      <c r="E165" s="113">
        <f>AD165/1000</f>
        <v>8</v>
      </c>
      <c r="F165" s="108">
        <f>SUMIF($AB$166:$AB$172,"보조",$AD$166:$AD$172)/1000</f>
        <v>8</v>
      </c>
      <c r="G165" s="108">
        <f>SUMIF($AB$166:$AB$172,"7종",$AD$166:$AD$172)/1000</f>
        <v>0</v>
      </c>
      <c r="H165" s="108">
        <f>SUMIF($AB$166:$AB$172,"시비",$AD$166:$AD$172)/1000</f>
        <v>0</v>
      </c>
      <c r="I165" s="108">
        <f>SUMIF($AB$166:$AB$172,"후원",$AD$166:$AD$172)/1000</f>
        <v>0</v>
      </c>
      <c r="J165" s="108">
        <f>SUMIF($AB$166:$AB$172,"입소",$AD$166:$AD$172)/1000</f>
        <v>0</v>
      </c>
      <c r="K165" s="108">
        <f>SUMIF($AB$166:$AB$172,"법인",$AD$166:$AD$172)/1000</f>
        <v>0</v>
      </c>
      <c r="L165" s="108">
        <f>SUMIF($AB$166:$AB$172,"잡수",$AD$166:$AD$172)/1000</f>
        <v>0</v>
      </c>
      <c r="M165" s="108">
        <f>E165-D165</f>
        <v>0</v>
      </c>
      <c r="N165" s="70">
        <f>IF(D165=0,0,M165/D165)</f>
        <v>0</v>
      </c>
      <c r="O165" s="288" t="s">
        <v>262</v>
      </c>
      <c r="P165" s="32"/>
      <c r="Q165" s="32"/>
      <c r="R165" s="32"/>
      <c r="S165" s="32"/>
      <c r="T165" s="33"/>
      <c r="U165" s="33"/>
      <c r="V165" s="33"/>
      <c r="W165" s="33"/>
      <c r="X165" s="33"/>
      <c r="Y165" s="172" t="s">
        <v>143</v>
      </c>
      <c r="Z165" s="98"/>
      <c r="AA165" s="98"/>
      <c r="AB165" s="98"/>
      <c r="AC165" s="117"/>
      <c r="AD165" s="117">
        <f>ROUNDUP(SUM(AD166:AD170),-3)</f>
        <v>8000</v>
      </c>
      <c r="AE165" s="118" t="s">
        <v>25</v>
      </c>
      <c r="AF165" s="1"/>
    </row>
    <row r="166" spans="1:32" ht="21" customHeight="1">
      <c r="A166" s="45"/>
      <c r="B166" s="46" t="s">
        <v>155</v>
      </c>
      <c r="C166" s="46" t="s">
        <v>155</v>
      </c>
      <c r="D166" s="154"/>
      <c r="E166" s="108"/>
      <c r="F166" s="108"/>
      <c r="G166" s="108"/>
      <c r="H166" s="108"/>
      <c r="I166" s="108"/>
      <c r="J166" s="108"/>
      <c r="K166" s="108"/>
      <c r="L166" s="108"/>
      <c r="M166" s="108"/>
      <c r="N166" s="70"/>
      <c r="O166" s="438" t="s">
        <v>344</v>
      </c>
      <c r="P166" s="356"/>
      <c r="Q166" s="356"/>
      <c r="R166" s="356"/>
      <c r="S166" s="355"/>
      <c r="T166" s="355"/>
      <c r="U166" s="355"/>
      <c r="V166" s="355"/>
      <c r="W166" s="355"/>
      <c r="X166" s="355"/>
      <c r="Y166" s="355"/>
      <c r="Z166" s="355"/>
      <c r="AA166" s="355"/>
      <c r="AB166" s="437" t="s">
        <v>350</v>
      </c>
      <c r="AC166" s="355"/>
      <c r="AD166" s="68"/>
      <c r="AE166" s="134" t="s">
        <v>25</v>
      </c>
    </row>
    <row r="167" spans="1:32" ht="21" customHeight="1">
      <c r="A167" s="45"/>
      <c r="B167" s="46"/>
      <c r="C167" s="46"/>
      <c r="D167" s="154"/>
      <c r="E167" s="108"/>
      <c r="F167" s="108"/>
      <c r="G167" s="108"/>
      <c r="H167" s="108"/>
      <c r="I167" s="108"/>
      <c r="J167" s="108"/>
      <c r="K167" s="108"/>
      <c r="L167" s="108"/>
      <c r="M167" s="108"/>
      <c r="N167" s="70"/>
      <c r="O167" s="438" t="s">
        <v>345</v>
      </c>
      <c r="P167" s="356"/>
      <c r="Q167" s="356"/>
      <c r="R167" s="356"/>
      <c r="S167" s="355"/>
      <c r="T167" s="355"/>
      <c r="U167" s="355"/>
      <c r="V167" s="355"/>
      <c r="W167" s="355"/>
      <c r="X167" s="355"/>
      <c r="Y167" s="355"/>
      <c r="Z167" s="355"/>
      <c r="AA167" s="355"/>
      <c r="AB167" s="437" t="s">
        <v>350</v>
      </c>
      <c r="AC167" s="355"/>
      <c r="AD167" s="68">
        <v>8000</v>
      </c>
      <c r="AE167" s="134" t="s">
        <v>279</v>
      </c>
    </row>
    <row r="168" spans="1:32" ht="21" customHeight="1">
      <c r="A168" s="45"/>
      <c r="B168" s="46"/>
      <c r="C168" s="46"/>
      <c r="D168" s="154"/>
      <c r="E168" s="108"/>
      <c r="F168" s="108"/>
      <c r="G168" s="108"/>
      <c r="H168" s="108"/>
      <c r="I168" s="108"/>
      <c r="J168" s="108"/>
      <c r="K168" s="108"/>
      <c r="L168" s="108"/>
      <c r="M168" s="108"/>
      <c r="N168" s="70"/>
      <c r="O168" s="438" t="s">
        <v>346</v>
      </c>
      <c r="P168" s="356"/>
      <c r="Q168" s="356"/>
      <c r="R168" s="356"/>
      <c r="S168" s="355"/>
      <c r="T168" s="355"/>
      <c r="U168" s="355"/>
      <c r="V168" s="355"/>
      <c r="W168" s="355"/>
      <c r="X168" s="355"/>
      <c r="Y168" s="355"/>
      <c r="Z168" s="355"/>
      <c r="AA168" s="355"/>
      <c r="AB168" s="437" t="s">
        <v>390</v>
      </c>
      <c r="AC168" s="355"/>
      <c r="AD168" s="68"/>
      <c r="AE168" s="134" t="s">
        <v>279</v>
      </c>
    </row>
    <row r="169" spans="1:32" ht="21" customHeight="1">
      <c r="A169" s="45"/>
      <c r="B169" s="46"/>
      <c r="C169" s="46"/>
      <c r="D169" s="154"/>
      <c r="E169" s="108"/>
      <c r="F169" s="108"/>
      <c r="G169" s="108"/>
      <c r="H169" s="108"/>
      <c r="I169" s="108"/>
      <c r="J169" s="108"/>
      <c r="K169" s="108"/>
      <c r="L169" s="108"/>
      <c r="M169" s="108"/>
      <c r="N169" s="70"/>
      <c r="O169" s="438" t="s">
        <v>347</v>
      </c>
      <c r="P169" s="356"/>
      <c r="Q169" s="356"/>
      <c r="R169" s="356"/>
      <c r="S169" s="355"/>
      <c r="T169" s="355"/>
      <c r="U169" s="355"/>
      <c r="V169" s="355"/>
      <c r="W169" s="355"/>
      <c r="X169" s="355"/>
      <c r="Y169" s="355"/>
      <c r="Z169" s="355"/>
      <c r="AA169" s="355"/>
      <c r="AB169" s="437" t="s">
        <v>390</v>
      </c>
      <c r="AC169" s="355"/>
      <c r="AD169" s="68"/>
      <c r="AE169" s="134" t="s">
        <v>279</v>
      </c>
    </row>
    <row r="170" spans="1:32" ht="21" customHeight="1">
      <c r="A170" s="45"/>
      <c r="B170" s="46"/>
      <c r="C170" s="46"/>
      <c r="D170" s="154"/>
      <c r="E170" s="108"/>
      <c r="F170" s="108"/>
      <c r="G170" s="108"/>
      <c r="H170" s="108"/>
      <c r="I170" s="108"/>
      <c r="J170" s="108"/>
      <c r="K170" s="108"/>
      <c r="L170" s="108"/>
      <c r="M170" s="108"/>
      <c r="N170" s="70"/>
      <c r="O170" s="438" t="s">
        <v>348</v>
      </c>
      <c r="P170" s="356"/>
      <c r="Q170" s="356"/>
      <c r="R170" s="356"/>
      <c r="S170" s="355"/>
      <c r="T170" s="355"/>
      <c r="U170" s="355"/>
      <c r="V170" s="355"/>
      <c r="W170" s="355"/>
      <c r="X170" s="355"/>
      <c r="Y170" s="355"/>
      <c r="Z170" s="355"/>
      <c r="AA170" s="355"/>
      <c r="AB170" s="437" t="s">
        <v>391</v>
      </c>
      <c r="AC170" s="355"/>
      <c r="AD170" s="68"/>
      <c r="AE170" s="134" t="s">
        <v>25</v>
      </c>
    </row>
    <row r="171" spans="1:32" ht="21" customHeight="1">
      <c r="A171" s="45"/>
      <c r="B171" s="46"/>
      <c r="C171" s="47"/>
      <c r="D171" s="154"/>
      <c r="E171" s="108"/>
      <c r="F171" s="108"/>
      <c r="G171" s="108"/>
      <c r="H171" s="108"/>
      <c r="I171" s="108"/>
      <c r="J171" s="108"/>
      <c r="K171" s="108"/>
      <c r="L171" s="108"/>
      <c r="M171" s="108"/>
      <c r="N171" s="70"/>
      <c r="O171" s="438" t="s">
        <v>349</v>
      </c>
      <c r="P171" s="438"/>
      <c r="Q171" s="438"/>
      <c r="R171" s="438"/>
      <c r="S171" s="437"/>
      <c r="T171" s="437"/>
      <c r="U171" s="437"/>
      <c r="V171" s="437"/>
      <c r="W171" s="437"/>
      <c r="X171" s="437"/>
      <c r="Y171" s="437"/>
      <c r="Z171" s="437"/>
      <c r="AA171" s="437"/>
      <c r="AB171" s="437" t="s">
        <v>392</v>
      </c>
      <c r="AC171" s="437"/>
      <c r="AD171" s="68"/>
      <c r="AE171" s="134" t="s">
        <v>452</v>
      </c>
    </row>
    <row r="172" spans="1:32" s="14" customFormat="1" ht="21" customHeight="1">
      <c r="A172" s="45"/>
      <c r="B172" s="59"/>
      <c r="C172" s="47"/>
      <c r="D172" s="154"/>
      <c r="E172" s="108"/>
      <c r="F172" s="108"/>
      <c r="G172" s="108"/>
      <c r="H172" s="108"/>
      <c r="I172" s="108"/>
      <c r="J172" s="108"/>
      <c r="K172" s="108"/>
      <c r="L172" s="108"/>
      <c r="M172" s="108"/>
      <c r="N172" s="7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1"/>
      <c r="AE172" s="57"/>
      <c r="AF172" s="4"/>
    </row>
    <row r="173" spans="1:32" s="11" customFormat="1" ht="21" customHeight="1">
      <c r="A173" s="35" t="s">
        <v>97</v>
      </c>
      <c r="B173" s="594" t="s">
        <v>20</v>
      </c>
      <c r="C173" s="595"/>
      <c r="D173" s="169">
        <v>0</v>
      </c>
      <c r="E173" s="169">
        <f>E174</f>
        <v>0</v>
      </c>
      <c r="F173" s="169">
        <f t="shared" ref="F173:L173" si="16">F174</f>
        <v>0</v>
      </c>
      <c r="G173" s="169">
        <f t="shared" si="16"/>
        <v>0</v>
      </c>
      <c r="H173" s="169">
        <f t="shared" si="16"/>
        <v>0</v>
      </c>
      <c r="I173" s="169">
        <f t="shared" si="16"/>
        <v>0</v>
      </c>
      <c r="J173" s="169">
        <f t="shared" si="16"/>
        <v>0</v>
      </c>
      <c r="K173" s="169">
        <f t="shared" si="16"/>
        <v>0</v>
      </c>
      <c r="L173" s="169">
        <f t="shared" si="16"/>
        <v>0</v>
      </c>
      <c r="M173" s="169">
        <f>E173-D173</f>
        <v>0</v>
      </c>
      <c r="N173" s="170">
        <f>IF(D173=0,0,M173/D173)</f>
        <v>0</v>
      </c>
      <c r="O173" s="171" t="s">
        <v>97</v>
      </c>
      <c r="P173" s="171"/>
      <c r="Q173" s="171"/>
      <c r="R173" s="171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>
        <f>SUM(AD174)</f>
        <v>0</v>
      </c>
      <c r="AE173" s="173" t="s">
        <v>25</v>
      </c>
      <c r="AF173" s="1"/>
    </row>
    <row r="174" spans="1:32" s="11" customFormat="1" ht="21" customHeight="1">
      <c r="A174" s="45"/>
      <c r="B174" s="46" t="s">
        <v>97</v>
      </c>
      <c r="C174" s="46" t="s">
        <v>97</v>
      </c>
      <c r="D174" s="154">
        <v>0</v>
      </c>
      <c r="E174" s="113">
        <f>AD174/1000</f>
        <v>0</v>
      </c>
      <c r="F174" s="108">
        <f>SUMIF($AB$174:$AB$175,"보조",$AD$174:$AD$175)/1000</f>
        <v>0</v>
      </c>
      <c r="G174" s="108">
        <f>SUMIF($AB$174:$AB$175,"7종",$AD$174:$AD$175)/1000</f>
        <v>0</v>
      </c>
      <c r="H174" s="108">
        <f>SUMIF($AB$174:$AB$175,"시비",$AD$174:$AD$175)/1000</f>
        <v>0</v>
      </c>
      <c r="I174" s="108">
        <f>SUMIF($AB$174:$AB$175,"후원",$AD$174:$AD$175)/1000</f>
        <v>0</v>
      </c>
      <c r="J174" s="108">
        <f>SUMIF($AB$174:$AB$175,"입소",$AD$174:$AD$175)/1000</f>
        <v>0</v>
      </c>
      <c r="K174" s="108">
        <f>SUMIF($AB$174:$AB$175,"법인",$AD$174:$AD$175)/1000</f>
        <v>0</v>
      </c>
      <c r="L174" s="108">
        <f>SUMIF($AB$174:$AB$175,"잡수",$AD$174:$AD$175)/1000</f>
        <v>0</v>
      </c>
      <c r="M174" s="108">
        <f>E174-D174</f>
        <v>0</v>
      </c>
      <c r="N174" s="70">
        <f>IF(D174=0,0,M174/D174)</f>
        <v>0</v>
      </c>
      <c r="O174" s="115" t="s">
        <v>98</v>
      </c>
      <c r="P174" s="32"/>
      <c r="Q174" s="32"/>
      <c r="R174" s="32"/>
      <c r="S174" s="32"/>
      <c r="T174" s="33"/>
      <c r="U174" s="33"/>
      <c r="V174" s="33"/>
      <c r="W174" s="33"/>
      <c r="X174" s="33"/>
      <c r="Y174" s="172" t="s">
        <v>143</v>
      </c>
      <c r="Z174" s="98"/>
      <c r="AA174" s="98"/>
      <c r="AB174" s="98"/>
      <c r="AC174" s="117"/>
      <c r="AD174" s="117"/>
      <c r="AE174" s="118" t="s">
        <v>25</v>
      </c>
      <c r="AF174" s="1"/>
    </row>
    <row r="175" spans="1:32" s="1" customFormat="1" ht="21" customHeight="1" thickBot="1">
      <c r="A175" s="135"/>
      <c r="B175" s="46"/>
      <c r="C175" s="46"/>
      <c r="D175" s="154"/>
      <c r="E175" s="108"/>
      <c r="F175" s="108"/>
      <c r="G175" s="108"/>
      <c r="H175" s="108"/>
      <c r="I175" s="108"/>
      <c r="J175" s="108"/>
      <c r="K175" s="108"/>
      <c r="L175" s="108"/>
      <c r="M175" s="108"/>
      <c r="N175" s="70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138"/>
    </row>
    <row r="176" spans="1:32" s="11" customFormat="1" ht="21" customHeight="1">
      <c r="A176" s="35" t="s">
        <v>21</v>
      </c>
      <c r="B176" s="592" t="s">
        <v>20</v>
      </c>
      <c r="C176" s="593"/>
      <c r="D176" s="188">
        <v>34</v>
      </c>
      <c r="E176" s="188">
        <f>SUM(E177)</f>
        <v>34</v>
      </c>
      <c r="F176" s="188">
        <f t="shared" ref="F176:L176" si="17">SUM(F177)</f>
        <v>0</v>
      </c>
      <c r="G176" s="188">
        <f t="shared" si="17"/>
        <v>0</v>
      </c>
      <c r="H176" s="188">
        <f t="shared" si="17"/>
        <v>0</v>
      </c>
      <c r="I176" s="188">
        <f t="shared" si="17"/>
        <v>8</v>
      </c>
      <c r="J176" s="188">
        <f t="shared" si="17"/>
        <v>20</v>
      </c>
      <c r="K176" s="188">
        <f t="shared" si="17"/>
        <v>0</v>
      </c>
      <c r="L176" s="188">
        <f t="shared" si="17"/>
        <v>6</v>
      </c>
      <c r="M176" s="188">
        <f>E176-D176</f>
        <v>0</v>
      </c>
      <c r="N176" s="189">
        <f>IF(D176=0,0,M176/D176)</f>
        <v>0</v>
      </c>
      <c r="O176" s="162" t="s">
        <v>21</v>
      </c>
      <c r="P176" s="163"/>
      <c r="Q176" s="163"/>
      <c r="R176" s="163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>
        <f>AD177</f>
        <v>34000</v>
      </c>
      <c r="AE176" s="165" t="s">
        <v>25</v>
      </c>
      <c r="AF176" s="1"/>
    </row>
    <row r="177" spans="1:32" s="11" customFormat="1" ht="21" customHeight="1">
      <c r="A177" s="45"/>
      <c r="B177" s="46" t="s">
        <v>21</v>
      </c>
      <c r="C177" s="46" t="s">
        <v>21</v>
      </c>
      <c r="D177" s="108">
        <v>34</v>
      </c>
      <c r="E177" s="113">
        <f>AD177/1000</f>
        <v>34</v>
      </c>
      <c r="F177" s="108">
        <f>SUMIF($AB$178:$AB$184,"보조",$AD$178:$AD$184)/1000</f>
        <v>0</v>
      </c>
      <c r="G177" s="108">
        <f>SUMIF($AB$178:$AB$184,"7종",$AD$178:$AD$184)/1000</f>
        <v>0</v>
      </c>
      <c r="H177" s="108">
        <f>SUMIF($AB$178:$AB$184,"시비",$AD$178:$AD$184)/1000</f>
        <v>0</v>
      </c>
      <c r="I177" s="108">
        <f>SUMIF($AB$178:$AB$184,"후원",$AD$178:$AD$184)/1000</f>
        <v>8</v>
      </c>
      <c r="J177" s="108">
        <f>SUMIF($AB$178:$AB$184,"입소",$AD$178:$AD$184)/1000</f>
        <v>20</v>
      </c>
      <c r="K177" s="108">
        <f>SUMIF($AB$178:$AB$184,"법인",$AD$178:$AD$184)/1000</f>
        <v>0</v>
      </c>
      <c r="L177" s="108">
        <f>SUMIF($AB$178:$AB$184,"잡수",$AD$178:$AD$184)/1000</f>
        <v>6</v>
      </c>
      <c r="M177" s="108">
        <f>SUMIF($AB$178:$AB$184,"보조",$AD$178:$AD$184)/1000</f>
        <v>0</v>
      </c>
      <c r="N177" s="70">
        <f>IF(D177=0,0,M177/D177)</f>
        <v>0</v>
      </c>
      <c r="O177" s="115" t="s">
        <v>52</v>
      </c>
      <c r="P177" s="32"/>
      <c r="Q177" s="32"/>
      <c r="R177" s="32"/>
      <c r="S177" s="32"/>
      <c r="T177" s="33"/>
      <c r="U177" s="33"/>
      <c r="V177" s="33"/>
      <c r="W177" s="33"/>
      <c r="X177" s="33"/>
      <c r="Y177" s="172" t="s">
        <v>143</v>
      </c>
      <c r="Z177" s="98"/>
      <c r="AA177" s="98"/>
      <c r="AB177" s="98"/>
      <c r="AC177" s="117"/>
      <c r="AD177" s="117">
        <f>SUM(AD178:AD183)</f>
        <v>34000</v>
      </c>
      <c r="AE177" s="118" t="s">
        <v>25</v>
      </c>
      <c r="AF177" s="1"/>
    </row>
    <row r="178" spans="1:32" s="11" customFormat="1" ht="21" customHeight="1">
      <c r="A178" s="45"/>
      <c r="B178" s="46"/>
      <c r="C178" s="46"/>
      <c r="D178" s="154"/>
      <c r="E178" s="108"/>
      <c r="F178" s="108"/>
      <c r="G178" s="108"/>
      <c r="H178" s="108"/>
      <c r="I178" s="108"/>
      <c r="J178" s="108"/>
      <c r="K178" s="108"/>
      <c r="L178" s="108"/>
      <c r="M178" s="108"/>
      <c r="N178" s="70"/>
      <c r="O178" s="438" t="s">
        <v>360</v>
      </c>
      <c r="P178" s="356"/>
      <c r="Q178" s="356"/>
      <c r="R178" s="356"/>
      <c r="S178" s="356"/>
      <c r="T178" s="355"/>
      <c r="U178" s="355"/>
      <c r="V178" s="355"/>
      <c r="W178" s="355"/>
      <c r="X178" s="355"/>
      <c r="Y178" s="355"/>
      <c r="Z178" s="355"/>
      <c r="AA178" s="355"/>
      <c r="AB178" s="437" t="s">
        <v>393</v>
      </c>
      <c r="AC178" s="133"/>
      <c r="AD178" s="68">
        <v>4000</v>
      </c>
      <c r="AE178" s="134" t="s">
        <v>279</v>
      </c>
      <c r="AF178" s="2"/>
    </row>
    <row r="179" spans="1:32" s="11" customFormat="1" ht="21" customHeight="1">
      <c r="A179" s="45"/>
      <c r="B179" s="46"/>
      <c r="C179" s="46"/>
      <c r="D179" s="154"/>
      <c r="E179" s="108"/>
      <c r="F179" s="108"/>
      <c r="G179" s="108"/>
      <c r="H179" s="108"/>
      <c r="I179" s="108"/>
      <c r="J179" s="108"/>
      <c r="K179" s="108"/>
      <c r="L179" s="108"/>
      <c r="M179" s="108"/>
      <c r="N179" s="70"/>
      <c r="O179" s="438" t="s">
        <v>361</v>
      </c>
      <c r="P179" s="356"/>
      <c r="Q179" s="356"/>
      <c r="R179" s="356"/>
      <c r="S179" s="356"/>
      <c r="T179" s="355"/>
      <c r="U179" s="355"/>
      <c r="V179" s="355"/>
      <c r="W179" s="355"/>
      <c r="X179" s="355"/>
      <c r="Y179" s="355"/>
      <c r="Z179" s="355"/>
      <c r="AA179" s="355"/>
      <c r="AB179" s="437" t="s">
        <v>393</v>
      </c>
      <c r="AC179" s="133"/>
      <c r="AD179" s="68">
        <v>16000</v>
      </c>
      <c r="AE179" s="134" t="s">
        <v>279</v>
      </c>
      <c r="AF179" s="2"/>
    </row>
    <row r="180" spans="1:32" s="11" customFormat="1" ht="21" customHeight="1">
      <c r="A180" s="45"/>
      <c r="B180" s="46"/>
      <c r="C180" s="46"/>
      <c r="D180" s="154"/>
      <c r="E180" s="108"/>
      <c r="F180" s="108"/>
      <c r="G180" s="108"/>
      <c r="H180" s="108"/>
      <c r="I180" s="108"/>
      <c r="J180" s="108"/>
      <c r="K180" s="108"/>
      <c r="L180" s="108"/>
      <c r="M180" s="108"/>
      <c r="N180" s="70"/>
      <c r="O180" s="438" t="s">
        <v>351</v>
      </c>
      <c r="P180" s="438"/>
      <c r="Q180" s="438"/>
      <c r="R180" s="438"/>
      <c r="S180" s="438"/>
      <c r="T180" s="437"/>
      <c r="U180" s="437"/>
      <c r="V180" s="437"/>
      <c r="W180" s="437"/>
      <c r="X180" s="437"/>
      <c r="Y180" s="437"/>
      <c r="Z180" s="437"/>
      <c r="AA180" s="437"/>
      <c r="AB180" s="437" t="s">
        <v>394</v>
      </c>
      <c r="AC180" s="133"/>
      <c r="AD180" s="68">
        <v>3000</v>
      </c>
      <c r="AE180" s="134" t="s">
        <v>359</v>
      </c>
      <c r="AF180" s="2"/>
    </row>
    <row r="181" spans="1:32" s="11" customFormat="1" ht="21" customHeight="1">
      <c r="A181" s="45"/>
      <c r="B181" s="46"/>
      <c r="C181" s="46"/>
      <c r="D181" s="154"/>
      <c r="E181" s="108"/>
      <c r="F181" s="108"/>
      <c r="G181" s="108"/>
      <c r="H181" s="108"/>
      <c r="I181" s="108"/>
      <c r="J181" s="108"/>
      <c r="K181" s="108"/>
      <c r="L181" s="108"/>
      <c r="M181" s="108"/>
      <c r="N181" s="70"/>
      <c r="O181" s="438" t="s">
        <v>358</v>
      </c>
      <c r="P181" s="356"/>
      <c r="Q181" s="356"/>
      <c r="R181" s="356"/>
      <c r="S181" s="356"/>
      <c r="T181" s="355"/>
      <c r="U181" s="355"/>
      <c r="V181" s="355"/>
      <c r="W181" s="355"/>
      <c r="X181" s="355"/>
      <c r="Y181" s="355"/>
      <c r="Z181" s="355"/>
      <c r="AA181" s="355"/>
      <c r="AB181" s="437" t="s">
        <v>395</v>
      </c>
      <c r="AC181" s="133"/>
      <c r="AD181" s="68">
        <v>5000</v>
      </c>
      <c r="AE181" s="134" t="s">
        <v>279</v>
      </c>
      <c r="AF181" s="2"/>
    </row>
    <row r="182" spans="1:32" s="11" customFormat="1" ht="21" customHeight="1">
      <c r="A182" s="45"/>
      <c r="B182" s="46"/>
      <c r="C182" s="46"/>
      <c r="D182" s="154"/>
      <c r="E182" s="108"/>
      <c r="F182" s="108"/>
      <c r="G182" s="108"/>
      <c r="H182" s="108"/>
      <c r="I182" s="108"/>
      <c r="J182" s="108"/>
      <c r="K182" s="108"/>
      <c r="L182" s="108"/>
      <c r="M182" s="108"/>
      <c r="N182" s="70"/>
      <c r="O182" s="438" t="s">
        <v>352</v>
      </c>
      <c r="P182" s="356"/>
      <c r="Q182" s="356"/>
      <c r="R182" s="356"/>
      <c r="S182" s="356"/>
      <c r="T182" s="355"/>
      <c r="U182" s="355"/>
      <c r="V182" s="355"/>
      <c r="W182" s="355"/>
      <c r="X182" s="355"/>
      <c r="Y182" s="355"/>
      <c r="Z182" s="355"/>
      <c r="AA182" s="355"/>
      <c r="AB182" s="437" t="s">
        <v>396</v>
      </c>
      <c r="AC182" s="133"/>
      <c r="AD182" s="68">
        <v>2000</v>
      </c>
      <c r="AE182" s="134" t="s">
        <v>279</v>
      </c>
      <c r="AF182" s="2"/>
    </row>
    <row r="183" spans="1:32" s="11" customFormat="1" ht="21" customHeight="1">
      <c r="A183" s="45"/>
      <c r="B183" s="46"/>
      <c r="C183" s="46"/>
      <c r="D183" s="154"/>
      <c r="E183" s="108"/>
      <c r="F183" s="108"/>
      <c r="G183" s="108"/>
      <c r="H183" s="108"/>
      <c r="I183" s="108"/>
      <c r="J183" s="108"/>
      <c r="K183" s="108"/>
      <c r="L183" s="108"/>
      <c r="M183" s="108"/>
      <c r="N183" s="70"/>
      <c r="O183" s="438" t="s">
        <v>362</v>
      </c>
      <c r="P183" s="438"/>
      <c r="Q183" s="438"/>
      <c r="R183" s="438"/>
      <c r="S183" s="438"/>
      <c r="T183" s="437"/>
      <c r="U183" s="437"/>
      <c r="V183" s="437"/>
      <c r="W183" s="437"/>
      <c r="X183" s="437"/>
      <c r="Y183" s="437"/>
      <c r="Z183" s="437"/>
      <c r="AA183" s="437"/>
      <c r="AB183" s="437" t="s">
        <v>397</v>
      </c>
      <c r="AC183" s="133"/>
      <c r="AD183" s="68">
        <v>4000</v>
      </c>
      <c r="AE183" s="134" t="s">
        <v>57</v>
      </c>
      <c r="AF183" s="2"/>
    </row>
    <row r="184" spans="1:32" s="1" customFormat="1" ht="21" customHeight="1" thickBot="1">
      <c r="A184" s="135"/>
      <c r="B184" s="101"/>
      <c r="C184" s="101"/>
      <c r="D184" s="159"/>
      <c r="E184" s="136"/>
      <c r="F184" s="136"/>
      <c r="G184" s="136"/>
      <c r="H184" s="136"/>
      <c r="I184" s="136"/>
      <c r="J184" s="136"/>
      <c r="K184" s="136"/>
      <c r="L184" s="136"/>
      <c r="M184" s="136"/>
      <c r="N184" s="137"/>
      <c r="O184" s="378"/>
      <c r="P184" s="378"/>
      <c r="Q184" s="378"/>
      <c r="R184" s="378"/>
      <c r="S184" s="379"/>
      <c r="T184" s="379"/>
      <c r="U184" s="379"/>
      <c r="V184" s="379"/>
      <c r="W184" s="379"/>
      <c r="X184" s="379"/>
      <c r="Y184" s="379"/>
      <c r="Z184" s="379"/>
      <c r="AA184" s="379"/>
      <c r="AB184" s="379"/>
      <c r="AC184" s="379"/>
      <c r="AD184" s="379"/>
      <c r="AE184" s="380"/>
    </row>
    <row r="186" spans="1:32" ht="21" customHeight="1">
      <c r="E186" s="290"/>
      <c r="F186" s="290"/>
    </row>
    <row r="187" spans="1:32" ht="21" customHeight="1">
      <c r="E187" s="290"/>
      <c r="F187" s="290"/>
    </row>
    <row r="188" spans="1:32" ht="21" customHeight="1">
      <c r="F188" s="290"/>
    </row>
    <row r="189" spans="1:32" ht="21" customHeight="1">
      <c r="E189" s="290"/>
      <c r="F189" s="290"/>
    </row>
    <row r="190" spans="1:32" ht="21" customHeight="1">
      <c r="E190" s="290"/>
      <c r="F190" s="290"/>
    </row>
    <row r="191" spans="1:32" ht="21" customHeight="1">
      <c r="E191" s="290"/>
      <c r="F191" s="290"/>
    </row>
  </sheetData>
  <mergeCells count="15">
    <mergeCell ref="A1:E1"/>
    <mergeCell ref="B176:C176"/>
    <mergeCell ref="B173:C173"/>
    <mergeCell ref="B164:C164"/>
    <mergeCell ref="B107:C107"/>
    <mergeCell ref="B93:C93"/>
    <mergeCell ref="O2:AE3"/>
    <mergeCell ref="V89:W89"/>
    <mergeCell ref="V64:W64"/>
    <mergeCell ref="B5:C5"/>
    <mergeCell ref="A4:C4"/>
    <mergeCell ref="M2:N2"/>
    <mergeCell ref="A2:C2"/>
    <mergeCell ref="D2:D3"/>
    <mergeCell ref="E2:L2"/>
  </mergeCells>
  <phoneticPr fontId="8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&amp;C&amp;P/&amp;N&amp;R공동생활가정 몬띠의 집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2019-12-02T01:38:16Z</cp:lastPrinted>
  <dcterms:created xsi:type="dcterms:W3CDTF">2003-12-18T04:11:57Z</dcterms:created>
  <dcterms:modified xsi:type="dcterms:W3CDTF">2020-01-03T02:18:03Z</dcterms:modified>
</cp:coreProperties>
</file>