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45" yWindow="60" windowWidth="13020" windowHeight="7980" tabRatio="380" activeTab="2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세입!$A$1:$AC$37</definedName>
    <definedName name="_xlnm.Print_Area" localSheetId="2">세출!$A$1:$AD$175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 localSheetId="0">[3]세입!#REF!</definedName>
    <definedName name="몬띠의집">[3]세입!#REF!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24519"/>
</workbook>
</file>

<file path=xl/calcChain.xml><?xml version="1.0" encoding="utf-8"?>
<calcChain xmlns="http://schemas.openxmlformats.org/spreadsheetml/2006/main">
  <c r="AF8" i="5"/>
  <c r="AC35"/>
  <c r="H107"/>
  <c r="E11" i="20"/>
  <c r="AF17" i="5"/>
  <c r="H97"/>
  <c r="G97"/>
  <c r="AC44"/>
  <c r="AC43"/>
  <c r="AC41"/>
  <c r="AC40"/>
  <c r="AC39"/>
  <c r="AC37"/>
  <c r="AC34"/>
  <c r="AC33"/>
  <c r="AC32"/>
  <c r="AF16"/>
  <c r="AF13"/>
  <c r="AF10"/>
  <c r="AE15" i="4"/>
  <c r="AE13"/>
  <c r="AE11"/>
  <c r="AF7" i="5"/>
  <c r="AE9" i="4"/>
  <c r="AC173" i="5"/>
  <c r="L173"/>
  <c r="E173"/>
  <c r="K173" s="1"/>
  <c r="AC172"/>
  <c r="F173" s="1"/>
  <c r="F172" s="1"/>
  <c r="L172"/>
  <c r="J172"/>
  <c r="H172"/>
  <c r="G172"/>
  <c r="E172"/>
  <c r="K172" s="1"/>
  <c r="AC169"/>
  <c r="L169"/>
  <c r="G169"/>
  <c r="F169"/>
  <c r="E169"/>
  <c r="K169" s="1"/>
  <c r="AC168"/>
  <c r="J26" i="19" s="1"/>
  <c r="L168" i="5"/>
  <c r="J168"/>
  <c r="H168"/>
  <c r="G168"/>
  <c r="F168"/>
  <c r="E168"/>
  <c r="K168" s="1"/>
  <c r="J28" i="19" l="1"/>
  <c r="E29" i="21"/>
  <c r="AC31" i="5"/>
  <c r="F31" s="1"/>
  <c r="AG17"/>
  <c r="E8" i="20"/>
  <c r="E6"/>
  <c r="E17"/>
  <c r="E15"/>
  <c r="E14"/>
  <c r="E13"/>
  <c r="D4" i="21"/>
  <c r="D4" i="20"/>
  <c r="F29" i="21" l="1"/>
  <c r="F19"/>
  <c r="J18" i="20"/>
  <c r="F17"/>
  <c r="F16"/>
  <c r="F15"/>
  <c r="F14"/>
  <c r="F13"/>
  <c r="F12"/>
  <c r="F11"/>
  <c r="F10"/>
  <c r="F9"/>
  <c r="F8"/>
  <c r="F6"/>
  <c r="J5"/>
  <c r="F5"/>
  <c r="E13" i="19" l="1"/>
  <c r="E16" l="1"/>
  <c r="J5"/>
  <c r="I5"/>
  <c r="D8" l="1"/>
  <c r="I8"/>
  <c r="D10"/>
  <c r="F11"/>
  <c r="I12"/>
  <c r="F13"/>
  <c r="K13"/>
  <c r="D14"/>
  <c r="E14"/>
  <c r="F15"/>
  <c r="F16"/>
  <c r="I16"/>
  <c r="D17"/>
  <c r="E17"/>
  <c r="F18"/>
  <c r="F17" s="1"/>
  <c r="D19"/>
  <c r="D21"/>
  <c r="I23"/>
  <c r="I25"/>
  <c r="J25"/>
  <c r="K26"/>
  <c r="K25" s="1"/>
  <c r="I27"/>
  <c r="J27"/>
  <c r="K28"/>
  <c r="K27" s="1"/>
  <c r="I7" l="1"/>
  <c r="F14"/>
  <c r="D7"/>
  <c r="AC155" i="5" l="1"/>
  <c r="G102" l="1"/>
  <c r="AC57" l="1"/>
  <c r="H55" s="1"/>
  <c r="H113"/>
  <c r="H124"/>
  <c r="AC163"/>
  <c r="AC162"/>
  <c r="AC161" s="1"/>
  <c r="H87"/>
  <c r="AC87"/>
  <c r="E18" i="21" s="1"/>
  <c r="F18" s="1"/>
  <c r="AC159" i="5"/>
  <c r="AC136"/>
  <c r="F107"/>
  <c r="AC81"/>
  <c r="AC157" l="1"/>
  <c r="J59" l="1"/>
  <c r="E59" s="1"/>
  <c r="AC142"/>
  <c r="AC55"/>
  <c r="E12" i="21" s="1"/>
  <c r="F12" s="1"/>
  <c r="I30" i="4" l="1"/>
  <c r="AC145" i="5" l="1"/>
  <c r="AC135"/>
  <c r="H62" l="1"/>
  <c r="H120"/>
  <c r="N14" l="1"/>
  <c r="F87" l="1"/>
  <c r="AC134"/>
  <c r="AC133"/>
  <c r="J107"/>
  <c r="AC107"/>
  <c r="AC113"/>
  <c r="AC119"/>
  <c r="AF14" s="1"/>
  <c r="F9" i="4"/>
  <c r="AC97" i="5"/>
  <c r="AC85"/>
  <c r="AC50"/>
  <c r="E22" i="21" l="1"/>
  <c r="F22" s="1"/>
  <c r="J17" i="19"/>
  <c r="H50" i="5"/>
  <c r="H49" s="1"/>
  <c r="E11" i="21"/>
  <c r="F11" s="1"/>
  <c r="E20"/>
  <c r="F20" s="1"/>
  <c r="J14" i="19"/>
  <c r="E23" i="21"/>
  <c r="F23" s="1"/>
  <c r="J18" i="19"/>
  <c r="K18" s="1"/>
  <c r="I117" i="5"/>
  <c r="AG14"/>
  <c r="V21"/>
  <c r="V20"/>
  <c r="Q21"/>
  <c r="Q14"/>
  <c r="AC9"/>
  <c r="K17" i="19" l="1"/>
  <c r="K14"/>
  <c r="AC21" i="5"/>
  <c r="F165"/>
  <c r="G165"/>
  <c r="L28" i="4"/>
  <c r="J21"/>
  <c r="I21"/>
  <c r="H21"/>
  <c r="F21"/>
  <c r="G21"/>
  <c r="AB21"/>
  <c r="E20" i="19" s="1"/>
  <c r="AB30" i="4"/>
  <c r="H30"/>
  <c r="F30"/>
  <c r="L14"/>
  <c r="L16"/>
  <c r="I34"/>
  <c r="I27" s="1"/>
  <c r="H34"/>
  <c r="F34"/>
  <c r="AB34"/>
  <c r="J27"/>
  <c r="G27"/>
  <c r="F20" i="19" l="1"/>
  <c r="F19" s="1"/>
  <c r="E19"/>
  <c r="AB27" i="4"/>
  <c r="H27"/>
  <c r="E30"/>
  <c r="K30" s="1"/>
  <c r="L30" s="1"/>
  <c r="AB12"/>
  <c r="E18" i="20" l="1"/>
  <c r="F18" s="1"/>
  <c r="E22" i="19"/>
  <c r="G9" i="4"/>
  <c r="G8" s="1"/>
  <c r="G7" s="1"/>
  <c r="E7" i="20"/>
  <c r="AB9" i="4"/>
  <c r="E12" i="19" s="1"/>
  <c r="E10" l="1"/>
  <c r="F12"/>
  <c r="F10" s="1"/>
  <c r="E4" i="20"/>
  <c r="F4" s="1"/>
  <c r="F7"/>
  <c r="E21" i="19"/>
  <c r="F22"/>
  <c r="F21" s="1"/>
  <c r="E9" i="4"/>
  <c r="E8" s="1"/>
  <c r="F62" i="5" l="1"/>
  <c r="AC62"/>
  <c r="E14" i="21" s="1"/>
  <c r="F14" s="1"/>
  <c r="I107" i="5" l="1"/>
  <c r="I106" s="1"/>
  <c r="F113"/>
  <c r="G46"/>
  <c r="AC165"/>
  <c r="E28" i="21" l="1"/>
  <c r="F28" s="1"/>
  <c r="J24" i="19"/>
  <c r="H92" i="5"/>
  <c r="H91" s="1"/>
  <c r="E34" i="4"/>
  <c r="F27"/>
  <c r="J11" i="5"/>
  <c r="F8" i="4"/>
  <c r="F7" s="1"/>
  <c r="F4" s="1"/>
  <c r="E9" i="21"/>
  <c r="F9" s="1"/>
  <c r="AC131" i="5"/>
  <c r="AC164"/>
  <c r="AC59"/>
  <c r="E13" i="21" s="1"/>
  <c r="F13" s="1"/>
  <c r="AC27" i="5"/>
  <c r="E8" i="21" s="1"/>
  <c r="F8" s="1"/>
  <c r="AC153" i="5"/>
  <c r="AC150"/>
  <c r="AC144"/>
  <c r="AB14" i="4"/>
  <c r="J23" i="19" l="1"/>
  <c r="K24"/>
  <c r="K23" s="1"/>
  <c r="AC141" i="5"/>
  <c r="G14" i="4"/>
  <c r="G4" s="1"/>
  <c r="AB8"/>
  <c r="AB7" s="1"/>
  <c r="AC24" i="5"/>
  <c r="H6"/>
  <c r="Q13" l="1"/>
  <c r="J46"/>
  <c r="I46"/>
  <c r="H46"/>
  <c r="F46"/>
  <c r="AC124" l="1"/>
  <c r="E46"/>
  <c r="E14" i="4"/>
  <c r="E26" i="21" l="1"/>
  <c r="F26" s="1"/>
  <c r="J21" i="19"/>
  <c r="K21" s="1"/>
  <c r="K14" i="4"/>
  <c r="E7"/>
  <c r="AC72" i="5"/>
  <c r="AC71"/>
  <c r="H67" l="1"/>
  <c r="G92"/>
  <c r="AC154"/>
  <c r="AC132"/>
  <c r="AC80"/>
  <c r="H74" s="1"/>
  <c r="AC17"/>
  <c r="I18" i="4"/>
  <c r="I4" s="1"/>
  <c r="AB6"/>
  <c r="I5" i="5"/>
  <c r="AB18" i="4"/>
  <c r="E97" i="5"/>
  <c r="F93"/>
  <c r="F92" s="1"/>
  <c r="F91" s="1"/>
  <c r="E28" i="4"/>
  <c r="E27" s="1"/>
  <c r="AC130" i="5" l="1"/>
  <c r="G91"/>
  <c r="I105"/>
  <c r="I4" s="1"/>
  <c r="E18" i="4"/>
  <c r="K18" s="1"/>
  <c r="L18" s="1"/>
  <c r="E102" i="5"/>
  <c r="E92" s="1"/>
  <c r="E91" s="1"/>
  <c r="K27" i="4"/>
  <c r="Q20" i="5" l="1"/>
  <c r="AC20" s="1"/>
  <c r="AC19" s="1"/>
  <c r="AC70"/>
  <c r="E113"/>
  <c r="K113" s="1"/>
  <c r="AC151"/>
  <c r="I127" s="1"/>
  <c r="N20"/>
  <c r="N13"/>
  <c r="AC14"/>
  <c r="AC46"/>
  <c r="E10" i="21" s="1"/>
  <c r="F10" s="1"/>
  <c r="F55" i="5" l="1"/>
  <c r="E55" s="1"/>
  <c r="K55" s="1"/>
  <c r="AC16"/>
  <c r="K46"/>
  <c r="L46" s="1"/>
  <c r="F124"/>
  <c r="E124" s="1"/>
  <c r="AC68"/>
  <c r="F67" s="1"/>
  <c r="G106"/>
  <c r="J106"/>
  <c r="J92"/>
  <c r="J91" s="1"/>
  <c r="G58"/>
  <c r="J58"/>
  <c r="G49"/>
  <c r="AC149"/>
  <c r="AC148"/>
  <c r="AC139"/>
  <c r="AC118"/>
  <c r="AF11" s="1"/>
  <c r="AC77"/>
  <c r="AC78"/>
  <c r="AC79"/>
  <c r="AC76"/>
  <c r="AC75"/>
  <c r="AC74" l="1"/>
  <c r="H128"/>
  <c r="AG11"/>
  <c r="H127"/>
  <c r="H117"/>
  <c r="E16" i="21"/>
  <c r="F16" s="1"/>
  <c r="F74" i="5"/>
  <c r="AC67"/>
  <c r="E107"/>
  <c r="AC117"/>
  <c r="AC147"/>
  <c r="AC138"/>
  <c r="F49"/>
  <c r="AC23"/>
  <c r="G11" s="1"/>
  <c r="G6" s="1"/>
  <c r="AC13"/>
  <c r="AC8"/>
  <c r="E67" l="1"/>
  <c r="E15" i="21"/>
  <c r="F15" s="1"/>
  <c r="E24"/>
  <c r="F24" s="1"/>
  <c r="J19" i="19"/>
  <c r="AC128" i="5"/>
  <c r="E27" i="21" s="1"/>
  <c r="F27" s="1"/>
  <c r="F58" i="5"/>
  <c r="H106"/>
  <c r="H105" s="1"/>
  <c r="E128"/>
  <c r="E127" s="1"/>
  <c r="J27"/>
  <c r="AC7"/>
  <c r="E5" i="21" s="1"/>
  <c r="F5" s="1"/>
  <c r="G5" i="5"/>
  <c r="AC12"/>
  <c r="F11" s="1"/>
  <c r="K19" i="19" l="1"/>
  <c r="AC127" i="5"/>
  <c r="J22" i="19" s="1"/>
  <c r="K22" s="1"/>
  <c r="F7" i="5"/>
  <c r="E7" s="1"/>
  <c r="Q28"/>
  <c r="AC11"/>
  <c r="K128"/>
  <c r="L128" s="1"/>
  <c r="F27"/>
  <c r="AB16" i="4"/>
  <c r="AC6" i="5" l="1"/>
  <c r="J9" i="19" s="1"/>
  <c r="E7" i="21"/>
  <c r="E21" i="4"/>
  <c r="K21" s="1"/>
  <c r="L21" s="1"/>
  <c r="J16"/>
  <c r="H8"/>
  <c r="H7" s="1"/>
  <c r="J8"/>
  <c r="J7" s="1"/>
  <c r="H164" i="5"/>
  <c r="J164"/>
  <c r="G164"/>
  <c r="F164"/>
  <c r="G127"/>
  <c r="G105" s="1"/>
  <c r="G4" s="1"/>
  <c r="J127"/>
  <c r="J105" s="1"/>
  <c r="L93"/>
  <c r="AC93"/>
  <c r="K93" s="1"/>
  <c r="AC84"/>
  <c r="J49"/>
  <c r="H84" l="1"/>
  <c r="H58" s="1"/>
  <c r="H5" s="1"/>
  <c r="H4" s="1"/>
  <c r="E17" i="21"/>
  <c r="F17" s="1"/>
  <c r="F7"/>
  <c r="K9" i="19"/>
  <c r="AC58" i="5"/>
  <c r="J11" i="19" s="1"/>
  <c r="K11" s="1"/>
  <c r="AC102" i="5"/>
  <c r="E21" i="21" l="1"/>
  <c r="J15" i="19"/>
  <c r="AC92" i="5"/>
  <c r="F127"/>
  <c r="E117"/>
  <c r="K15" i="19" l="1"/>
  <c r="K12" s="1"/>
  <c r="J12"/>
  <c r="F21" i="21"/>
  <c r="K34" i="4"/>
  <c r="L34" s="1"/>
  <c r="K28"/>
  <c r="AB5"/>
  <c r="E9" i="19" s="1"/>
  <c r="E8" l="1"/>
  <c r="E7" s="1"/>
  <c r="F9"/>
  <c r="F8" s="1"/>
  <c r="F7" s="1"/>
  <c r="H5" i="4"/>
  <c r="H4" s="1"/>
  <c r="K7" i="5"/>
  <c r="E5" i="4" l="1"/>
  <c r="K5" s="1"/>
  <c r="L5" s="1"/>
  <c r="E11" i="5"/>
  <c r="J6" l="1"/>
  <c r="J5" s="1"/>
  <c r="J4" s="1"/>
  <c r="E27" l="1"/>
  <c r="AC121"/>
  <c r="AG8" l="1"/>
  <c r="F120"/>
  <c r="E120" s="1"/>
  <c r="K120" s="1"/>
  <c r="AC120"/>
  <c r="E74"/>
  <c r="K74" s="1"/>
  <c r="L74" s="1"/>
  <c r="AC49"/>
  <c r="J10" i="19" s="1"/>
  <c r="AB4" i="4"/>
  <c r="L7" i="5"/>
  <c r="E50"/>
  <c r="L113"/>
  <c r="E165"/>
  <c r="L55"/>
  <c r="K10" i="19" l="1"/>
  <c r="K8" s="1"/>
  <c r="J8"/>
  <c r="E25" i="21"/>
  <c r="J20" i="19"/>
  <c r="AC106" i="5"/>
  <c r="AC105" s="1"/>
  <c r="L120"/>
  <c r="K27"/>
  <c r="L27" s="1"/>
  <c r="K59"/>
  <c r="L59" s="1"/>
  <c r="K117"/>
  <c r="L117" s="1"/>
  <c r="K102"/>
  <c r="L102" s="1"/>
  <c r="AC91"/>
  <c r="E87"/>
  <c r="K87" s="1"/>
  <c r="L87" s="1"/>
  <c r="E84"/>
  <c r="K84" s="1"/>
  <c r="L84" s="1"/>
  <c r="K50"/>
  <c r="L50" s="1"/>
  <c r="K124"/>
  <c r="L124" s="1"/>
  <c r="K165"/>
  <c r="L165" s="1"/>
  <c r="E164"/>
  <c r="K164" s="1"/>
  <c r="L164" s="1"/>
  <c r="K127"/>
  <c r="L127" s="1"/>
  <c r="E53"/>
  <c r="K53" s="1"/>
  <c r="L53" s="1"/>
  <c r="K20" i="19" l="1"/>
  <c r="K16" s="1"/>
  <c r="K7" s="1"/>
  <c r="J16"/>
  <c r="F25" i="21"/>
  <c r="E4"/>
  <c r="F4" s="1"/>
  <c r="J7" i="19"/>
  <c r="E49" i="5"/>
  <c r="K49" s="1"/>
  <c r="L49" s="1"/>
  <c r="K67"/>
  <c r="L67" s="1"/>
  <c r="E16" i="4"/>
  <c r="K16" s="1"/>
  <c r="K91" i="5"/>
  <c r="L91" s="1"/>
  <c r="K11"/>
  <c r="L11" s="1"/>
  <c r="E62"/>
  <c r="E58" s="1"/>
  <c r="J4" i="4" l="1"/>
  <c r="E4" s="1"/>
  <c r="K62" i="5"/>
  <c r="L62" s="1"/>
  <c r="K58"/>
  <c r="L58" s="1"/>
  <c r="L27" i="4"/>
  <c r="K4" l="1"/>
  <c r="L4" s="1"/>
  <c r="K9"/>
  <c r="L9" s="1"/>
  <c r="K8"/>
  <c r="L8" s="1"/>
  <c r="K7" l="1"/>
  <c r="L7" s="1"/>
  <c r="K92" i="5"/>
  <c r="L92" s="1"/>
  <c r="K97"/>
  <c r="L97" s="1"/>
  <c r="K107" l="1"/>
  <c r="L107" s="1"/>
  <c r="E106"/>
  <c r="E105" s="1"/>
  <c r="F106"/>
  <c r="F105" s="1"/>
  <c r="K106" l="1"/>
  <c r="L106" l="1"/>
  <c r="K105"/>
  <c r="L105" s="1"/>
  <c r="AC5" l="1"/>
  <c r="AC4" s="1"/>
  <c r="F6"/>
  <c r="F5" s="1"/>
  <c r="E31"/>
  <c r="E6" s="1"/>
  <c r="F4" l="1"/>
  <c r="E4" s="1"/>
  <c r="K4" s="1"/>
  <c r="L4" s="1"/>
  <c r="K31"/>
  <c r="L31" s="1"/>
  <c r="E5"/>
  <c r="K5" s="1"/>
  <c r="L5" s="1"/>
  <c r="K6" l="1"/>
  <c r="L6" s="1"/>
</calcChain>
</file>

<file path=xl/sharedStrings.xml><?xml version="1.0" encoding="utf-8"?>
<sst xmlns="http://schemas.openxmlformats.org/spreadsheetml/2006/main" count="1048" uniqueCount="489">
  <si>
    <t>월</t>
    <phoneticPr fontId="5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</si>
  <si>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</si>
  <si>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</si>
  <si>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</si>
  <si>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</si>
  <si>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</si>
  <si>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</si>
  <si>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</si>
  <si>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</si>
  <si>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</si>
  <si>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</si>
  <si>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</si>
  <si>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</si>
  <si>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</si>
  <si>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</si>
  <si>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</si>
  <si>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</si>
  <si>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</si>
  <si>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</si>
  <si>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</si>
  <si>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</si>
  <si>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</si>
  <si>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</si>
  <si>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</si>
  <si>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</si>
  <si>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</si>
  <si>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</si>
  <si>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</si>
  <si>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</si>
  <si>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</si>
  <si>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</si>
  <si>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</si>
  <si>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</si>
  <si>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</si>
  <si>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</si>
  <si>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</si>
  <si>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</si>
  <si>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</si>
  <si>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</si>
  <si>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</si>
  <si>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</si>
  <si>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</si>
  <si>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</si>
  <si>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</si>
  <si>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</si>
  <si>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</si>
  <si>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</si>
  <si>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</si>
  <si>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</si>
  <si>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</si>
  <si>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</si>
  <si>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</si>
  <si>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</si>
  <si>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5" type="noConversion"/>
  </si>
  <si>
    <t>산              출               기              초</t>
    <phoneticPr fontId="5" type="noConversion"/>
  </si>
  <si>
    <t>산               출                기               초</t>
    <phoneticPr fontId="5" type="noConversion"/>
  </si>
  <si>
    <t>명</t>
    <phoneticPr fontId="5" type="noConversion"/>
  </si>
  <si>
    <t>원</t>
    <phoneticPr fontId="5" type="noConversion"/>
  </si>
  <si>
    <t>×</t>
    <phoneticPr fontId="5" type="noConversion"/>
  </si>
  <si>
    <t>생계비</t>
    <phoneticPr fontId="5" type="noConversion"/>
  </si>
  <si>
    <t>입  소</t>
    <phoneticPr fontId="5" type="noConversion"/>
  </si>
  <si>
    <t>비  용</t>
    <phoneticPr fontId="5" type="noConversion"/>
  </si>
  <si>
    <t xml:space="preserve"> </t>
    <phoneticPr fontId="5" type="noConversion"/>
  </si>
  <si>
    <t>합  계 :</t>
    <phoneticPr fontId="5" type="noConversion"/>
  </si>
  <si>
    <t xml:space="preserve">                                                                                    </t>
    <phoneticPr fontId="5" type="noConversion"/>
  </si>
  <si>
    <t>과            목</t>
    <phoneticPr fontId="5" type="noConversion"/>
  </si>
  <si>
    <t>&lt;보조금수입 합계&gt;</t>
    <phoneticPr fontId="5" type="noConversion"/>
  </si>
  <si>
    <t>원</t>
    <phoneticPr fontId="5" type="noConversion"/>
  </si>
  <si>
    <t>계</t>
    <phoneticPr fontId="5" type="noConversion"/>
  </si>
  <si>
    <t>총  계 :</t>
    <phoneticPr fontId="5" type="noConversion"/>
  </si>
  <si>
    <t>보조금</t>
    <phoneticPr fontId="5" type="noConversion"/>
  </si>
  <si>
    <t>총  계 :</t>
    <phoneticPr fontId="5" type="noConversion"/>
  </si>
  <si>
    <t>합    계 :</t>
    <phoneticPr fontId="5" type="noConversion"/>
  </si>
  <si>
    <t>÷</t>
    <phoneticPr fontId="5" type="noConversion"/>
  </si>
  <si>
    <t>=</t>
    <phoneticPr fontId="5" type="noConversion"/>
  </si>
  <si>
    <t>회</t>
    <phoneticPr fontId="5" type="noConversion"/>
  </si>
  <si>
    <t>전입금</t>
    <phoneticPr fontId="5" type="noConversion"/>
  </si>
  <si>
    <t>전년도</t>
    <phoneticPr fontId="5" type="noConversion"/>
  </si>
  <si>
    <t>잡수입</t>
    <phoneticPr fontId="5" type="noConversion"/>
  </si>
  <si>
    <t>소계</t>
    <phoneticPr fontId="5" type="noConversion"/>
  </si>
  <si>
    <t>&lt;잡수입 합계&gt;</t>
    <phoneticPr fontId="5" type="noConversion"/>
  </si>
  <si>
    <t>원</t>
    <phoneticPr fontId="5" type="noConversion"/>
  </si>
  <si>
    <t>※ 불용품매각대</t>
    <phoneticPr fontId="5" type="noConversion"/>
  </si>
  <si>
    <t>매각대</t>
    <phoneticPr fontId="5" type="noConversion"/>
  </si>
  <si>
    <t>※ 예금이자수입</t>
    <phoneticPr fontId="5" type="noConversion"/>
  </si>
  <si>
    <t>※기본급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</si>
  <si>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</si>
  <si>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</si>
  <si>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</si>
  <si>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</si>
  <si>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 xml:space="preserve"> </t>
    <phoneticPr fontId="5" type="noConversion"/>
  </si>
  <si>
    <t>합    계 :</t>
    <phoneticPr fontId="5" type="noConversion"/>
  </si>
  <si>
    <t>원</t>
    <phoneticPr fontId="5" type="noConversion"/>
  </si>
  <si>
    <t xml:space="preserve"> </t>
    <phoneticPr fontId="5" type="noConversion"/>
  </si>
  <si>
    <t>사회보험</t>
    <phoneticPr fontId="5" type="noConversion"/>
  </si>
  <si>
    <t>회  의  비</t>
    <phoneticPr fontId="5" type="noConversion"/>
  </si>
  <si>
    <t>여    비</t>
    <phoneticPr fontId="5" type="noConversion"/>
  </si>
  <si>
    <t>보조</t>
    <phoneticPr fontId="5" type="noConversion"/>
  </si>
  <si>
    <t>기타운영비</t>
    <phoneticPr fontId="5" type="noConversion"/>
  </si>
  <si>
    <t>※ 직원 교육훈련비</t>
    <phoneticPr fontId="5" type="noConversion"/>
  </si>
  <si>
    <t>회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</si>
  <si>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</si>
  <si>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</si>
  <si>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</si>
  <si>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운영비</t>
    <phoneticPr fontId="5" type="noConversion"/>
  </si>
  <si>
    <t>※ 생계비</t>
    <phoneticPr fontId="5" type="noConversion"/>
  </si>
  <si>
    <t>수용기관</t>
    <phoneticPr fontId="5" type="noConversion"/>
  </si>
  <si>
    <t>※ 수용기관경비</t>
    <phoneticPr fontId="5" type="noConversion"/>
  </si>
  <si>
    <t>※ 연료비</t>
    <phoneticPr fontId="5" type="noConversion"/>
  </si>
  <si>
    <t>프로그램</t>
    <phoneticPr fontId="5" type="noConversion"/>
  </si>
  <si>
    <t>입소</t>
    <phoneticPr fontId="5" type="noConversion"/>
  </si>
  <si>
    <t>원</t>
    <phoneticPr fontId="5" type="noConversion"/>
  </si>
  <si>
    <t>원</t>
    <phoneticPr fontId="5" type="noConversion"/>
  </si>
  <si>
    <t>입소자
부담금</t>
    <phoneticPr fontId="5" type="noConversion"/>
  </si>
  <si>
    <t>비  용</t>
  </si>
  <si>
    <t>법인
전입금</t>
    <phoneticPr fontId="5" type="noConversion"/>
  </si>
  <si>
    <t xml:space="preserve">총  계 : </t>
    <phoneticPr fontId="5" type="noConversion"/>
  </si>
  <si>
    <t>합계:</t>
    <phoneticPr fontId="5" type="noConversion"/>
  </si>
  <si>
    <t>법인</t>
    <phoneticPr fontId="5" type="noConversion"/>
  </si>
  <si>
    <t>전입금</t>
    <phoneticPr fontId="5" type="noConversion"/>
  </si>
  <si>
    <t>예금</t>
    <phoneticPr fontId="5" type="noConversion"/>
  </si>
  <si>
    <t>불용품</t>
    <phoneticPr fontId="5" type="noConversion"/>
  </si>
  <si>
    <t>입   소</t>
    <phoneticPr fontId="5" type="noConversion"/>
  </si>
  <si>
    <t>계
(B)</t>
    <phoneticPr fontId="5" type="noConversion"/>
  </si>
  <si>
    <t>금액
(B-A)</t>
    <phoneticPr fontId="5" type="noConversion"/>
  </si>
  <si>
    <t>합  계 :</t>
    <phoneticPr fontId="5" type="noConversion"/>
  </si>
  <si>
    <t>업   무</t>
    <phoneticPr fontId="5" type="noConversion"/>
  </si>
  <si>
    <t>프로그램</t>
    <phoneticPr fontId="5" type="noConversion"/>
  </si>
  <si>
    <t>사업비</t>
    <phoneticPr fontId="5" type="noConversion"/>
  </si>
  <si>
    <t>※ 프로그램사업비 합계</t>
    <phoneticPr fontId="5" type="noConversion"/>
  </si>
  <si>
    <t>소  계 :</t>
    <phoneticPr fontId="5" type="noConversion"/>
  </si>
  <si>
    <t>※ 피복비</t>
  </si>
  <si>
    <t>※ 의료비</t>
    <phoneticPr fontId="5" type="noConversion"/>
  </si>
  <si>
    <t>추진비</t>
    <phoneticPr fontId="5" type="noConversion"/>
  </si>
  <si>
    <t>업무추진비</t>
    <phoneticPr fontId="5" type="noConversion"/>
  </si>
  <si>
    <t>※ 직책보조비</t>
    <phoneticPr fontId="5" type="noConversion"/>
  </si>
  <si>
    <t>소계:</t>
    <phoneticPr fontId="5" type="noConversion"/>
  </si>
  <si>
    <t>인건비</t>
    <phoneticPr fontId="5" type="noConversion"/>
  </si>
  <si>
    <t>사무비</t>
    <phoneticPr fontId="5" type="noConversion"/>
  </si>
  <si>
    <t>세출총계</t>
    <phoneticPr fontId="5" type="noConversion"/>
  </si>
  <si>
    <t>운영비</t>
    <phoneticPr fontId="5" type="noConversion"/>
  </si>
  <si>
    <t xml:space="preserve"> * 교육 및 출장여비</t>
    <phoneticPr fontId="5" type="noConversion"/>
  </si>
  <si>
    <t>명</t>
  </si>
  <si>
    <t>회</t>
    <phoneticPr fontId="5" type="noConversion"/>
  </si>
  <si>
    <t>재산조성비</t>
    <phoneticPr fontId="5" type="noConversion"/>
  </si>
  <si>
    <t>계</t>
    <phoneticPr fontId="5" type="noConversion"/>
  </si>
  <si>
    <t>시설비</t>
    <phoneticPr fontId="5" type="noConversion"/>
  </si>
  <si>
    <t>수수료</t>
    <phoneticPr fontId="5" type="noConversion"/>
  </si>
  <si>
    <t>사업비</t>
    <phoneticPr fontId="5" type="noConversion"/>
  </si>
  <si>
    <t>계</t>
    <phoneticPr fontId="5" type="noConversion"/>
  </si>
  <si>
    <t>경비</t>
    <phoneticPr fontId="5" type="noConversion"/>
  </si>
  <si>
    <t>조성비</t>
    <phoneticPr fontId="5" type="noConversion"/>
  </si>
  <si>
    <t>보조금</t>
    <phoneticPr fontId="5" type="noConversion"/>
  </si>
  <si>
    <t>반환금</t>
    <phoneticPr fontId="5" type="noConversion"/>
  </si>
  <si>
    <t>반환금</t>
    <phoneticPr fontId="5" type="noConversion"/>
  </si>
  <si>
    <t>보조금 반환금</t>
    <phoneticPr fontId="5" type="noConversion"/>
  </si>
  <si>
    <t>※ 보조금 반환금(수원시)</t>
    <phoneticPr fontId="5" type="noConversion"/>
  </si>
  <si>
    <t>유지비</t>
    <phoneticPr fontId="5" type="noConversion"/>
  </si>
  <si>
    <t>원</t>
    <phoneticPr fontId="5" type="noConversion"/>
  </si>
  <si>
    <t>보조금
(7종)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</si>
  <si>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</si>
  <si>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</si>
  <si>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</si>
  <si>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</si>
  <si>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>*사회재활교사</t>
    <phoneticPr fontId="5" type="noConversion"/>
  </si>
  <si>
    <t>월</t>
    <phoneticPr fontId="5" type="noConversion"/>
  </si>
  <si>
    <t>* 고용보험부담금</t>
    <phoneticPr fontId="5" type="noConversion"/>
  </si>
  <si>
    <t>* 국민연금부담금</t>
    <phoneticPr fontId="5" type="noConversion"/>
  </si>
  <si>
    <t>* 회의관련 다과비등</t>
    <phoneticPr fontId="5" type="noConversion"/>
  </si>
  <si>
    <t>회</t>
    <phoneticPr fontId="5" type="noConversion"/>
  </si>
  <si>
    <t>소계:</t>
    <phoneticPr fontId="5" type="noConversion"/>
  </si>
  <si>
    <t>1. 사무용품비(문구류 )</t>
    <phoneticPr fontId="5" type="noConversion"/>
  </si>
  <si>
    <t>월</t>
    <phoneticPr fontId="5" type="noConversion"/>
  </si>
  <si>
    <t>원</t>
    <phoneticPr fontId="5" type="noConversion"/>
  </si>
  <si>
    <t>1. 화재보험료</t>
    <phoneticPr fontId="5" type="noConversion"/>
  </si>
  <si>
    <t>2. 상해보험료</t>
    <phoneticPr fontId="5" type="noConversion"/>
  </si>
  <si>
    <t>3. 소방안전점검</t>
    <phoneticPr fontId="5" type="noConversion"/>
  </si>
  <si>
    <t>4. 전기안전점검</t>
    <phoneticPr fontId="5" type="noConversion"/>
  </si>
  <si>
    <t>5. 가스안전점검</t>
    <phoneticPr fontId="5" type="noConversion"/>
  </si>
  <si>
    <t>* 차량유류대</t>
    <phoneticPr fontId="5" type="noConversion"/>
  </si>
  <si>
    <t>* 직원 외부교육비</t>
    <phoneticPr fontId="5" type="noConversion"/>
  </si>
  <si>
    <t>1.주부식비</t>
    <phoneticPr fontId="5" type="noConversion"/>
  </si>
  <si>
    <t>* 일상생활용품</t>
    <phoneticPr fontId="5" type="noConversion"/>
  </si>
  <si>
    <t>* 피복비</t>
    <phoneticPr fontId="5" type="noConversion"/>
  </si>
  <si>
    <t>명</t>
    <phoneticPr fontId="5" type="noConversion"/>
  </si>
  <si>
    <t>=</t>
    <phoneticPr fontId="5" type="noConversion"/>
  </si>
  <si>
    <t>* 입소자 건강진단비</t>
    <phoneticPr fontId="5" type="noConversion"/>
  </si>
  <si>
    <t>* 외래진료 및 의약품비 등</t>
    <phoneticPr fontId="5" type="noConversion"/>
  </si>
  <si>
    <t>* 취사용 연료비</t>
    <phoneticPr fontId="5" type="noConversion"/>
  </si>
  <si>
    <t>1.보조금 예금이자 이월금</t>
    <phoneticPr fontId="5" type="noConversion"/>
  </si>
  <si>
    <t>원</t>
    <phoneticPr fontId="5" type="noConversion"/>
  </si>
  <si>
    <t>원</t>
    <phoneticPr fontId="5" type="noConversion"/>
  </si>
  <si>
    <t>세입총계</t>
    <phoneticPr fontId="5" type="noConversion"/>
  </si>
  <si>
    <t>합    계 :</t>
    <phoneticPr fontId="5" type="noConversion"/>
  </si>
  <si>
    <t xml:space="preserve"> </t>
    <phoneticPr fontId="5" type="noConversion"/>
  </si>
  <si>
    <t>원</t>
    <phoneticPr fontId="5" type="noConversion"/>
  </si>
  <si>
    <t>※ 기타후생경비</t>
    <phoneticPr fontId="5" type="noConversion"/>
  </si>
  <si>
    <t>* 종사자건강검진비용</t>
    <phoneticPr fontId="5" type="noConversion"/>
  </si>
  <si>
    <t>기타        후생경비</t>
    <phoneticPr fontId="5" type="noConversion"/>
  </si>
  <si>
    <t>2. 가족수당(보조금)</t>
    <phoneticPr fontId="5" type="noConversion"/>
  </si>
  <si>
    <t>4.종사자근무수당(7종)</t>
    <phoneticPr fontId="5" type="noConversion"/>
  </si>
  <si>
    <t>* 설 명절 휴가비</t>
    <phoneticPr fontId="5" type="noConversion"/>
  </si>
  <si>
    <t>원</t>
    <phoneticPr fontId="5" type="noConversion"/>
  </si>
  <si>
    <t>월</t>
    <phoneticPr fontId="5" type="noConversion"/>
  </si>
  <si>
    <t>원</t>
    <phoneticPr fontId="5" type="noConversion"/>
  </si>
  <si>
    <t>* 퇴직적립금(보조금)</t>
    <phoneticPr fontId="5" type="noConversion"/>
  </si>
  <si>
    <t>=</t>
    <phoneticPr fontId="5" type="noConversion"/>
  </si>
  <si>
    <t>2. 주방용품 구입 및 소규모수선비</t>
    <phoneticPr fontId="5" type="noConversion"/>
  </si>
  <si>
    <t>3.기타 수용비 및 수수료</t>
    <phoneticPr fontId="5" type="noConversion"/>
  </si>
  <si>
    <t>원</t>
    <phoneticPr fontId="5" type="noConversion"/>
  </si>
  <si>
    <t>※ 후원금</t>
    <phoneticPr fontId="5" type="noConversion"/>
  </si>
  <si>
    <t>※ 전년도 이월금</t>
    <phoneticPr fontId="5" type="noConversion"/>
  </si>
  <si>
    <t>* 비지정 후원금</t>
    <phoneticPr fontId="5" type="noConversion"/>
  </si>
  <si>
    <t>후원금</t>
    <phoneticPr fontId="5" type="noConversion"/>
  </si>
  <si>
    <t>비지정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</si>
  <si>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 type="noConversion"/>
  </si>
  <si>
    <t>6. 신용보증보험</t>
    <phoneticPr fontId="5" type="noConversion"/>
  </si>
  <si>
    <t>* 환경개선사업비(7종)시도</t>
    <phoneticPr fontId="5" type="noConversion"/>
  </si>
  <si>
    <t>* 종사자근무수당(시도)</t>
    <phoneticPr fontId="5" type="noConversion"/>
  </si>
  <si>
    <t>이월금</t>
    <phoneticPr fontId="5" type="noConversion"/>
  </si>
  <si>
    <t>1. 전화료 인터넷 요금(보조)</t>
    <phoneticPr fontId="5" type="noConversion"/>
  </si>
  <si>
    <t>2. 아파트관리비(보조)</t>
    <phoneticPr fontId="5" type="noConversion"/>
  </si>
  <si>
    <t>3. 전화료 인터넷 요금(입소)</t>
    <phoneticPr fontId="5" type="noConversion"/>
  </si>
  <si>
    <t>4. 아파트관리비(입소)</t>
    <phoneticPr fontId="5" type="noConversion"/>
  </si>
  <si>
    <t>* 산재보험부담금</t>
    <phoneticPr fontId="5" type="noConversion"/>
  </si>
  <si>
    <t>=</t>
    <phoneticPr fontId="5" type="noConversion"/>
  </si>
  <si>
    <t>입소</t>
    <phoneticPr fontId="5" type="noConversion"/>
  </si>
  <si>
    <t>보조</t>
    <phoneticPr fontId="5" type="noConversion"/>
  </si>
  <si>
    <t>* 가족수당</t>
    <phoneticPr fontId="5" type="noConversion"/>
  </si>
  <si>
    <t>* 종사자 건강검진비용</t>
    <phoneticPr fontId="5" type="noConversion"/>
  </si>
  <si>
    <t>※ 입소자부담금수입</t>
    <phoneticPr fontId="5" type="noConversion"/>
  </si>
  <si>
    <t>* 입소자부담금수입</t>
    <phoneticPr fontId="5" type="noConversion"/>
  </si>
  <si>
    <t>보조금</t>
    <phoneticPr fontId="5" type="noConversion"/>
  </si>
  <si>
    <t>* 욕실 파티션</t>
    <phoneticPr fontId="5" type="noConversion"/>
  </si>
  <si>
    <t>3.연장근로수당(보조금)</t>
    <phoneticPr fontId="5" type="noConversion"/>
  </si>
  <si>
    <t>1. 미용실 이용</t>
    <phoneticPr fontId="5" type="noConversion"/>
  </si>
  <si>
    <t>2. 찜질방 이용</t>
    <phoneticPr fontId="5" type="noConversion"/>
  </si>
  <si>
    <t>A. 일상생활 지원 프로그램</t>
    <phoneticPr fontId="5" type="noConversion"/>
  </si>
  <si>
    <t>B.  직업활동 지원</t>
    <phoneticPr fontId="5" type="noConversion"/>
  </si>
  <si>
    <t>C. 자치회의 프로그램</t>
    <phoneticPr fontId="5" type="noConversion"/>
  </si>
  <si>
    <t>1.  자치회의 비용</t>
    <phoneticPr fontId="5" type="noConversion"/>
  </si>
  <si>
    <t>D. 교육지원 프로그램</t>
    <phoneticPr fontId="5" type="noConversion"/>
  </si>
  <si>
    <t>1. 교육(학습)지원 비용</t>
    <phoneticPr fontId="5" type="noConversion"/>
  </si>
  <si>
    <t>E. 여가활동 (계절별 나들이)</t>
    <phoneticPr fontId="5" type="noConversion"/>
  </si>
  <si>
    <t>1. 봄</t>
    <phoneticPr fontId="5" type="noConversion"/>
  </si>
  <si>
    <t>2. 여름</t>
    <phoneticPr fontId="5" type="noConversion"/>
  </si>
  <si>
    <t>4. 겨울</t>
    <phoneticPr fontId="5" type="noConversion"/>
  </si>
  <si>
    <t>G. 등산프로그램</t>
    <phoneticPr fontId="5" type="noConversion"/>
  </si>
  <si>
    <t>1. 등산프로그램</t>
    <phoneticPr fontId="5" type="noConversion"/>
  </si>
  <si>
    <t>F. 영화 문화생활 이용 프로그램</t>
    <phoneticPr fontId="5" type="noConversion"/>
  </si>
  <si>
    <t>1. 영화 및 뮤지컬 관람</t>
    <phoneticPr fontId="5" type="noConversion"/>
  </si>
  <si>
    <t>2., 문화생활 이용 비용</t>
    <phoneticPr fontId="5" type="noConversion"/>
  </si>
  <si>
    <t>입소</t>
    <phoneticPr fontId="5" type="noConversion"/>
  </si>
  <si>
    <t>* 추석 명절휴가비</t>
    <phoneticPr fontId="5" type="noConversion"/>
  </si>
  <si>
    <t>문화</t>
    <phoneticPr fontId="5" type="noConversion"/>
  </si>
  <si>
    <t>원</t>
    <phoneticPr fontId="5" type="noConversion"/>
  </si>
  <si>
    <t>입소</t>
    <phoneticPr fontId="5" type="noConversion"/>
  </si>
  <si>
    <t>1.명절휴가비</t>
    <phoneticPr fontId="5" type="noConversion"/>
  </si>
  <si>
    <t>보조</t>
    <phoneticPr fontId="5" type="noConversion"/>
  </si>
  <si>
    <t>&lt;2015년도 세입내역&gt;</t>
    <phoneticPr fontId="5" type="noConversion"/>
  </si>
  <si>
    <t>&lt;2015년도 세출내역&gt;</t>
    <phoneticPr fontId="5" type="noConversion"/>
  </si>
  <si>
    <t>※ 2015년 시도보조금</t>
    <phoneticPr fontId="5" type="noConversion"/>
  </si>
  <si>
    <t>* 2015년 시도보조금</t>
    <phoneticPr fontId="5" type="noConversion"/>
  </si>
  <si>
    <t>※ 체크카드환급</t>
    <phoneticPr fontId="5" type="noConversion"/>
  </si>
  <si>
    <t>이자</t>
    <phoneticPr fontId="5" type="noConversion"/>
  </si>
  <si>
    <t>1. 보조금 체크카드환급금</t>
    <phoneticPr fontId="5" type="noConversion"/>
  </si>
  <si>
    <t>2. 자부담 체크카드환급금</t>
    <phoneticPr fontId="5" type="noConversion"/>
  </si>
  <si>
    <t>3. 후원금 체크카드환급금</t>
    <phoneticPr fontId="5" type="noConversion"/>
  </si>
  <si>
    <t>1. 보조금 이자수입</t>
    <phoneticPr fontId="5" type="noConversion"/>
  </si>
  <si>
    <t>2. 자부담 이자수입</t>
    <phoneticPr fontId="5" type="noConversion"/>
  </si>
  <si>
    <t>3. 후원금 이자수입</t>
    <phoneticPr fontId="5" type="noConversion"/>
  </si>
  <si>
    <t>시도</t>
    <phoneticPr fontId="5" type="noConversion"/>
  </si>
  <si>
    <t>보조금</t>
    <phoneticPr fontId="5" type="noConversion"/>
  </si>
  <si>
    <t>시군구</t>
    <phoneticPr fontId="5" type="noConversion"/>
  </si>
  <si>
    <t>보조금
운영비</t>
    <phoneticPr fontId="5" type="noConversion"/>
  </si>
  <si>
    <t>원</t>
    <phoneticPr fontId="5" type="noConversion"/>
  </si>
  <si>
    <t>1. 보조금 이월금(반납)</t>
    <phoneticPr fontId="5" type="noConversion"/>
  </si>
  <si>
    <t>보조</t>
  </si>
  <si>
    <t>원</t>
    <phoneticPr fontId="5" type="noConversion"/>
  </si>
  <si>
    <t>입소</t>
  </si>
  <si>
    <t>입소</t>
    <phoneticPr fontId="5" type="noConversion"/>
  </si>
  <si>
    <t>* 실내사이클구입비용</t>
  </si>
  <si>
    <t>보조</t>
    <phoneticPr fontId="5" type="noConversion"/>
  </si>
  <si>
    <t>후원</t>
    <phoneticPr fontId="5" type="noConversion"/>
  </si>
  <si>
    <t>기타</t>
    <phoneticPr fontId="5" type="noConversion"/>
  </si>
  <si>
    <t>잡수입</t>
    <phoneticPr fontId="5" type="noConversion"/>
  </si>
  <si>
    <t>1호</t>
    <phoneticPr fontId="5" type="noConversion"/>
  </si>
  <si>
    <t>2호</t>
    <phoneticPr fontId="5" type="noConversion"/>
  </si>
  <si>
    <t>회</t>
  </si>
  <si>
    <t>후원</t>
    <phoneticPr fontId="5" type="noConversion"/>
  </si>
  <si>
    <t>원</t>
    <phoneticPr fontId="5" type="noConversion"/>
  </si>
  <si>
    <t>3. 요리활동 및 외식</t>
    <phoneticPr fontId="5" type="noConversion"/>
  </si>
  <si>
    <t>4. 이용인생일</t>
    <phoneticPr fontId="5" type="noConversion"/>
  </si>
  <si>
    <t xml:space="preserve">5. 개별화장 </t>
    <phoneticPr fontId="5" type="noConversion"/>
  </si>
  <si>
    <t>원</t>
    <phoneticPr fontId="5" type="noConversion"/>
  </si>
  <si>
    <t>법인</t>
    <phoneticPr fontId="5" type="noConversion"/>
  </si>
  <si>
    <t>입소</t>
    <phoneticPr fontId="5" type="noConversion"/>
  </si>
  <si>
    <t>2. 보조금 7종 반납 (종사자수당)</t>
    <phoneticPr fontId="5" type="noConversion"/>
  </si>
  <si>
    <t>입소</t>
    <phoneticPr fontId="5" type="noConversion"/>
  </si>
  <si>
    <t>2호</t>
    <phoneticPr fontId="5" type="noConversion"/>
  </si>
  <si>
    <t>3. 가을</t>
    <phoneticPr fontId="5" type="noConversion"/>
  </si>
  <si>
    <t>3. 입소비용</t>
    <phoneticPr fontId="5" type="noConversion"/>
  </si>
  <si>
    <t>4. 법인전입금</t>
    <phoneticPr fontId="5" type="noConversion"/>
  </si>
  <si>
    <t>5. 후원금</t>
    <phoneticPr fontId="5" type="noConversion"/>
  </si>
  <si>
    <t>2. 보조금 이월금(이자)</t>
    <phoneticPr fontId="5" type="noConversion"/>
  </si>
  <si>
    <t>2.주부식비(보충액)</t>
    <phoneticPr fontId="5" type="noConversion"/>
  </si>
  <si>
    <t>3. 김장비용</t>
    <phoneticPr fontId="5" type="noConversion"/>
  </si>
  <si>
    <t>4. 주부식비(보충액)</t>
    <phoneticPr fontId="5" type="noConversion"/>
  </si>
  <si>
    <t>5. 주부식비(보충액)</t>
    <phoneticPr fontId="5" type="noConversion"/>
  </si>
  <si>
    <t>* 업무추진비(이용인직장방문경비)</t>
    <phoneticPr fontId="5" type="noConversion"/>
  </si>
  <si>
    <t>2. 수영프로그램</t>
    <phoneticPr fontId="5" type="noConversion"/>
  </si>
  <si>
    <t>입소</t>
    <phoneticPr fontId="5" type="noConversion"/>
  </si>
  <si>
    <t>원</t>
    <phoneticPr fontId="5" type="noConversion"/>
  </si>
  <si>
    <t>원</t>
    <phoneticPr fontId="5" type="noConversion"/>
  </si>
  <si>
    <t>회</t>
    <phoneticPr fontId="5" type="noConversion"/>
  </si>
  <si>
    <t>입소</t>
    <phoneticPr fontId="5" type="noConversion"/>
  </si>
  <si>
    <t>8. 상해보험갱신(종사자)</t>
  </si>
  <si>
    <t>7. 차량보험료</t>
    <phoneticPr fontId="5" type="noConversion"/>
  </si>
  <si>
    <t>÷</t>
    <phoneticPr fontId="5" type="noConversion"/>
  </si>
  <si>
    <t>입소</t>
    <phoneticPr fontId="5" type="noConversion"/>
  </si>
  <si>
    <t>입소</t>
    <phoneticPr fontId="5" type="noConversion"/>
  </si>
  <si>
    <t>5. 해외문화탐방</t>
    <phoneticPr fontId="5" type="noConversion"/>
  </si>
  <si>
    <t>명</t>
    <phoneticPr fontId="5" type="noConversion"/>
  </si>
  <si>
    <t>=</t>
    <phoneticPr fontId="5" type="noConversion"/>
  </si>
  <si>
    <t>×</t>
    <phoneticPr fontId="5" type="noConversion"/>
  </si>
  <si>
    <t>원</t>
    <phoneticPr fontId="5" type="noConversion"/>
  </si>
  <si>
    <t>H. 기타프로그램</t>
    <phoneticPr fontId="5" type="noConversion"/>
  </si>
  <si>
    <t>소  계 :</t>
  </si>
  <si>
    <t>1. 송년회</t>
    <phoneticPr fontId="5" type="noConversion"/>
  </si>
  <si>
    <t>2. 개원기념식 행사</t>
    <phoneticPr fontId="5" type="noConversion"/>
  </si>
  <si>
    <t>※ 2015년 시군구보조금</t>
    <phoneticPr fontId="5" type="noConversion"/>
  </si>
  <si>
    <t>7종</t>
    <phoneticPr fontId="5" type="noConversion"/>
  </si>
  <si>
    <t>법인</t>
    <phoneticPr fontId="5" type="noConversion"/>
  </si>
  <si>
    <t>* 환경개선사업비 (도배, 가구)</t>
    <phoneticPr fontId="5" type="noConversion"/>
  </si>
  <si>
    <t>* 환경개선사업비 (가구구입)</t>
    <phoneticPr fontId="5" type="noConversion"/>
  </si>
  <si>
    <t>예      비      비</t>
    <phoneticPr fontId="25" type="noConversion"/>
  </si>
  <si>
    <t>소계</t>
    <phoneticPr fontId="5" type="noConversion"/>
  </si>
  <si>
    <t>예   비   비</t>
    <phoneticPr fontId="25" type="noConversion"/>
  </si>
  <si>
    <t>잡      지      출</t>
    <phoneticPr fontId="25" type="noConversion"/>
  </si>
  <si>
    <t>잡   지   출</t>
    <phoneticPr fontId="25" type="noConversion"/>
  </si>
  <si>
    <t>보조금   반납금</t>
    <phoneticPr fontId="25" type="noConversion"/>
  </si>
  <si>
    <t>보조금반환</t>
    <phoneticPr fontId="25" type="noConversion"/>
  </si>
  <si>
    <t>프로그램사업비</t>
    <phoneticPr fontId="25" type="noConversion"/>
  </si>
  <si>
    <t>잡      수      입</t>
    <phoneticPr fontId="25" type="noConversion"/>
  </si>
  <si>
    <t>연      료      비</t>
    <phoneticPr fontId="25" type="noConversion"/>
  </si>
  <si>
    <t>잡    수    입</t>
    <phoneticPr fontId="25" type="noConversion"/>
  </si>
  <si>
    <t>의      료      비</t>
    <phoneticPr fontId="25" type="noConversion"/>
  </si>
  <si>
    <t>전년도   이월금</t>
    <phoneticPr fontId="25" type="noConversion"/>
  </si>
  <si>
    <t>피      복      비</t>
    <phoneticPr fontId="25" type="noConversion"/>
  </si>
  <si>
    <t>이    월    금</t>
    <phoneticPr fontId="25" type="noConversion"/>
  </si>
  <si>
    <t>수용기관   경비</t>
    <phoneticPr fontId="25" type="noConversion"/>
  </si>
  <si>
    <t>법인      전입금</t>
    <phoneticPr fontId="25" type="noConversion"/>
  </si>
  <si>
    <t>생      계      비</t>
    <phoneticPr fontId="25" type="noConversion"/>
  </si>
  <si>
    <t>전    입    금</t>
    <phoneticPr fontId="25" type="noConversion"/>
  </si>
  <si>
    <t>사   업   비</t>
    <phoneticPr fontId="25" type="noConversion"/>
  </si>
  <si>
    <t>비지정   후원금</t>
    <phoneticPr fontId="25" type="noConversion"/>
  </si>
  <si>
    <t>시설장비유지비</t>
    <phoneticPr fontId="25" type="noConversion"/>
  </si>
  <si>
    <t>지정      후원금</t>
    <phoneticPr fontId="25" type="noConversion"/>
  </si>
  <si>
    <t>자 산   취 득 비</t>
    <phoneticPr fontId="25" type="noConversion"/>
  </si>
  <si>
    <t>후원금  수입</t>
    <phoneticPr fontId="25" type="noConversion"/>
  </si>
  <si>
    <t>시      설      비</t>
    <phoneticPr fontId="25" type="noConversion"/>
  </si>
  <si>
    <t>시군구보조금</t>
    <phoneticPr fontId="25" type="noConversion"/>
  </si>
  <si>
    <t>재산조성비</t>
    <phoneticPr fontId="25" type="noConversion"/>
  </si>
  <si>
    <t>시도보조금</t>
    <phoneticPr fontId="25" type="noConversion"/>
  </si>
  <si>
    <t>운      영      비</t>
    <phoneticPr fontId="25" type="noConversion"/>
  </si>
  <si>
    <t>국고보조금</t>
    <phoneticPr fontId="25" type="noConversion"/>
  </si>
  <si>
    <t>업 무   추 진 비</t>
    <phoneticPr fontId="25" type="noConversion"/>
  </si>
  <si>
    <t>보조금  수입</t>
    <phoneticPr fontId="25" type="noConversion"/>
  </si>
  <si>
    <t>인      건      비</t>
    <phoneticPr fontId="25" type="noConversion"/>
  </si>
  <si>
    <t>입소비용   수입</t>
    <phoneticPr fontId="25" type="noConversion"/>
  </si>
  <si>
    <t>사   무   비</t>
    <phoneticPr fontId="25" type="noConversion"/>
  </si>
  <si>
    <t>입소비용수입</t>
    <phoneticPr fontId="25" type="noConversion"/>
  </si>
  <si>
    <t>합        계</t>
    <phoneticPr fontId="25" type="noConversion"/>
  </si>
  <si>
    <t>증감</t>
    <phoneticPr fontId="25" type="noConversion"/>
  </si>
  <si>
    <t>구        분</t>
    <phoneticPr fontId="25" type="noConversion"/>
  </si>
  <si>
    <t>세       출</t>
    <phoneticPr fontId="25" type="noConversion"/>
  </si>
  <si>
    <t>세       입</t>
    <phoneticPr fontId="25" type="noConversion"/>
  </si>
  <si>
    <t>(단위:원)</t>
    <phoneticPr fontId="25" type="noConversion"/>
  </si>
  <si>
    <t>2015년
1차 추경 예산</t>
    <phoneticPr fontId="5" type="noConversion"/>
  </si>
  <si>
    <t>1.  작업활동 지원비(부활)</t>
    <phoneticPr fontId="5" type="noConversion"/>
  </si>
  <si>
    <t>과  목</t>
    <phoneticPr fontId="5" type="noConversion"/>
  </si>
  <si>
    <t>예 산 액
(단위:천원)</t>
    <phoneticPr fontId="5" type="noConversion"/>
  </si>
  <si>
    <t>증, (△)감</t>
    <phoneticPr fontId="5" type="noConversion"/>
  </si>
  <si>
    <t>산출내역</t>
    <phoneticPr fontId="5" type="noConversion"/>
  </si>
  <si>
    <t>내    역</t>
    <phoneticPr fontId="5" type="noConversion"/>
  </si>
  <si>
    <t>관</t>
    <phoneticPr fontId="5" type="noConversion"/>
  </si>
  <si>
    <t>항</t>
    <phoneticPr fontId="5" type="noConversion"/>
  </si>
  <si>
    <t>목</t>
    <phoneticPr fontId="5" type="noConversion"/>
  </si>
  <si>
    <t>합     계</t>
    <phoneticPr fontId="5" type="noConversion"/>
  </si>
  <si>
    <t>입소
비용</t>
    <phoneticPr fontId="5" type="noConversion"/>
  </si>
  <si>
    <t>운영비</t>
    <phoneticPr fontId="5" type="noConversion"/>
  </si>
  <si>
    <t>시   도
보조금</t>
    <phoneticPr fontId="5" type="noConversion"/>
  </si>
  <si>
    <t>생계비</t>
    <phoneticPr fontId="5" type="noConversion"/>
  </si>
  <si>
    <t>시군구
보조금</t>
    <phoneticPr fontId="5" type="noConversion"/>
  </si>
  <si>
    <t>후원금</t>
    <phoneticPr fontId="5" type="noConversion"/>
  </si>
  <si>
    <t>지정
후원금</t>
    <phoneticPr fontId="5" type="noConversion"/>
  </si>
  <si>
    <t>비지정
후원금</t>
    <phoneticPr fontId="5" type="noConversion"/>
  </si>
  <si>
    <t>전입금</t>
    <phoneticPr fontId="5" type="noConversion"/>
  </si>
  <si>
    <t>법인
전입금</t>
    <phoneticPr fontId="5" type="noConversion"/>
  </si>
  <si>
    <t>법인
전입금
(후원금)</t>
    <phoneticPr fontId="5" type="noConversion"/>
  </si>
  <si>
    <t>이월금</t>
    <phoneticPr fontId="5" type="noConversion"/>
  </si>
  <si>
    <t>전년도
이월금</t>
    <phoneticPr fontId="5" type="noConversion"/>
  </si>
  <si>
    <t>입소비용
이월금</t>
    <phoneticPr fontId="5" type="noConversion"/>
  </si>
  <si>
    <t>보조금
이월금</t>
    <phoneticPr fontId="5" type="noConversion"/>
  </si>
  <si>
    <t>법인
전입금
이월금</t>
    <phoneticPr fontId="5" type="noConversion"/>
  </si>
  <si>
    <t>잡수입
이월금</t>
    <phoneticPr fontId="5" type="noConversion"/>
  </si>
  <si>
    <t>전년도
이월금
(후원)</t>
    <phoneticPr fontId="5" type="noConversion"/>
  </si>
  <si>
    <t>전년도
이월금
(후원금)</t>
    <phoneticPr fontId="5" type="noConversion"/>
  </si>
  <si>
    <t>잡수입</t>
    <phoneticPr fontId="5" type="noConversion"/>
  </si>
  <si>
    <t>사무비</t>
    <phoneticPr fontId="5" type="noConversion"/>
  </si>
  <si>
    <t>인건비</t>
    <phoneticPr fontId="5" type="noConversion"/>
  </si>
  <si>
    <t>급여</t>
    <phoneticPr fontId="5" type="noConversion"/>
  </si>
  <si>
    <t>일용잡급</t>
    <phoneticPr fontId="5" type="noConversion"/>
  </si>
  <si>
    <t>제수당</t>
    <phoneticPr fontId="5" type="noConversion"/>
  </si>
  <si>
    <t>퇴직금
적립금</t>
    <phoneticPr fontId="5" type="noConversion"/>
  </si>
  <si>
    <t>사회보험
부담금</t>
    <phoneticPr fontId="5" type="noConversion"/>
  </si>
  <si>
    <t>기타
후생경비</t>
    <phoneticPr fontId="5" type="noConversion"/>
  </si>
  <si>
    <t>업무
추진비</t>
    <phoneticPr fontId="5" type="noConversion"/>
  </si>
  <si>
    <t>기관
운영비</t>
    <phoneticPr fontId="5" type="noConversion"/>
  </si>
  <si>
    <t>회의비</t>
    <phoneticPr fontId="5" type="noConversion"/>
  </si>
  <si>
    <t>운영비</t>
    <phoneticPr fontId="5" type="noConversion"/>
  </si>
  <si>
    <t>여비</t>
    <phoneticPr fontId="5" type="noConversion"/>
  </si>
  <si>
    <t>수용비 및
수수료</t>
    <phoneticPr fontId="5" type="noConversion"/>
  </si>
  <si>
    <t>공공요금</t>
    <phoneticPr fontId="5" type="noConversion"/>
  </si>
  <si>
    <t>제세
공과금</t>
    <phoneticPr fontId="5" type="noConversion"/>
  </si>
  <si>
    <t>차량비</t>
    <phoneticPr fontId="5" type="noConversion"/>
  </si>
  <si>
    <t>기타
운영비</t>
    <phoneticPr fontId="5" type="noConversion"/>
  </si>
  <si>
    <t>재산
조성비</t>
    <phoneticPr fontId="5" type="noConversion"/>
  </si>
  <si>
    <t>시설비</t>
    <phoneticPr fontId="5" type="noConversion"/>
  </si>
  <si>
    <t>시설장비
유지비</t>
    <phoneticPr fontId="5" type="noConversion"/>
  </si>
  <si>
    <t>사업비</t>
    <phoneticPr fontId="5" type="noConversion"/>
  </si>
  <si>
    <t>수용기관
경비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</si>
  <si>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</si>
  <si>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</si>
  <si>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</si>
  <si>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프로그램
사업비</t>
    <phoneticPr fontId="5" type="noConversion"/>
  </si>
  <si>
    <t>보조금
반환금</t>
    <phoneticPr fontId="5" type="noConversion"/>
  </si>
  <si>
    <t>예비비</t>
    <phoneticPr fontId="5" type="noConversion"/>
  </si>
  <si>
    <t>* 변동없음</t>
    <phoneticPr fontId="5" type="noConversion"/>
  </si>
  <si>
    <t>예 산 액
(단위:천원)</t>
    <phoneticPr fontId="5" type="noConversion"/>
  </si>
  <si>
    <t>보조금
수   입</t>
    <phoneticPr fontId="5" type="noConversion"/>
  </si>
  <si>
    <t>운영비</t>
    <phoneticPr fontId="5" type="noConversion"/>
  </si>
  <si>
    <t>종사자
근무수당</t>
    <phoneticPr fontId="5" type="noConversion"/>
  </si>
  <si>
    <t>환경개선
사업비</t>
    <phoneticPr fontId="5" type="noConversion"/>
  </si>
  <si>
    <t>종사자
건강
검진비</t>
    <phoneticPr fontId="5" type="noConversion"/>
  </si>
  <si>
    <t>자산
취득비</t>
  </si>
  <si>
    <t>* 변동없음</t>
    <phoneticPr fontId="5" type="noConversion"/>
  </si>
  <si>
    <t>* 변동없음</t>
    <phoneticPr fontId="5" type="noConversion"/>
  </si>
  <si>
    <t>* 사무용품 구입비 증액</t>
    <phoneticPr fontId="5" type="noConversion"/>
  </si>
  <si>
    <t>시설비</t>
    <phoneticPr fontId="5" type="noConversion"/>
  </si>
  <si>
    <t>* 실내사이클 구입 및 시건장치 가구 구입 편성</t>
    <phoneticPr fontId="5" type="noConversion"/>
  </si>
  <si>
    <t>* 생계비 증액</t>
    <phoneticPr fontId="5" type="noConversion"/>
  </si>
  <si>
    <t>* 생필품 구입비 증액</t>
    <phoneticPr fontId="5" type="noConversion"/>
  </si>
  <si>
    <t>* 예금이자 및 체크카드 환급금 증가</t>
    <phoneticPr fontId="5" type="noConversion"/>
  </si>
  <si>
    <t>* 일상생활지원프로그램 2,030천원/직업활동지원 60천원/자치회의 268천원/여가활동1,360/교육지원프로그램 200천원/문화생활이용 400천원/체육활동848천원/기타140천원</t>
    <phoneticPr fontId="5" type="noConversion"/>
  </si>
  <si>
    <t>* 변동없음</t>
    <phoneticPr fontId="5" type="noConversion"/>
  </si>
  <si>
    <t>□ 2015년도 2차 추경 세 입 · 세 출 총  괄  표</t>
    <phoneticPr fontId="25" type="noConversion"/>
  </si>
  <si>
    <t>2015년
2차 추경 예산</t>
    <phoneticPr fontId="5" type="noConversion"/>
  </si>
  <si>
    <t>2015년
1차추가경정
예산(A)
(단위:천원)</t>
    <phoneticPr fontId="5" type="noConversion"/>
  </si>
  <si>
    <t>2015년 2차 추가경정 예산액(단위:천원)</t>
    <phoneticPr fontId="5" type="noConversion"/>
  </si>
  <si>
    <t>2015년
1차추가경정
예산액(A)
(단위:천원)</t>
    <phoneticPr fontId="5" type="noConversion"/>
  </si>
  <si>
    <t>2015년  2차추가경정 예산액(단위:천원)</t>
    <phoneticPr fontId="5" type="noConversion"/>
  </si>
  <si>
    <t>2015년 2차 추경 세입명세서</t>
    <phoneticPr fontId="5" type="noConversion"/>
  </si>
  <si>
    <t>2015년 2차 추경 세출명세서</t>
    <phoneticPr fontId="5" type="noConversion"/>
  </si>
  <si>
    <t>잡지출</t>
    <phoneticPr fontId="5" type="noConversion"/>
  </si>
  <si>
    <t>※ 잡지출</t>
    <phoneticPr fontId="5" type="noConversion"/>
  </si>
  <si>
    <t>소계:</t>
    <phoneticPr fontId="5" type="noConversion"/>
  </si>
  <si>
    <t>원</t>
    <phoneticPr fontId="5" type="noConversion"/>
  </si>
  <si>
    <t>예비비</t>
    <phoneticPr fontId="5" type="noConversion"/>
  </si>
  <si>
    <t>※ 예비비</t>
    <phoneticPr fontId="5" type="noConversion"/>
  </si>
  <si>
    <t>1.보조금 예금이자</t>
    <phoneticPr fontId="5" type="noConversion"/>
  </si>
  <si>
    <t>* 건강.장기요양보험부담금</t>
    <phoneticPr fontId="5" type="noConversion"/>
  </si>
  <si>
    <t>9. 기타</t>
    <phoneticPr fontId="5" type="noConversion"/>
  </si>
  <si>
    <t>* 가구구입비용</t>
    <phoneticPr fontId="5" type="noConversion"/>
  </si>
  <si>
    <t>* 예산증액</t>
    <phoneticPr fontId="5" type="noConversion"/>
  </si>
  <si>
    <t>* 2015년 환경개선사업비 예산 감액</t>
    <phoneticPr fontId="5" type="noConversion"/>
  </si>
  <si>
    <t>* 후원자 모집으로 증액</t>
    <phoneticPr fontId="5" type="noConversion"/>
  </si>
  <si>
    <t>* 사회보험부담금 감소(국민연금)</t>
    <phoneticPr fontId="5" type="noConversion"/>
  </si>
  <si>
    <t>* 이용인 직장생활 유지, 지원비 감액</t>
    <phoneticPr fontId="5" type="noConversion"/>
  </si>
  <si>
    <t>* 운영위원회 회의비 감액</t>
    <phoneticPr fontId="5" type="noConversion"/>
  </si>
  <si>
    <t>* 직원교육 및 출장여비 감액</t>
    <phoneticPr fontId="5" type="noConversion"/>
  </si>
  <si>
    <t>* 후원차량관련(모닝) 보험료 삭제</t>
    <phoneticPr fontId="5" type="noConversion"/>
  </si>
  <si>
    <t>* 후원차량관련(모닝) 유류비 삭제</t>
    <phoneticPr fontId="5" type="noConversion"/>
  </si>
  <si>
    <t>* 직원 외부교육 감액</t>
    <phoneticPr fontId="5" type="noConversion"/>
  </si>
  <si>
    <t>* 7종 환경개선사업비로 도배비용 감소로 감액</t>
    <phoneticPr fontId="5" type="noConversion"/>
  </si>
  <si>
    <t>* 반환예정금</t>
    <phoneticPr fontId="5" type="noConversion"/>
  </si>
  <si>
    <t>원</t>
    <phoneticPr fontId="5" type="noConversion"/>
  </si>
  <si>
    <t>* 연료비감액</t>
    <phoneticPr fontId="5" type="noConversion"/>
  </si>
  <si>
    <t>* 아파트관리비 증액</t>
    <phoneticPr fontId="5" type="noConversion"/>
  </si>
</sst>
</file>

<file path=xl/styles.xml><?xml version="1.0" encoding="utf-8"?>
<styleSheet xmlns="http://schemas.openxmlformats.org/spreadsheetml/2006/main">
  <numFmts count="18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</numFmts>
  <fonts count="38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000099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FF0000"/>
      <name val="맑은 고딕"/>
      <family val="2"/>
      <charset val="129"/>
      <scheme val="minor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 applyFill="0" applyAlignment="0">
      <alignment vertical="center"/>
    </xf>
    <xf numFmtId="9" fontId="4" fillId="0" borderId="0" applyFont="0" applyFill="0" applyAlignment="0" applyProtection="0">
      <alignment vertical="center"/>
    </xf>
    <xf numFmtId="41" fontId="4" fillId="0" borderId="0" applyFont="0" applyFill="0" applyAlignment="0" applyProtection="0">
      <alignment vertical="center"/>
    </xf>
    <xf numFmtId="0" fontId="4" fillId="0" borderId="0" applyFill="0" applyAlignment="0"/>
    <xf numFmtId="0" fontId="7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08"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41" fontId="6" fillId="0" borderId="0" xfId="2" applyFont="1" applyFill="1" applyAlignment="1">
      <alignment vertical="center"/>
    </xf>
    <xf numFmtId="41" fontId="6" fillId="0" borderId="0" xfId="2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 wrapText="1"/>
    </xf>
    <xf numFmtId="41" fontId="6" fillId="0" borderId="0" xfId="2" applyFont="1" applyFill="1" applyAlignment="1">
      <alignment horizontal="center" vertical="center"/>
    </xf>
    <xf numFmtId="178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3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6" fontId="9" fillId="0" borderId="0" xfId="3" applyNumberFormat="1" applyFont="1" applyFill="1" applyAlignment="1">
      <alignment vertical="center"/>
    </xf>
    <xf numFmtId="38" fontId="6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1" fillId="0" borderId="15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178" fontId="11" fillId="0" borderId="22" xfId="3" applyNumberFormat="1" applyFont="1" applyFill="1" applyBorder="1" applyAlignment="1">
      <alignment vertical="center"/>
    </xf>
    <xf numFmtId="177" fontId="11" fillId="0" borderId="22" xfId="3" applyNumberFormat="1" applyFont="1" applyFill="1" applyBorder="1" applyAlignment="1">
      <alignment vertical="center"/>
    </xf>
    <xf numFmtId="0" fontId="14" fillId="0" borderId="21" xfId="3" applyFont="1" applyFill="1" applyBorder="1" applyAlignment="1">
      <alignment vertical="center"/>
    </xf>
    <xf numFmtId="176" fontId="14" fillId="0" borderId="21" xfId="3" applyNumberFormat="1" applyFont="1" applyFill="1" applyBorder="1" applyAlignment="1">
      <alignment horizontal="center" vertical="center"/>
    </xf>
    <xf numFmtId="176" fontId="14" fillId="0" borderId="21" xfId="3" applyNumberFormat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9" fontId="15" fillId="0" borderId="26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9" fontId="11" fillId="0" borderId="26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178" fontId="11" fillId="0" borderId="26" xfId="3" applyNumberFormat="1" applyFont="1" applyFill="1" applyBorder="1" applyAlignment="1">
      <alignment vertical="center"/>
    </xf>
    <xf numFmtId="177" fontId="11" fillId="0" borderId="26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vertical="center"/>
    </xf>
    <xf numFmtId="0" fontId="14" fillId="0" borderId="30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vertical="center"/>
    </xf>
    <xf numFmtId="0" fontId="11" fillId="0" borderId="32" xfId="3" applyFont="1" applyFill="1" applyBorder="1" applyAlignment="1">
      <alignment vertical="center" wrapText="1"/>
    </xf>
    <xf numFmtId="0" fontId="17" fillId="0" borderId="28" xfId="3" applyFont="1" applyFill="1" applyBorder="1" applyAlignment="1">
      <alignment vertical="center"/>
    </xf>
    <xf numFmtId="0" fontId="18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horizontal="right" vertical="center"/>
    </xf>
    <xf numFmtId="176" fontId="17" fillId="0" borderId="35" xfId="3" applyNumberFormat="1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vertical="center"/>
    </xf>
    <xf numFmtId="177" fontId="11" fillId="0" borderId="10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6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0" fontId="11" fillId="0" borderId="0" xfId="1" applyNumberFormat="1" applyFont="1" applyFill="1" applyBorder="1" applyAlignment="1">
      <alignment vertical="center"/>
    </xf>
    <xf numFmtId="10" fontId="11" fillId="0" borderId="0" xfId="1" applyNumberFormat="1" applyFont="1" applyFill="1" applyBorder="1" applyAlignment="1">
      <alignment horizontal="center" vertical="center"/>
    </xf>
    <xf numFmtId="179" fontId="11" fillId="0" borderId="0" xfId="2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20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horizontal="right" vertical="center"/>
    </xf>
    <xf numFmtId="176" fontId="19" fillId="0" borderId="35" xfId="3" applyNumberFormat="1" applyFont="1" applyFill="1" applyBorder="1" applyAlignment="1">
      <alignment vertical="center"/>
    </xf>
    <xf numFmtId="9" fontId="11" fillId="0" borderId="10" xfId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horizontal="right" vertical="center"/>
    </xf>
    <xf numFmtId="176" fontId="14" fillId="0" borderId="35" xfId="3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13" fillId="0" borderId="3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5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5" xfId="3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 wrapText="1"/>
    </xf>
    <xf numFmtId="178" fontId="11" fillId="0" borderId="6" xfId="3" applyNumberFormat="1" applyFont="1" applyFill="1" applyBorder="1" applyAlignment="1">
      <alignment vertical="center"/>
    </xf>
    <xf numFmtId="177" fontId="11" fillId="0" borderId="6" xfId="3" applyNumberFormat="1" applyFont="1" applyFill="1" applyBorder="1" applyAlignment="1">
      <alignment vertical="center"/>
    </xf>
    <xf numFmtId="9" fontId="11" fillId="0" borderId="6" xfId="3" applyNumberFormat="1" applyFont="1" applyFill="1" applyBorder="1" applyAlignment="1">
      <alignment horizontal="center" vertical="center"/>
    </xf>
    <xf numFmtId="38" fontId="11" fillId="0" borderId="12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3" fillId="0" borderId="26" xfId="3" applyNumberFormat="1" applyFont="1" applyFill="1" applyBorder="1" applyAlignment="1">
      <alignment vertical="center"/>
    </xf>
    <xf numFmtId="38" fontId="11" fillId="0" borderId="26" xfId="3" applyNumberFormat="1" applyFont="1" applyFill="1" applyBorder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0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6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vertical="center"/>
    </xf>
    <xf numFmtId="9" fontId="11" fillId="0" borderId="0" xfId="3" applyNumberFormat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176" fontId="12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176" fontId="11" fillId="0" borderId="13" xfId="3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176" fontId="23" fillId="0" borderId="0" xfId="4" applyNumberFormat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38" fontId="23" fillId="0" borderId="10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178" fontId="11" fillId="0" borderId="0" xfId="0" applyNumberFormat="1" applyFont="1" applyFill="1" applyAlignment="1">
      <alignment horizontal="right" vertical="center"/>
    </xf>
    <xf numFmtId="0" fontId="11" fillId="0" borderId="5" xfId="0" applyFont="1" applyFill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9" fillId="0" borderId="28" xfId="3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13" xfId="3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41" fontId="13" fillId="0" borderId="26" xfId="0" applyNumberFormat="1" applyFont="1" applyFill="1" applyBorder="1" applyAlignment="1">
      <alignment vertical="center"/>
    </xf>
    <xf numFmtId="38" fontId="23" fillId="0" borderId="10" xfId="4" applyNumberFormat="1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41" fontId="13" fillId="0" borderId="7" xfId="0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9" fontId="13" fillId="0" borderId="19" xfId="1" applyFont="1" applyFill="1" applyBorder="1" applyAlignment="1">
      <alignment horizontal="center" vertical="center"/>
    </xf>
    <xf numFmtId="9" fontId="11" fillId="0" borderId="12" xfId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vertical="center"/>
    </xf>
    <xf numFmtId="0" fontId="11" fillId="0" borderId="19" xfId="3" applyFont="1" applyFill="1" applyBorder="1" applyAlignment="1">
      <alignment horizontal="center" vertical="center" wrapText="1"/>
    </xf>
    <xf numFmtId="38" fontId="11" fillId="0" borderId="19" xfId="3" applyNumberFormat="1" applyFont="1" applyFill="1" applyBorder="1" applyAlignment="1">
      <alignment vertical="center"/>
    </xf>
    <xf numFmtId="9" fontId="11" fillId="0" borderId="19" xfId="1" applyFont="1" applyFill="1" applyBorder="1" applyAlignment="1">
      <alignment horizontal="center" vertical="center"/>
    </xf>
    <xf numFmtId="0" fontId="13" fillId="0" borderId="5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6" fillId="0" borderId="0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vertical="center"/>
    </xf>
    <xf numFmtId="177" fontId="22" fillId="0" borderId="1" xfId="3" applyNumberFormat="1" applyFont="1" applyFill="1" applyBorder="1" applyAlignment="1">
      <alignment vertical="center"/>
    </xf>
    <xf numFmtId="9" fontId="22" fillId="0" borderId="1" xfId="3" applyNumberFormat="1" applyFont="1" applyFill="1" applyBorder="1" applyAlignment="1">
      <alignment horizontal="center" vertical="center"/>
    </xf>
    <xf numFmtId="176" fontId="23" fillId="0" borderId="0" xfId="4" applyNumberFormat="1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19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right" vertical="center"/>
    </xf>
    <xf numFmtId="176" fontId="22" fillId="0" borderId="5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182" fontId="11" fillId="0" borderId="0" xfId="3" applyNumberFormat="1" applyFont="1" applyFill="1" applyBorder="1" applyAlignment="1">
      <alignment horizontal="center" vertical="center"/>
    </xf>
    <xf numFmtId="183" fontId="11" fillId="0" borderId="0" xfId="2" applyNumberFormat="1" applyFont="1" applyFill="1" applyBorder="1" applyAlignment="1">
      <alignment horizontal="center" vertical="center"/>
    </xf>
    <xf numFmtId="184" fontId="11" fillId="0" borderId="0" xfId="2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176" fontId="11" fillId="0" borderId="26" xfId="0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center" vertical="center"/>
    </xf>
    <xf numFmtId="186" fontId="11" fillId="0" borderId="0" xfId="3" applyNumberFormat="1" applyFont="1" applyFill="1" applyBorder="1" applyAlignment="1">
      <alignment horizontal="center" vertical="center"/>
    </xf>
    <xf numFmtId="9" fontId="11" fillId="0" borderId="0" xfId="3" applyNumberFormat="1" applyFont="1" applyFill="1" applyBorder="1" applyAlignment="1">
      <alignment horizontal="center" vertical="center"/>
    </xf>
    <xf numFmtId="187" fontId="11" fillId="0" borderId="0" xfId="2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left" vertical="center"/>
    </xf>
    <xf numFmtId="0" fontId="11" fillId="0" borderId="34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42" fontId="11" fillId="0" borderId="30" xfId="3" applyNumberFormat="1" applyFont="1" applyFill="1" applyBorder="1" applyAlignment="1">
      <alignment horizontal="center" vertical="center"/>
    </xf>
    <xf numFmtId="10" fontId="11" fillId="0" borderId="30" xfId="1" applyNumberFormat="1" applyFont="1" applyFill="1" applyBorder="1" applyAlignment="1">
      <alignment horizontal="center" vertical="center"/>
    </xf>
    <xf numFmtId="185" fontId="11" fillId="0" borderId="0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41" fontId="8" fillId="0" borderId="0" xfId="2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3" fillId="0" borderId="29" xfId="3" applyFont="1" applyFill="1" applyBorder="1" applyAlignment="1">
      <alignment vertical="center"/>
    </xf>
    <xf numFmtId="0" fontId="6" fillId="0" borderId="6" xfId="3" applyFont="1" applyFill="1" applyBorder="1" applyAlignment="1">
      <alignment horizontal="center" vertical="center" wrapText="1"/>
    </xf>
    <xf numFmtId="38" fontId="6" fillId="0" borderId="6" xfId="3" applyNumberFormat="1" applyFont="1" applyFill="1" applyBorder="1" applyAlignment="1">
      <alignment vertical="center"/>
    </xf>
    <xf numFmtId="9" fontId="6" fillId="0" borderId="6" xfId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right" vertical="center"/>
    </xf>
    <xf numFmtId="176" fontId="13" fillId="0" borderId="5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3" fillId="0" borderId="26" xfId="3" applyFont="1" applyFill="1" applyBorder="1" applyAlignment="1">
      <alignment horizontal="center" vertical="center" wrapText="1"/>
    </xf>
    <xf numFmtId="38" fontId="23" fillId="0" borderId="26" xfId="3" applyNumberFormat="1" applyFont="1" applyFill="1" applyBorder="1" applyAlignment="1">
      <alignment vertical="center"/>
    </xf>
    <xf numFmtId="178" fontId="21" fillId="0" borderId="0" xfId="0" applyNumberFormat="1" applyFont="1" applyBorder="1" applyAlignment="1">
      <alignment horizontal="center" vertical="center"/>
    </xf>
    <xf numFmtId="41" fontId="11" fillId="0" borderId="0" xfId="2" applyFont="1" applyFill="1">
      <alignment vertical="center"/>
    </xf>
    <xf numFmtId="41" fontId="28" fillId="0" borderId="0" xfId="2" applyFont="1" applyFill="1" applyAlignment="1">
      <alignment vertical="center"/>
    </xf>
    <xf numFmtId="38" fontId="22" fillId="0" borderId="26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9" fontId="11" fillId="0" borderId="10" xfId="3" applyNumberFormat="1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176" fontId="20" fillId="0" borderId="13" xfId="3" applyNumberFormat="1" applyFont="1" applyFill="1" applyBorder="1" applyAlignment="1">
      <alignment vertical="center"/>
    </xf>
    <xf numFmtId="177" fontId="11" fillId="0" borderId="25" xfId="3" applyNumberFormat="1" applyFont="1" applyFill="1" applyBorder="1" applyAlignment="1">
      <alignment vertical="center"/>
    </xf>
    <xf numFmtId="177" fontId="11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1" fillId="0" borderId="58" xfId="3" applyFont="1" applyFill="1" applyBorder="1" applyAlignment="1">
      <alignment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13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9" fillId="0" borderId="38" xfId="3" applyFont="1" applyFill="1" applyBorder="1" applyAlignment="1">
      <alignment vertical="center"/>
    </xf>
    <xf numFmtId="0" fontId="29" fillId="0" borderId="12" xfId="3" applyFont="1" applyFill="1" applyBorder="1" applyAlignment="1">
      <alignment vertical="center"/>
    </xf>
    <xf numFmtId="176" fontId="29" fillId="0" borderId="12" xfId="3" applyNumberFormat="1" applyFont="1" applyFill="1" applyBorder="1" applyAlignment="1">
      <alignment vertical="center"/>
    </xf>
    <xf numFmtId="176" fontId="29" fillId="0" borderId="39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176" fontId="11" fillId="0" borderId="39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30" fillId="0" borderId="9" xfId="3" applyFont="1" applyFill="1" applyBorder="1" applyAlignment="1">
      <alignment vertical="center"/>
    </xf>
    <xf numFmtId="0" fontId="30" fillId="0" borderId="44" xfId="3" applyFont="1" applyFill="1" applyBorder="1" applyAlignment="1">
      <alignment vertical="center"/>
    </xf>
    <xf numFmtId="176" fontId="30" fillId="0" borderId="44" xfId="3" applyNumberFormat="1" applyFont="1" applyFill="1" applyBorder="1" applyAlignment="1">
      <alignment vertical="center"/>
    </xf>
    <xf numFmtId="176" fontId="30" fillId="0" borderId="45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0" fillId="0" borderId="30" xfId="3" applyFont="1" applyFill="1" applyBorder="1" applyAlignment="1">
      <alignment vertical="center"/>
    </xf>
    <xf numFmtId="176" fontId="30" fillId="0" borderId="30" xfId="3" applyNumberFormat="1" applyFont="1" applyFill="1" applyBorder="1" applyAlignment="1">
      <alignment vertical="center"/>
    </xf>
    <xf numFmtId="176" fontId="30" fillId="0" borderId="31" xfId="3" applyNumberFormat="1" applyFont="1" applyFill="1" applyBorder="1" applyAlignment="1">
      <alignment vertical="center"/>
    </xf>
    <xf numFmtId="0" fontId="30" fillId="0" borderId="41" xfId="3" applyFont="1" applyFill="1" applyBorder="1" applyAlignment="1">
      <alignment vertical="center"/>
    </xf>
    <xf numFmtId="0" fontId="30" fillId="0" borderId="53" xfId="3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7" fontId="11" fillId="0" borderId="13" xfId="0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11">
      <alignment vertical="center"/>
    </xf>
    <xf numFmtId="181" fontId="0" fillId="0" borderId="4" xfId="12" applyNumberFormat="1" applyFont="1" applyBorder="1">
      <alignment vertical="center"/>
    </xf>
    <xf numFmtId="41" fontId="0" fillId="0" borderId="3" xfId="12" applyFont="1" applyBorder="1">
      <alignment vertical="center"/>
    </xf>
    <xf numFmtId="0" fontId="1" fillId="0" borderId="3" xfId="11" applyBorder="1" applyAlignment="1">
      <alignment horizontal="center" vertical="center"/>
    </xf>
    <xf numFmtId="181" fontId="32" fillId="0" borderId="17" xfId="12" applyNumberFormat="1" applyFont="1" applyBorder="1">
      <alignment vertical="center"/>
    </xf>
    <xf numFmtId="41" fontId="32" fillId="0" borderId="19" xfId="12" applyFont="1" applyBorder="1">
      <alignment vertical="center"/>
    </xf>
    <xf numFmtId="0" fontId="33" fillId="0" borderId="19" xfId="11" applyFont="1" applyBorder="1" applyAlignment="1">
      <alignment horizontal="center" vertical="center"/>
    </xf>
    <xf numFmtId="181" fontId="0" fillId="0" borderId="17" xfId="12" applyNumberFormat="1" applyFont="1" applyBorder="1">
      <alignment vertical="center"/>
    </xf>
    <xf numFmtId="41" fontId="0" fillId="0" borderId="19" xfId="12" applyFont="1" applyBorder="1">
      <alignment vertical="center"/>
    </xf>
    <xf numFmtId="0" fontId="1" fillId="0" borderId="19" xfId="11" applyBorder="1" applyAlignment="1">
      <alignment horizontal="center" vertical="center"/>
    </xf>
    <xf numFmtId="181" fontId="0" fillId="0" borderId="41" xfId="12" applyNumberFormat="1" applyFont="1" applyBorder="1">
      <alignment vertical="center"/>
    </xf>
    <xf numFmtId="181" fontId="32" fillId="0" borderId="41" xfId="12" applyNumberFormat="1" applyFont="1" applyBorder="1">
      <alignment vertical="center"/>
    </xf>
    <xf numFmtId="0" fontId="1" fillId="0" borderId="19" xfId="11" applyFont="1" applyBorder="1" applyAlignment="1">
      <alignment horizontal="center" vertical="center"/>
    </xf>
    <xf numFmtId="181" fontId="32" fillId="0" borderId="11" xfId="12" applyNumberFormat="1" applyFont="1" applyBorder="1" applyAlignment="1">
      <alignment vertical="center"/>
    </xf>
    <xf numFmtId="41" fontId="32" fillId="0" borderId="10" xfId="12" applyFont="1" applyBorder="1" applyAlignment="1">
      <alignment vertical="center"/>
    </xf>
    <xf numFmtId="0" fontId="33" fillId="0" borderId="10" xfId="11" applyFont="1" applyBorder="1" applyAlignment="1">
      <alignment horizontal="center" vertical="center"/>
    </xf>
    <xf numFmtId="181" fontId="32" fillId="0" borderId="36" xfId="12" applyNumberFormat="1" applyFont="1" applyBorder="1" applyAlignment="1">
      <alignment vertical="center"/>
    </xf>
    <xf numFmtId="181" fontId="34" fillId="0" borderId="11" xfId="12" applyNumberFormat="1" applyFont="1" applyBorder="1" applyAlignment="1">
      <alignment vertical="center"/>
    </xf>
    <xf numFmtId="41" fontId="34" fillId="0" borderId="10" xfId="12" applyFont="1" applyBorder="1" applyAlignment="1">
      <alignment vertical="center"/>
    </xf>
    <xf numFmtId="181" fontId="34" fillId="0" borderId="36" xfId="12" applyNumberFormat="1" applyFont="1" applyBorder="1" applyAlignment="1">
      <alignment vertical="center"/>
    </xf>
    <xf numFmtId="0" fontId="26" fillId="0" borderId="0" xfId="11" applyFont="1" applyAlignment="1">
      <alignment horizontal="right"/>
    </xf>
    <xf numFmtId="0" fontId="24" fillId="0" borderId="0" xfId="11" applyFo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15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 wrapText="1"/>
    </xf>
    <xf numFmtId="41" fontId="37" fillId="0" borderId="32" xfId="0" applyNumberFormat="1" applyFont="1" applyFill="1" applyBorder="1" applyAlignment="1">
      <alignment horizontal="center" vertical="center"/>
    </xf>
    <xf numFmtId="41" fontId="37" fillId="0" borderId="56" xfId="0" applyNumberFormat="1" applyFont="1" applyFill="1" applyBorder="1" applyAlignment="1">
      <alignment horizontal="center" vertical="center"/>
    </xf>
    <xf numFmtId="188" fontId="37" fillId="0" borderId="25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61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41" fontId="0" fillId="0" borderId="62" xfId="2" applyFont="1" applyFill="1" applyBorder="1" applyAlignment="1">
      <alignment vertical="center"/>
    </xf>
    <xf numFmtId="41" fontId="0" fillId="0" borderId="64" xfId="2" applyFont="1" applyFill="1" applyBorder="1" applyAlignment="1">
      <alignment vertical="center"/>
    </xf>
    <xf numFmtId="188" fontId="0" fillId="0" borderId="65" xfId="0" applyNumberFormat="1" applyFill="1" applyBorder="1" applyAlignment="1">
      <alignment vertical="center"/>
    </xf>
    <xf numFmtId="189" fontId="0" fillId="0" borderId="66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1" fontId="0" fillId="0" borderId="67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0" fontId="0" fillId="0" borderId="68" xfId="0" applyFill="1" applyBorder="1" applyAlignment="1">
      <alignment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43" xfId="2" applyFont="1" applyFill="1" applyBorder="1" applyAlignment="1">
      <alignment vertical="center"/>
    </xf>
    <xf numFmtId="41" fontId="0" fillId="0" borderId="8" xfId="2" applyFont="1" applyFill="1" applyBorder="1" applyAlignment="1">
      <alignment vertical="center"/>
    </xf>
    <xf numFmtId="188" fontId="0" fillId="0" borderId="43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72" xfId="0" applyFill="1" applyBorder="1" applyAlignment="1">
      <alignment vertical="center" wrapText="1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188" fontId="0" fillId="0" borderId="73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188" fontId="0" fillId="0" borderId="74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41" fontId="0" fillId="0" borderId="0" xfId="2" applyFont="1" applyFill="1" applyAlignment="1">
      <alignment vertical="center"/>
    </xf>
    <xf numFmtId="0" fontId="0" fillId="0" borderId="69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7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41" fontId="0" fillId="0" borderId="78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0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8" xfId="0" applyFill="1" applyBorder="1" applyAlignment="1">
      <alignment vertical="center"/>
    </xf>
    <xf numFmtId="0" fontId="0" fillId="0" borderId="58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7" fillId="0" borderId="71" xfId="0" applyFont="1" applyFill="1" applyBorder="1" applyAlignment="1">
      <alignment vertical="center" wrapText="1"/>
    </xf>
    <xf numFmtId="176" fontId="13" fillId="0" borderId="5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0" fillId="0" borderId="36" xfId="3" applyFont="1" applyFill="1" applyBorder="1" applyAlignment="1">
      <alignment vertical="center"/>
    </xf>
    <xf numFmtId="0" fontId="30" fillId="0" borderId="13" xfId="3" applyFont="1" applyFill="1" applyBorder="1" applyAlignment="1">
      <alignment vertical="center"/>
    </xf>
    <xf numFmtId="176" fontId="30" fillId="0" borderId="13" xfId="3" applyNumberFormat="1" applyFont="1" applyFill="1" applyBorder="1" applyAlignment="1">
      <alignment vertical="center"/>
    </xf>
    <xf numFmtId="0" fontId="6" fillId="0" borderId="16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38" fontId="6" fillId="0" borderId="10" xfId="3" applyNumberFormat="1" applyFont="1" applyFill="1" applyBorder="1" applyAlignment="1">
      <alignment vertical="center"/>
    </xf>
    <xf numFmtId="9" fontId="6" fillId="0" borderId="10" xfId="1" applyFont="1" applyFill="1" applyBorder="1" applyAlignment="1">
      <alignment horizontal="center" vertical="center"/>
    </xf>
    <xf numFmtId="0" fontId="29" fillId="0" borderId="36" xfId="3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vertical="center"/>
    </xf>
    <xf numFmtId="176" fontId="29" fillId="0" borderId="37" xfId="3" applyNumberFormat="1" applyFont="1" applyFill="1" applyBorder="1" applyAlignment="1">
      <alignment vertical="center"/>
    </xf>
    <xf numFmtId="0" fontId="6" fillId="0" borderId="58" xfId="3" applyFont="1" applyFill="1" applyBorder="1" applyAlignment="1">
      <alignment horizontal="center" vertical="center" wrapText="1"/>
    </xf>
    <xf numFmtId="0" fontId="6" fillId="0" borderId="42" xfId="3" applyFont="1" applyFill="1" applyBorder="1" applyAlignment="1">
      <alignment horizontal="center" vertical="center" wrapText="1"/>
    </xf>
    <xf numFmtId="177" fontId="11" fillId="0" borderId="0" xfId="1" applyNumberFormat="1" applyFont="1" applyFill="1" applyAlignment="1">
      <alignment horizontal="center" vertical="center"/>
    </xf>
    <xf numFmtId="0" fontId="37" fillId="0" borderId="68" xfId="0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" fillId="0" borderId="52" xfId="11" applyBorder="1" applyAlignment="1">
      <alignment horizontal="center" vertical="center"/>
    </xf>
    <xf numFmtId="0" fontId="1" fillId="0" borderId="30" xfId="11" applyBorder="1" applyAlignment="1">
      <alignment horizontal="center" vertical="center"/>
    </xf>
    <xf numFmtId="0" fontId="1" fillId="0" borderId="24" xfId="11" applyBorder="1" applyAlignment="1">
      <alignment horizontal="center" vertical="center"/>
    </xf>
    <xf numFmtId="0" fontId="1" fillId="0" borderId="0" xfId="11" applyBorder="1" applyAlignment="1">
      <alignment horizontal="center" vertical="center"/>
    </xf>
    <xf numFmtId="0" fontId="1" fillId="0" borderId="46" xfId="11" applyBorder="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1" fillId="0" borderId="2" xfId="11" applyFont="1" applyBorder="1" applyAlignment="1">
      <alignment horizontal="center" vertical="center"/>
    </xf>
    <xf numFmtId="0" fontId="1" fillId="0" borderId="16" xfId="11" applyFont="1" applyBorder="1" applyAlignment="1">
      <alignment horizontal="center" vertical="center"/>
    </xf>
    <xf numFmtId="0" fontId="1" fillId="0" borderId="2" xfId="11" applyBorder="1" applyAlignment="1">
      <alignment horizontal="center" vertical="center"/>
    </xf>
    <xf numFmtId="0" fontId="1" fillId="0" borderId="16" xfId="11" applyBorder="1" applyAlignment="1">
      <alignment horizontal="center" vertical="center"/>
    </xf>
    <xf numFmtId="0" fontId="1" fillId="0" borderId="58" xfId="11" applyBorder="1" applyAlignment="1">
      <alignment horizontal="center" vertical="center"/>
    </xf>
    <xf numFmtId="0" fontId="35" fillId="0" borderId="16" xfId="11" applyFont="1" applyBorder="1" applyAlignment="1">
      <alignment horizontal="center" vertical="center"/>
    </xf>
    <xf numFmtId="0" fontId="35" fillId="0" borderId="10" xfId="11" applyFont="1" applyBorder="1" applyAlignment="1">
      <alignment horizontal="center" vertical="center"/>
    </xf>
    <xf numFmtId="0" fontId="1" fillId="0" borderId="32" xfId="11" applyBorder="1" applyAlignment="1">
      <alignment horizontal="center" vertical="center"/>
    </xf>
    <xf numFmtId="0" fontId="27" fillId="0" borderId="43" xfId="11" applyFont="1" applyBorder="1" applyAlignment="1">
      <alignment horizontal="center" vertical="center"/>
    </xf>
    <xf numFmtId="0" fontId="27" fillId="0" borderId="7" xfId="11" applyFont="1" applyBorder="1" applyAlignment="1">
      <alignment horizontal="center" vertical="center"/>
    </xf>
    <xf numFmtId="0" fontId="27" fillId="0" borderId="9" xfId="11" applyFont="1" applyBorder="1" applyAlignment="1">
      <alignment horizontal="center" vertical="center"/>
    </xf>
    <xf numFmtId="0" fontId="27" fillId="0" borderId="8" xfId="11" applyFont="1" applyBorder="1" applyAlignment="1">
      <alignment horizontal="center" vertical="center"/>
    </xf>
    <xf numFmtId="0" fontId="27" fillId="0" borderId="14" xfId="11" applyFont="1" applyBorder="1" applyAlignment="1">
      <alignment horizontal="center" vertical="center"/>
    </xf>
    <xf numFmtId="0" fontId="27" fillId="0" borderId="19" xfId="11" applyFont="1" applyBorder="1" applyAlignment="1">
      <alignment horizontal="center" vertical="center"/>
    </xf>
    <xf numFmtId="0" fontId="27" fillId="0" borderId="48" xfId="11" applyFont="1" applyBorder="1" applyAlignment="1">
      <alignment horizontal="center" vertical="center"/>
    </xf>
    <xf numFmtId="0" fontId="27" fillId="0" borderId="49" xfId="11" applyFont="1" applyBorder="1" applyAlignment="1">
      <alignment horizontal="center" vertical="center"/>
    </xf>
    <xf numFmtId="0" fontId="27" fillId="0" borderId="19" xfId="11" applyFont="1" applyBorder="1" applyAlignment="1">
      <alignment horizontal="center" vertical="center" wrapText="1"/>
    </xf>
    <xf numFmtId="0" fontId="27" fillId="0" borderId="49" xfId="11" applyFont="1" applyBorder="1" applyAlignment="1">
      <alignment horizontal="center" vertical="center" wrapText="1"/>
    </xf>
    <xf numFmtId="0" fontId="27" fillId="0" borderId="41" xfId="11" applyFont="1" applyBorder="1" applyAlignment="1">
      <alignment horizontal="center" vertical="center"/>
    </xf>
    <xf numFmtId="0" fontId="27" fillId="0" borderId="50" xfId="11" applyFont="1" applyBorder="1" applyAlignment="1">
      <alignment horizontal="center" vertical="center"/>
    </xf>
    <xf numFmtId="0" fontId="27" fillId="0" borderId="17" xfId="11" applyFont="1" applyBorder="1" applyAlignment="1">
      <alignment horizontal="center" vertical="center"/>
    </xf>
    <xf numFmtId="0" fontId="27" fillId="0" borderId="51" xfId="11" applyFont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176" fontId="11" fillId="0" borderId="12" xfId="3" applyNumberFormat="1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8" fontId="12" fillId="0" borderId="9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0" fontId="11" fillId="0" borderId="20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47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40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center" vertical="center" wrapText="1"/>
    </xf>
    <xf numFmtId="0" fontId="13" fillId="0" borderId="25" xfId="3" applyFont="1" applyFill="1" applyBorder="1" applyAlignment="1">
      <alignment horizontal="center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59" xfId="0" applyFont="1" applyFill="1" applyBorder="1" applyAlignment="1">
      <alignment horizontal="center" vertical="center"/>
    </xf>
    <xf numFmtId="0" fontId="37" fillId="0" borderId="60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topLeftCell="A13" zoomScale="85" zoomScaleNormal="85" workbookViewId="0">
      <selection activeCell="B23" sqref="B23:F28"/>
    </sheetView>
  </sheetViews>
  <sheetFormatPr defaultRowHeight="16.5"/>
  <cols>
    <col min="1" max="1" width="1.44140625" style="386" customWidth="1"/>
    <col min="2" max="2" width="11.5546875" style="386" bestFit="1" customWidth="1"/>
    <col min="3" max="3" width="13.33203125" style="386" bestFit="1" customWidth="1"/>
    <col min="4" max="5" width="18" style="386" bestFit="1" customWidth="1"/>
    <col min="6" max="6" width="16" style="386" bestFit="1" customWidth="1"/>
    <col min="7" max="7" width="9.6640625" style="386" bestFit="1" customWidth="1"/>
    <col min="8" max="8" width="13.33203125" style="386" bestFit="1" customWidth="1"/>
    <col min="9" max="10" width="18" style="386" bestFit="1" customWidth="1"/>
    <col min="11" max="11" width="16" style="386" bestFit="1" customWidth="1"/>
    <col min="12" max="16384" width="8.88671875" style="386"/>
  </cols>
  <sheetData>
    <row r="1" spans="2:11" ht="9.9499999999999993" customHeight="1"/>
    <row r="2" spans="2:11" ht="26.25">
      <c r="B2" s="407" t="s">
        <v>456</v>
      </c>
      <c r="K2" s="406" t="s">
        <v>377</v>
      </c>
    </row>
    <row r="3" spans="2:11" ht="9.9499999999999993" customHeight="1" thickBot="1"/>
    <row r="4" spans="2:11" ht="30" customHeight="1">
      <c r="B4" s="538" t="s">
        <v>376</v>
      </c>
      <c r="C4" s="539"/>
      <c r="D4" s="539"/>
      <c r="E4" s="539"/>
      <c r="F4" s="540"/>
      <c r="G4" s="538" t="s">
        <v>375</v>
      </c>
      <c r="H4" s="539"/>
      <c r="I4" s="539"/>
      <c r="J4" s="539"/>
      <c r="K4" s="541"/>
    </row>
    <row r="5" spans="2:11" ht="16.5" customHeight="1">
      <c r="B5" s="542" t="s">
        <v>374</v>
      </c>
      <c r="C5" s="543"/>
      <c r="D5" s="546" t="s">
        <v>378</v>
      </c>
      <c r="E5" s="546" t="s">
        <v>457</v>
      </c>
      <c r="F5" s="548" t="s">
        <v>373</v>
      </c>
      <c r="G5" s="542" t="s">
        <v>374</v>
      </c>
      <c r="H5" s="543"/>
      <c r="I5" s="546" t="str">
        <f>D5</f>
        <v>2015년
1차 추경 예산</v>
      </c>
      <c r="J5" s="546" t="str">
        <f>E5</f>
        <v>2015년
2차 추경 예산</v>
      </c>
      <c r="K5" s="550" t="s">
        <v>373</v>
      </c>
    </row>
    <row r="6" spans="2:11" ht="22.5" customHeight="1" thickBot="1">
      <c r="B6" s="544"/>
      <c r="C6" s="545"/>
      <c r="D6" s="547"/>
      <c r="E6" s="547"/>
      <c r="F6" s="549"/>
      <c r="G6" s="544"/>
      <c r="H6" s="545"/>
      <c r="I6" s="547"/>
      <c r="J6" s="547"/>
      <c r="K6" s="551"/>
    </row>
    <row r="7" spans="2:11" ht="24.95" customHeight="1" thickTop="1">
      <c r="B7" s="535" t="s">
        <v>372</v>
      </c>
      <c r="C7" s="536"/>
      <c r="D7" s="404">
        <f>SUM(D8:D22)/2</f>
        <v>65679746</v>
      </c>
      <c r="E7" s="404">
        <f>SUM(E8:E22)/2</f>
        <v>64668126</v>
      </c>
      <c r="F7" s="405">
        <f>SUM(F8:F22)/2</f>
        <v>-1011620</v>
      </c>
      <c r="G7" s="535" t="s">
        <v>372</v>
      </c>
      <c r="H7" s="536"/>
      <c r="I7" s="404">
        <f>SUM(I8:I28)/2</f>
        <v>65679746</v>
      </c>
      <c r="J7" s="404">
        <f>SUM(J8:J28)/2</f>
        <v>64668126</v>
      </c>
      <c r="K7" s="403">
        <f>SUM(K8:K28)/2</f>
        <v>-1011620</v>
      </c>
    </row>
    <row r="8" spans="2:11" ht="24.95" customHeight="1">
      <c r="B8" s="532" t="s">
        <v>371</v>
      </c>
      <c r="C8" s="401" t="s">
        <v>336</v>
      </c>
      <c r="D8" s="400">
        <f>D9</f>
        <v>7200000</v>
      </c>
      <c r="E8" s="400">
        <f>E9</f>
        <v>7200000</v>
      </c>
      <c r="F8" s="402">
        <f>F9</f>
        <v>0</v>
      </c>
      <c r="G8" s="532" t="s">
        <v>370</v>
      </c>
      <c r="H8" s="401" t="s">
        <v>336</v>
      </c>
      <c r="I8" s="400">
        <f>SUM(I9:I11)</f>
        <v>41580520</v>
      </c>
      <c r="J8" s="400">
        <f>SUM(J9:J11)</f>
        <v>41013460</v>
      </c>
      <c r="K8" s="399">
        <f>SUM(K9:K11)</f>
        <v>-567060</v>
      </c>
    </row>
    <row r="9" spans="2:11" ht="24.95" customHeight="1">
      <c r="B9" s="533"/>
      <c r="C9" s="395" t="s">
        <v>369</v>
      </c>
      <c r="D9" s="394">
        <v>7200000</v>
      </c>
      <c r="E9" s="394">
        <f>세입!AB5</f>
        <v>7200000</v>
      </c>
      <c r="F9" s="396">
        <f>E9-D9</f>
        <v>0</v>
      </c>
      <c r="G9" s="537"/>
      <c r="H9" s="395" t="s">
        <v>368</v>
      </c>
      <c r="I9" s="394">
        <v>34384760</v>
      </c>
      <c r="J9" s="394">
        <f>세출!AC6</f>
        <v>34205040</v>
      </c>
      <c r="K9" s="393">
        <f>J9-I9</f>
        <v>-179720</v>
      </c>
    </row>
    <row r="10" spans="2:11" ht="24.95" customHeight="1">
      <c r="B10" s="532" t="s">
        <v>367</v>
      </c>
      <c r="C10" s="392" t="s">
        <v>336</v>
      </c>
      <c r="D10" s="391">
        <f>SUM(D11:D13)</f>
        <v>51325000</v>
      </c>
      <c r="E10" s="391">
        <f>SUM(E11:E13)</f>
        <v>50129380</v>
      </c>
      <c r="F10" s="397">
        <f>SUM(F11:F13)</f>
        <v>-1195620</v>
      </c>
      <c r="G10" s="537"/>
      <c r="H10" s="395" t="s">
        <v>366</v>
      </c>
      <c r="I10" s="394">
        <v>110000</v>
      </c>
      <c r="J10" s="394">
        <f>세출!AC49</f>
        <v>40000</v>
      </c>
      <c r="K10" s="393">
        <f>J10-I10</f>
        <v>-70000</v>
      </c>
    </row>
    <row r="11" spans="2:11" ht="24.95" customHeight="1">
      <c r="B11" s="537"/>
      <c r="C11" s="398" t="s">
        <v>365</v>
      </c>
      <c r="D11" s="394">
        <v>0</v>
      </c>
      <c r="E11" s="394">
        <v>0</v>
      </c>
      <c r="F11" s="396">
        <f>E11-D11</f>
        <v>0</v>
      </c>
      <c r="G11" s="533"/>
      <c r="H11" s="395" t="s">
        <v>364</v>
      </c>
      <c r="I11" s="394">
        <v>7085760</v>
      </c>
      <c r="J11" s="394">
        <f>세출!AC58</f>
        <v>6768420</v>
      </c>
      <c r="K11" s="393">
        <f>J11-I11</f>
        <v>-317340</v>
      </c>
    </row>
    <row r="12" spans="2:11" ht="24.95" customHeight="1">
      <c r="B12" s="537"/>
      <c r="C12" s="398" t="s">
        <v>363</v>
      </c>
      <c r="D12" s="394">
        <v>51325000</v>
      </c>
      <c r="E12" s="394">
        <f>세입!AB9</f>
        <v>50129380</v>
      </c>
      <c r="F12" s="396">
        <f>E12-D12</f>
        <v>-1195620</v>
      </c>
      <c r="G12" s="532" t="s">
        <v>362</v>
      </c>
      <c r="H12" s="392" t="s">
        <v>336</v>
      </c>
      <c r="I12" s="391">
        <f>SUM(I13:I15)</f>
        <v>3640000</v>
      </c>
      <c r="J12" s="391">
        <f>SUM(J13:J15)</f>
        <v>2499380</v>
      </c>
      <c r="K12" s="390">
        <f>SUM(K13:K15)</f>
        <v>-1140620</v>
      </c>
    </row>
    <row r="13" spans="2:11" ht="24.95" customHeight="1">
      <c r="B13" s="533"/>
      <c r="C13" s="398" t="s">
        <v>361</v>
      </c>
      <c r="D13" s="394">
        <v>0</v>
      </c>
      <c r="E13" s="394">
        <f>세입!AB15</f>
        <v>0</v>
      </c>
      <c r="F13" s="396">
        <f>E13-D13</f>
        <v>0</v>
      </c>
      <c r="G13" s="537"/>
      <c r="H13" s="395" t="s">
        <v>360</v>
      </c>
      <c r="I13" s="394">
        <v>0</v>
      </c>
      <c r="J13" s="394">
        <v>0</v>
      </c>
      <c r="K13" s="393">
        <f>J13-I13</f>
        <v>0</v>
      </c>
    </row>
    <row r="14" spans="2:11" ht="24.95" customHeight="1">
      <c r="B14" s="532" t="s">
        <v>359</v>
      </c>
      <c r="C14" s="392" t="s">
        <v>336</v>
      </c>
      <c r="D14" s="391">
        <f>SUM(D15:D16)</f>
        <v>300000</v>
      </c>
      <c r="E14" s="391">
        <f>SUM(E15:E16)</f>
        <v>480000</v>
      </c>
      <c r="F14" s="397">
        <f>SUM(F15:F16)</f>
        <v>180000</v>
      </c>
      <c r="G14" s="537"/>
      <c r="H14" s="395" t="s">
        <v>358</v>
      </c>
      <c r="I14" s="394">
        <v>1640000</v>
      </c>
      <c r="J14" s="394">
        <f>세출!AC97</f>
        <v>2059380</v>
      </c>
      <c r="K14" s="393">
        <f>J14-I14</f>
        <v>419380</v>
      </c>
    </row>
    <row r="15" spans="2:11" ht="24.95" customHeight="1">
      <c r="B15" s="537"/>
      <c r="C15" s="395" t="s">
        <v>357</v>
      </c>
      <c r="D15" s="394">
        <v>0</v>
      </c>
      <c r="E15" s="394">
        <v>0</v>
      </c>
      <c r="F15" s="396">
        <f>E15-D15</f>
        <v>0</v>
      </c>
      <c r="G15" s="533"/>
      <c r="H15" s="395" t="s">
        <v>356</v>
      </c>
      <c r="I15" s="394">
        <v>2000000</v>
      </c>
      <c r="J15" s="394">
        <f>세출!AC102</f>
        <v>440000</v>
      </c>
      <c r="K15" s="393">
        <f>J15-I15</f>
        <v>-1560000</v>
      </c>
    </row>
    <row r="16" spans="2:11" ht="24.95" customHeight="1">
      <c r="B16" s="533"/>
      <c r="C16" s="395" t="s">
        <v>355</v>
      </c>
      <c r="D16" s="394">
        <v>300000</v>
      </c>
      <c r="E16" s="394">
        <f>세입!AB19</f>
        <v>480000</v>
      </c>
      <c r="F16" s="396">
        <f>E16-D16</f>
        <v>180000</v>
      </c>
      <c r="G16" s="532" t="s">
        <v>354</v>
      </c>
      <c r="H16" s="392" t="s">
        <v>336</v>
      </c>
      <c r="I16" s="391">
        <f>SUM(I17:I22)</f>
        <v>20442527</v>
      </c>
      <c r="J16" s="391">
        <f>SUM(J17:J22)</f>
        <v>21130587</v>
      </c>
      <c r="K16" s="390">
        <f>SUM(K17:K22)</f>
        <v>688060</v>
      </c>
    </row>
    <row r="17" spans="2:11" ht="24.95" customHeight="1">
      <c r="B17" s="532" t="s">
        <v>353</v>
      </c>
      <c r="C17" s="392" t="s">
        <v>336</v>
      </c>
      <c r="D17" s="391">
        <f>D18</f>
        <v>0</v>
      </c>
      <c r="E17" s="391">
        <f>E18</f>
        <v>0</v>
      </c>
      <c r="F17" s="397">
        <f>F18</f>
        <v>0</v>
      </c>
      <c r="G17" s="537"/>
      <c r="H17" s="395" t="s">
        <v>352</v>
      </c>
      <c r="I17" s="394">
        <v>12556527</v>
      </c>
      <c r="J17" s="394">
        <f>세출!AC107</f>
        <v>13055937</v>
      </c>
      <c r="K17" s="393">
        <f t="shared" ref="K17:K22" si="0">J17-I17</f>
        <v>499410</v>
      </c>
    </row>
    <row r="18" spans="2:11" ht="24.95" customHeight="1">
      <c r="B18" s="533"/>
      <c r="C18" s="395" t="s">
        <v>351</v>
      </c>
      <c r="D18" s="394">
        <v>0</v>
      </c>
      <c r="E18" s="394">
        <v>0</v>
      </c>
      <c r="F18" s="396">
        <f>E18-D18</f>
        <v>0</v>
      </c>
      <c r="G18" s="537"/>
      <c r="H18" s="395" t="s">
        <v>350</v>
      </c>
      <c r="I18" s="394">
        <v>1100000</v>
      </c>
      <c r="J18" s="394">
        <f>세출!AC113</f>
        <v>1300000</v>
      </c>
      <c r="K18" s="393">
        <f t="shared" si="0"/>
        <v>200000</v>
      </c>
    </row>
    <row r="19" spans="2:11" ht="24.95" customHeight="1">
      <c r="B19" s="532" t="s">
        <v>349</v>
      </c>
      <c r="C19" s="392" t="s">
        <v>336</v>
      </c>
      <c r="D19" s="391">
        <f>D20</f>
        <v>6822746</v>
      </c>
      <c r="E19" s="391">
        <f>E20</f>
        <v>6822746</v>
      </c>
      <c r="F19" s="397">
        <f>F20</f>
        <v>0</v>
      </c>
      <c r="G19" s="537"/>
      <c r="H19" s="395" t="s">
        <v>348</v>
      </c>
      <c r="I19" s="394">
        <v>800000</v>
      </c>
      <c r="J19" s="394">
        <f>세출!AC117</f>
        <v>800000</v>
      </c>
      <c r="K19" s="393">
        <f t="shared" si="0"/>
        <v>0</v>
      </c>
    </row>
    <row r="20" spans="2:11" ht="24.95" customHeight="1">
      <c r="B20" s="533"/>
      <c r="C20" s="395" t="s">
        <v>347</v>
      </c>
      <c r="D20" s="394">
        <v>6822746</v>
      </c>
      <c r="E20" s="394">
        <f>세입!AB21</f>
        <v>6822746</v>
      </c>
      <c r="F20" s="396">
        <f>E20-D20</f>
        <v>0</v>
      </c>
      <c r="G20" s="537"/>
      <c r="H20" s="395" t="s">
        <v>346</v>
      </c>
      <c r="I20" s="394">
        <v>460000</v>
      </c>
      <c r="J20" s="394">
        <f>세출!AC120</f>
        <v>460000</v>
      </c>
      <c r="K20" s="393">
        <f t="shared" si="0"/>
        <v>0</v>
      </c>
    </row>
    <row r="21" spans="2:11" ht="24.95" customHeight="1">
      <c r="B21" s="532" t="s">
        <v>345</v>
      </c>
      <c r="C21" s="392" t="s">
        <v>336</v>
      </c>
      <c r="D21" s="391">
        <f>D22</f>
        <v>32000</v>
      </c>
      <c r="E21" s="391">
        <f>E22</f>
        <v>36000</v>
      </c>
      <c r="F21" s="397">
        <f>F22</f>
        <v>4000</v>
      </c>
      <c r="G21" s="537"/>
      <c r="H21" s="395" t="s">
        <v>344</v>
      </c>
      <c r="I21" s="394">
        <v>220000</v>
      </c>
      <c r="J21" s="394">
        <f>세출!AC124</f>
        <v>208650</v>
      </c>
      <c r="K21" s="393">
        <f t="shared" si="0"/>
        <v>-11350</v>
      </c>
    </row>
    <row r="22" spans="2:11" ht="24.95" customHeight="1">
      <c r="B22" s="533"/>
      <c r="C22" s="395" t="s">
        <v>343</v>
      </c>
      <c r="D22" s="394">
        <v>32000</v>
      </c>
      <c r="E22" s="394">
        <f>세입!AB27</f>
        <v>36000</v>
      </c>
      <c r="F22" s="396">
        <f>E22-D22</f>
        <v>4000</v>
      </c>
      <c r="G22" s="533"/>
      <c r="H22" s="395" t="s">
        <v>342</v>
      </c>
      <c r="I22" s="394">
        <v>5306000</v>
      </c>
      <c r="J22" s="394">
        <f>세출!AC127</f>
        <v>5306000</v>
      </c>
      <c r="K22" s="393">
        <f t="shared" si="0"/>
        <v>0</v>
      </c>
    </row>
    <row r="23" spans="2:11" ht="24.95" customHeight="1">
      <c r="B23" s="524"/>
      <c r="C23" s="525"/>
      <c r="D23" s="525"/>
      <c r="E23" s="525"/>
      <c r="F23" s="525"/>
      <c r="G23" s="530" t="s">
        <v>341</v>
      </c>
      <c r="H23" s="392" t="s">
        <v>336</v>
      </c>
      <c r="I23" s="391">
        <f>I24</f>
        <v>16699</v>
      </c>
      <c r="J23" s="391">
        <f>J24</f>
        <v>16699</v>
      </c>
      <c r="K23" s="390">
        <f>K24</f>
        <v>0</v>
      </c>
    </row>
    <row r="24" spans="2:11" ht="24.95" customHeight="1">
      <c r="B24" s="526"/>
      <c r="C24" s="527"/>
      <c r="D24" s="527"/>
      <c r="E24" s="527"/>
      <c r="F24" s="527"/>
      <c r="G24" s="531"/>
      <c r="H24" s="395" t="s">
        <v>340</v>
      </c>
      <c r="I24" s="394">
        <v>16699</v>
      </c>
      <c r="J24" s="394">
        <f>세출!AC165</f>
        <v>16699</v>
      </c>
      <c r="K24" s="393">
        <f>J24-I24</f>
        <v>0</v>
      </c>
    </row>
    <row r="25" spans="2:11" ht="24.95" customHeight="1">
      <c r="B25" s="526"/>
      <c r="C25" s="527"/>
      <c r="D25" s="527"/>
      <c r="E25" s="527"/>
      <c r="F25" s="527"/>
      <c r="G25" s="532" t="s">
        <v>339</v>
      </c>
      <c r="H25" s="392" t="s">
        <v>336</v>
      </c>
      <c r="I25" s="391">
        <f>I26</f>
        <v>0</v>
      </c>
      <c r="J25" s="391">
        <f>J26</f>
        <v>0</v>
      </c>
      <c r="K25" s="390">
        <f>K26</f>
        <v>0</v>
      </c>
    </row>
    <row r="26" spans="2:11" ht="24.95" customHeight="1">
      <c r="B26" s="526"/>
      <c r="C26" s="527"/>
      <c r="D26" s="527"/>
      <c r="E26" s="527"/>
      <c r="F26" s="527"/>
      <c r="G26" s="533"/>
      <c r="H26" s="395" t="s">
        <v>338</v>
      </c>
      <c r="I26" s="394">
        <v>0</v>
      </c>
      <c r="J26" s="394">
        <f>세출!AC168</f>
        <v>0</v>
      </c>
      <c r="K26" s="393">
        <f>J26-I26</f>
        <v>0</v>
      </c>
    </row>
    <row r="27" spans="2:11" ht="24.95" customHeight="1">
      <c r="B27" s="526"/>
      <c r="C27" s="527"/>
      <c r="D27" s="527"/>
      <c r="E27" s="527"/>
      <c r="F27" s="527"/>
      <c r="G27" s="532" t="s">
        <v>337</v>
      </c>
      <c r="H27" s="392" t="s">
        <v>336</v>
      </c>
      <c r="I27" s="391">
        <f>I28</f>
        <v>0</v>
      </c>
      <c r="J27" s="391">
        <f>J28</f>
        <v>8000</v>
      </c>
      <c r="K27" s="390">
        <f>K28</f>
        <v>8000</v>
      </c>
    </row>
    <row r="28" spans="2:11" ht="24.95" customHeight="1" thickBot="1">
      <c r="B28" s="528"/>
      <c r="C28" s="529"/>
      <c r="D28" s="529"/>
      <c r="E28" s="529"/>
      <c r="F28" s="529"/>
      <c r="G28" s="534"/>
      <c r="H28" s="389" t="s">
        <v>335</v>
      </c>
      <c r="I28" s="388">
        <v>0</v>
      </c>
      <c r="J28" s="388">
        <f>세출!AC172</f>
        <v>8000</v>
      </c>
      <c r="K28" s="387">
        <f>J28-I28</f>
        <v>8000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5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8"/>
  <sheetViews>
    <sheetView zoomScale="83" zoomScaleNormal="83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D14" sqref="AD14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559" t="s">
        <v>259</v>
      </c>
      <c r="B1" s="559"/>
      <c r="C1" s="559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560" t="s">
        <v>65</v>
      </c>
      <c r="B2" s="561"/>
      <c r="C2" s="561"/>
      <c r="D2" s="562" t="s">
        <v>458</v>
      </c>
      <c r="E2" s="564" t="s">
        <v>459</v>
      </c>
      <c r="F2" s="565"/>
      <c r="G2" s="565"/>
      <c r="H2" s="565"/>
      <c r="I2" s="565"/>
      <c r="J2" s="565"/>
      <c r="K2" s="555" t="s">
        <v>23</v>
      </c>
      <c r="L2" s="555"/>
      <c r="M2" s="555" t="s">
        <v>55</v>
      </c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6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563"/>
      <c r="E3" s="307" t="s">
        <v>123</v>
      </c>
      <c r="F3" s="325" t="s">
        <v>274</v>
      </c>
      <c r="G3" s="307" t="s">
        <v>159</v>
      </c>
      <c r="H3" s="307" t="s">
        <v>113</v>
      </c>
      <c r="I3" s="307" t="s">
        <v>213</v>
      </c>
      <c r="J3" s="307" t="s">
        <v>115</v>
      </c>
      <c r="K3" s="185" t="s">
        <v>124</v>
      </c>
      <c r="L3" s="27" t="s">
        <v>4</v>
      </c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8"/>
      <c r="AD3" s="9"/>
    </row>
    <row r="4" spans="1:31" s="3" customFormat="1" ht="19.5" customHeight="1">
      <c r="A4" s="566" t="s">
        <v>24</v>
      </c>
      <c r="B4" s="567"/>
      <c r="C4" s="568"/>
      <c r="D4" s="28">
        <v>65680</v>
      </c>
      <c r="E4" s="84">
        <f>(F4+G4+H4+I4+J4)</f>
        <v>64668.125999999997</v>
      </c>
      <c r="F4" s="28">
        <f>F5+F7+F16+F21+F27</f>
        <v>48144.699000000001</v>
      </c>
      <c r="G4" s="28">
        <f>G5+G7+G16+G21+G27+G14</f>
        <v>2009.38</v>
      </c>
      <c r="H4" s="28">
        <f>H5+H7+H16+H21+H27</f>
        <v>12944.251</v>
      </c>
      <c r="I4" s="28">
        <f>I5+I7+I16+I18+I21+I27</f>
        <v>1206.001</v>
      </c>
      <c r="J4" s="28">
        <f>J5+J7+J16+J21+J27</f>
        <v>363.79500000000002</v>
      </c>
      <c r="K4" s="29">
        <f>E4-D4</f>
        <v>-1011.8740000000034</v>
      </c>
      <c r="L4" s="45">
        <f>IF(D4=0,0,K4/D4)</f>
        <v>-1.5406120584652915E-2</v>
      </c>
      <c r="M4" s="30" t="s">
        <v>192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SUM(AB5,AB7,AB16,AB21,AB27,AB18)</f>
        <v>64668126</v>
      </c>
      <c r="AC4" s="33" t="s">
        <v>191</v>
      </c>
      <c r="AD4" s="9"/>
    </row>
    <row r="5" spans="1:31" ht="21" customHeight="1" thickBot="1">
      <c r="A5" s="41" t="s">
        <v>60</v>
      </c>
      <c r="B5" s="311" t="s">
        <v>60</v>
      </c>
      <c r="C5" s="306" t="s">
        <v>122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230</v>
      </c>
      <c r="N5" s="182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12" t="s">
        <v>114</v>
      </c>
      <c r="C6" s="53" t="s">
        <v>114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231</v>
      </c>
      <c r="N6" s="60"/>
      <c r="O6" s="61"/>
      <c r="P6" s="61"/>
      <c r="Q6" s="309">
        <v>150000</v>
      </c>
      <c r="R6" s="309" t="s">
        <v>57</v>
      </c>
      <c r="S6" s="310" t="s">
        <v>58</v>
      </c>
      <c r="T6" s="309">
        <v>4</v>
      </c>
      <c r="U6" s="309" t="s">
        <v>56</v>
      </c>
      <c r="V6" s="310" t="s">
        <v>58</v>
      </c>
      <c r="W6" s="62">
        <v>12</v>
      </c>
      <c r="X6" s="234" t="s">
        <v>0</v>
      </c>
      <c r="Y6" s="234" t="s">
        <v>53</v>
      </c>
      <c r="Z6" s="234"/>
      <c r="AA6" s="309"/>
      <c r="AB6" s="309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552" t="s">
        <v>17</v>
      </c>
      <c r="C7" s="553"/>
      <c r="D7" s="215">
        <v>51325</v>
      </c>
      <c r="E7" s="215">
        <f>E8+E14</f>
        <v>50129.38</v>
      </c>
      <c r="F7" s="215">
        <f>F8</f>
        <v>48130</v>
      </c>
      <c r="G7" s="215">
        <f>G8</f>
        <v>1999.38</v>
      </c>
      <c r="H7" s="215">
        <f t="shared" ref="H7:J7" si="0">H8</f>
        <v>0</v>
      </c>
      <c r="I7" s="215">
        <v>0</v>
      </c>
      <c r="J7" s="215">
        <f t="shared" si="0"/>
        <v>0</v>
      </c>
      <c r="K7" s="216">
        <f>E7-D7</f>
        <v>-1195.6200000000026</v>
      </c>
      <c r="L7" s="217">
        <f>IF(D7=0,0,K7/D7)</f>
        <v>-2.3295080370190017E-2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50129380</v>
      </c>
      <c r="AC7" s="50" t="s">
        <v>25</v>
      </c>
      <c r="AD7" s="6"/>
    </row>
    <row r="8" spans="1:31" ht="21" customHeight="1" thickBot="1">
      <c r="A8" s="51"/>
      <c r="B8" s="199" t="s">
        <v>70</v>
      </c>
      <c r="C8" s="311" t="s">
        <v>68</v>
      </c>
      <c r="D8" s="43">
        <v>51325</v>
      </c>
      <c r="E8" s="43">
        <f>E9</f>
        <v>50129.38</v>
      </c>
      <c r="F8" s="43">
        <f>F9</f>
        <v>48130</v>
      </c>
      <c r="G8" s="43">
        <f>G9</f>
        <v>1999.38</v>
      </c>
      <c r="H8" s="43">
        <f t="shared" ref="H8:J8" si="1">H9</f>
        <v>0</v>
      </c>
      <c r="I8" s="215">
        <v>0</v>
      </c>
      <c r="J8" s="43">
        <f t="shared" si="1"/>
        <v>0</v>
      </c>
      <c r="K8" s="44">
        <f>E8-D8</f>
        <v>-1195.6200000000026</v>
      </c>
      <c r="L8" s="45">
        <f>IF(D8=0,0,K8/D8)</f>
        <v>-2.3295080370190017E-2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50129380</v>
      </c>
      <c r="AC8" s="77" t="s">
        <v>67</v>
      </c>
    </row>
    <row r="9" spans="1:31" ht="21" customHeight="1" thickBot="1">
      <c r="A9" s="51"/>
      <c r="B9" s="312"/>
      <c r="C9" s="344" t="s">
        <v>271</v>
      </c>
      <c r="D9" s="43">
        <v>51325</v>
      </c>
      <c r="E9" s="43">
        <f>AB9/1000</f>
        <v>50129.38</v>
      </c>
      <c r="F9" s="43">
        <f>(AB10)/1000</f>
        <v>48130</v>
      </c>
      <c r="G9" s="43">
        <f>SUM(AB11+AB12)/1000</f>
        <v>1999.38</v>
      </c>
      <c r="H9" s="43">
        <v>0</v>
      </c>
      <c r="I9" s="43">
        <v>0</v>
      </c>
      <c r="J9" s="43">
        <v>0</v>
      </c>
      <c r="K9" s="44">
        <f>E9-D9</f>
        <v>-1195.6200000000026</v>
      </c>
      <c r="L9" s="45">
        <f>IF(D9=0,0,K9/D9)</f>
        <v>-2.3295080370190017E-2</v>
      </c>
      <c r="M9" s="183" t="s">
        <v>261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50129380</v>
      </c>
      <c r="AC9" s="104" t="s">
        <v>25</v>
      </c>
      <c r="AE9" s="2">
        <f>AB9+AB22+AB23+AB35</f>
        <v>50154079</v>
      </c>
    </row>
    <row r="10" spans="1:31" ht="21" customHeight="1">
      <c r="A10" s="51"/>
      <c r="B10" s="312"/>
      <c r="C10" s="345" t="s">
        <v>272</v>
      </c>
      <c r="D10" s="54"/>
      <c r="E10" s="54"/>
      <c r="F10" s="54"/>
      <c r="G10" s="54"/>
      <c r="H10" s="54"/>
      <c r="I10" s="54"/>
      <c r="J10" s="54"/>
      <c r="K10" s="317"/>
      <c r="L10" s="37"/>
      <c r="M10" s="242" t="s">
        <v>262</v>
      </c>
      <c r="N10" s="240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3"/>
      <c r="AB10" s="244">
        <v>48130000</v>
      </c>
      <c r="AC10" s="245" t="s">
        <v>57</v>
      </c>
    </row>
    <row r="11" spans="1:31" ht="21" customHeight="1">
      <c r="A11" s="51"/>
      <c r="B11" s="312"/>
      <c r="C11" s="312"/>
      <c r="D11" s="54"/>
      <c r="E11" s="54"/>
      <c r="F11" s="54"/>
      <c r="G11" s="54"/>
      <c r="H11" s="54"/>
      <c r="I11" s="54"/>
      <c r="J11" s="54"/>
      <c r="K11" s="317"/>
      <c r="L11" s="37"/>
      <c r="M11" s="242" t="s">
        <v>217</v>
      </c>
      <c r="N11" s="246"/>
      <c r="O11" s="247"/>
      <c r="P11" s="247"/>
      <c r="Q11" s="309"/>
      <c r="R11" s="309"/>
      <c r="S11" s="310"/>
      <c r="T11" s="309"/>
      <c r="U11" s="309"/>
      <c r="V11" s="310"/>
      <c r="W11" s="309"/>
      <c r="X11" s="309"/>
      <c r="Y11" s="309"/>
      <c r="Z11" s="309"/>
      <c r="AA11" s="84"/>
      <c r="AB11" s="84">
        <v>799380</v>
      </c>
      <c r="AC11" s="64" t="s">
        <v>57</v>
      </c>
      <c r="AE11" s="2">
        <f>AB5+AB24+AB32+AB36</f>
        <v>12944251</v>
      </c>
    </row>
    <row r="12" spans="1:31" ht="21" customHeight="1">
      <c r="A12" s="51"/>
      <c r="B12" s="312"/>
      <c r="C12" s="312"/>
      <c r="D12" s="54"/>
      <c r="E12" s="54"/>
      <c r="F12" s="54"/>
      <c r="G12" s="54"/>
      <c r="H12" s="54"/>
      <c r="I12" s="54"/>
      <c r="J12" s="54"/>
      <c r="K12" s="317"/>
      <c r="L12" s="37"/>
      <c r="M12" s="242" t="s">
        <v>218</v>
      </c>
      <c r="N12" s="240"/>
      <c r="O12" s="241"/>
      <c r="P12" s="241"/>
      <c r="Q12" s="329">
        <v>100000</v>
      </c>
      <c r="R12" s="329" t="s">
        <v>57</v>
      </c>
      <c r="S12" s="330" t="s">
        <v>58</v>
      </c>
      <c r="T12" s="329">
        <v>1</v>
      </c>
      <c r="U12" s="329" t="s">
        <v>56</v>
      </c>
      <c r="V12" s="330" t="s">
        <v>58</v>
      </c>
      <c r="W12" s="329">
        <v>12</v>
      </c>
      <c r="X12" s="329" t="s">
        <v>0</v>
      </c>
      <c r="Y12" s="329" t="s">
        <v>53</v>
      </c>
      <c r="Z12" s="329"/>
      <c r="AA12" s="84"/>
      <c r="AB12" s="84">
        <f>SUM(Q12*T12*W12)</f>
        <v>1200000</v>
      </c>
      <c r="AC12" s="64" t="s">
        <v>57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8"/>
      <c r="L13" s="313"/>
      <c r="M13" s="314"/>
      <c r="N13" s="315"/>
      <c r="O13" s="316"/>
      <c r="P13" s="316"/>
      <c r="Q13" s="342"/>
      <c r="R13" s="342"/>
      <c r="S13" s="343"/>
      <c r="T13" s="342"/>
      <c r="U13" s="342"/>
      <c r="V13" s="343"/>
      <c r="W13" s="342"/>
      <c r="X13" s="342"/>
      <c r="Y13" s="342"/>
      <c r="Z13" s="342"/>
      <c r="AA13" s="84"/>
      <c r="AB13" s="84"/>
      <c r="AC13" s="64"/>
      <c r="AE13" s="2">
        <f>AB19+AB26+AB33+AB37</f>
        <v>1206001</v>
      </c>
    </row>
    <row r="14" spans="1:31" ht="21" customHeight="1" thickBot="1">
      <c r="A14" s="51"/>
      <c r="B14" s="312"/>
      <c r="C14" s="344" t="s">
        <v>273</v>
      </c>
      <c r="D14" s="54">
        <v>0</v>
      </c>
      <c r="E14" s="43">
        <f>AB14/1000</f>
        <v>0</v>
      </c>
      <c r="F14" s="54">
        <v>0</v>
      </c>
      <c r="G14" s="54">
        <f>SUM(AB14)/1000</f>
        <v>0</v>
      </c>
      <c r="H14" s="43">
        <v>0</v>
      </c>
      <c r="I14" s="43">
        <v>0</v>
      </c>
      <c r="J14" s="43">
        <v>0</v>
      </c>
      <c r="K14" s="44">
        <f>E14-D14</f>
        <v>0</v>
      </c>
      <c r="L14" s="45">
        <f>IF(D14=0,0,K14/D14)</f>
        <v>0</v>
      </c>
      <c r="M14" s="183" t="s">
        <v>330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0</v>
      </c>
      <c r="AC14" s="104" t="s">
        <v>25</v>
      </c>
    </row>
    <row r="15" spans="1:31" ht="21" customHeight="1">
      <c r="A15" s="51"/>
      <c r="B15" s="312"/>
      <c r="C15" s="66" t="s">
        <v>272</v>
      </c>
      <c r="D15" s="54"/>
      <c r="E15" s="54"/>
      <c r="F15" s="54"/>
      <c r="G15" s="54"/>
      <c r="H15" s="54"/>
      <c r="I15" s="54"/>
      <c r="J15" s="54"/>
      <c r="K15" s="55"/>
      <c r="L15" s="37"/>
      <c r="M15" s="242" t="s">
        <v>229</v>
      </c>
      <c r="N15" s="246"/>
      <c r="O15" s="247"/>
      <c r="P15" s="247"/>
      <c r="Q15" s="342"/>
      <c r="R15" s="342"/>
      <c r="S15" s="343"/>
      <c r="T15" s="342"/>
      <c r="U15" s="342"/>
      <c r="V15" s="343"/>
      <c r="W15" s="342"/>
      <c r="X15" s="342"/>
      <c r="Y15" s="342"/>
      <c r="Z15" s="342"/>
      <c r="AA15" s="84"/>
      <c r="AB15" s="84">
        <v>0</v>
      </c>
      <c r="AC15" s="64" t="s">
        <v>57</v>
      </c>
      <c r="AE15" s="2">
        <f>AB25</f>
        <v>363795</v>
      </c>
    </row>
    <row r="16" spans="1:31" ht="21" customHeight="1" thickBot="1">
      <c r="A16" s="41" t="s">
        <v>76</v>
      </c>
      <c r="B16" s="311" t="s">
        <v>13</v>
      </c>
      <c r="C16" s="311" t="s">
        <v>118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24"/>
    </row>
    <row r="17" spans="1:31" ht="21" customHeight="1">
      <c r="A17" s="51"/>
      <c r="B17" s="66"/>
      <c r="C17" s="66" t="s">
        <v>119</v>
      </c>
      <c r="D17" s="78"/>
      <c r="E17" s="78"/>
      <c r="F17" s="78"/>
      <c r="G17" s="78"/>
      <c r="H17" s="78"/>
      <c r="I17" s="78"/>
      <c r="J17" s="78"/>
      <c r="K17" s="55"/>
      <c r="L17" s="35"/>
      <c r="M17" s="310"/>
      <c r="N17" s="310"/>
      <c r="O17" s="309"/>
      <c r="P17" s="309"/>
      <c r="Q17" s="85"/>
      <c r="R17" s="86"/>
      <c r="S17" s="248"/>
      <c r="T17" s="91"/>
      <c r="U17" s="249"/>
      <c r="V17" s="250"/>
      <c r="W17" s="234"/>
      <c r="X17" s="234"/>
      <c r="Y17" s="234"/>
      <c r="Z17" s="309"/>
      <c r="AA17" s="84"/>
      <c r="AB17" s="84"/>
      <c r="AC17" s="64" t="s">
        <v>275</v>
      </c>
      <c r="AD17" s="23"/>
      <c r="AE17" s="24"/>
    </row>
    <row r="18" spans="1:31" s="4" customFormat="1" ht="21" customHeight="1" thickBot="1">
      <c r="A18" s="41" t="s">
        <v>213</v>
      </c>
      <c r="B18" s="312" t="s">
        <v>213</v>
      </c>
      <c r="C18" s="312" t="s">
        <v>214</v>
      </c>
      <c r="D18" s="54">
        <v>300</v>
      </c>
      <c r="E18" s="54">
        <f>I18</f>
        <v>480</v>
      </c>
      <c r="F18" s="54"/>
      <c r="G18" s="54"/>
      <c r="H18" s="54"/>
      <c r="I18" s="54">
        <f>AB19/1000</f>
        <v>480</v>
      </c>
      <c r="J18" s="54"/>
      <c r="K18" s="44">
        <f>E18-D18</f>
        <v>180</v>
      </c>
      <c r="L18" s="45">
        <f>IF(D18=0,0,K18/D18)</f>
        <v>0.6</v>
      </c>
      <c r="M18" s="46" t="s">
        <v>210</v>
      </c>
      <c r="N18" s="286"/>
      <c r="O18" s="220"/>
      <c r="P18" s="220"/>
      <c r="Q18" s="85"/>
      <c r="R18" s="86"/>
      <c r="S18" s="248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480000</v>
      </c>
      <c r="AC18" s="115" t="s">
        <v>25</v>
      </c>
      <c r="AD18" s="284"/>
      <c r="AE18" s="285"/>
    </row>
    <row r="19" spans="1:31" ht="21" customHeight="1">
      <c r="A19" s="51"/>
      <c r="B19" s="312"/>
      <c r="C19" s="312" t="s">
        <v>213</v>
      </c>
      <c r="D19" s="54"/>
      <c r="E19" s="54"/>
      <c r="F19" s="54"/>
      <c r="G19" s="54"/>
      <c r="H19" s="54"/>
      <c r="I19" s="54"/>
      <c r="J19" s="54"/>
      <c r="K19" s="55"/>
      <c r="L19" s="35"/>
      <c r="M19" s="310" t="s">
        <v>212</v>
      </c>
      <c r="N19" s="221"/>
      <c r="O19" s="220"/>
      <c r="P19" s="220"/>
      <c r="Q19" s="85"/>
      <c r="R19" s="86"/>
      <c r="S19" s="248"/>
      <c r="T19" s="91"/>
      <c r="U19" s="249"/>
      <c r="V19" s="250"/>
      <c r="W19" s="234"/>
      <c r="X19" s="234"/>
      <c r="Y19" s="234"/>
      <c r="Z19" s="309"/>
      <c r="AA19" s="84"/>
      <c r="AB19" s="84">
        <v>480000</v>
      </c>
      <c r="AC19" s="64" t="s">
        <v>209</v>
      </c>
      <c r="AD19" s="23"/>
      <c r="AE19" s="24"/>
    </row>
    <row r="20" spans="1:31" s="4" customFormat="1" ht="21" customHeight="1">
      <c r="A20" s="51"/>
      <c r="B20" s="312"/>
      <c r="C20" s="312"/>
      <c r="D20" s="54"/>
      <c r="E20" s="54"/>
      <c r="F20" s="54"/>
      <c r="G20" s="54"/>
      <c r="H20" s="54"/>
      <c r="I20" s="54"/>
      <c r="J20" s="54"/>
      <c r="K20" s="55"/>
      <c r="L20" s="87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116"/>
      <c r="AC20" s="64"/>
      <c r="AD20" s="7"/>
    </row>
    <row r="21" spans="1:31" ht="21" customHeight="1" thickBot="1">
      <c r="A21" s="41" t="s">
        <v>14</v>
      </c>
      <c r="B21" s="311" t="s">
        <v>14</v>
      </c>
      <c r="C21" s="311" t="s">
        <v>77</v>
      </c>
      <c r="D21" s="43">
        <v>6823</v>
      </c>
      <c r="E21" s="43">
        <f>SUM(F21:J21)</f>
        <v>6822.7460000000001</v>
      </c>
      <c r="F21" s="43">
        <f>AB23/1000</f>
        <v>6.6989999999999998</v>
      </c>
      <c r="G21" s="43">
        <f>ROUND(SUM(AB22),-3)/1000</f>
        <v>10</v>
      </c>
      <c r="H21" s="43">
        <f>AB24/1000</f>
        <v>5722.2510000000002</v>
      </c>
      <c r="I21" s="43">
        <f>AB26/1000</f>
        <v>720.00099999999998</v>
      </c>
      <c r="J21" s="43">
        <f>AB25/1000</f>
        <v>363.79500000000002</v>
      </c>
      <c r="K21" s="44">
        <f>E21-D21</f>
        <v>-0.25399999999990541</v>
      </c>
      <c r="L21" s="45">
        <f>IF(D21=0,0,K21/D21)</f>
        <v>-3.7227026234780219E-5</v>
      </c>
      <c r="M21" s="46" t="s">
        <v>211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SUM(AB22:AB26)</f>
        <v>6822746</v>
      </c>
      <c r="AC21" s="115" t="s">
        <v>25</v>
      </c>
    </row>
    <row r="22" spans="1:31" ht="21" customHeight="1">
      <c r="A22" s="51"/>
      <c r="B22" s="312"/>
      <c r="C22" s="312" t="s">
        <v>219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276</v>
      </c>
      <c r="N22" s="310"/>
      <c r="O22" s="309"/>
      <c r="P22" s="309"/>
      <c r="Q22" s="309"/>
      <c r="R22" s="309"/>
      <c r="S22" s="309"/>
      <c r="T22" s="309"/>
      <c r="U22" s="60"/>
      <c r="V22" s="60"/>
      <c r="W22" s="60"/>
      <c r="X22" s="309"/>
      <c r="Y22" s="309"/>
      <c r="Z22" s="309"/>
      <c r="AA22" s="84"/>
      <c r="AB22" s="84">
        <v>10000</v>
      </c>
      <c r="AC22" s="64" t="s">
        <v>158</v>
      </c>
    </row>
    <row r="23" spans="1:31" ht="21" customHeight="1">
      <c r="A23" s="51"/>
      <c r="B23" s="312"/>
      <c r="C23" s="312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304</v>
      </c>
      <c r="N23" s="310"/>
      <c r="O23" s="309"/>
      <c r="P23" s="309"/>
      <c r="Q23" s="309"/>
      <c r="R23" s="36"/>
      <c r="S23" s="309"/>
      <c r="T23" s="309"/>
      <c r="U23" s="309"/>
      <c r="V23" s="309"/>
      <c r="W23" s="309"/>
      <c r="X23" s="309"/>
      <c r="Y23" s="309"/>
      <c r="Z23" s="309"/>
      <c r="AA23" s="309"/>
      <c r="AB23" s="309">
        <v>6699</v>
      </c>
      <c r="AC23" s="64" t="s">
        <v>158</v>
      </c>
    </row>
    <row r="24" spans="1:31" ht="21" customHeight="1">
      <c r="A24" s="51"/>
      <c r="B24" s="312"/>
      <c r="C24" s="312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301</v>
      </c>
      <c r="N24" s="347"/>
      <c r="O24" s="346"/>
      <c r="P24" s="346"/>
      <c r="Q24" s="346"/>
      <c r="R24" s="36"/>
      <c r="S24" s="346"/>
      <c r="T24" s="346"/>
      <c r="U24" s="346"/>
      <c r="V24" s="346"/>
      <c r="W24" s="346"/>
      <c r="X24" s="346"/>
      <c r="Y24" s="346"/>
      <c r="Z24" s="346"/>
      <c r="AA24" s="346"/>
      <c r="AB24" s="346">
        <v>5722251</v>
      </c>
      <c r="AC24" s="64" t="s">
        <v>57</v>
      </c>
    </row>
    <row r="25" spans="1:31" ht="21" customHeight="1">
      <c r="A25" s="51"/>
      <c r="B25" s="312"/>
      <c r="C25" s="312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302</v>
      </c>
      <c r="N25" s="347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>
        <v>363795</v>
      </c>
      <c r="AC25" s="64" t="s">
        <v>57</v>
      </c>
    </row>
    <row r="26" spans="1:31" ht="21" customHeight="1">
      <c r="A26" s="51"/>
      <c r="B26" s="312"/>
      <c r="C26" s="312"/>
      <c r="D26" s="54"/>
      <c r="E26" s="54"/>
      <c r="F26" s="54"/>
      <c r="G26" s="54"/>
      <c r="H26" s="54"/>
      <c r="I26" s="54"/>
      <c r="J26" s="54"/>
      <c r="K26" s="55"/>
      <c r="L26" s="87"/>
      <c r="M26" s="83" t="s">
        <v>303</v>
      </c>
      <c r="N26" s="347"/>
      <c r="O26" s="346"/>
      <c r="P26" s="346"/>
      <c r="Q26" s="346"/>
      <c r="R26" s="36"/>
      <c r="S26" s="346"/>
      <c r="T26" s="346"/>
      <c r="U26" s="346"/>
      <c r="V26" s="346"/>
      <c r="W26" s="346"/>
      <c r="X26" s="346"/>
      <c r="Y26" s="346"/>
      <c r="Z26" s="346"/>
      <c r="AA26" s="346"/>
      <c r="AB26" s="346">
        <v>720001</v>
      </c>
      <c r="AC26" s="64" t="s">
        <v>57</v>
      </c>
    </row>
    <row r="27" spans="1:31" ht="21" customHeight="1">
      <c r="A27" s="41" t="s">
        <v>78</v>
      </c>
      <c r="B27" s="108" t="s">
        <v>16</v>
      </c>
      <c r="C27" s="108" t="s">
        <v>79</v>
      </c>
      <c r="D27" s="43">
        <v>32</v>
      </c>
      <c r="E27" s="43">
        <f t="shared" ref="E27:J27" si="2">E34+E28+E30</f>
        <v>36</v>
      </c>
      <c r="F27" s="43">
        <f t="shared" si="2"/>
        <v>8</v>
      </c>
      <c r="G27" s="43">
        <f t="shared" si="2"/>
        <v>0</v>
      </c>
      <c r="H27" s="43">
        <f t="shared" si="2"/>
        <v>22</v>
      </c>
      <c r="I27" s="43">
        <f t="shared" si="2"/>
        <v>6</v>
      </c>
      <c r="J27" s="43">
        <f t="shared" si="2"/>
        <v>0</v>
      </c>
      <c r="K27" s="44">
        <f>E27-D27</f>
        <v>4</v>
      </c>
      <c r="L27" s="45">
        <f>IF(D27=0,0,K27/D27)</f>
        <v>0.125</v>
      </c>
      <c r="M27" s="67" t="s">
        <v>80</v>
      </c>
      <c r="N27" s="69"/>
      <c r="O27" s="48"/>
      <c r="P27" s="48"/>
      <c r="Q27" s="48"/>
      <c r="R27" s="48"/>
      <c r="S27" s="48"/>
      <c r="T27" s="48"/>
      <c r="U27" s="48" t="s">
        <v>116</v>
      </c>
      <c r="V27" s="48"/>
      <c r="W27" s="48"/>
      <c r="X27" s="48"/>
      <c r="Y27" s="48"/>
      <c r="Z27" s="48"/>
      <c r="AA27" s="49"/>
      <c r="AB27" s="49">
        <f>AB28+AB34+AB30</f>
        <v>36000</v>
      </c>
      <c r="AC27" s="50" t="s">
        <v>25</v>
      </c>
    </row>
    <row r="28" spans="1:31" ht="21" customHeight="1">
      <c r="A28" s="51"/>
      <c r="B28" s="120"/>
      <c r="C28" s="108" t="s">
        <v>121</v>
      </c>
      <c r="D28" s="43">
        <v>0</v>
      </c>
      <c r="E28" s="43">
        <f>SUM(F28:J28)</f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4">
        <f>E28-D28</f>
        <v>0</v>
      </c>
      <c r="L28" s="45">
        <f>IF(D28=0,0,K28/D28)</f>
        <v>0</v>
      </c>
      <c r="M28" s="121" t="s">
        <v>82</v>
      </c>
      <c r="N28" s="225"/>
      <c r="O28" s="224"/>
      <c r="P28" s="224"/>
      <c r="Q28" s="224"/>
      <c r="R28" s="224"/>
      <c r="S28" s="224"/>
      <c r="T28" s="224"/>
      <c r="U28" s="224" t="s">
        <v>117</v>
      </c>
      <c r="V28" s="224"/>
      <c r="W28" s="224"/>
      <c r="X28" s="224"/>
      <c r="Y28" s="224"/>
      <c r="Z28" s="224"/>
      <c r="AA28" s="118"/>
      <c r="AB28" s="118">
        <v>0</v>
      </c>
      <c r="AC28" s="119" t="s">
        <v>81</v>
      </c>
    </row>
    <row r="29" spans="1:31" s="12" customFormat="1" ht="19.5" customHeight="1">
      <c r="A29" s="70"/>
      <c r="B29" s="122"/>
      <c r="C29" s="66" t="s">
        <v>83</v>
      </c>
      <c r="D29" s="78"/>
      <c r="E29" s="78"/>
      <c r="F29" s="78"/>
      <c r="G29" s="78"/>
      <c r="H29" s="78"/>
      <c r="I29" s="78"/>
      <c r="J29" s="78"/>
      <c r="K29" s="79"/>
      <c r="L29" s="105"/>
      <c r="M29" s="8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90"/>
      <c r="AD29" s="6"/>
    </row>
    <row r="30" spans="1:31" ht="21" customHeight="1">
      <c r="A30" s="51"/>
      <c r="B30" s="120"/>
      <c r="C30" s="108" t="s">
        <v>284</v>
      </c>
      <c r="D30" s="43">
        <v>18</v>
      </c>
      <c r="E30" s="43">
        <f>SUM(F30:J30)</f>
        <v>21</v>
      </c>
      <c r="F30" s="43">
        <f>AB31/1000</f>
        <v>0</v>
      </c>
      <c r="G30" s="43">
        <v>0</v>
      </c>
      <c r="H30" s="43">
        <f>AB32/1000</f>
        <v>16</v>
      </c>
      <c r="I30" s="43">
        <f>AB33/1000</f>
        <v>5</v>
      </c>
      <c r="J30" s="43">
        <v>0</v>
      </c>
      <c r="K30" s="44">
        <f>E30-D30</f>
        <v>3</v>
      </c>
      <c r="L30" s="45">
        <f>IF(D30=0,0,K30/D30)</f>
        <v>0.16666666666666666</v>
      </c>
      <c r="M30" s="121" t="s">
        <v>263</v>
      </c>
      <c r="N30" s="225"/>
      <c r="O30" s="224"/>
      <c r="P30" s="224"/>
      <c r="Q30" s="224"/>
      <c r="R30" s="224"/>
      <c r="S30" s="224"/>
      <c r="T30" s="224"/>
      <c r="U30" s="224" t="s">
        <v>117</v>
      </c>
      <c r="V30" s="224"/>
      <c r="W30" s="224"/>
      <c r="X30" s="224"/>
      <c r="Y30" s="224"/>
      <c r="Z30" s="224"/>
      <c r="AA30" s="118"/>
      <c r="AB30" s="118">
        <f>AB31+AB32+AB33</f>
        <v>21000</v>
      </c>
      <c r="AC30" s="119" t="s">
        <v>57</v>
      </c>
    </row>
    <row r="31" spans="1:31" ht="21" customHeight="1">
      <c r="A31" s="51"/>
      <c r="B31" s="120"/>
      <c r="C31" s="348" t="s">
        <v>285</v>
      </c>
      <c r="D31" s="54"/>
      <c r="E31" s="54"/>
      <c r="F31" s="54"/>
      <c r="G31" s="54"/>
      <c r="H31" s="54"/>
      <c r="I31" s="54"/>
      <c r="J31" s="54"/>
      <c r="K31" s="55"/>
      <c r="L31" s="37"/>
      <c r="M31" s="261" t="s">
        <v>265</v>
      </c>
      <c r="N31" s="343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84"/>
      <c r="AB31" s="84">
        <v>0</v>
      </c>
      <c r="AC31" s="64" t="s">
        <v>25</v>
      </c>
    </row>
    <row r="32" spans="1:31" ht="21" customHeight="1">
      <c r="A32" s="51"/>
      <c r="B32" s="120"/>
      <c r="C32" s="348"/>
      <c r="D32" s="54"/>
      <c r="E32" s="54"/>
      <c r="F32" s="54"/>
      <c r="G32" s="54"/>
      <c r="H32" s="54"/>
      <c r="I32" s="54"/>
      <c r="J32" s="54"/>
      <c r="K32" s="55"/>
      <c r="L32" s="37"/>
      <c r="M32" s="83" t="s">
        <v>266</v>
      </c>
      <c r="N32" s="343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84"/>
      <c r="AB32" s="84">
        <v>16000</v>
      </c>
      <c r="AC32" s="64" t="s">
        <v>25</v>
      </c>
    </row>
    <row r="33" spans="1:30" s="12" customFormat="1" ht="19.5" customHeight="1">
      <c r="A33" s="70"/>
      <c r="B33" s="122"/>
      <c r="C33" s="66"/>
      <c r="D33" s="78"/>
      <c r="E33" s="78"/>
      <c r="F33" s="78"/>
      <c r="G33" s="78"/>
      <c r="H33" s="78"/>
      <c r="I33" s="78"/>
      <c r="J33" s="78"/>
      <c r="K33" s="79"/>
      <c r="L33" s="105"/>
      <c r="M33" s="88" t="s">
        <v>267</v>
      </c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>
        <v>5000</v>
      </c>
      <c r="AC33" s="64" t="s">
        <v>25</v>
      </c>
      <c r="AD33" s="6"/>
    </row>
    <row r="34" spans="1:30" ht="21" customHeight="1">
      <c r="A34" s="51"/>
      <c r="B34" s="312"/>
      <c r="C34" s="312" t="s">
        <v>120</v>
      </c>
      <c r="D34" s="54">
        <v>14</v>
      </c>
      <c r="E34" s="43">
        <f>SUM(F34:J34)</f>
        <v>15</v>
      </c>
      <c r="F34" s="43">
        <f>AB35/1000</f>
        <v>8</v>
      </c>
      <c r="G34" s="43">
        <v>0</v>
      </c>
      <c r="H34" s="43">
        <f>AB36/1000</f>
        <v>6</v>
      </c>
      <c r="I34" s="43">
        <f>AB37/1000</f>
        <v>1</v>
      </c>
      <c r="J34" s="43">
        <v>0</v>
      </c>
      <c r="K34" s="55">
        <f>E34-D34</f>
        <v>1</v>
      </c>
      <c r="L34" s="45">
        <f>IF(D34=0,0,K34/D34)</f>
        <v>7.1428571428571425E-2</v>
      </c>
      <c r="M34" s="123" t="s">
        <v>84</v>
      </c>
      <c r="N34" s="221"/>
      <c r="O34" s="220"/>
      <c r="P34" s="220"/>
      <c r="Q34" s="220"/>
      <c r="R34" s="220"/>
      <c r="S34" s="220"/>
      <c r="T34" s="220"/>
      <c r="U34" s="220" t="s">
        <v>117</v>
      </c>
      <c r="V34" s="220"/>
      <c r="W34" s="220"/>
      <c r="X34" s="220"/>
      <c r="Y34" s="220"/>
      <c r="Z34" s="220"/>
      <c r="AA34" s="58"/>
      <c r="AB34" s="58">
        <f>AB35+AB36+AB37</f>
        <v>15000</v>
      </c>
      <c r="AC34" s="40" t="s">
        <v>25</v>
      </c>
    </row>
    <row r="35" spans="1:30" ht="21" customHeight="1">
      <c r="A35" s="51"/>
      <c r="B35" s="340"/>
      <c r="C35" s="340" t="s">
        <v>264</v>
      </c>
      <c r="D35" s="54"/>
      <c r="E35" s="54"/>
      <c r="F35" s="54"/>
      <c r="G35" s="54"/>
      <c r="H35" s="54"/>
      <c r="I35" s="54"/>
      <c r="J35" s="54"/>
      <c r="K35" s="55"/>
      <c r="L35" s="37"/>
      <c r="M35" s="261" t="s">
        <v>268</v>
      </c>
      <c r="N35" s="343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84"/>
      <c r="AB35" s="84">
        <v>8000</v>
      </c>
      <c r="AC35" s="64" t="s">
        <v>25</v>
      </c>
    </row>
    <row r="36" spans="1:30" ht="21" customHeight="1">
      <c r="A36" s="51"/>
      <c r="B36" s="340"/>
      <c r="C36" s="340"/>
      <c r="D36" s="54"/>
      <c r="E36" s="54"/>
      <c r="F36" s="54"/>
      <c r="G36" s="54"/>
      <c r="H36" s="54"/>
      <c r="I36" s="54"/>
      <c r="J36" s="54"/>
      <c r="K36" s="55"/>
      <c r="L36" s="37"/>
      <c r="M36" s="83" t="s">
        <v>269</v>
      </c>
      <c r="N36" s="343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84"/>
      <c r="AB36" s="84">
        <v>6000</v>
      </c>
      <c r="AC36" s="64" t="s">
        <v>25</v>
      </c>
    </row>
    <row r="37" spans="1:30" s="12" customFormat="1" ht="19.5" customHeight="1" thickBot="1">
      <c r="A37" s="321"/>
      <c r="B37" s="125"/>
      <c r="C37" s="126"/>
      <c r="D37" s="127"/>
      <c r="E37" s="127"/>
      <c r="F37" s="127"/>
      <c r="G37" s="127"/>
      <c r="H37" s="127"/>
      <c r="I37" s="127"/>
      <c r="J37" s="127"/>
      <c r="K37" s="128"/>
      <c r="L37" s="129"/>
      <c r="M37" s="80" t="s">
        <v>270</v>
      </c>
      <c r="N37" s="82"/>
      <c r="O37" s="82"/>
      <c r="P37" s="82"/>
      <c r="Q37" s="82"/>
      <c r="R37" s="82"/>
      <c r="S37" s="82"/>
      <c r="T37" s="82"/>
      <c r="U37" s="554"/>
      <c r="V37" s="554"/>
      <c r="W37" s="82"/>
      <c r="X37" s="82"/>
      <c r="Y37" s="82"/>
      <c r="Z37" s="82"/>
      <c r="AA37" s="82"/>
      <c r="AB37" s="82">
        <v>1000</v>
      </c>
      <c r="AC37" s="349" t="s">
        <v>25</v>
      </c>
      <c r="AD37" s="6"/>
    </row>
    <row r="48" spans="1:30" ht="19.5" customHeight="1">
      <c r="AD48" s="6" t="s">
        <v>64</v>
      </c>
    </row>
  </sheetData>
  <mergeCells count="9">
    <mergeCell ref="B7:C7"/>
    <mergeCell ref="U37:V37"/>
    <mergeCell ref="K2:L2"/>
    <mergeCell ref="M2:AC3"/>
    <mergeCell ref="A1:C1"/>
    <mergeCell ref="A2:C2"/>
    <mergeCell ref="D2:D3"/>
    <mergeCell ref="E2:J2"/>
    <mergeCell ref="A4:C4"/>
  </mergeCells>
  <phoneticPr fontId="5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differentOddEven="1" differentFirst="1">
    <oddFooter>&amp;R&amp;10장애인공동생활가정 마르따의 집</oddFooter>
    <evenFooter>&amp;R장애인공동생활가정 마르따의 집</evenFooter>
    <firstFooter>&amp;R&amp;10장애인공동생활가정 마르따의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75"/>
  <sheetViews>
    <sheetView tabSelected="1" zoomScale="80" zoomScaleNormal="80" zoomScaleSheetLayoutView="75" workbookViewId="0">
      <pane xSplit="4" ySplit="5" topLeftCell="M99" activePane="bottomRight" state="frozen"/>
      <selection pane="topRight" activeCell="E1" sqref="E1"/>
      <selection pane="bottomLeft" activeCell="A6" sqref="A6"/>
      <selection pane="bottomRight" activeCell="Q18" sqref="Q18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4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559" t="s">
        <v>260</v>
      </c>
      <c r="B1" s="559"/>
      <c r="C1" s="559"/>
      <c r="D1" s="130"/>
      <c r="E1" s="130"/>
      <c r="F1" s="130"/>
      <c r="G1" s="130"/>
      <c r="H1" s="130"/>
      <c r="I1" s="130"/>
      <c r="J1" s="130"/>
      <c r="K1" s="130"/>
      <c r="L1" s="197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560" t="s">
        <v>22</v>
      </c>
      <c r="B2" s="561"/>
      <c r="C2" s="561"/>
      <c r="D2" s="562" t="s">
        <v>460</v>
      </c>
      <c r="E2" s="564" t="s">
        <v>461</v>
      </c>
      <c r="F2" s="565"/>
      <c r="G2" s="565"/>
      <c r="H2" s="565"/>
      <c r="I2" s="565"/>
      <c r="J2" s="565"/>
      <c r="K2" s="555" t="s">
        <v>23</v>
      </c>
      <c r="L2" s="555"/>
      <c r="M2" s="575" t="s">
        <v>54</v>
      </c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77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563"/>
      <c r="E3" s="186" t="s">
        <v>123</v>
      </c>
      <c r="F3" s="304" t="s">
        <v>232</v>
      </c>
      <c r="G3" s="235" t="s">
        <v>159</v>
      </c>
      <c r="H3" s="186" t="s">
        <v>113</v>
      </c>
      <c r="I3" s="280" t="s">
        <v>213</v>
      </c>
      <c r="J3" s="186" t="s">
        <v>115</v>
      </c>
      <c r="K3" s="185" t="s">
        <v>124</v>
      </c>
      <c r="L3" s="131" t="s">
        <v>4</v>
      </c>
      <c r="M3" s="578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79"/>
      <c r="Y3" s="579"/>
      <c r="Z3" s="579"/>
      <c r="AA3" s="579"/>
      <c r="AB3" s="579"/>
      <c r="AC3" s="579"/>
      <c r="AD3" s="580"/>
    </row>
    <row r="4" spans="1:33" s="12" customFormat="1" ht="21" customHeight="1">
      <c r="A4" s="589" t="s">
        <v>32</v>
      </c>
      <c r="B4" s="590"/>
      <c r="C4" s="590"/>
      <c r="D4" s="194">
        <v>65680</v>
      </c>
      <c r="E4" s="194">
        <f>SUM(F4,G4,H4,J4,I4)</f>
        <v>64668.125999999997</v>
      </c>
      <c r="F4" s="194">
        <f>SUM(F5,F91,F105,F164,F168,F172)</f>
        <v>48144.699000000001</v>
      </c>
      <c r="G4" s="194">
        <f>SUM(G5,G91,G105,G164,G168,G172)</f>
        <v>2009.38</v>
      </c>
      <c r="H4" s="194">
        <f>SUM(H5,H91,H105,H164,H168,H172)</f>
        <v>12944.251</v>
      </c>
      <c r="I4" s="194">
        <f>SUM(I5,I91,I105,I164,I168,I172)</f>
        <v>1206.001</v>
      </c>
      <c r="J4" s="194">
        <f>SUM(J5,J91,J105,J164,J168,J172)</f>
        <v>363.79500000000002</v>
      </c>
      <c r="K4" s="193">
        <f>E4-D4</f>
        <v>-1011.8740000000034</v>
      </c>
      <c r="L4" s="195">
        <f>IF(D4=0,0,K4/D4)</f>
        <v>-1.5406120584652915E-2</v>
      </c>
      <c r="M4" s="351" t="s">
        <v>139</v>
      </c>
      <c r="N4" s="352"/>
      <c r="O4" s="352"/>
      <c r="P4" s="352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>
        <f>SUM(AC5,AC91,AC105,AC164,AC172)</f>
        <v>64668126</v>
      </c>
      <c r="AD4" s="354" t="s">
        <v>25</v>
      </c>
      <c r="AE4" s="2"/>
    </row>
    <row r="5" spans="1:33" s="12" customFormat="1" ht="21" customHeight="1">
      <c r="A5" s="136" t="s">
        <v>6</v>
      </c>
      <c r="B5" s="587" t="s">
        <v>7</v>
      </c>
      <c r="C5" s="588"/>
      <c r="D5" s="191">
        <v>41581</v>
      </c>
      <c r="E5" s="191">
        <f>SUM(E6,E49,E58)</f>
        <v>41013.54</v>
      </c>
      <c r="F5" s="191">
        <f>SUM(F6,F49,F58)</f>
        <v>37941.24</v>
      </c>
      <c r="G5" s="191">
        <f>SUM(G6,G49,G58)</f>
        <v>1200</v>
      </c>
      <c r="H5" s="191">
        <f>SUM(H6,H49,H58)</f>
        <v>1849.72</v>
      </c>
      <c r="I5" s="191">
        <f>SUM(I6,I49,I58)</f>
        <v>0</v>
      </c>
      <c r="J5" s="191">
        <f>J6+J49+J58</f>
        <v>22.5</v>
      </c>
      <c r="K5" s="132">
        <f>E5-D5</f>
        <v>-567.45999999999913</v>
      </c>
      <c r="L5" s="196">
        <f>IF(D5=0,0,K5/D5)</f>
        <v>-1.3647098434381066E-2</v>
      </c>
      <c r="M5" s="355" t="s">
        <v>138</v>
      </c>
      <c r="N5" s="355"/>
      <c r="O5" s="355"/>
      <c r="P5" s="355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>
        <f>SUM(AC6,AC49,AC58)</f>
        <v>41013460</v>
      </c>
      <c r="AD5" s="357" t="s">
        <v>25</v>
      </c>
      <c r="AE5" s="2"/>
    </row>
    <row r="6" spans="1:33" s="12" customFormat="1" ht="21" customHeight="1">
      <c r="A6" s="51"/>
      <c r="B6" s="42" t="s">
        <v>8</v>
      </c>
      <c r="C6" s="199" t="s">
        <v>5</v>
      </c>
      <c r="D6" s="198">
        <v>34385</v>
      </c>
      <c r="E6" s="198">
        <f>SUM(E7,E46,E11,E27,E31)</f>
        <v>34205.040000000001</v>
      </c>
      <c r="F6" s="198">
        <f>F7+F11+F27+F31</f>
        <v>33005.040000000001</v>
      </c>
      <c r="G6" s="198">
        <f>SUM(G7,G11,G27,G31,G46)</f>
        <v>1200</v>
      </c>
      <c r="H6" s="198">
        <f>SUM(H7,H11,H27,H31)</f>
        <v>0</v>
      </c>
      <c r="I6" s="198">
        <v>0</v>
      </c>
      <c r="J6" s="198">
        <f>SUM(J7,J11,J27,J31)</f>
        <v>0</v>
      </c>
      <c r="K6" s="200">
        <f>E6-D6</f>
        <v>-179.95999999999913</v>
      </c>
      <c r="L6" s="201">
        <f>IF(D6=0,0,K6/D6)</f>
        <v>-5.2336774756434239E-3</v>
      </c>
      <c r="M6" s="202" t="s">
        <v>137</v>
      </c>
      <c r="N6" s="202"/>
      <c r="O6" s="202"/>
      <c r="P6" s="202"/>
      <c r="Q6" s="203"/>
      <c r="R6" s="276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>
        <f>SUM(AC7,AC11,AC27,AC31)</f>
        <v>34205040</v>
      </c>
      <c r="AD6" s="204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21888</v>
      </c>
      <c r="E7" s="138">
        <f>F7</f>
        <v>21888</v>
      </c>
      <c r="F7" s="138">
        <f>AC7/1000</f>
        <v>21888</v>
      </c>
      <c r="G7" s="138">
        <v>0</v>
      </c>
      <c r="H7" s="138">
        <v>0</v>
      </c>
      <c r="I7" s="138"/>
      <c r="J7" s="138">
        <v>0</v>
      </c>
      <c r="K7" s="137">
        <f>E7-D7</f>
        <v>0</v>
      </c>
      <c r="L7" s="145">
        <f>IF(D7=0,0,K7/D7)</f>
        <v>0</v>
      </c>
      <c r="M7" s="239" t="s">
        <v>85</v>
      </c>
      <c r="N7" s="239"/>
      <c r="O7" s="225"/>
      <c r="P7" s="225"/>
      <c r="Q7" s="225"/>
      <c r="R7" s="225"/>
      <c r="S7" s="224"/>
      <c r="T7" s="224"/>
      <c r="U7" s="224"/>
      <c r="V7" s="238" t="s">
        <v>125</v>
      </c>
      <c r="W7" s="238"/>
      <c r="X7" s="238"/>
      <c r="Y7" s="238"/>
      <c r="Z7" s="238"/>
      <c r="AA7" s="238"/>
      <c r="AB7" s="205"/>
      <c r="AC7" s="205">
        <f>SUM(AC8:AC10)</f>
        <v>21888000</v>
      </c>
      <c r="AD7" s="204" t="s">
        <v>57</v>
      </c>
      <c r="AE7" s="1"/>
      <c r="AF7" s="368">
        <f>세입!AE9</f>
        <v>50154079</v>
      </c>
    </row>
    <row r="8" spans="1:33" s="12" customFormat="1" ht="21" customHeight="1">
      <c r="A8" s="51"/>
      <c r="B8" s="52"/>
      <c r="C8" s="52"/>
      <c r="D8" s="254"/>
      <c r="E8" s="254"/>
      <c r="F8" s="254"/>
      <c r="G8" s="254"/>
      <c r="H8" s="254"/>
      <c r="I8" s="254"/>
      <c r="J8" s="254"/>
      <c r="K8" s="133"/>
      <c r="L8" s="87"/>
      <c r="M8" s="85" t="s">
        <v>164</v>
      </c>
      <c r="N8" s="255" t="s">
        <v>286</v>
      </c>
      <c r="O8" s="236"/>
      <c r="P8" s="236"/>
      <c r="Q8" s="85">
        <v>1797000</v>
      </c>
      <c r="R8" s="85"/>
      <c r="S8" s="86" t="s">
        <v>160</v>
      </c>
      <c r="T8" s="86" t="s">
        <v>161</v>
      </c>
      <c r="U8" s="86">
        <v>1</v>
      </c>
      <c r="V8" s="86" t="s">
        <v>162</v>
      </c>
      <c r="W8" s="86" t="s">
        <v>161</v>
      </c>
      <c r="X8" s="256">
        <v>6</v>
      </c>
      <c r="Y8" s="86" t="s">
        <v>29</v>
      </c>
      <c r="Z8" s="86" t="s">
        <v>163</v>
      </c>
      <c r="AA8" s="338" t="s">
        <v>258</v>
      </c>
      <c r="AB8" s="84"/>
      <c r="AC8" s="84">
        <f t="shared" ref="AC8" si="0">Q8*U8*X8</f>
        <v>10782000</v>
      </c>
      <c r="AD8" s="64" t="s">
        <v>25</v>
      </c>
      <c r="AE8" s="1"/>
      <c r="AF8" s="14">
        <f>AC8+AC9+AC13+AC14+AC20+AC21+AC24+AC28+AC32+AC33+AC34+AC37+AC39+AC40+AC41+AC43+AC44+AC63+AC64+AC68+AC70+AC75+AC76+AC77+AC78+AC79+AC98+AC103+AC108+AC114+AC121+AC125+AC164+AC172+AC69+AC35</f>
        <v>50154079</v>
      </c>
      <c r="AG8" s="368">
        <f>AF7-AF8</f>
        <v>0</v>
      </c>
    </row>
    <row r="9" spans="1:33" s="12" customFormat="1" ht="21" customHeight="1">
      <c r="A9" s="51"/>
      <c r="B9" s="345"/>
      <c r="C9" s="345"/>
      <c r="D9" s="254"/>
      <c r="E9" s="254"/>
      <c r="F9" s="254"/>
      <c r="G9" s="254"/>
      <c r="H9" s="254"/>
      <c r="I9" s="254"/>
      <c r="J9" s="254"/>
      <c r="K9" s="133"/>
      <c r="L9" s="87"/>
      <c r="M9" s="85"/>
      <c r="N9" s="255" t="s">
        <v>287</v>
      </c>
      <c r="O9" s="350"/>
      <c r="P9" s="350"/>
      <c r="Q9" s="85">
        <v>1851000</v>
      </c>
      <c r="R9" s="85"/>
      <c r="S9" s="86" t="s">
        <v>25</v>
      </c>
      <c r="T9" s="86" t="s">
        <v>26</v>
      </c>
      <c r="U9" s="86">
        <v>1</v>
      </c>
      <c r="V9" s="86" t="s">
        <v>142</v>
      </c>
      <c r="W9" s="86" t="s">
        <v>26</v>
      </c>
      <c r="X9" s="256">
        <v>6</v>
      </c>
      <c r="Y9" s="86" t="s">
        <v>29</v>
      </c>
      <c r="Z9" s="86" t="s">
        <v>27</v>
      </c>
      <c r="AA9" s="350" t="s">
        <v>277</v>
      </c>
      <c r="AB9" s="84"/>
      <c r="AC9" s="84">
        <f t="shared" ref="AC9" si="1">Q9*U9*X9</f>
        <v>11106000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5"/>
      <c r="O10" s="236"/>
      <c r="P10" s="236"/>
      <c r="Q10" s="85"/>
      <c r="R10" s="85"/>
      <c r="S10" s="86"/>
      <c r="T10" s="86"/>
      <c r="U10" s="86"/>
      <c r="V10" s="86"/>
      <c r="W10" s="86"/>
      <c r="X10" s="256"/>
      <c r="Y10" s="86"/>
      <c r="Z10" s="86"/>
      <c r="AA10" s="338"/>
      <c r="AB10" s="84"/>
      <c r="AC10" s="84"/>
      <c r="AD10" s="64"/>
      <c r="AE10" s="1"/>
      <c r="AF10" s="368">
        <f>세입!AE11</f>
        <v>12944251</v>
      </c>
    </row>
    <row r="11" spans="1:33" s="12" customFormat="1" ht="21" customHeight="1">
      <c r="A11" s="51"/>
      <c r="B11" s="52"/>
      <c r="C11" s="42" t="s">
        <v>34</v>
      </c>
      <c r="D11" s="138">
        <v>7314</v>
      </c>
      <c r="E11" s="138">
        <f>F11+G11+H11+J11</f>
        <v>7314.3</v>
      </c>
      <c r="F11" s="138">
        <f>SUM(명절휴가비,AC16,AC19)/1000</f>
        <v>6114.3</v>
      </c>
      <c r="G11" s="138">
        <f>SUM(AC23)/1000</f>
        <v>1200</v>
      </c>
      <c r="H11" s="138">
        <v>0</v>
      </c>
      <c r="I11" s="138">
        <v>0</v>
      </c>
      <c r="J11" s="138">
        <f>0</f>
        <v>0</v>
      </c>
      <c r="K11" s="137">
        <f>E11-D11</f>
        <v>0.3000000000001819</v>
      </c>
      <c r="L11" s="145">
        <f>IF(D11=0,0,K11/D11)</f>
        <v>4.1017227235463753E-5</v>
      </c>
      <c r="M11" s="121" t="s">
        <v>35</v>
      </c>
      <c r="N11" s="202"/>
      <c r="O11" s="117"/>
      <c r="P11" s="117"/>
      <c r="Q11" s="117"/>
      <c r="R11" s="225"/>
      <c r="S11" s="110"/>
      <c r="T11" s="110"/>
      <c r="U11" s="110"/>
      <c r="V11" s="203" t="s">
        <v>125</v>
      </c>
      <c r="W11" s="203"/>
      <c r="X11" s="203"/>
      <c r="Y11" s="203"/>
      <c r="Z11" s="203"/>
      <c r="AA11" s="203"/>
      <c r="AB11" s="205"/>
      <c r="AC11" s="205">
        <f>SUM(명절휴가비,연장근로수당,AC16,AC23)</f>
        <v>7314300</v>
      </c>
      <c r="AD11" s="204" t="s">
        <v>57</v>
      </c>
      <c r="AE11" s="1"/>
      <c r="AF11" s="368">
        <f>AC51+AC57+AC65+AC71+AC72+AC80+AC81+AC82+AC83+AC85+AC89+AC99+AC100+AC109+AC110+AC115+AC118+AC122+AC126+AC131+AC132+AC133+AC134+AC135+AC136+AC139+AC142+AC145+AC148+AC149+AC150+AC151+AC155+AC158+AC159+AC162+AC163</f>
        <v>12944251</v>
      </c>
      <c r="AG11" s="368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7" t="s">
        <v>257</v>
      </c>
      <c r="N12" s="153"/>
      <c r="O12" s="153"/>
      <c r="P12" s="153"/>
      <c r="Q12" s="153"/>
      <c r="R12" s="279"/>
      <c r="S12" s="152"/>
      <c r="T12" s="152"/>
      <c r="U12" s="152"/>
      <c r="V12" s="162" t="s">
        <v>72</v>
      </c>
      <c r="W12" s="162"/>
      <c r="X12" s="162"/>
      <c r="Y12" s="162"/>
      <c r="Z12" s="162"/>
      <c r="AA12" s="162"/>
      <c r="AB12" s="89" t="s">
        <v>90</v>
      </c>
      <c r="AC12" s="89">
        <f>SUM(AC13:AC14)</f>
        <v>2188800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61" t="s">
        <v>201</v>
      </c>
      <c r="N13" s="274" t="str">
        <f>N8</f>
        <v>1호</v>
      </c>
      <c r="O13" s="153"/>
      <c r="P13" s="153"/>
      <c r="Q13" s="85">
        <f>Q8</f>
        <v>1797000</v>
      </c>
      <c r="R13" s="85"/>
      <c r="S13" s="86" t="s">
        <v>160</v>
      </c>
      <c r="T13" s="86" t="s">
        <v>161</v>
      </c>
      <c r="U13" s="257">
        <v>1</v>
      </c>
      <c r="V13" s="86" t="s">
        <v>161</v>
      </c>
      <c r="W13" s="258">
        <v>0.6</v>
      </c>
      <c r="X13" s="259">
        <v>1</v>
      </c>
      <c r="Y13" s="260" t="s">
        <v>165</v>
      </c>
      <c r="Z13" s="86" t="s">
        <v>163</v>
      </c>
      <c r="AA13" s="338" t="s">
        <v>258</v>
      </c>
      <c r="AB13" s="84"/>
      <c r="AC13" s="84">
        <f t="shared" ref="AC13" si="2">Q13*U13*W13*X13</f>
        <v>1078200</v>
      </c>
      <c r="AD13" s="64" t="s">
        <v>160</v>
      </c>
      <c r="AE13" s="18"/>
      <c r="AF13" s="368">
        <f>세입!AE13</f>
        <v>1206001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30" t="s">
        <v>253</v>
      </c>
      <c r="N14" s="274" t="str">
        <f>N9</f>
        <v>2호</v>
      </c>
      <c r="O14" s="153"/>
      <c r="P14" s="153"/>
      <c r="Q14" s="85">
        <f>Q9</f>
        <v>1851000</v>
      </c>
      <c r="R14" s="85"/>
      <c r="S14" s="86" t="s">
        <v>160</v>
      </c>
      <c r="T14" s="86" t="s">
        <v>161</v>
      </c>
      <c r="U14" s="257">
        <v>1</v>
      </c>
      <c r="V14" s="86" t="s">
        <v>161</v>
      </c>
      <c r="W14" s="258">
        <v>0.6</v>
      </c>
      <c r="X14" s="259">
        <v>1</v>
      </c>
      <c r="Y14" s="260" t="s">
        <v>29</v>
      </c>
      <c r="Z14" s="86" t="s">
        <v>163</v>
      </c>
      <c r="AA14" s="338" t="s">
        <v>258</v>
      </c>
      <c r="AB14" s="84"/>
      <c r="AC14" s="84">
        <f>Q14*U14*W14*X14</f>
        <v>1110600</v>
      </c>
      <c r="AD14" s="64" t="s">
        <v>160</v>
      </c>
      <c r="AE14" s="18"/>
      <c r="AF14" s="14">
        <f>AC111+AC119</f>
        <v>1206001</v>
      </c>
      <c r="AG14" s="368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70"/>
      <c r="N15" s="274"/>
      <c r="O15" s="270"/>
      <c r="P15" s="270"/>
      <c r="Q15" s="85"/>
      <c r="R15" s="85"/>
      <c r="S15" s="86"/>
      <c r="T15" s="86"/>
      <c r="U15" s="257"/>
      <c r="V15" s="86"/>
      <c r="W15" s="258"/>
      <c r="X15" s="259"/>
      <c r="Y15" s="260"/>
      <c r="Z15" s="86"/>
      <c r="AA15" s="269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6" t="s">
        <v>199</v>
      </c>
      <c r="N16" s="274"/>
      <c r="O16" s="270"/>
      <c r="P16" s="270"/>
      <c r="Q16" s="85"/>
      <c r="R16" s="85"/>
      <c r="S16" s="86"/>
      <c r="T16" s="86"/>
      <c r="U16" s="257"/>
      <c r="V16" s="265" t="s">
        <v>72</v>
      </c>
      <c r="W16" s="265"/>
      <c r="X16" s="265"/>
      <c r="Y16" s="265"/>
      <c r="Z16" s="265"/>
      <c r="AA16" s="265"/>
      <c r="AB16" s="89" t="s">
        <v>62</v>
      </c>
      <c r="AC16" s="89">
        <f>SUM(AC17:AC17)</f>
        <v>0</v>
      </c>
      <c r="AD16" s="90" t="s">
        <v>57</v>
      </c>
      <c r="AE16" s="18"/>
      <c r="AF16" s="368">
        <f>세입!AE15</f>
        <v>363795</v>
      </c>
    </row>
    <row r="17" spans="1:33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303" t="s">
        <v>228</v>
      </c>
      <c r="N17" s="274"/>
      <c r="O17" s="270"/>
      <c r="P17" s="270"/>
      <c r="Q17" s="85">
        <v>0</v>
      </c>
      <c r="R17" s="85"/>
      <c r="S17" s="86" t="s">
        <v>202</v>
      </c>
      <c r="T17" s="86"/>
      <c r="U17" s="257"/>
      <c r="V17" s="86"/>
      <c r="W17" s="258"/>
      <c r="X17" s="259">
        <v>12</v>
      </c>
      <c r="Y17" s="260" t="s">
        <v>203</v>
      </c>
      <c r="Z17" s="86"/>
      <c r="AA17" s="269"/>
      <c r="AB17" s="84"/>
      <c r="AC17" s="84">
        <f>Q17*X17</f>
        <v>0</v>
      </c>
      <c r="AD17" s="64" t="s">
        <v>204</v>
      </c>
      <c r="AE17" s="18"/>
      <c r="AF17" s="14">
        <f>AC60+AC112</f>
        <v>363795</v>
      </c>
      <c r="AG17" s="368">
        <f>AF16-AF17</f>
        <v>0</v>
      </c>
    </row>
    <row r="18" spans="1:33" s="12" customFormat="1" ht="21" customHeight="1">
      <c r="A18" s="51"/>
      <c r="B18" s="52"/>
      <c r="C18" s="52"/>
      <c r="D18" s="133"/>
      <c r="E18" s="133"/>
      <c r="F18" s="133"/>
      <c r="G18" s="133"/>
      <c r="H18" s="133"/>
      <c r="I18" s="133"/>
      <c r="J18" s="133"/>
      <c r="K18" s="133"/>
      <c r="L18" s="87"/>
      <c r="M18" s="189"/>
      <c r="N18" s="153"/>
      <c r="O18" s="153"/>
      <c r="P18" s="153"/>
      <c r="Q18" s="153"/>
      <c r="R18" s="279"/>
      <c r="S18" s="152"/>
      <c r="T18" s="152"/>
      <c r="U18" s="152"/>
      <c r="V18" s="152"/>
      <c r="W18" s="152"/>
      <c r="X18" s="152"/>
      <c r="Y18" s="152"/>
      <c r="Z18" s="152"/>
      <c r="AA18" s="152"/>
      <c r="AB18" s="84"/>
      <c r="AC18" s="84"/>
      <c r="AD18" s="64"/>
      <c r="AE18" s="18"/>
    </row>
    <row r="19" spans="1:33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323" t="s">
        <v>234</v>
      </c>
      <c r="N19" s="153"/>
      <c r="O19" s="153"/>
      <c r="P19" s="153"/>
      <c r="Q19" s="153"/>
      <c r="R19" s="279"/>
      <c r="S19" s="152"/>
      <c r="T19" s="152"/>
      <c r="U19" s="152"/>
      <c r="V19" s="162" t="s">
        <v>72</v>
      </c>
      <c r="W19" s="162"/>
      <c r="X19" s="162"/>
      <c r="Y19" s="162"/>
      <c r="Z19" s="162"/>
      <c r="AA19" s="162"/>
      <c r="AB19" s="89" t="s">
        <v>90</v>
      </c>
      <c r="AC19" s="89">
        <f>SUM(AC20:AC22)</f>
        <v>3925500</v>
      </c>
      <c r="AD19" s="90" t="s">
        <v>57</v>
      </c>
      <c r="AE19" s="18"/>
    </row>
    <row r="20" spans="1:33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189"/>
      <c r="N20" s="274" t="str">
        <f>N8</f>
        <v>1호</v>
      </c>
      <c r="O20" s="236"/>
      <c r="P20" s="236"/>
      <c r="Q20" s="85">
        <f>Q8</f>
        <v>1797000</v>
      </c>
      <c r="R20" s="86" t="s">
        <v>57</v>
      </c>
      <c r="S20" s="86" t="s">
        <v>58</v>
      </c>
      <c r="T20" s="248">
        <v>25</v>
      </c>
      <c r="U20" s="91" t="s">
        <v>58</v>
      </c>
      <c r="V20" s="249">
        <f>X8</f>
        <v>6</v>
      </c>
      <c r="W20" s="250">
        <v>1.5</v>
      </c>
      <c r="X20" s="234" t="s">
        <v>73</v>
      </c>
      <c r="Y20" s="234">
        <v>209</v>
      </c>
      <c r="Z20" s="234" t="s">
        <v>53</v>
      </c>
      <c r="AA20" s="338" t="s">
        <v>258</v>
      </c>
      <c r="AB20" s="84"/>
      <c r="AC20" s="84">
        <f>ROUNDDOWN((Q20*W20/Y20),-1)*25*V20</f>
        <v>1933500</v>
      </c>
      <c r="AD20" s="64" t="s">
        <v>57</v>
      </c>
      <c r="AE20" s="18"/>
    </row>
    <row r="21" spans="1:33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9"/>
      <c r="N21" s="274" t="s">
        <v>299</v>
      </c>
      <c r="O21" s="220"/>
      <c r="P21" s="220"/>
      <c r="Q21" s="85">
        <f>Q9</f>
        <v>1851000</v>
      </c>
      <c r="R21" s="86" t="s">
        <v>57</v>
      </c>
      <c r="S21" s="86" t="s">
        <v>58</v>
      </c>
      <c r="T21" s="248">
        <v>25</v>
      </c>
      <c r="U21" s="91" t="s">
        <v>58</v>
      </c>
      <c r="V21" s="249">
        <f>X9</f>
        <v>6</v>
      </c>
      <c r="W21" s="250">
        <v>1.5</v>
      </c>
      <c r="X21" s="234" t="s">
        <v>73</v>
      </c>
      <c r="Y21" s="234">
        <v>209</v>
      </c>
      <c r="Z21" s="234" t="s">
        <v>53</v>
      </c>
      <c r="AA21" s="338" t="s">
        <v>258</v>
      </c>
      <c r="AB21" s="84"/>
      <c r="AC21" s="84">
        <f>ROUNDDOWN((Q21*W21/Y21),-1)*25*V21</f>
        <v>1992000</v>
      </c>
      <c r="AD21" s="64" t="s">
        <v>57</v>
      </c>
      <c r="AE21" s="18"/>
    </row>
    <row r="22" spans="1:33" s="12" customFormat="1" ht="21" customHeight="1">
      <c r="A22" s="51"/>
      <c r="B22" s="52"/>
      <c r="C22" s="52"/>
      <c r="D22" s="133"/>
      <c r="E22" s="133"/>
      <c r="F22" s="133"/>
      <c r="G22" s="133"/>
      <c r="H22" s="133"/>
      <c r="I22" s="133"/>
      <c r="J22" s="133"/>
      <c r="K22" s="133"/>
      <c r="L22" s="87"/>
      <c r="M22" s="189"/>
      <c r="N22" s="56"/>
      <c r="O22" s="56"/>
      <c r="P22" s="56"/>
      <c r="Q22" s="85"/>
      <c r="R22" s="279"/>
      <c r="S22" s="57"/>
      <c r="T22" s="248"/>
      <c r="U22" s="91"/>
      <c r="V22" s="249"/>
      <c r="W22" s="250"/>
      <c r="X22" s="234"/>
      <c r="Y22" s="57"/>
      <c r="Z22" s="57"/>
      <c r="AA22" s="57"/>
      <c r="AB22" s="84"/>
      <c r="AC22" s="84"/>
      <c r="AD22" s="64"/>
      <c r="AE22" s="18"/>
    </row>
    <row r="23" spans="1:33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266" t="s">
        <v>200</v>
      </c>
      <c r="N23" s="56"/>
      <c r="O23" s="56"/>
      <c r="P23" s="56"/>
      <c r="Q23" s="56"/>
      <c r="R23" s="279"/>
      <c r="S23" s="57"/>
      <c r="T23" s="57"/>
      <c r="U23" s="57"/>
      <c r="V23" s="97" t="s">
        <v>91</v>
      </c>
      <c r="W23" s="97"/>
      <c r="X23" s="97"/>
      <c r="Y23" s="97"/>
      <c r="Z23" s="97"/>
      <c r="AA23" s="97"/>
      <c r="AB23" s="89" t="s">
        <v>93</v>
      </c>
      <c r="AC23" s="89">
        <f>SUM(AC24:AC25)</f>
        <v>1200000</v>
      </c>
      <c r="AD23" s="90" t="s">
        <v>92</v>
      </c>
      <c r="AE23" s="18"/>
    </row>
    <row r="24" spans="1:33" s="12" customFormat="1" ht="21" customHeight="1">
      <c r="A24" s="51"/>
      <c r="B24" s="322"/>
      <c r="C24" s="322"/>
      <c r="D24" s="133"/>
      <c r="E24" s="133"/>
      <c r="F24" s="133"/>
      <c r="G24" s="133"/>
      <c r="H24" s="133"/>
      <c r="I24" s="133"/>
      <c r="J24" s="133"/>
      <c r="K24" s="133"/>
      <c r="L24" s="87"/>
      <c r="M24" s="324"/>
      <c r="N24" s="324"/>
      <c r="O24" s="324"/>
      <c r="P24" s="324"/>
      <c r="Q24" s="85">
        <v>100000</v>
      </c>
      <c r="R24" s="85"/>
      <c r="S24" s="86" t="s">
        <v>57</v>
      </c>
      <c r="T24" s="86" t="s">
        <v>58</v>
      </c>
      <c r="U24" s="86">
        <v>1</v>
      </c>
      <c r="V24" s="86" t="s">
        <v>56</v>
      </c>
      <c r="W24" s="86" t="s">
        <v>58</v>
      </c>
      <c r="X24" s="256">
        <v>12</v>
      </c>
      <c r="Y24" s="86" t="s">
        <v>29</v>
      </c>
      <c r="Z24" s="86" t="s">
        <v>53</v>
      </c>
      <c r="AA24" s="338" t="s">
        <v>258</v>
      </c>
      <c r="AB24" s="84"/>
      <c r="AC24" s="84">
        <f t="shared" ref="AC24" si="3">Q24*U24*X24</f>
        <v>1200000</v>
      </c>
      <c r="AD24" s="64" t="s">
        <v>25</v>
      </c>
      <c r="AE24" s="18"/>
    </row>
    <row r="25" spans="1:33" s="12" customFormat="1" ht="21" customHeight="1">
      <c r="A25" s="51"/>
      <c r="B25" s="52"/>
      <c r="C25" s="52"/>
      <c r="D25" s="133"/>
      <c r="E25" s="133"/>
      <c r="F25" s="133"/>
      <c r="G25" s="133"/>
      <c r="H25" s="133"/>
      <c r="I25" s="133"/>
      <c r="J25" s="133"/>
      <c r="K25" s="133"/>
      <c r="L25" s="87"/>
      <c r="M25" s="237"/>
      <c r="N25" s="237"/>
      <c r="O25" s="237"/>
      <c r="P25" s="237"/>
      <c r="Q25" s="85"/>
      <c r="R25" s="85"/>
      <c r="S25" s="86"/>
      <c r="T25" s="86"/>
      <c r="U25" s="86"/>
      <c r="V25" s="86"/>
      <c r="W25" s="86"/>
      <c r="X25" s="256"/>
      <c r="Y25" s="86"/>
      <c r="Z25" s="86"/>
      <c r="AA25" s="338"/>
      <c r="AB25" s="84"/>
      <c r="AC25" s="84"/>
      <c r="AD25" s="64"/>
      <c r="AE25" s="18"/>
    </row>
    <row r="26" spans="1:33" s="12" customFormat="1" ht="21" customHeight="1">
      <c r="A26" s="51"/>
      <c r="B26" s="52"/>
      <c r="C26" s="52"/>
      <c r="D26" s="133"/>
      <c r="E26" s="133"/>
      <c r="F26" s="133"/>
      <c r="G26" s="133"/>
      <c r="H26" s="133"/>
      <c r="I26" s="133"/>
      <c r="J26" s="133"/>
      <c r="K26" s="133"/>
      <c r="L26" s="87"/>
      <c r="M26" s="189"/>
      <c r="N26" s="56"/>
      <c r="O26" s="56"/>
      <c r="P26" s="56"/>
      <c r="Q26" s="57"/>
      <c r="R26" s="278"/>
      <c r="S26" s="61"/>
      <c r="T26" s="148"/>
      <c r="U26" s="61"/>
      <c r="V26" s="146"/>
      <c r="W26" s="146"/>
      <c r="X26" s="57"/>
      <c r="Y26" s="57"/>
      <c r="Z26" s="57"/>
      <c r="AA26" s="57"/>
      <c r="AB26" s="57"/>
      <c r="AC26" s="57"/>
      <c r="AD26" s="64"/>
      <c r="AE26" s="18"/>
    </row>
    <row r="27" spans="1:33" s="12" customFormat="1" ht="21" customHeight="1">
      <c r="A27" s="51"/>
      <c r="B27" s="52"/>
      <c r="C27" s="42" t="s">
        <v>9</v>
      </c>
      <c r="D27" s="138">
        <v>2434</v>
      </c>
      <c r="E27" s="138">
        <f>F27+G27+H27+J27</f>
        <v>2433.52</v>
      </c>
      <c r="F27" s="138">
        <f>AC28/1000</f>
        <v>2433.52</v>
      </c>
      <c r="G27" s="138">
        <v>0</v>
      </c>
      <c r="H27" s="138">
        <v>0</v>
      </c>
      <c r="I27" s="138">
        <v>0</v>
      </c>
      <c r="J27" s="138">
        <f>AC29/1000</f>
        <v>0</v>
      </c>
      <c r="K27" s="137">
        <f>E27-D27</f>
        <v>-0.48000000000001819</v>
      </c>
      <c r="L27" s="145">
        <f>IF(D27=0,0,K27/D27)</f>
        <v>-1.9720624486442817E-4</v>
      </c>
      <c r="M27" s="121" t="s">
        <v>36</v>
      </c>
      <c r="N27" s="202"/>
      <c r="O27" s="188"/>
      <c r="P27" s="117"/>
      <c r="Q27" s="117"/>
      <c r="R27" s="225"/>
      <c r="S27" s="110"/>
      <c r="T27" s="110"/>
      <c r="U27" s="110"/>
      <c r="V27" s="267" t="s">
        <v>193</v>
      </c>
      <c r="W27" s="267"/>
      <c r="X27" s="267"/>
      <c r="Y27" s="267"/>
      <c r="Z27" s="267"/>
      <c r="AA27" s="267"/>
      <c r="AB27" s="205" t="s">
        <v>194</v>
      </c>
      <c r="AC27" s="205">
        <f>AC28+AC29</f>
        <v>2433520</v>
      </c>
      <c r="AD27" s="204" t="s">
        <v>195</v>
      </c>
      <c r="AE27" s="2"/>
    </row>
    <row r="28" spans="1:33" s="12" customFormat="1" ht="21" customHeight="1">
      <c r="A28" s="51"/>
      <c r="B28" s="52"/>
      <c r="C28" s="52"/>
      <c r="D28" s="133"/>
      <c r="E28" s="133"/>
      <c r="F28" s="133"/>
      <c r="G28" s="133"/>
      <c r="H28" s="133"/>
      <c r="I28" s="133"/>
      <c r="J28" s="133"/>
      <c r="K28" s="139"/>
      <c r="L28" s="87"/>
      <c r="M28" s="270" t="s">
        <v>205</v>
      </c>
      <c r="N28" s="56"/>
      <c r="O28" s="56"/>
      <c r="P28" s="56"/>
      <c r="Q28" s="176">
        <f>AC7+명절휴가비+AC16+AC23+AC19</f>
        <v>29202300</v>
      </c>
      <c r="R28" s="278"/>
      <c r="S28" s="111" t="s">
        <v>57</v>
      </c>
      <c r="T28" s="111" t="s">
        <v>73</v>
      </c>
      <c r="U28" s="94">
        <v>12</v>
      </c>
      <c r="V28" s="91" t="s">
        <v>0</v>
      </c>
      <c r="W28" s="152"/>
      <c r="X28" s="152"/>
      <c r="Y28" s="152"/>
      <c r="Z28" s="152" t="s">
        <v>74</v>
      </c>
      <c r="AA28" s="338" t="s">
        <v>258</v>
      </c>
      <c r="AB28" s="84"/>
      <c r="AC28" s="84">
        <v>2433520</v>
      </c>
      <c r="AD28" s="64" t="s">
        <v>67</v>
      </c>
      <c r="AE28" s="2"/>
    </row>
    <row r="29" spans="1:33" s="12" customFormat="1" ht="21" customHeight="1">
      <c r="A29" s="51"/>
      <c r="B29" s="52"/>
      <c r="C29" s="52"/>
      <c r="D29" s="133"/>
      <c r="E29" s="133"/>
      <c r="F29" s="133"/>
      <c r="G29" s="133"/>
      <c r="H29" s="133"/>
      <c r="I29" s="133"/>
      <c r="J29" s="133"/>
      <c r="K29" s="139"/>
      <c r="L29" s="87"/>
      <c r="M29" s="270"/>
      <c r="N29" s="270"/>
      <c r="O29" s="270"/>
      <c r="P29" s="270"/>
      <c r="Q29" s="269"/>
      <c r="R29" s="278"/>
      <c r="S29" s="234"/>
      <c r="T29" s="234"/>
      <c r="U29" s="94"/>
      <c r="V29" s="91"/>
      <c r="W29" s="269"/>
      <c r="X29" s="269"/>
      <c r="Y29" s="269"/>
      <c r="Z29" s="269"/>
      <c r="AA29" s="269"/>
      <c r="AB29" s="84"/>
      <c r="AC29" s="84"/>
      <c r="AD29" s="64"/>
      <c r="AE29" s="2"/>
    </row>
    <row r="30" spans="1:33" s="12" customFormat="1" ht="21" customHeight="1">
      <c r="A30" s="51"/>
      <c r="B30" s="52"/>
      <c r="C30" s="52"/>
      <c r="D30" s="133"/>
      <c r="E30" s="133"/>
      <c r="F30" s="133"/>
      <c r="G30" s="133"/>
      <c r="H30" s="133"/>
      <c r="I30" s="133"/>
      <c r="J30" s="133"/>
      <c r="K30" s="139"/>
      <c r="L30" s="87"/>
      <c r="M30" s="38"/>
      <c r="N30" s="38"/>
      <c r="O30" s="38"/>
      <c r="P30" s="38"/>
      <c r="Q30" s="38"/>
      <c r="R30" s="221"/>
      <c r="S30" s="39"/>
      <c r="T30" s="39"/>
      <c r="U30" s="39"/>
      <c r="V30" s="39"/>
      <c r="W30" s="39"/>
      <c r="X30" s="39"/>
      <c r="Y30" s="39"/>
      <c r="Z30" s="39"/>
      <c r="AA30" s="39"/>
      <c r="AB30" s="58"/>
      <c r="AC30" s="58"/>
      <c r="AD30" s="40"/>
      <c r="AE30" s="2"/>
    </row>
    <row r="31" spans="1:33" s="12" customFormat="1" ht="21" customHeight="1">
      <c r="A31" s="51"/>
      <c r="B31" s="52"/>
      <c r="C31" s="149" t="s">
        <v>94</v>
      </c>
      <c r="D31" s="138">
        <v>2749</v>
      </c>
      <c r="E31" s="138">
        <f>F31</f>
        <v>2569.2199999999998</v>
      </c>
      <c r="F31" s="138">
        <f>AC31/1000</f>
        <v>2569.2199999999998</v>
      </c>
      <c r="G31" s="138">
        <v>0</v>
      </c>
      <c r="H31" s="138">
        <v>0</v>
      </c>
      <c r="I31" s="138">
        <v>0</v>
      </c>
      <c r="J31" s="138">
        <v>0</v>
      </c>
      <c r="K31" s="150">
        <f>E31-D31</f>
        <v>-179.7800000000002</v>
      </c>
      <c r="L31" s="145">
        <f>IF(D31=0,0,K31/D31)</f>
        <v>-6.5398326664241613E-2</v>
      </c>
      <c r="M31" s="121" t="s">
        <v>37</v>
      </c>
      <c r="N31" s="202"/>
      <c r="O31" s="117"/>
      <c r="P31" s="117"/>
      <c r="Q31" s="117"/>
      <c r="R31" s="225"/>
      <c r="S31" s="110"/>
      <c r="T31" s="110"/>
      <c r="U31" s="110"/>
      <c r="V31" s="203" t="s">
        <v>125</v>
      </c>
      <c r="W31" s="203"/>
      <c r="X31" s="203"/>
      <c r="Y31" s="291" t="s">
        <v>215</v>
      </c>
      <c r="Z31" s="203"/>
      <c r="AA31" s="203"/>
      <c r="AB31" s="205"/>
      <c r="AC31" s="205">
        <f>SUM(AC32:AC45)</f>
        <v>2569220</v>
      </c>
      <c r="AD31" s="204" t="s">
        <v>25</v>
      </c>
    </row>
    <row r="32" spans="1:33" s="12" customFormat="1" ht="21" customHeight="1">
      <c r="A32" s="51"/>
      <c r="B32" s="52"/>
      <c r="C32" s="296"/>
      <c r="D32" s="254"/>
      <c r="E32" s="254"/>
      <c r="F32" s="254"/>
      <c r="G32" s="254"/>
      <c r="H32" s="254"/>
      <c r="I32" s="254"/>
      <c r="J32" s="254"/>
      <c r="K32" s="297"/>
      <c r="L32" s="87"/>
      <c r="M32" s="293" t="s">
        <v>167</v>
      </c>
      <c r="N32" s="221"/>
      <c r="O32" s="221"/>
      <c r="P32" s="221"/>
      <c r="Q32" s="292">
        <v>101920</v>
      </c>
      <c r="R32" s="292"/>
      <c r="S32" s="234" t="s">
        <v>57</v>
      </c>
      <c r="T32" s="234" t="s">
        <v>26</v>
      </c>
      <c r="U32" s="518">
        <v>6</v>
      </c>
      <c r="V32" s="234"/>
      <c r="W32" s="290"/>
      <c r="X32" s="298"/>
      <c r="Y32" s="93"/>
      <c r="Z32" s="234" t="s">
        <v>53</v>
      </c>
      <c r="AA32" s="338" t="s">
        <v>258</v>
      </c>
      <c r="AB32" s="84"/>
      <c r="AC32" s="84">
        <f>Q32*U32</f>
        <v>611520</v>
      </c>
      <c r="AD32" s="64" t="s">
        <v>57</v>
      </c>
    </row>
    <row r="33" spans="1:31" s="12" customFormat="1" ht="21" customHeight="1">
      <c r="A33" s="51"/>
      <c r="B33" s="345"/>
      <c r="C33" s="296"/>
      <c r="D33" s="254"/>
      <c r="E33" s="254"/>
      <c r="F33" s="254"/>
      <c r="G33" s="254"/>
      <c r="H33" s="254"/>
      <c r="I33" s="254"/>
      <c r="J33" s="254"/>
      <c r="K33" s="297"/>
      <c r="L33" s="87"/>
      <c r="M33" s="504"/>
      <c r="N33" s="221"/>
      <c r="O33" s="221"/>
      <c r="P33" s="221"/>
      <c r="Q33" s="503">
        <v>75510</v>
      </c>
      <c r="R33" s="503"/>
      <c r="S33" s="234" t="s">
        <v>57</v>
      </c>
      <c r="T33" s="234" t="s">
        <v>26</v>
      </c>
      <c r="U33" s="518">
        <v>4</v>
      </c>
      <c r="V33" s="234"/>
      <c r="W33" s="290"/>
      <c r="X33" s="298"/>
      <c r="Y33" s="93"/>
      <c r="Z33" s="234" t="s">
        <v>53</v>
      </c>
      <c r="AA33" s="503" t="s">
        <v>97</v>
      </c>
      <c r="AB33" s="84"/>
      <c r="AC33" s="84">
        <f>Q33*U33</f>
        <v>302040</v>
      </c>
      <c r="AD33" s="64" t="s">
        <v>57</v>
      </c>
    </row>
    <row r="34" spans="1:31" s="12" customFormat="1" ht="21" customHeight="1">
      <c r="A34" s="51"/>
      <c r="B34" s="345"/>
      <c r="C34" s="296"/>
      <c r="D34" s="254"/>
      <c r="E34" s="254"/>
      <c r="F34" s="254"/>
      <c r="G34" s="254"/>
      <c r="H34" s="254"/>
      <c r="I34" s="254"/>
      <c r="J34" s="254"/>
      <c r="K34" s="297"/>
      <c r="L34" s="87"/>
      <c r="M34" s="504"/>
      <c r="N34" s="221"/>
      <c r="O34" s="221"/>
      <c r="P34" s="221"/>
      <c r="Q34" s="503">
        <v>198360</v>
      </c>
      <c r="R34" s="503"/>
      <c r="S34" s="234" t="s">
        <v>57</v>
      </c>
      <c r="T34" s="234" t="s">
        <v>26</v>
      </c>
      <c r="U34" s="518">
        <v>1</v>
      </c>
      <c r="V34" s="234"/>
      <c r="W34" s="290"/>
      <c r="X34" s="298"/>
      <c r="Y34" s="93"/>
      <c r="Z34" s="234" t="s">
        <v>53</v>
      </c>
      <c r="AA34" s="503" t="s">
        <v>97</v>
      </c>
      <c r="AB34" s="84"/>
      <c r="AC34" s="84">
        <f>Q34*U34</f>
        <v>198360</v>
      </c>
      <c r="AD34" s="64" t="s">
        <v>57</v>
      </c>
    </row>
    <row r="35" spans="1:31" s="12" customFormat="1" ht="21" customHeight="1">
      <c r="A35" s="51"/>
      <c r="B35" s="345"/>
      <c r="C35" s="296"/>
      <c r="D35" s="254"/>
      <c r="E35" s="254"/>
      <c r="F35" s="254"/>
      <c r="G35" s="254"/>
      <c r="H35" s="254"/>
      <c r="I35" s="254"/>
      <c r="J35" s="254"/>
      <c r="K35" s="297"/>
      <c r="L35" s="87"/>
      <c r="M35" s="504"/>
      <c r="N35" s="221"/>
      <c r="O35" s="221"/>
      <c r="P35" s="221"/>
      <c r="Q35" s="503">
        <v>100080</v>
      </c>
      <c r="R35" s="503"/>
      <c r="S35" s="234" t="s">
        <v>57</v>
      </c>
      <c r="T35" s="234" t="s">
        <v>26</v>
      </c>
      <c r="U35" s="518">
        <v>1</v>
      </c>
      <c r="V35" s="234"/>
      <c r="W35" s="290"/>
      <c r="X35" s="298"/>
      <c r="Y35" s="93"/>
      <c r="Z35" s="234" t="s">
        <v>53</v>
      </c>
      <c r="AA35" s="522" t="s">
        <v>97</v>
      </c>
      <c r="AB35" s="84"/>
      <c r="AC35" s="84">
        <f>Q35*U35</f>
        <v>100080</v>
      </c>
      <c r="AD35" s="64" t="s">
        <v>57</v>
      </c>
    </row>
    <row r="36" spans="1:31" s="12" customFormat="1" ht="21" customHeight="1">
      <c r="A36" s="51"/>
      <c r="B36" s="345"/>
      <c r="C36" s="296"/>
      <c r="D36" s="254"/>
      <c r="E36" s="254"/>
      <c r="F36" s="254"/>
      <c r="G36" s="254"/>
      <c r="H36" s="254"/>
      <c r="I36" s="254"/>
      <c r="J36" s="254"/>
      <c r="K36" s="297"/>
      <c r="L36" s="87"/>
      <c r="M36" s="523"/>
      <c r="N36" s="221"/>
      <c r="O36" s="221"/>
      <c r="P36" s="221"/>
      <c r="Q36" s="522"/>
      <c r="R36" s="522"/>
      <c r="S36" s="234"/>
      <c r="T36" s="234"/>
      <c r="U36" s="518"/>
      <c r="V36" s="234"/>
      <c r="W36" s="290"/>
      <c r="X36" s="298"/>
      <c r="Y36" s="93"/>
      <c r="Z36" s="234"/>
      <c r="AA36" s="522"/>
      <c r="AB36" s="84"/>
      <c r="AC36" s="84"/>
      <c r="AD36" s="64"/>
    </row>
    <row r="37" spans="1:31" s="12" customFormat="1" ht="21" customHeight="1">
      <c r="A37" s="51"/>
      <c r="B37" s="52"/>
      <c r="C37" s="52"/>
      <c r="D37" s="133"/>
      <c r="E37" s="133"/>
      <c r="F37" s="133"/>
      <c r="G37" s="133"/>
      <c r="H37" s="133"/>
      <c r="I37" s="133"/>
      <c r="J37" s="133"/>
      <c r="K37" s="133"/>
      <c r="L37" s="87"/>
      <c r="M37" s="504" t="s">
        <v>471</v>
      </c>
      <c r="N37" s="153"/>
      <c r="O37" s="153"/>
      <c r="P37" s="153"/>
      <c r="Q37" s="302">
        <v>73270</v>
      </c>
      <c r="R37" s="292"/>
      <c r="S37" s="234" t="s">
        <v>57</v>
      </c>
      <c r="T37" s="234" t="s">
        <v>26</v>
      </c>
      <c r="U37" s="518">
        <v>12</v>
      </c>
      <c r="V37" s="234"/>
      <c r="W37" s="290"/>
      <c r="X37" s="298"/>
      <c r="Y37" s="93"/>
      <c r="Z37" s="219" t="s">
        <v>53</v>
      </c>
      <c r="AA37" s="338" t="s">
        <v>258</v>
      </c>
      <c r="AB37" s="84"/>
      <c r="AC37" s="84">
        <f>Q37*U37</f>
        <v>879240</v>
      </c>
      <c r="AD37" s="64" t="s">
        <v>67</v>
      </c>
      <c r="AE37" s="2"/>
    </row>
    <row r="38" spans="1:31" s="12" customFormat="1" ht="21" customHeight="1">
      <c r="A38" s="51"/>
      <c r="B38" s="52"/>
      <c r="C38" s="52"/>
      <c r="D38" s="133"/>
      <c r="E38" s="133"/>
      <c r="F38" s="133"/>
      <c r="G38" s="133"/>
      <c r="H38" s="133"/>
      <c r="I38" s="133"/>
      <c r="J38" s="133"/>
      <c r="K38" s="133"/>
      <c r="L38" s="87"/>
      <c r="M38" s="303"/>
      <c r="N38" s="293"/>
      <c r="O38" s="293"/>
      <c r="P38" s="293"/>
      <c r="Q38" s="302"/>
      <c r="R38" s="292"/>
      <c r="S38" s="234"/>
      <c r="T38" s="234"/>
      <c r="U38" s="518"/>
      <c r="V38" s="234"/>
      <c r="W38" s="290"/>
      <c r="X38" s="298"/>
      <c r="Y38" s="93"/>
      <c r="Z38" s="234"/>
      <c r="AA38" s="338"/>
      <c r="AB38" s="84"/>
      <c r="AC38" s="84"/>
      <c r="AD38" s="64"/>
      <c r="AE38" s="2"/>
    </row>
    <row r="39" spans="1:31" s="12" customFormat="1" ht="21" customHeight="1">
      <c r="A39" s="51"/>
      <c r="B39" s="52"/>
      <c r="C39" s="52"/>
      <c r="D39" s="133"/>
      <c r="E39" s="133"/>
      <c r="F39" s="133"/>
      <c r="G39" s="133"/>
      <c r="H39" s="133"/>
      <c r="I39" s="133"/>
      <c r="J39" s="133"/>
      <c r="K39" s="133"/>
      <c r="L39" s="87"/>
      <c r="M39" s="303" t="s">
        <v>166</v>
      </c>
      <c r="N39" s="153"/>
      <c r="O39" s="153"/>
      <c r="P39" s="153"/>
      <c r="Q39" s="302">
        <v>20380</v>
      </c>
      <c r="R39" s="292"/>
      <c r="S39" s="234" t="s">
        <v>57</v>
      </c>
      <c r="T39" s="234" t="s">
        <v>26</v>
      </c>
      <c r="U39" s="518">
        <v>3</v>
      </c>
      <c r="V39" s="234"/>
      <c r="W39" s="290"/>
      <c r="X39" s="298"/>
      <c r="Y39" s="93"/>
      <c r="Z39" s="234" t="s">
        <v>53</v>
      </c>
      <c r="AA39" s="338" t="s">
        <v>258</v>
      </c>
      <c r="AB39" s="84"/>
      <c r="AC39" s="84">
        <f>Q39*U39</f>
        <v>61140</v>
      </c>
      <c r="AD39" s="64" t="s">
        <v>67</v>
      </c>
      <c r="AE39" s="2"/>
    </row>
    <row r="40" spans="1:31" s="12" customFormat="1" ht="21" customHeight="1">
      <c r="A40" s="51"/>
      <c r="B40" s="345"/>
      <c r="C40" s="345"/>
      <c r="D40" s="133"/>
      <c r="E40" s="133"/>
      <c r="F40" s="133"/>
      <c r="G40" s="133"/>
      <c r="H40" s="133"/>
      <c r="I40" s="133"/>
      <c r="J40" s="133"/>
      <c r="K40" s="133"/>
      <c r="L40" s="87"/>
      <c r="M40" s="504"/>
      <c r="N40" s="504"/>
      <c r="O40" s="504"/>
      <c r="P40" s="504"/>
      <c r="Q40" s="503">
        <v>35070</v>
      </c>
      <c r="R40" s="503"/>
      <c r="S40" s="234" t="s">
        <v>57</v>
      </c>
      <c r="T40" s="234" t="s">
        <v>26</v>
      </c>
      <c r="U40" s="518">
        <v>1</v>
      </c>
      <c r="V40" s="234"/>
      <c r="W40" s="290"/>
      <c r="X40" s="298"/>
      <c r="Y40" s="93"/>
      <c r="Z40" s="234" t="s">
        <v>53</v>
      </c>
      <c r="AA40" s="503" t="s">
        <v>97</v>
      </c>
      <c r="AB40" s="84"/>
      <c r="AC40" s="84">
        <f>Q40*U40</f>
        <v>35070</v>
      </c>
      <c r="AD40" s="64" t="s">
        <v>57</v>
      </c>
      <c r="AE40" s="2"/>
    </row>
    <row r="41" spans="1:31" s="12" customFormat="1" ht="21" customHeight="1">
      <c r="A41" s="51"/>
      <c r="B41" s="345"/>
      <c r="C41" s="345"/>
      <c r="D41" s="133"/>
      <c r="E41" s="133"/>
      <c r="F41" s="133"/>
      <c r="G41" s="133"/>
      <c r="H41" s="133"/>
      <c r="I41" s="133"/>
      <c r="J41" s="133"/>
      <c r="K41" s="133"/>
      <c r="L41" s="87"/>
      <c r="M41" s="504"/>
      <c r="N41" s="504"/>
      <c r="O41" s="504"/>
      <c r="P41" s="504"/>
      <c r="Q41" s="503">
        <v>19630</v>
      </c>
      <c r="R41" s="503"/>
      <c r="S41" s="234" t="s">
        <v>57</v>
      </c>
      <c r="T41" s="234" t="s">
        <v>26</v>
      </c>
      <c r="U41" s="518">
        <v>8</v>
      </c>
      <c r="V41" s="234"/>
      <c r="W41" s="290"/>
      <c r="X41" s="298"/>
      <c r="Y41" s="93"/>
      <c r="Z41" s="234" t="s">
        <v>53</v>
      </c>
      <c r="AA41" s="503" t="s">
        <v>97</v>
      </c>
      <c r="AB41" s="84"/>
      <c r="AC41" s="84">
        <f>Q41*U41</f>
        <v>157040</v>
      </c>
      <c r="AD41" s="64" t="s">
        <v>57</v>
      </c>
      <c r="AE41" s="2"/>
    </row>
    <row r="42" spans="1:31" s="12" customFormat="1" ht="21" customHeight="1">
      <c r="A42" s="51"/>
      <c r="B42" s="345"/>
      <c r="C42" s="345"/>
      <c r="D42" s="133"/>
      <c r="E42" s="133"/>
      <c r="F42" s="133"/>
      <c r="G42" s="133"/>
      <c r="H42" s="133"/>
      <c r="I42" s="133"/>
      <c r="J42" s="133"/>
      <c r="K42" s="133"/>
      <c r="L42" s="87"/>
      <c r="M42" s="504"/>
      <c r="N42" s="504"/>
      <c r="O42" s="504"/>
      <c r="P42" s="504"/>
      <c r="Q42" s="503"/>
      <c r="R42" s="503"/>
      <c r="S42" s="234"/>
      <c r="T42" s="234"/>
      <c r="U42" s="518"/>
      <c r="V42" s="234"/>
      <c r="W42" s="290"/>
      <c r="X42" s="298"/>
      <c r="Y42" s="93"/>
      <c r="Z42" s="234"/>
      <c r="AA42" s="503"/>
      <c r="AB42" s="84"/>
      <c r="AC42" s="84"/>
      <c r="AD42" s="64"/>
      <c r="AE42" s="2"/>
    </row>
    <row r="43" spans="1:31" s="12" customFormat="1" ht="21" customHeight="1">
      <c r="A43" s="51"/>
      <c r="B43" s="52"/>
      <c r="C43" s="52"/>
      <c r="D43" s="133"/>
      <c r="E43" s="133"/>
      <c r="F43" s="133"/>
      <c r="G43" s="133"/>
      <c r="H43" s="133"/>
      <c r="I43" s="133"/>
      <c r="J43" s="133"/>
      <c r="K43" s="133"/>
      <c r="L43" s="87"/>
      <c r="M43" s="303" t="s">
        <v>224</v>
      </c>
      <c r="N43" s="303"/>
      <c r="O43" s="303"/>
      <c r="P43" s="303"/>
      <c r="Q43" s="302">
        <v>17670</v>
      </c>
      <c r="R43" s="302"/>
      <c r="S43" s="234" t="s">
        <v>57</v>
      </c>
      <c r="T43" s="234" t="s">
        <v>26</v>
      </c>
      <c r="U43" s="518">
        <v>11</v>
      </c>
      <c r="V43" s="234"/>
      <c r="W43" s="290"/>
      <c r="X43" s="298"/>
      <c r="Y43" s="93"/>
      <c r="Z43" s="234" t="s">
        <v>225</v>
      </c>
      <c r="AA43" s="338" t="s">
        <v>258</v>
      </c>
      <c r="AB43" s="84"/>
      <c r="AC43" s="84">
        <f>Q43*U43</f>
        <v>194370</v>
      </c>
      <c r="AD43" s="64" t="s">
        <v>57</v>
      </c>
      <c r="AE43" s="2"/>
    </row>
    <row r="44" spans="1:31" s="12" customFormat="1" ht="21" customHeight="1">
      <c r="A44" s="51"/>
      <c r="B44" s="345"/>
      <c r="C44" s="345"/>
      <c r="D44" s="133"/>
      <c r="E44" s="133"/>
      <c r="F44" s="133"/>
      <c r="G44" s="133"/>
      <c r="H44" s="133"/>
      <c r="I44" s="133"/>
      <c r="J44" s="133"/>
      <c r="K44" s="133"/>
      <c r="L44" s="87"/>
      <c r="M44" s="504"/>
      <c r="N44" s="504"/>
      <c r="O44" s="504"/>
      <c r="P44" s="504"/>
      <c r="Q44" s="503">
        <v>30360</v>
      </c>
      <c r="R44" s="503"/>
      <c r="S44" s="234" t="s">
        <v>57</v>
      </c>
      <c r="T44" s="234" t="s">
        <v>26</v>
      </c>
      <c r="U44" s="518">
        <v>1</v>
      </c>
      <c r="V44" s="234"/>
      <c r="W44" s="290"/>
      <c r="X44" s="298"/>
      <c r="Y44" s="93"/>
      <c r="Z44" s="234" t="s">
        <v>53</v>
      </c>
      <c r="AA44" s="503" t="s">
        <v>97</v>
      </c>
      <c r="AB44" s="84"/>
      <c r="AC44" s="84">
        <f>Q44*U44</f>
        <v>30360</v>
      </c>
      <c r="AD44" s="64" t="s">
        <v>57</v>
      </c>
      <c r="AE44" s="2"/>
    </row>
    <row r="45" spans="1:31" s="12" customFormat="1" ht="21" customHeight="1">
      <c r="A45" s="51"/>
      <c r="B45" s="52"/>
      <c r="C45" s="52"/>
      <c r="D45" s="133"/>
      <c r="E45" s="133"/>
      <c r="F45" s="133"/>
      <c r="G45" s="133"/>
      <c r="H45" s="133"/>
      <c r="I45" s="133"/>
      <c r="J45" s="133"/>
      <c r="K45" s="133"/>
      <c r="L45" s="87"/>
      <c r="M45" s="270"/>
      <c r="N45" s="270"/>
      <c r="O45" s="270"/>
      <c r="P45" s="270"/>
      <c r="Q45" s="269"/>
      <c r="R45" s="278"/>
      <c r="S45" s="234"/>
      <c r="T45" s="91"/>
      <c r="U45" s="95"/>
      <c r="V45" s="91"/>
      <c r="W45" s="96"/>
      <c r="X45" s="93"/>
      <c r="Y45" s="93"/>
      <c r="Z45" s="234"/>
      <c r="AA45" s="269"/>
      <c r="AB45" s="84"/>
      <c r="AC45" s="84"/>
      <c r="AD45" s="64"/>
      <c r="AE45" s="2"/>
    </row>
    <row r="46" spans="1:31" s="12" customFormat="1" ht="33" customHeight="1">
      <c r="A46" s="51"/>
      <c r="B46" s="52"/>
      <c r="C46" s="42" t="s">
        <v>198</v>
      </c>
      <c r="D46" s="137">
        <v>0</v>
      </c>
      <c r="E46" s="137">
        <f>SUM(F46:J46)</f>
        <v>0</v>
      </c>
      <c r="F46" s="137">
        <f>AC48</f>
        <v>0</v>
      </c>
      <c r="G46" s="137">
        <f>AC47/1000</f>
        <v>0</v>
      </c>
      <c r="H46" s="137">
        <f>AE48</f>
        <v>0</v>
      </c>
      <c r="I46" s="137">
        <f>AF48</f>
        <v>0</v>
      </c>
      <c r="J46" s="137">
        <f>AG48</f>
        <v>0</v>
      </c>
      <c r="K46" s="150">
        <f>E46-D46</f>
        <v>0</v>
      </c>
      <c r="L46" s="145">
        <f>IF(D46=0,0,K46/D46)</f>
        <v>0</v>
      </c>
      <c r="M46" s="121" t="s">
        <v>196</v>
      </c>
      <c r="N46" s="268"/>
      <c r="O46" s="190"/>
      <c r="P46" s="190"/>
      <c r="Q46" s="109"/>
      <c r="R46" s="109"/>
      <c r="S46" s="271"/>
      <c r="T46" s="272"/>
      <c r="U46" s="273"/>
      <c r="V46" s="267" t="s">
        <v>63</v>
      </c>
      <c r="W46" s="267"/>
      <c r="X46" s="267"/>
      <c r="Y46" s="267"/>
      <c r="Z46" s="267"/>
      <c r="AA46" s="267"/>
      <c r="AB46" s="205"/>
      <c r="AC46" s="205">
        <f>AC47</f>
        <v>0</v>
      </c>
      <c r="AD46" s="204" t="s">
        <v>25</v>
      </c>
      <c r="AE46" s="2"/>
    </row>
    <row r="47" spans="1:31" s="12" customFormat="1" ht="21" customHeight="1">
      <c r="A47" s="51"/>
      <c r="B47" s="52"/>
      <c r="C47" s="52"/>
      <c r="D47" s="133"/>
      <c r="E47" s="133"/>
      <c r="F47" s="133"/>
      <c r="G47" s="133"/>
      <c r="H47" s="133"/>
      <c r="I47" s="133"/>
      <c r="J47" s="133"/>
      <c r="K47" s="133"/>
      <c r="L47" s="87"/>
      <c r="M47" s="270" t="s">
        <v>197</v>
      </c>
      <c r="N47" s="270"/>
      <c r="O47" s="270"/>
      <c r="P47" s="270"/>
      <c r="Q47" s="269"/>
      <c r="R47" s="278"/>
      <c r="S47" s="234"/>
      <c r="T47" s="91"/>
      <c r="U47" s="95"/>
      <c r="V47" s="91"/>
      <c r="W47" s="96"/>
      <c r="X47" s="93"/>
      <c r="Y47" s="93"/>
      <c r="Z47" s="234"/>
      <c r="AA47" s="338" t="s">
        <v>258</v>
      </c>
      <c r="AB47" s="84"/>
      <c r="AC47" s="84">
        <v>0</v>
      </c>
      <c r="AD47" s="147" t="s">
        <v>25</v>
      </c>
      <c r="AE47" s="2"/>
    </row>
    <row r="48" spans="1:31" s="12" customFormat="1" ht="21" customHeight="1">
      <c r="A48" s="51"/>
      <c r="B48" s="66"/>
      <c r="C48" s="66"/>
      <c r="D48" s="135"/>
      <c r="E48" s="135"/>
      <c r="F48" s="135"/>
      <c r="G48" s="135"/>
      <c r="H48" s="135"/>
      <c r="I48" s="135"/>
      <c r="J48" s="135"/>
      <c r="K48" s="135"/>
      <c r="L48" s="105"/>
      <c r="M48" s="187"/>
      <c r="N48" s="98"/>
      <c r="O48" s="98"/>
      <c r="P48" s="98"/>
      <c r="Q48" s="97"/>
      <c r="R48" s="275"/>
      <c r="S48" s="107"/>
      <c r="T48" s="107"/>
      <c r="U48" s="107"/>
      <c r="V48" s="97"/>
      <c r="W48" s="107"/>
      <c r="X48" s="107"/>
      <c r="Y48" s="107"/>
      <c r="Z48" s="97"/>
      <c r="AA48" s="107"/>
      <c r="AB48" s="107"/>
      <c r="AC48" s="97"/>
      <c r="AD48" s="151"/>
      <c r="AE48" s="2"/>
    </row>
    <row r="49" spans="1:33" s="12" customFormat="1" ht="21" customHeight="1">
      <c r="A49" s="51"/>
      <c r="B49" s="52" t="s">
        <v>126</v>
      </c>
      <c r="C49" s="52" t="s">
        <v>5</v>
      </c>
      <c r="D49" s="133">
        <v>110</v>
      </c>
      <c r="E49" s="133">
        <f>SUM(E50,E53,E55)</f>
        <v>40</v>
      </c>
      <c r="F49" s="133">
        <f>F50+F53+F55</f>
        <v>0</v>
      </c>
      <c r="G49" s="133">
        <f t="shared" ref="G49" si="4">SUM(G50,G53,G55)</f>
        <v>0</v>
      </c>
      <c r="H49" s="133">
        <f>H50+H53+H55</f>
        <v>40</v>
      </c>
      <c r="I49" s="133">
        <v>0</v>
      </c>
      <c r="J49" s="133">
        <f t="shared" ref="J49" si="5">SUM(J50,J53,J55)</f>
        <v>0</v>
      </c>
      <c r="K49" s="133">
        <f>E49-D49</f>
        <v>-70</v>
      </c>
      <c r="L49" s="87">
        <f>IF(D49=0,0,K49/D49)</f>
        <v>-0.63636363636363635</v>
      </c>
      <c r="M49" s="221" t="s">
        <v>134</v>
      </c>
      <c r="N49" s="38"/>
      <c r="O49" s="38"/>
      <c r="P49" s="38"/>
      <c r="Q49" s="39"/>
      <c r="R49" s="220"/>
      <c r="S49" s="39"/>
      <c r="T49" s="39"/>
      <c r="U49" s="39"/>
      <c r="V49" s="224"/>
      <c r="W49" s="224"/>
      <c r="X49" s="224"/>
      <c r="Y49" s="224"/>
      <c r="Z49" s="224"/>
      <c r="AA49" s="224"/>
      <c r="AB49" s="118"/>
      <c r="AC49" s="118">
        <f>SUM(AC50,AC53,AC55)</f>
        <v>40000</v>
      </c>
      <c r="AD49" s="119" t="s">
        <v>25</v>
      </c>
      <c r="AE49" s="5"/>
    </row>
    <row r="50" spans="1:33" s="12" customFormat="1" ht="21" customHeight="1">
      <c r="A50" s="51"/>
      <c r="B50" s="52" t="s">
        <v>133</v>
      </c>
      <c r="C50" s="42" t="s">
        <v>10</v>
      </c>
      <c r="D50" s="137">
        <v>50</v>
      </c>
      <c r="E50" s="137">
        <f>AC50/1000</f>
        <v>0</v>
      </c>
      <c r="F50" s="137"/>
      <c r="G50" s="137">
        <v>0</v>
      </c>
      <c r="H50" s="137">
        <f>AC50/1000</f>
        <v>0</v>
      </c>
      <c r="I50" s="137">
        <v>0</v>
      </c>
      <c r="J50" s="137">
        <v>0</v>
      </c>
      <c r="K50" s="137">
        <f>E50-D50</f>
        <v>-50</v>
      </c>
      <c r="L50" s="145">
        <f>IF(D50=0,0,K50/D50)</f>
        <v>-1</v>
      </c>
      <c r="M50" s="121" t="s">
        <v>38</v>
      </c>
      <c r="N50" s="184"/>
      <c r="O50" s="190"/>
      <c r="P50" s="190"/>
      <c r="Q50" s="190"/>
      <c r="R50" s="190"/>
      <c r="S50" s="109"/>
      <c r="T50" s="109"/>
      <c r="U50" s="109"/>
      <c r="V50" s="109"/>
      <c r="W50" s="109"/>
      <c r="X50" s="203" t="s">
        <v>136</v>
      </c>
      <c r="Y50" s="203"/>
      <c r="Z50" s="203"/>
      <c r="AA50" s="203"/>
      <c r="AB50" s="205"/>
      <c r="AC50" s="205">
        <f>AC51+AC52</f>
        <v>0</v>
      </c>
      <c r="AD50" s="204" t="s">
        <v>25</v>
      </c>
    </row>
    <row r="51" spans="1:33" s="12" customFormat="1" ht="21" customHeight="1">
      <c r="A51" s="51"/>
      <c r="B51" s="52"/>
      <c r="C51" s="52"/>
      <c r="D51" s="133"/>
      <c r="E51" s="133"/>
      <c r="F51" s="133"/>
      <c r="G51" s="133"/>
      <c r="H51" s="133"/>
      <c r="I51" s="133"/>
      <c r="J51" s="133"/>
      <c r="K51" s="133"/>
      <c r="L51" s="87"/>
      <c r="M51" s="88" t="s">
        <v>309</v>
      </c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 t="s">
        <v>280</v>
      </c>
      <c r="AB51" s="107"/>
      <c r="AC51" s="366">
        <v>0</v>
      </c>
      <c r="AD51" s="151" t="s">
        <v>278</v>
      </c>
    </row>
    <row r="52" spans="1:33" s="12" customFormat="1" ht="21" customHeight="1">
      <c r="A52" s="51"/>
      <c r="B52" s="52"/>
      <c r="C52" s="66"/>
      <c r="D52" s="135"/>
      <c r="E52" s="135"/>
      <c r="F52" s="135"/>
      <c r="G52" s="135"/>
      <c r="H52" s="135"/>
      <c r="I52" s="135"/>
      <c r="J52" s="135"/>
      <c r="K52" s="135"/>
      <c r="L52" s="105"/>
      <c r="M52" s="88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366"/>
      <c r="AD52" s="151"/>
      <c r="AE52" s="1"/>
    </row>
    <row r="53" spans="1:33" s="12" customFormat="1" ht="21" customHeight="1">
      <c r="A53" s="51"/>
      <c r="B53" s="52"/>
      <c r="C53" s="52" t="s">
        <v>11</v>
      </c>
      <c r="D53" s="133">
        <v>0</v>
      </c>
      <c r="E53" s="133">
        <f>AC53/1000</f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f>E53-D53</f>
        <v>0</v>
      </c>
      <c r="L53" s="87">
        <f>IF(D53=0,0,K53/D53)</f>
        <v>0</v>
      </c>
      <c r="M53" s="121" t="s">
        <v>135</v>
      </c>
      <c r="N53" s="202"/>
      <c r="O53" s="38"/>
      <c r="P53" s="38"/>
      <c r="Q53" s="38"/>
      <c r="R53" s="221"/>
      <c r="S53" s="39"/>
      <c r="T53" s="39"/>
      <c r="U53" s="39"/>
      <c r="V53" s="39"/>
      <c r="W53" s="39"/>
      <c r="X53" s="203" t="s">
        <v>136</v>
      </c>
      <c r="Y53" s="203"/>
      <c r="Z53" s="203"/>
      <c r="AA53" s="203"/>
      <c r="AB53" s="205"/>
      <c r="AC53" s="205">
        <v>0</v>
      </c>
      <c r="AD53" s="204" t="s">
        <v>25</v>
      </c>
      <c r="AE53" s="1"/>
    </row>
    <row r="54" spans="1:33" s="12" customFormat="1" ht="21" customHeight="1">
      <c r="A54" s="51"/>
      <c r="B54" s="52"/>
      <c r="C54" s="66"/>
      <c r="D54" s="135"/>
      <c r="E54" s="135"/>
      <c r="F54" s="135"/>
      <c r="G54" s="135"/>
      <c r="H54" s="135"/>
      <c r="I54" s="135"/>
      <c r="J54" s="135"/>
      <c r="K54" s="135"/>
      <c r="L54" s="105"/>
      <c r="M54" s="187"/>
      <c r="N54" s="98"/>
      <c r="O54" s="98"/>
      <c r="P54" s="98"/>
      <c r="Q54" s="97"/>
      <c r="R54" s="275"/>
      <c r="S54" s="106"/>
      <c r="T54" s="106"/>
      <c r="U54" s="97"/>
      <c r="V54" s="98"/>
      <c r="W54" s="97"/>
      <c r="X54" s="97"/>
      <c r="Y54" s="97"/>
      <c r="Z54" s="97"/>
      <c r="AA54" s="97"/>
      <c r="AB54" s="97"/>
      <c r="AC54" s="97"/>
      <c r="AD54" s="90"/>
      <c r="AE54" s="1"/>
    </row>
    <row r="55" spans="1:33" s="12" customFormat="1" ht="21" customHeight="1">
      <c r="A55" s="51"/>
      <c r="B55" s="52"/>
      <c r="C55" s="52" t="s">
        <v>95</v>
      </c>
      <c r="D55" s="133">
        <v>60</v>
      </c>
      <c r="E55" s="133">
        <f>F55+G55+H55+J55</f>
        <v>40</v>
      </c>
      <c r="F55" s="133">
        <f>AC56/1000</f>
        <v>0</v>
      </c>
      <c r="G55" s="133">
        <v>0</v>
      </c>
      <c r="H55" s="133">
        <f>AC57/1000</f>
        <v>40</v>
      </c>
      <c r="I55" s="133">
        <v>0</v>
      </c>
      <c r="J55" s="137">
        <v>0</v>
      </c>
      <c r="K55" s="301">
        <f>E55-D55</f>
        <v>-20</v>
      </c>
      <c r="L55" s="87">
        <f>IF(D55=0,0,K55/D55)</f>
        <v>-0.33333333333333331</v>
      </c>
      <c r="M55" s="140" t="s">
        <v>39</v>
      </c>
      <c r="N55" s="38"/>
      <c r="O55" s="38"/>
      <c r="P55" s="38"/>
      <c r="Q55" s="38"/>
      <c r="R55" s="221"/>
      <c r="S55" s="39"/>
      <c r="T55" s="39"/>
      <c r="U55" s="39"/>
      <c r="V55" s="39"/>
      <c r="W55" s="39"/>
      <c r="X55" s="203" t="s">
        <v>136</v>
      </c>
      <c r="Y55" s="203"/>
      <c r="Z55" s="203"/>
      <c r="AA55" s="203"/>
      <c r="AB55" s="205"/>
      <c r="AC55" s="205">
        <f>AC56+AC57</f>
        <v>40000</v>
      </c>
      <c r="AD55" s="204" t="s">
        <v>25</v>
      </c>
      <c r="AE55" s="1"/>
    </row>
    <row r="56" spans="1:33" s="15" customFormat="1" ht="21" customHeight="1">
      <c r="A56" s="51"/>
      <c r="B56" s="52"/>
      <c r="C56" s="52"/>
      <c r="D56" s="133"/>
      <c r="E56" s="133"/>
      <c r="F56" s="133"/>
      <c r="G56" s="133"/>
      <c r="H56" s="133"/>
      <c r="I56" s="133"/>
      <c r="J56" s="133"/>
      <c r="K56" s="133"/>
      <c r="L56" s="87"/>
      <c r="M56" s="237" t="s">
        <v>168</v>
      </c>
      <c r="N56" s="56"/>
      <c r="O56" s="56"/>
      <c r="P56" s="56"/>
      <c r="Q56" s="57">
        <v>20000</v>
      </c>
      <c r="R56" s="278"/>
      <c r="S56" s="61" t="s">
        <v>25</v>
      </c>
      <c r="T56" s="61" t="s">
        <v>26</v>
      </c>
      <c r="U56" s="57">
        <v>1</v>
      </c>
      <c r="V56" s="252" t="s">
        <v>169</v>
      </c>
      <c r="W56" s="234"/>
      <c r="X56" s="57"/>
      <c r="Y56" s="57"/>
      <c r="Z56" s="57"/>
      <c r="AA56" s="57" t="s">
        <v>282</v>
      </c>
      <c r="AB56" s="57"/>
      <c r="AC56" s="57">
        <v>0</v>
      </c>
      <c r="AD56" s="64" t="s">
        <v>25</v>
      </c>
      <c r="AE56" s="4"/>
    </row>
    <row r="57" spans="1:33" s="15" customFormat="1" ht="21" customHeight="1">
      <c r="A57" s="51"/>
      <c r="B57" s="52"/>
      <c r="C57" s="52"/>
      <c r="D57" s="133"/>
      <c r="E57" s="133"/>
      <c r="F57" s="133"/>
      <c r="G57" s="133"/>
      <c r="H57" s="133"/>
      <c r="I57" s="133"/>
      <c r="J57" s="133"/>
      <c r="K57" s="133"/>
      <c r="L57" s="87"/>
      <c r="M57" s="56"/>
      <c r="N57" s="56"/>
      <c r="O57" s="56"/>
      <c r="P57" s="56"/>
      <c r="Q57" s="57">
        <v>40000</v>
      </c>
      <c r="R57" s="278"/>
      <c r="S57" s="61" t="s">
        <v>25</v>
      </c>
      <c r="T57" s="61" t="s">
        <v>26</v>
      </c>
      <c r="U57" s="57">
        <v>1</v>
      </c>
      <c r="V57" s="56" t="s">
        <v>288</v>
      </c>
      <c r="W57" s="57"/>
      <c r="X57" s="57"/>
      <c r="Y57" s="57"/>
      <c r="Z57" s="57"/>
      <c r="AA57" s="57" t="s">
        <v>320</v>
      </c>
      <c r="AB57" s="57"/>
      <c r="AC57" s="382">
        <f>Q57*U57</f>
        <v>40000</v>
      </c>
      <c r="AD57" s="64" t="s">
        <v>25</v>
      </c>
      <c r="AE57" s="4"/>
    </row>
    <row r="58" spans="1:33" s="12" customFormat="1" ht="21" customHeight="1">
      <c r="A58" s="51"/>
      <c r="B58" s="42" t="s">
        <v>12</v>
      </c>
      <c r="C58" s="199" t="s">
        <v>5</v>
      </c>
      <c r="D58" s="200">
        <v>7086</v>
      </c>
      <c r="E58" s="200">
        <f t="shared" ref="E58:J58" si="6">SUM(E59,E62,E67,E74,E84,E87)</f>
        <v>6768.5</v>
      </c>
      <c r="F58" s="200">
        <f>SUM(F59,F62,F67,F74,F84,F87)</f>
        <v>4936.2</v>
      </c>
      <c r="G58" s="200">
        <f t="shared" si="6"/>
        <v>0</v>
      </c>
      <c r="H58" s="200">
        <f>SUM(H59,H62,H67,H74,H84,H87)</f>
        <v>1809.72</v>
      </c>
      <c r="I58" s="200">
        <v>0</v>
      </c>
      <c r="J58" s="200">
        <f t="shared" si="6"/>
        <v>22.5</v>
      </c>
      <c r="K58" s="200">
        <f>E58-D58</f>
        <v>-317.5</v>
      </c>
      <c r="L58" s="201">
        <f>IF(D58=0,0,K58/D58)</f>
        <v>-4.4806661021732995E-2</v>
      </c>
      <c r="M58" s="202" t="s">
        <v>140</v>
      </c>
      <c r="N58" s="202"/>
      <c r="O58" s="202"/>
      <c r="P58" s="202"/>
      <c r="Q58" s="203"/>
      <c r="R58" s="276"/>
      <c r="S58" s="226"/>
      <c r="T58" s="203"/>
      <c r="U58" s="571"/>
      <c r="V58" s="572"/>
      <c r="W58" s="203"/>
      <c r="X58" s="203"/>
      <c r="Y58" s="203"/>
      <c r="Z58" s="203"/>
      <c r="AA58" s="203"/>
      <c r="AB58" s="203"/>
      <c r="AC58" s="203">
        <f>SUM(AC59,AC62,AC67,AC74,AC84,AC87)</f>
        <v>6768420</v>
      </c>
      <c r="AD58" s="204" t="s">
        <v>25</v>
      </c>
      <c r="AE58" s="1"/>
    </row>
    <row r="59" spans="1:33" s="12" customFormat="1" ht="21" customHeight="1">
      <c r="A59" s="51"/>
      <c r="B59" s="52"/>
      <c r="C59" s="52" t="s">
        <v>96</v>
      </c>
      <c r="D59" s="133">
        <v>60</v>
      </c>
      <c r="E59" s="133">
        <f>F59+G59+H59+J59</f>
        <v>22.5</v>
      </c>
      <c r="F59" s="133">
        <v>0</v>
      </c>
      <c r="G59" s="133">
        <v>0</v>
      </c>
      <c r="H59" s="133">
        <v>0</v>
      </c>
      <c r="I59" s="133">
        <v>0</v>
      </c>
      <c r="J59" s="133">
        <f>AC60/1000</f>
        <v>22.5</v>
      </c>
      <c r="K59" s="133">
        <f>E59-D59</f>
        <v>-37.5</v>
      </c>
      <c r="L59" s="87">
        <f>IF(D59=0,0,K59/D59)</f>
        <v>-0.625</v>
      </c>
      <c r="M59" s="140" t="s">
        <v>41</v>
      </c>
      <c r="N59" s="38"/>
      <c r="O59" s="38"/>
      <c r="P59" s="38"/>
      <c r="Q59" s="38"/>
      <c r="R59" s="221"/>
      <c r="S59" s="39"/>
      <c r="T59" s="39"/>
      <c r="U59" s="39"/>
      <c r="V59" s="39"/>
      <c r="W59" s="39"/>
      <c r="X59" s="253" t="s">
        <v>136</v>
      </c>
      <c r="Y59" s="253"/>
      <c r="Z59" s="253"/>
      <c r="AA59" s="253"/>
      <c r="AB59" s="205"/>
      <c r="AC59" s="205">
        <f>AC60</f>
        <v>22500</v>
      </c>
      <c r="AD59" s="204" t="s">
        <v>25</v>
      </c>
      <c r="AE59" s="21"/>
      <c r="AF59" s="20"/>
      <c r="AG59" s="20"/>
    </row>
    <row r="60" spans="1:33" s="12" customFormat="1" ht="21" customHeight="1">
      <c r="A60" s="51"/>
      <c r="B60" s="52"/>
      <c r="C60" s="52"/>
      <c r="D60" s="133"/>
      <c r="E60" s="133"/>
      <c r="F60" s="133"/>
      <c r="G60" s="133"/>
      <c r="H60" s="133"/>
      <c r="I60" s="133"/>
      <c r="J60" s="133"/>
      <c r="K60" s="133"/>
      <c r="L60" s="87"/>
      <c r="M60" s="223" t="s">
        <v>141</v>
      </c>
      <c r="N60" s="56"/>
      <c r="O60" s="56"/>
      <c r="P60" s="56"/>
      <c r="Q60" s="57">
        <v>30000</v>
      </c>
      <c r="R60" s="278"/>
      <c r="S60" s="61" t="s">
        <v>25</v>
      </c>
      <c r="T60" s="61" t="s">
        <v>26</v>
      </c>
      <c r="U60" s="57">
        <v>1</v>
      </c>
      <c r="V60" s="61" t="s">
        <v>142</v>
      </c>
      <c r="W60" s="57" t="s">
        <v>26</v>
      </c>
      <c r="X60" s="57">
        <v>2</v>
      </c>
      <c r="Y60" s="222" t="s">
        <v>143</v>
      </c>
      <c r="Z60" s="57" t="s">
        <v>27</v>
      </c>
      <c r="AA60" s="384" t="s">
        <v>332</v>
      </c>
      <c r="AB60" s="57"/>
      <c r="AC60" s="57">
        <v>22500</v>
      </c>
      <c r="AD60" s="64" t="s">
        <v>67</v>
      </c>
      <c r="AE60" s="21"/>
      <c r="AF60" s="20"/>
      <c r="AG60" s="20"/>
    </row>
    <row r="61" spans="1:33" s="12" customFormat="1" ht="21" customHeight="1">
      <c r="A61" s="51"/>
      <c r="B61" s="52"/>
      <c r="C61" s="52"/>
      <c r="D61" s="133"/>
      <c r="E61" s="133"/>
      <c r="F61" s="133"/>
      <c r="G61" s="133"/>
      <c r="H61" s="133"/>
      <c r="I61" s="133"/>
      <c r="J61" s="133"/>
      <c r="K61" s="133"/>
      <c r="L61" s="87"/>
      <c r="AD61" s="283"/>
      <c r="AE61" s="2"/>
    </row>
    <row r="62" spans="1:33" s="12" customFormat="1" ht="21" customHeight="1">
      <c r="A62" s="51"/>
      <c r="B62" s="52"/>
      <c r="C62" s="42" t="s">
        <v>42</v>
      </c>
      <c r="D62" s="137">
        <v>2133</v>
      </c>
      <c r="E62" s="137">
        <f>ROUND(AC62/1000,0)</f>
        <v>2396</v>
      </c>
      <c r="F62" s="137">
        <f>(AC63+AC64)/1000</f>
        <v>1396.0250000000001</v>
      </c>
      <c r="G62" s="137">
        <v>0</v>
      </c>
      <c r="H62" s="137">
        <f>SUM(AC65)/1000</f>
        <v>1000</v>
      </c>
      <c r="I62" s="137">
        <v>0</v>
      </c>
      <c r="J62" s="137">
        <v>0</v>
      </c>
      <c r="K62" s="137">
        <f>E62-D62</f>
        <v>263</v>
      </c>
      <c r="L62" s="145">
        <f>IF(D62=0,0,K62/D62)</f>
        <v>0.123300515705579</v>
      </c>
      <c r="M62" s="121" t="s">
        <v>43</v>
      </c>
      <c r="N62" s="117"/>
      <c r="O62" s="117"/>
      <c r="P62" s="117"/>
      <c r="Q62" s="117"/>
      <c r="R62" s="225"/>
      <c r="S62" s="110"/>
      <c r="T62" s="110"/>
      <c r="U62" s="110"/>
      <c r="V62" s="110"/>
      <c r="W62" s="110"/>
      <c r="X62" s="253" t="s">
        <v>170</v>
      </c>
      <c r="Y62" s="203"/>
      <c r="Z62" s="203"/>
      <c r="AA62" s="203"/>
      <c r="AB62" s="205"/>
      <c r="AC62" s="205">
        <f>SUM(AC63:AC65)</f>
        <v>2396025</v>
      </c>
      <c r="AD62" s="204" t="s">
        <v>25</v>
      </c>
      <c r="AE62" s="1"/>
    </row>
    <row r="63" spans="1:33" s="12" customFormat="1" ht="21" customHeight="1">
      <c r="A63" s="51"/>
      <c r="B63" s="52"/>
      <c r="C63" s="52" t="s">
        <v>147</v>
      </c>
      <c r="D63" s="133"/>
      <c r="E63" s="133"/>
      <c r="F63" s="133"/>
      <c r="G63" s="133"/>
      <c r="H63" s="133"/>
      <c r="I63" s="133"/>
      <c r="J63" s="133"/>
      <c r="K63" s="133"/>
      <c r="L63" s="87"/>
      <c r="M63" s="190" t="s">
        <v>171</v>
      </c>
      <c r="N63" s="56"/>
      <c r="O63" s="56"/>
      <c r="P63" s="56"/>
      <c r="Q63" s="57"/>
      <c r="R63" s="278"/>
      <c r="S63" s="61"/>
      <c r="T63" s="57"/>
      <c r="U63" s="573"/>
      <c r="V63" s="574"/>
      <c r="W63" s="57"/>
      <c r="X63" s="109"/>
      <c r="Y63" s="109"/>
      <c r="Z63" s="109"/>
      <c r="AA63" s="109" t="s">
        <v>258</v>
      </c>
      <c r="AB63" s="109"/>
      <c r="AC63" s="109">
        <v>796025</v>
      </c>
      <c r="AD63" s="147" t="s">
        <v>25</v>
      </c>
      <c r="AE63" s="1"/>
    </row>
    <row r="64" spans="1:33" s="12" customFormat="1" ht="21" customHeight="1">
      <c r="A64" s="51"/>
      <c r="B64" s="52"/>
      <c r="C64" s="52"/>
      <c r="D64" s="133"/>
      <c r="E64" s="133"/>
      <c r="F64" s="133"/>
      <c r="G64" s="133"/>
      <c r="H64" s="133"/>
      <c r="I64" s="133"/>
      <c r="J64" s="133"/>
      <c r="K64" s="133"/>
      <c r="L64" s="87"/>
      <c r="M64" s="270" t="s">
        <v>207</v>
      </c>
      <c r="N64" s="252"/>
      <c r="O64" s="252"/>
      <c r="P64" s="252"/>
      <c r="Q64" s="251"/>
      <c r="R64" s="278"/>
      <c r="S64" s="61"/>
      <c r="T64" s="61"/>
      <c r="U64" s="251"/>
      <c r="V64" s="252"/>
      <c r="W64" s="251"/>
      <c r="X64" s="251"/>
      <c r="Y64" s="251"/>
      <c r="Z64" s="251"/>
      <c r="AA64" s="338" t="s">
        <v>258</v>
      </c>
      <c r="AB64" s="251"/>
      <c r="AC64" s="251">
        <v>600000</v>
      </c>
      <c r="AD64" s="64" t="s">
        <v>173</v>
      </c>
      <c r="AE64" s="21"/>
    </row>
    <row r="65" spans="1:31" s="12" customFormat="1" ht="21" customHeight="1">
      <c r="A65" s="51"/>
      <c r="B65" s="52"/>
      <c r="C65" s="52"/>
      <c r="D65" s="133"/>
      <c r="E65" s="133"/>
      <c r="F65" s="133"/>
      <c r="G65" s="133"/>
      <c r="H65" s="133"/>
      <c r="I65" s="133"/>
      <c r="J65" s="133"/>
      <c r="K65" s="133"/>
      <c r="L65" s="87"/>
      <c r="M65" s="270" t="s">
        <v>208</v>
      </c>
      <c r="N65" s="270"/>
      <c r="O65" s="270"/>
      <c r="P65" s="270"/>
      <c r="Q65" s="269"/>
      <c r="R65" s="278"/>
      <c r="S65" s="61"/>
      <c r="T65" s="61"/>
      <c r="U65" s="269"/>
      <c r="V65" s="270"/>
      <c r="W65" s="269"/>
      <c r="X65" s="269"/>
      <c r="Y65" s="269"/>
      <c r="Z65" s="269"/>
      <c r="AA65" s="302" t="s">
        <v>226</v>
      </c>
      <c r="AB65" s="269"/>
      <c r="AC65" s="269">
        <v>1000000</v>
      </c>
      <c r="AD65" s="64" t="s">
        <v>204</v>
      </c>
      <c r="AE65" s="21"/>
    </row>
    <row r="66" spans="1:31" s="12" customFormat="1" ht="21" customHeight="1">
      <c r="A66" s="51"/>
      <c r="B66" s="52"/>
      <c r="C66" s="66"/>
      <c r="D66" s="135"/>
      <c r="E66" s="135"/>
      <c r="F66" s="135"/>
      <c r="G66" s="135"/>
      <c r="H66" s="135"/>
      <c r="I66" s="135"/>
      <c r="J66" s="135"/>
      <c r="K66" s="135"/>
      <c r="L66" s="105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9"/>
      <c r="AD66" s="160"/>
      <c r="AE66" s="1"/>
    </row>
    <row r="67" spans="1:31" s="12" customFormat="1" ht="21" customHeight="1">
      <c r="A67" s="51"/>
      <c r="B67" s="52"/>
      <c r="C67" s="52" t="s">
        <v>40</v>
      </c>
      <c r="D67" s="133">
        <v>3720</v>
      </c>
      <c r="E67" s="133">
        <f>ROUND(AC67/1000,0)</f>
        <v>3884</v>
      </c>
      <c r="F67" s="133">
        <f>(AC70+AC68+AC69)/1000</f>
        <v>3213.9749999999999</v>
      </c>
      <c r="G67" s="133">
        <v>0</v>
      </c>
      <c r="H67" s="133">
        <f>(AC71+AC72)/1000</f>
        <v>670</v>
      </c>
      <c r="I67" s="133">
        <v>0</v>
      </c>
      <c r="J67" s="133">
        <v>0</v>
      </c>
      <c r="K67" s="133">
        <f>E67-D67</f>
        <v>164</v>
      </c>
      <c r="L67" s="87">
        <f>IF(D67=0,0,K67/D67)</f>
        <v>4.4086021505376341E-2</v>
      </c>
      <c r="M67" s="140" t="s">
        <v>44</v>
      </c>
      <c r="N67" s="38"/>
      <c r="O67" s="38"/>
      <c r="P67" s="38"/>
      <c r="Q67" s="38"/>
      <c r="R67" s="221"/>
      <c r="S67" s="39"/>
      <c r="T67" s="39"/>
      <c r="U67" s="39"/>
      <c r="V67" s="39"/>
      <c r="W67" s="39"/>
      <c r="X67" s="203" t="s">
        <v>136</v>
      </c>
      <c r="Y67" s="203"/>
      <c r="Z67" s="203"/>
      <c r="AA67" s="203"/>
      <c r="AB67" s="205"/>
      <c r="AC67" s="205">
        <f>SUM(AC68:AC72)</f>
        <v>3883975</v>
      </c>
      <c r="AD67" s="204" t="s">
        <v>25</v>
      </c>
      <c r="AE67" s="1"/>
    </row>
    <row r="68" spans="1:31" s="12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190" t="s">
        <v>220</v>
      </c>
      <c r="N68" s="56"/>
      <c r="O68" s="56"/>
      <c r="P68" s="56"/>
      <c r="Q68" s="155">
        <v>50000</v>
      </c>
      <c r="R68" s="155"/>
      <c r="S68" s="156" t="s">
        <v>25</v>
      </c>
      <c r="T68" s="156" t="s">
        <v>26</v>
      </c>
      <c r="U68" s="155">
        <v>10</v>
      </c>
      <c r="V68" s="154" t="s">
        <v>29</v>
      </c>
      <c r="W68" s="155" t="s">
        <v>27</v>
      </c>
      <c r="X68" s="57"/>
      <c r="Y68" s="57"/>
      <c r="Z68" s="152"/>
      <c r="AA68" s="302" t="s">
        <v>227</v>
      </c>
      <c r="AB68" s="57"/>
      <c r="AC68" s="57">
        <f>ROUNDUP(Q68*U68,1)</f>
        <v>500000</v>
      </c>
      <c r="AD68" s="64" t="s">
        <v>25</v>
      </c>
      <c r="AE68" s="1"/>
    </row>
    <row r="69" spans="1:31" s="12" customFormat="1" ht="21" customHeight="1">
      <c r="A69" s="51"/>
      <c r="B69" s="345"/>
      <c r="C69" s="345"/>
      <c r="D69" s="133"/>
      <c r="E69" s="133"/>
      <c r="F69" s="133"/>
      <c r="G69" s="133"/>
      <c r="H69" s="133"/>
      <c r="I69" s="133"/>
      <c r="J69" s="133"/>
      <c r="K69" s="133"/>
      <c r="L69" s="87"/>
      <c r="M69" s="521"/>
      <c r="N69" s="521"/>
      <c r="O69" s="521"/>
      <c r="P69" s="521"/>
      <c r="Q69" s="155"/>
      <c r="R69" s="155"/>
      <c r="S69" s="156"/>
      <c r="T69" s="156"/>
      <c r="U69" s="155"/>
      <c r="V69" s="154"/>
      <c r="W69" s="155"/>
      <c r="X69" s="520"/>
      <c r="Y69" s="520"/>
      <c r="Z69" s="520"/>
      <c r="AA69" s="520" t="s">
        <v>97</v>
      </c>
      <c r="AB69" s="520"/>
      <c r="AC69" s="520">
        <v>13975</v>
      </c>
      <c r="AD69" s="64" t="s">
        <v>486</v>
      </c>
      <c r="AE69" s="1"/>
    </row>
    <row r="70" spans="1:31" s="12" customFormat="1" ht="21" customHeight="1">
      <c r="A70" s="51"/>
      <c r="B70" s="52"/>
      <c r="C70" s="52"/>
      <c r="D70" s="133"/>
      <c r="E70" s="133"/>
      <c r="F70" s="133"/>
      <c r="G70" s="133"/>
      <c r="H70" s="133"/>
      <c r="I70" s="133"/>
      <c r="J70" s="133"/>
      <c r="K70" s="133"/>
      <c r="L70" s="87"/>
      <c r="M70" s="83" t="s">
        <v>221</v>
      </c>
      <c r="N70" s="181"/>
      <c r="O70" s="181"/>
      <c r="P70" s="181"/>
      <c r="Q70" s="222">
        <v>270000</v>
      </c>
      <c r="R70" s="278"/>
      <c r="S70" s="61" t="s">
        <v>57</v>
      </c>
      <c r="T70" s="61" t="s">
        <v>26</v>
      </c>
      <c r="U70" s="222">
        <v>10</v>
      </c>
      <c r="V70" s="223" t="s">
        <v>0</v>
      </c>
      <c r="W70" s="222" t="s">
        <v>27</v>
      </c>
      <c r="X70" s="222"/>
      <c r="Y70" s="222"/>
      <c r="Z70" s="222"/>
      <c r="AA70" s="302" t="s">
        <v>227</v>
      </c>
      <c r="AB70" s="222"/>
      <c r="AC70" s="222">
        <f>Q70*U70</f>
        <v>2700000</v>
      </c>
      <c r="AD70" s="64" t="s">
        <v>112</v>
      </c>
      <c r="AE70" s="1"/>
    </row>
    <row r="71" spans="1:31" s="12" customFormat="1" ht="21" customHeight="1">
      <c r="A71" s="51"/>
      <c r="B71" s="52"/>
      <c r="C71" s="52"/>
      <c r="D71" s="133"/>
      <c r="E71" s="133"/>
      <c r="F71" s="133"/>
      <c r="G71" s="133"/>
      <c r="H71" s="133"/>
      <c r="I71" s="133"/>
      <c r="J71" s="133"/>
      <c r="K71" s="133"/>
      <c r="L71" s="87"/>
      <c r="M71" s="295" t="s">
        <v>222</v>
      </c>
      <c r="N71" s="295"/>
      <c r="O71" s="295"/>
      <c r="P71" s="295"/>
      <c r="Q71" s="155">
        <v>55000</v>
      </c>
      <c r="R71" s="155"/>
      <c r="S71" s="156" t="s">
        <v>25</v>
      </c>
      <c r="T71" s="156" t="s">
        <v>26</v>
      </c>
      <c r="U71" s="155">
        <v>2</v>
      </c>
      <c r="V71" s="154" t="s">
        <v>29</v>
      </c>
      <c r="W71" s="155" t="s">
        <v>27</v>
      </c>
      <c r="X71" s="294"/>
      <c r="Y71" s="294"/>
      <c r="Z71" s="294"/>
      <c r="AA71" s="302" t="s">
        <v>226</v>
      </c>
      <c r="AB71" s="294"/>
      <c r="AC71" s="294">
        <f>ROUNDUP(Q71*U71,1)</f>
        <v>110000</v>
      </c>
      <c r="AD71" s="64" t="s">
        <v>25</v>
      </c>
      <c r="AE71" s="1"/>
    </row>
    <row r="72" spans="1:31" s="12" customFormat="1" ht="21" customHeight="1">
      <c r="A72" s="51"/>
      <c r="B72" s="52"/>
      <c r="C72" s="52"/>
      <c r="D72" s="133"/>
      <c r="E72" s="133"/>
      <c r="F72" s="133"/>
      <c r="G72" s="133"/>
      <c r="H72" s="133"/>
      <c r="I72" s="133"/>
      <c r="J72" s="133"/>
      <c r="K72" s="133"/>
      <c r="L72" s="87"/>
      <c r="M72" s="339" t="s">
        <v>223</v>
      </c>
      <c r="N72" s="295"/>
      <c r="O72" s="295"/>
      <c r="P72" s="295"/>
      <c r="Q72" s="294">
        <v>280000</v>
      </c>
      <c r="R72" s="294"/>
      <c r="S72" s="61" t="s">
        <v>57</v>
      </c>
      <c r="T72" s="61" t="s">
        <v>26</v>
      </c>
      <c r="U72" s="294">
        <v>2</v>
      </c>
      <c r="V72" s="295" t="s">
        <v>0</v>
      </c>
      <c r="W72" s="294" t="s">
        <v>27</v>
      </c>
      <c r="X72" s="294"/>
      <c r="Y72" s="294"/>
      <c r="Z72" s="294"/>
      <c r="AA72" s="302" t="s">
        <v>226</v>
      </c>
      <c r="AB72" s="294"/>
      <c r="AC72" s="294">
        <f>Q72*U72</f>
        <v>560000</v>
      </c>
      <c r="AD72" s="64" t="s">
        <v>57</v>
      </c>
      <c r="AE72" s="1"/>
    </row>
    <row r="73" spans="1:31" s="15" customFormat="1" ht="21" customHeight="1">
      <c r="A73" s="51"/>
      <c r="B73" s="52"/>
      <c r="C73" s="52"/>
      <c r="D73" s="133"/>
      <c r="E73" s="133"/>
      <c r="F73" s="133"/>
      <c r="G73" s="133"/>
      <c r="H73" s="133"/>
      <c r="I73" s="133"/>
      <c r="J73" s="133"/>
      <c r="K73" s="133"/>
      <c r="L73" s="87"/>
      <c r="M73" s="144"/>
      <c r="N73" s="56"/>
      <c r="O73" s="56"/>
      <c r="P73" s="56"/>
      <c r="Q73" s="57"/>
      <c r="R73" s="278"/>
      <c r="S73" s="61"/>
      <c r="T73" s="61"/>
      <c r="U73" s="57"/>
      <c r="V73" s="56"/>
      <c r="W73" s="57"/>
      <c r="X73" s="57"/>
      <c r="Y73" s="57"/>
      <c r="Z73" s="57"/>
      <c r="AA73" s="174"/>
      <c r="AB73" s="57"/>
      <c r="AC73" s="57"/>
      <c r="AD73" s="64"/>
      <c r="AE73" s="4"/>
    </row>
    <row r="74" spans="1:31" ht="21" customHeight="1">
      <c r="A74" s="51"/>
      <c r="B74" s="52"/>
      <c r="C74" s="42" t="s">
        <v>15</v>
      </c>
      <c r="D74" s="137">
        <v>603</v>
      </c>
      <c r="E74" s="137">
        <f>ROUND(AC74/1000,0)</f>
        <v>366</v>
      </c>
      <c r="F74" s="137">
        <f>(AC77+AC78+AC79+AC75+AC76)/1000</f>
        <v>326.2</v>
      </c>
      <c r="G74" s="137">
        <v>0</v>
      </c>
      <c r="H74" s="137">
        <f>(AC81+AC82+AC80+AC83)/1000</f>
        <v>39.72</v>
      </c>
      <c r="I74" s="137">
        <v>0</v>
      </c>
      <c r="J74" s="137">
        <v>0</v>
      </c>
      <c r="K74" s="227">
        <f>E74-D74</f>
        <v>-237</v>
      </c>
      <c r="L74" s="145">
        <f>IF(D74=0,0,K74/D74)</f>
        <v>-0.39303482587064675</v>
      </c>
      <c r="M74" s="121" t="s">
        <v>45</v>
      </c>
      <c r="N74" s="117"/>
      <c r="O74" s="117"/>
      <c r="P74" s="117"/>
      <c r="Q74" s="117"/>
      <c r="R74" s="225"/>
      <c r="S74" s="110"/>
      <c r="T74" s="110"/>
      <c r="U74" s="110"/>
      <c r="V74" s="110"/>
      <c r="W74" s="110"/>
      <c r="X74" s="203" t="s">
        <v>136</v>
      </c>
      <c r="Y74" s="203"/>
      <c r="Z74" s="203"/>
      <c r="AA74" s="203"/>
      <c r="AB74" s="205"/>
      <c r="AC74" s="205">
        <f>SUM(AC75:AC83)</f>
        <v>365920</v>
      </c>
      <c r="AD74" s="204" t="s">
        <v>25</v>
      </c>
    </row>
    <row r="75" spans="1:31" s="12" customFormat="1" ht="21" customHeight="1">
      <c r="A75" s="51"/>
      <c r="B75" s="52"/>
      <c r="C75" s="52"/>
      <c r="D75" s="133"/>
      <c r="E75" s="133"/>
      <c r="F75" s="133"/>
      <c r="G75" s="133"/>
      <c r="H75" s="133"/>
      <c r="I75" s="133"/>
      <c r="J75" s="133"/>
      <c r="K75" s="133"/>
      <c r="L75" s="87"/>
      <c r="M75" s="252" t="s">
        <v>174</v>
      </c>
      <c r="N75" s="161"/>
      <c r="O75" s="161"/>
      <c r="P75" s="161"/>
      <c r="Q75" s="155">
        <v>41600</v>
      </c>
      <c r="R75" s="155"/>
      <c r="S75" s="156" t="s">
        <v>25</v>
      </c>
      <c r="T75" s="156" t="s">
        <v>26</v>
      </c>
      <c r="U75" s="155">
        <v>1</v>
      </c>
      <c r="V75" s="154" t="s">
        <v>169</v>
      </c>
      <c r="W75" s="155" t="s">
        <v>27</v>
      </c>
      <c r="X75" s="57"/>
      <c r="Y75" s="57"/>
      <c r="Z75" s="56"/>
      <c r="AA75" s="339" t="s">
        <v>258</v>
      </c>
      <c r="AB75" s="57"/>
      <c r="AC75" s="57">
        <f>Q75*U75</f>
        <v>41600</v>
      </c>
      <c r="AD75" s="64" t="s">
        <v>173</v>
      </c>
      <c r="AE75" s="1"/>
    </row>
    <row r="76" spans="1:31" s="12" customFormat="1" ht="21" customHeight="1">
      <c r="A76" s="51"/>
      <c r="B76" s="52"/>
      <c r="C76" s="52"/>
      <c r="D76" s="133"/>
      <c r="E76" s="133"/>
      <c r="F76" s="133"/>
      <c r="G76" s="133"/>
      <c r="H76" s="133"/>
      <c r="I76" s="133"/>
      <c r="J76" s="133"/>
      <c r="K76" s="133"/>
      <c r="L76" s="87"/>
      <c r="M76" s="262" t="s">
        <v>175</v>
      </c>
      <c r="N76" s="34"/>
      <c r="O76" s="34"/>
      <c r="P76" s="34"/>
      <c r="Q76" s="155">
        <v>87700</v>
      </c>
      <c r="R76" s="155"/>
      <c r="S76" s="156" t="s">
        <v>25</v>
      </c>
      <c r="T76" s="156" t="s">
        <v>26</v>
      </c>
      <c r="U76" s="155">
        <v>1</v>
      </c>
      <c r="V76" s="154" t="s">
        <v>169</v>
      </c>
      <c r="W76" s="155" t="s">
        <v>27</v>
      </c>
      <c r="X76" s="251"/>
      <c r="Y76" s="251"/>
      <c r="Z76" s="252"/>
      <c r="AA76" s="339" t="s">
        <v>258</v>
      </c>
      <c r="AB76" s="251"/>
      <c r="AC76" s="251">
        <f>Q76*U76</f>
        <v>87700</v>
      </c>
      <c r="AD76" s="64" t="s">
        <v>173</v>
      </c>
      <c r="AE76" s="1"/>
    </row>
    <row r="77" spans="1:31" s="12" customFormat="1" ht="21" customHeight="1">
      <c r="A77" s="51"/>
      <c r="B77" s="52"/>
      <c r="C77" s="52"/>
      <c r="D77" s="133"/>
      <c r="E77" s="133"/>
      <c r="F77" s="133"/>
      <c r="G77" s="133"/>
      <c r="H77" s="133"/>
      <c r="I77" s="133"/>
      <c r="J77" s="133"/>
      <c r="K77" s="133"/>
      <c r="L77" s="87"/>
      <c r="M77" s="252" t="s">
        <v>176</v>
      </c>
      <c r="N77" s="34"/>
      <c r="O77" s="34"/>
      <c r="P77" s="34"/>
      <c r="Q77" s="155">
        <v>110000</v>
      </c>
      <c r="R77" s="155"/>
      <c r="S77" s="156" t="s">
        <v>25</v>
      </c>
      <c r="T77" s="156" t="s">
        <v>26</v>
      </c>
      <c r="U77" s="155">
        <v>1</v>
      </c>
      <c r="V77" s="154" t="s">
        <v>169</v>
      </c>
      <c r="W77" s="155" t="s">
        <v>27</v>
      </c>
      <c r="X77" s="57"/>
      <c r="Y77" s="57"/>
      <c r="Z77" s="56"/>
      <c r="AA77" s="339" t="s">
        <v>258</v>
      </c>
      <c r="AB77" s="57"/>
      <c r="AC77" s="251">
        <f t="shared" ref="AC77:AC79" si="7">Q77*U77</f>
        <v>110000</v>
      </c>
      <c r="AD77" s="64" t="s">
        <v>25</v>
      </c>
      <c r="AE77" s="1"/>
    </row>
    <row r="78" spans="1:31" s="12" customFormat="1" ht="21" customHeight="1">
      <c r="A78" s="51"/>
      <c r="B78" s="52"/>
      <c r="C78" s="52"/>
      <c r="D78" s="133"/>
      <c r="E78" s="133"/>
      <c r="F78" s="133"/>
      <c r="G78" s="133"/>
      <c r="H78" s="133"/>
      <c r="I78" s="133"/>
      <c r="J78" s="133"/>
      <c r="K78" s="133"/>
      <c r="L78" s="87"/>
      <c r="M78" s="252" t="s">
        <v>177</v>
      </c>
      <c r="N78" s="161"/>
      <c r="O78" s="161"/>
      <c r="P78" s="161"/>
      <c r="Q78" s="155">
        <v>55000</v>
      </c>
      <c r="R78" s="155"/>
      <c r="S78" s="156" t="s">
        <v>25</v>
      </c>
      <c r="T78" s="156" t="s">
        <v>26</v>
      </c>
      <c r="U78" s="155">
        <v>1</v>
      </c>
      <c r="V78" s="154" t="s">
        <v>169</v>
      </c>
      <c r="W78" s="155" t="s">
        <v>27</v>
      </c>
      <c r="X78" s="57"/>
      <c r="Y78" s="57"/>
      <c r="Z78" s="56"/>
      <c r="AA78" s="339" t="s">
        <v>258</v>
      </c>
      <c r="AB78" s="57"/>
      <c r="AC78" s="251">
        <f t="shared" si="7"/>
        <v>55000</v>
      </c>
      <c r="AD78" s="64" t="s">
        <v>25</v>
      </c>
      <c r="AE78" s="1"/>
    </row>
    <row r="79" spans="1:31" s="12" customFormat="1" ht="21" customHeight="1">
      <c r="A79" s="51"/>
      <c r="B79" s="52"/>
      <c r="C79" s="52"/>
      <c r="D79" s="133"/>
      <c r="E79" s="133"/>
      <c r="F79" s="133"/>
      <c r="G79" s="133"/>
      <c r="H79" s="133"/>
      <c r="I79" s="133"/>
      <c r="J79" s="133"/>
      <c r="K79" s="133"/>
      <c r="L79" s="87"/>
      <c r="M79" s="252" t="s">
        <v>178</v>
      </c>
      <c r="N79" s="34"/>
      <c r="O79" s="34"/>
      <c r="P79" s="34"/>
      <c r="Q79" s="155">
        <v>31900</v>
      </c>
      <c r="R79" s="155"/>
      <c r="S79" s="156" t="s">
        <v>25</v>
      </c>
      <c r="T79" s="156" t="s">
        <v>26</v>
      </c>
      <c r="U79" s="155">
        <v>1</v>
      </c>
      <c r="V79" s="154" t="s">
        <v>169</v>
      </c>
      <c r="W79" s="155" t="s">
        <v>27</v>
      </c>
      <c r="X79" s="57"/>
      <c r="Y79" s="57"/>
      <c r="Z79" s="56"/>
      <c r="AA79" s="339" t="s">
        <v>258</v>
      </c>
      <c r="AB79" s="57"/>
      <c r="AC79" s="251">
        <f t="shared" si="7"/>
        <v>31900</v>
      </c>
      <c r="AD79" s="64" t="s">
        <v>25</v>
      </c>
      <c r="AE79" s="1"/>
    </row>
    <row r="80" spans="1:31" s="12" customFormat="1" ht="21" customHeight="1">
      <c r="A80" s="51"/>
      <c r="B80" s="52"/>
      <c r="C80" s="52"/>
      <c r="D80" s="133"/>
      <c r="E80" s="133"/>
      <c r="F80" s="133"/>
      <c r="G80" s="133"/>
      <c r="H80" s="133"/>
      <c r="I80" s="133"/>
      <c r="J80" s="133"/>
      <c r="K80" s="133"/>
      <c r="L80" s="87"/>
      <c r="M80" s="293" t="s">
        <v>216</v>
      </c>
      <c r="N80" s="34"/>
      <c r="O80" s="34"/>
      <c r="P80" s="34"/>
      <c r="Q80" s="155">
        <v>19720</v>
      </c>
      <c r="R80" s="155"/>
      <c r="S80" s="156" t="s">
        <v>25</v>
      </c>
      <c r="T80" s="156" t="s">
        <v>26</v>
      </c>
      <c r="U80" s="155">
        <v>1</v>
      </c>
      <c r="V80" s="154" t="s">
        <v>75</v>
      </c>
      <c r="W80" s="155" t="s">
        <v>27</v>
      </c>
      <c r="X80" s="292"/>
      <c r="Y80" s="292"/>
      <c r="Z80" s="293"/>
      <c r="AA80" s="339" t="s">
        <v>319</v>
      </c>
      <c r="AB80" s="292"/>
      <c r="AC80" s="292">
        <f t="shared" ref="AC80" si="8">Q80*U80</f>
        <v>19720</v>
      </c>
      <c r="AD80" s="64" t="s">
        <v>67</v>
      </c>
      <c r="AE80" s="1"/>
    </row>
    <row r="81" spans="1:31" s="12" customFormat="1" ht="21" customHeight="1">
      <c r="A81" s="51"/>
      <c r="B81" s="345"/>
      <c r="C81" s="345"/>
      <c r="D81" s="133"/>
      <c r="E81" s="133"/>
      <c r="F81" s="133"/>
      <c r="G81" s="133"/>
      <c r="H81" s="133"/>
      <c r="I81" s="133"/>
      <c r="J81" s="133"/>
      <c r="K81" s="133"/>
      <c r="L81" s="87"/>
      <c r="M81" s="383" t="s">
        <v>317</v>
      </c>
      <c r="N81" s="161"/>
      <c r="O81" s="161"/>
      <c r="P81" s="161"/>
      <c r="Q81" s="367">
        <v>0</v>
      </c>
      <c r="R81" s="161"/>
      <c r="S81" s="156" t="s">
        <v>25</v>
      </c>
      <c r="T81" s="156" t="s">
        <v>26</v>
      </c>
      <c r="U81" s="155">
        <v>1</v>
      </c>
      <c r="V81" s="154" t="s">
        <v>314</v>
      </c>
      <c r="W81" s="234"/>
      <c r="X81" s="234" t="s">
        <v>318</v>
      </c>
      <c r="Y81" s="155">
        <v>3</v>
      </c>
      <c r="Z81" s="155" t="s">
        <v>27</v>
      </c>
      <c r="AA81" s="382" t="s">
        <v>315</v>
      </c>
      <c r="AB81" s="92"/>
      <c r="AC81" s="382">
        <f>Q81/Y81</f>
        <v>0</v>
      </c>
      <c r="AD81" s="64" t="s">
        <v>313</v>
      </c>
      <c r="AE81" s="1"/>
    </row>
    <row r="82" spans="1:31" s="12" customFormat="1" ht="21" customHeight="1">
      <c r="A82" s="51"/>
      <c r="B82" s="345"/>
      <c r="C82" s="345"/>
      <c r="D82" s="133"/>
      <c r="E82" s="133"/>
      <c r="F82" s="133"/>
      <c r="G82" s="133"/>
      <c r="H82" s="133"/>
      <c r="I82" s="133"/>
      <c r="J82" s="133"/>
      <c r="K82" s="133"/>
      <c r="L82" s="87"/>
      <c r="M82" s="383" t="s">
        <v>316</v>
      </c>
      <c r="N82" s="34"/>
      <c r="O82" s="34"/>
      <c r="P82" s="34"/>
      <c r="Q82" s="155">
        <v>10000</v>
      </c>
      <c r="R82" s="155"/>
      <c r="S82" s="156" t="s">
        <v>25</v>
      </c>
      <c r="T82" s="156" t="s">
        <v>26</v>
      </c>
      <c r="U82" s="155">
        <v>1</v>
      </c>
      <c r="V82" s="154" t="s">
        <v>288</v>
      </c>
      <c r="W82" s="234" t="s">
        <v>27</v>
      </c>
      <c r="X82" s="234"/>
      <c r="Y82" s="155"/>
      <c r="Z82" s="155"/>
      <c r="AA82" s="383" t="s">
        <v>279</v>
      </c>
      <c r="AB82" s="382"/>
      <c r="AC82" s="382">
        <v>10000</v>
      </c>
      <c r="AD82" s="64" t="s">
        <v>25</v>
      </c>
      <c r="AE82" s="1"/>
    </row>
    <row r="83" spans="1:31" s="12" customFormat="1" ht="21" customHeight="1">
      <c r="A83" s="51"/>
      <c r="B83" s="52"/>
      <c r="C83" s="52"/>
      <c r="D83" s="133"/>
      <c r="E83" s="133"/>
      <c r="F83" s="133"/>
      <c r="G83" s="133"/>
      <c r="H83" s="133"/>
      <c r="I83" s="133"/>
      <c r="J83" s="133"/>
      <c r="K83" s="133"/>
      <c r="L83" s="87"/>
      <c r="M83" s="504" t="s">
        <v>472</v>
      </c>
      <c r="N83" s="161"/>
      <c r="O83" s="161"/>
      <c r="P83" s="161"/>
      <c r="Q83" s="367">
        <v>10000</v>
      </c>
      <c r="R83" s="161"/>
      <c r="S83" s="156" t="s">
        <v>25</v>
      </c>
      <c r="T83" s="156" t="s">
        <v>26</v>
      </c>
      <c r="U83" s="155">
        <v>1</v>
      </c>
      <c r="V83" s="154" t="s">
        <v>288</v>
      </c>
      <c r="W83" s="234" t="s">
        <v>27</v>
      </c>
      <c r="X83" s="234"/>
      <c r="Y83" s="155"/>
      <c r="Z83" s="155"/>
      <c r="AA83" s="504" t="s">
        <v>279</v>
      </c>
      <c r="AB83" s="503"/>
      <c r="AC83" s="503">
        <v>10000</v>
      </c>
      <c r="AD83" s="64" t="s">
        <v>25</v>
      </c>
      <c r="AE83" s="1"/>
    </row>
    <row r="84" spans="1:31" s="12" customFormat="1" ht="21" customHeight="1">
      <c r="A84" s="51"/>
      <c r="B84" s="52"/>
      <c r="C84" s="42" t="s">
        <v>46</v>
      </c>
      <c r="D84" s="137">
        <v>320</v>
      </c>
      <c r="E84" s="137">
        <f>ROUND(AC84/1000,0)</f>
        <v>0</v>
      </c>
      <c r="F84" s="137">
        <v>0</v>
      </c>
      <c r="G84" s="137">
        <v>0</v>
      </c>
      <c r="H84" s="137">
        <f>AC84/1000</f>
        <v>0</v>
      </c>
      <c r="I84" s="137">
        <v>0</v>
      </c>
      <c r="J84" s="137">
        <v>0</v>
      </c>
      <c r="K84" s="137">
        <f>E84-D84</f>
        <v>-320</v>
      </c>
      <c r="L84" s="145">
        <f>IF(D84=0,0,K84/D84)</f>
        <v>-1</v>
      </c>
      <c r="M84" s="121" t="s">
        <v>47</v>
      </c>
      <c r="N84" s="117"/>
      <c r="O84" s="117"/>
      <c r="P84" s="117"/>
      <c r="Q84" s="117"/>
      <c r="R84" s="225"/>
      <c r="S84" s="110"/>
      <c r="T84" s="110"/>
      <c r="U84" s="110"/>
      <c r="V84" s="110"/>
      <c r="W84" s="110"/>
      <c r="X84" s="203" t="s">
        <v>136</v>
      </c>
      <c r="Y84" s="203"/>
      <c r="Z84" s="203"/>
      <c r="AA84" s="203"/>
      <c r="AB84" s="205"/>
      <c r="AC84" s="205">
        <f>SUM(AC85:AC85)</f>
        <v>0</v>
      </c>
      <c r="AD84" s="204" t="s">
        <v>25</v>
      </c>
      <c r="AE84" s="1"/>
    </row>
    <row r="85" spans="1:31" s="12" customFormat="1" ht="21" customHeight="1">
      <c r="A85" s="51"/>
      <c r="B85" s="52"/>
      <c r="C85" s="52"/>
      <c r="D85" s="133"/>
      <c r="E85" s="133"/>
      <c r="F85" s="133"/>
      <c r="G85" s="133"/>
      <c r="H85" s="133"/>
      <c r="I85" s="133"/>
      <c r="J85" s="133"/>
      <c r="K85" s="133"/>
      <c r="L85" s="87"/>
      <c r="M85" s="252" t="s">
        <v>179</v>
      </c>
      <c r="N85" s="56"/>
      <c r="O85" s="56"/>
      <c r="P85" s="56"/>
      <c r="Q85" s="155">
        <v>0</v>
      </c>
      <c r="R85" s="155"/>
      <c r="S85" s="156" t="s">
        <v>25</v>
      </c>
      <c r="T85" s="156" t="s">
        <v>26</v>
      </c>
      <c r="U85" s="155">
        <v>12</v>
      </c>
      <c r="V85" s="154" t="s">
        <v>172</v>
      </c>
      <c r="W85" s="155" t="s">
        <v>27</v>
      </c>
      <c r="X85" s="234" t="s">
        <v>73</v>
      </c>
      <c r="Y85" s="92">
        <v>3</v>
      </c>
      <c r="Z85" s="155" t="s">
        <v>27</v>
      </c>
      <c r="AA85" s="57" t="s">
        <v>280</v>
      </c>
      <c r="AB85" s="57"/>
      <c r="AC85" s="57">
        <f>Q85*U85/Y85</f>
        <v>0</v>
      </c>
      <c r="AD85" s="64" t="s">
        <v>25</v>
      </c>
      <c r="AE85" s="1"/>
    </row>
    <row r="86" spans="1:31" s="12" customFormat="1" ht="21" customHeight="1">
      <c r="A86" s="51"/>
      <c r="B86" s="52"/>
      <c r="C86" s="66"/>
      <c r="D86" s="135"/>
      <c r="E86" s="135"/>
      <c r="F86" s="135"/>
      <c r="G86" s="135"/>
      <c r="H86" s="135"/>
      <c r="I86" s="135"/>
      <c r="J86" s="135"/>
      <c r="K86" s="135"/>
      <c r="L86" s="105"/>
      <c r="M86" s="98"/>
      <c r="N86" s="98"/>
      <c r="O86" s="98"/>
      <c r="P86" s="98"/>
      <c r="Q86" s="97"/>
      <c r="R86" s="275"/>
      <c r="S86" s="106"/>
      <c r="T86" s="97"/>
      <c r="U86" s="569"/>
      <c r="V86" s="570"/>
      <c r="W86" s="97"/>
      <c r="X86" s="97"/>
      <c r="Y86" s="97"/>
      <c r="Z86" s="97"/>
      <c r="AA86" s="162"/>
      <c r="AB86" s="97"/>
      <c r="AC86" s="97"/>
      <c r="AD86" s="90"/>
      <c r="AE86" s="1"/>
    </row>
    <row r="87" spans="1:31" s="12" customFormat="1" ht="21" customHeight="1">
      <c r="A87" s="51"/>
      <c r="B87" s="52"/>
      <c r="C87" s="42" t="s">
        <v>98</v>
      </c>
      <c r="D87" s="137">
        <v>250</v>
      </c>
      <c r="E87" s="137">
        <f>ROUND(AC87/1000,0)</f>
        <v>100</v>
      </c>
      <c r="F87" s="137">
        <f>AC88/1000</f>
        <v>0</v>
      </c>
      <c r="G87" s="137">
        <v>0</v>
      </c>
      <c r="H87" s="137">
        <f>AC89/1000</f>
        <v>100</v>
      </c>
      <c r="I87" s="137">
        <v>0</v>
      </c>
      <c r="J87" s="137">
        <v>0</v>
      </c>
      <c r="K87" s="137">
        <f>E87-D87</f>
        <v>-150</v>
      </c>
      <c r="L87" s="145">
        <f>IF(D87=0,0,K87/D87)</f>
        <v>-0.6</v>
      </c>
      <c r="M87" s="140" t="s">
        <v>99</v>
      </c>
      <c r="N87" s="117"/>
      <c r="O87" s="117"/>
      <c r="P87" s="117"/>
      <c r="Q87" s="117"/>
      <c r="R87" s="225"/>
      <c r="S87" s="110"/>
      <c r="T87" s="110"/>
      <c r="U87" s="110"/>
      <c r="V87" s="110"/>
      <c r="W87" s="110"/>
      <c r="X87" s="203" t="s">
        <v>136</v>
      </c>
      <c r="Y87" s="203"/>
      <c r="Z87" s="203"/>
      <c r="AA87" s="203"/>
      <c r="AB87" s="205"/>
      <c r="AC87" s="205">
        <f>SUM(AC88:AC89)</f>
        <v>100000</v>
      </c>
      <c r="AD87" s="204" t="s">
        <v>25</v>
      </c>
      <c r="AE87" s="1"/>
    </row>
    <row r="88" spans="1:31" s="12" customFormat="1" ht="20.25" customHeight="1">
      <c r="A88" s="51"/>
      <c r="B88" s="52"/>
      <c r="C88" s="52"/>
      <c r="D88" s="133"/>
      <c r="E88" s="133"/>
      <c r="F88" s="133"/>
      <c r="G88" s="133"/>
      <c r="H88" s="133"/>
      <c r="I88" s="133"/>
      <c r="J88" s="133"/>
      <c r="K88" s="133"/>
      <c r="L88" s="87"/>
      <c r="M88" s="252" t="s">
        <v>180</v>
      </c>
      <c r="N88" s="153"/>
      <c r="O88" s="153"/>
      <c r="P88" s="153"/>
      <c r="Q88" s="141"/>
      <c r="R88" s="141"/>
      <c r="S88" s="152"/>
      <c r="T88" s="152"/>
      <c r="U88" s="152"/>
      <c r="V88" s="152"/>
      <c r="W88" s="152"/>
      <c r="X88" s="152"/>
      <c r="Y88" s="152"/>
      <c r="Z88" s="152"/>
      <c r="AA88" s="152" t="s">
        <v>282</v>
      </c>
      <c r="AB88" s="84"/>
      <c r="AC88" s="84">
        <v>0</v>
      </c>
      <c r="AD88" s="64" t="s">
        <v>173</v>
      </c>
      <c r="AE88" s="2"/>
    </row>
    <row r="89" spans="1:31" s="12" customFormat="1" ht="20.25" customHeight="1">
      <c r="A89" s="51"/>
      <c r="B89" s="345"/>
      <c r="C89" s="53"/>
      <c r="D89" s="133"/>
      <c r="E89" s="133"/>
      <c r="F89" s="133"/>
      <c r="G89" s="133"/>
      <c r="H89" s="133"/>
      <c r="I89" s="133"/>
      <c r="J89" s="133"/>
      <c r="K89" s="133"/>
      <c r="L89" s="87"/>
      <c r="M89" s="383"/>
      <c r="N89" s="383"/>
      <c r="O89" s="383"/>
      <c r="P89" s="383"/>
      <c r="Q89" s="141"/>
      <c r="R89" s="141"/>
      <c r="S89" s="382"/>
      <c r="T89" s="382"/>
      <c r="U89" s="382"/>
      <c r="V89" s="382"/>
      <c r="W89" s="382"/>
      <c r="X89" s="382"/>
      <c r="Y89" s="382"/>
      <c r="Z89" s="382"/>
      <c r="AA89" s="382" t="s">
        <v>320</v>
      </c>
      <c r="AB89" s="84"/>
      <c r="AC89" s="84">
        <v>100000</v>
      </c>
      <c r="AD89" s="64" t="s">
        <v>325</v>
      </c>
      <c r="AE89" s="2"/>
    </row>
    <row r="90" spans="1:31" s="12" customFormat="1" ht="20.25" customHeight="1">
      <c r="A90" s="51"/>
      <c r="B90" s="52"/>
      <c r="C90" s="53"/>
      <c r="D90" s="133"/>
      <c r="E90" s="133"/>
      <c r="F90" s="133"/>
      <c r="G90" s="133"/>
      <c r="H90" s="133"/>
      <c r="I90" s="133"/>
      <c r="J90" s="133"/>
      <c r="K90" s="133"/>
      <c r="L90" s="87"/>
      <c r="M90" s="88"/>
      <c r="N90" s="266"/>
      <c r="O90" s="266"/>
      <c r="P90" s="266"/>
      <c r="Q90" s="107"/>
      <c r="R90" s="107"/>
      <c r="S90" s="265"/>
      <c r="T90" s="265"/>
      <c r="U90" s="265"/>
      <c r="V90" s="265"/>
      <c r="W90" s="265"/>
      <c r="X90" s="265"/>
      <c r="Y90" s="265"/>
      <c r="Z90" s="265"/>
      <c r="AA90" s="265"/>
      <c r="AB90" s="89"/>
      <c r="AC90" s="89"/>
      <c r="AD90" s="90"/>
      <c r="AE90" s="2"/>
    </row>
    <row r="91" spans="1:31" s="12" customFormat="1" ht="21" customHeight="1">
      <c r="A91" s="136" t="s">
        <v>48</v>
      </c>
      <c r="B91" s="591" t="s">
        <v>21</v>
      </c>
      <c r="C91" s="591"/>
      <c r="D91" s="230">
        <v>3640</v>
      </c>
      <c r="E91" s="230">
        <f>E92</f>
        <v>2499.38</v>
      </c>
      <c r="F91" s="230">
        <f>F92</f>
        <v>0</v>
      </c>
      <c r="G91" s="230">
        <f>G92</f>
        <v>799.38</v>
      </c>
      <c r="H91" s="230">
        <f>H92</f>
        <v>1700</v>
      </c>
      <c r="I91" s="230">
        <v>0</v>
      </c>
      <c r="J91" s="230">
        <f t="shared" ref="J91" si="9">J92</f>
        <v>0</v>
      </c>
      <c r="K91" s="230">
        <f>E91-D91</f>
        <v>-1140.6199999999999</v>
      </c>
      <c r="L91" s="196">
        <f>IF(D91=0,0,K91/D91)</f>
        <v>-0.31335714285714283</v>
      </c>
      <c r="M91" s="355" t="s">
        <v>144</v>
      </c>
      <c r="N91" s="355"/>
      <c r="O91" s="355"/>
      <c r="P91" s="355"/>
      <c r="Q91" s="356"/>
      <c r="R91" s="356"/>
      <c r="S91" s="356"/>
      <c r="T91" s="356"/>
      <c r="U91" s="356"/>
      <c r="V91" s="356"/>
      <c r="W91" s="356"/>
      <c r="X91" s="356"/>
      <c r="Y91" s="356"/>
      <c r="Z91" s="356"/>
      <c r="AA91" s="356"/>
      <c r="AB91" s="356"/>
      <c r="AC91" s="356">
        <f>AC92</f>
        <v>2499380</v>
      </c>
      <c r="AD91" s="357" t="s">
        <v>25</v>
      </c>
      <c r="AE91" s="2"/>
    </row>
    <row r="92" spans="1:31" s="12" customFormat="1" ht="21" customHeight="1">
      <c r="A92" s="229" t="s">
        <v>151</v>
      </c>
      <c r="B92" s="52" t="s">
        <v>18</v>
      </c>
      <c r="C92" s="52" t="s">
        <v>145</v>
      </c>
      <c r="D92" s="133">
        <v>3640</v>
      </c>
      <c r="E92" s="133">
        <f>SUM(E93,E97,E102)</f>
        <v>2499.38</v>
      </c>
      <c r="F92" s="133">
        <f>F93+F97+F102</f>
        <v>0</v>
      </c>
      <c r="G92" s="133">
        <f>SUM(G93,G97,G102)</f>
        <v>799.38</v>
      </c>
      <c r="H92" s="133">
        <f>SUM(H97,H102)</f>
        <v>1700</v>
      </c>
      <c r="I92" s="133">
        <v>0</v>
      </c>
      <c r="J92" s="133">
        <f t="shared" ref="J92" si="10">SUM(J93,J97,J102)</f>
        <v>0</v>
      </c>
      <c r="K92" s="133">
        <f>E92-D92</f>
        <v>-1140.6199999999999</v>
      </c>
      <c r="L92" s="87">
        <f>IF(D92=0,0,K92/D92)</f>
        <v>-0.31335714285714283</v>
      </c>
      <c r="M92" s="225" t="s">
        <v>146</v>
      </c>
      <c r="N92" s="117"/>
      <c r="O92" s="117"/>
      <c r="P92" s="117"/>
      <c r="Q92" s="117"/>
      <c r="R92" s="225"/>
      <c r="S92" s="110"/>
      <c r="T92" s="110"/>
      <c r="U92" s="110"/>
      <c r="V92" s="110"/>
      <c r="W92" s="110"/>
      <c r="X92" s="110"/>
      <c r="Y92" s="110"/>
      <c r="Z92" s="110"/>
      <c r="AA92" s="110"/>
      <c r="AB92" s="118"/>
      <c r="AC92" s="118">
        <f>SUM(AC93,AC97,AC102)</f>
        <v>2499380</v>
      </c>
      <c r="AD92" s="119" t="s">
        <v>25</v>
      </c>
      <c r="AE92" s="1"/>
    </row>
    <row r="93" spans="1:31" s="12" customFormat="1" ht="21" customHeight="1">
      <c r="A93" s="51"/>
      <c r="B93" s="52"/>
      <c r="C93" s="42" t="s">
        <v>146</v>
      </c>
      <c r="D93" s="227">
        <v>0</v>
      </c>
      <c r="E93" s="227">
        <v>0</v>
      </c>
      <c r="F93" s="227">
        <f>ROUND(AC94/1000,0)</f>
        <v>0</v>
      </c>
      <c r="G93" s="227">
        <v>0</v>
      </c>
      <c r="H93" s="227">
        <v>0</v>
      </c>
      <c r="I93" s="227">
        <v>0</v>
      </c>
      <c r="J93" s="227">
        <v>0</v>
      </c>
      <c r="K93" s="227">
        <f>E93-D93</f>
        <v>0</v>
      </c>
      <c r="L93" s="228">
        <f>IF(D93=0,0,K93/D93)</f>
        <v>0</v>
      </c>
      <c r="M93" s="121" t="s">
        <v>49</v>
      </c>
      <c r="N93" s="225"/>
      <c r="O93" s="225"/>
      <c r="P93" s="225"/>
      <c r="Q93" s="225"/>
      <c r="R93" s="225"/>
      <c r="S93" s="224"/>
      <c r="T93" s="224"/>
      <c r="U93" s="224"/>
      <c r="V93" s="224"/>
      <c r="W93" s="224"/>
      <c r="X93" s="203" t="s">
        <v>136</v>
      </c>
      <c r="Y93" s="203"/>
      <c r="Z93" s="203"/>
      <c r="AA93" s="203"/>
      <c r="AB93" s="205"/>
      <c r="AC93" s="205">
        <f>SUM(AC94:AC94)</f>
        <v>0</v>
      </c>
      <c r="AD93" s="204" t="s">
        <v>25</v>
      </c>
      <c r="AE93" s="1"/>
    </row>
    <row r="94" spans="1:31" s="12" customFormat="1" ht="21" customHeight="1">
      <c r="A94" s="51"/>
      <c r="B94" s="52"/>
      <c r="C94" s="52"/>
      <c r="D94" s="133"/>
      <c r="E94" s="133"/>
      <c r="F94" s="133"/>
      <c r="G94" s="133"/>
      <c r="H94" s="133"/>
      <c r="I94" s="133"/>
      <c r="J94" s="133"/>
      <c r="K94" s="133"/>
      <c r="L94" s="87"/>
      <c r="M94" s="305" t="s">
        <v>233</v>
      </c>
      <c r="N94" s="178"/>
      <c r="O94" s="178"/>
      <c r="P94" s="178"/>
      <c r="Q94" s="178"/>
      <c r="R94" s="221"/>
      <c r="S94" s="177"/>
      <c r="T94" s="177"/>
      <c r="U94" s="177"/>
      <c r="V94" s="177"/>
      <c r="W94" s="177"/>
      <c r="X94" s="177"/>
      <c r="Y94" s="177"/>
      <c r="Z94" s="177"/>
      <c r="AA94" s="179"/>
      <c r="AB94" s="58"/>
      <c r="AC94" s="84">
        <v>0</v>
      </c>
      <c r="AD94" s="64" t="s">
        <v>111</v>
      </c>
      <c r="AE94" s="2"/>
    </row>
    <row r="95" spans="1:31" s="12" customFormat="1" ht="21" customHeight="1">
      <c r="A95" s="51"/>
      <c r="B95" s="52"/>
      <c r="C95" s="52"/>
      <c r="D95" s="133"/>
      <c r="E95" s="133"/>
      <c r="F95" s="133"/>
      <c r="G95" s="133"/>
      <c r="H95" s="133"/>
      <c r="I95" s="133"/>
      <c r="J95" s="133"/>
      <c r="K95" s="133"/>
      <c r="L95" s="87"/>
      <c r="M95" s="282"/>
      <c r="N95" s="221"/>
      <c r="O95" s="221"/>
      <c r="P95" s="221"/>
      <c r="Q95" s="221"/>
      <c r="R95" s="221"/>
      <c r="S95" s="220"/>
      <c r="T95" s="220"/>
      <c r="U95" s="220"/>
      <c r="V95" s="220"/>
      <c r="W95" s="220"/>
      <c r="X95" s="220"/>
      <c r="Y95" s="220"/>
      <c r="Z95" s="220"/>
      <c r="AA95" s="281"/>
      <c r="AB95" s="58"/>
      <c r="AC95" s="84"/>
      <c r="AD95" s="64"/>
      <c r="AE95" s="2"/>
    </row>
    <row r="96" spans="1:31" s="12" customFormat="1" ht="21" customHeight="1">
      <c r="A96" s="51"/>
      <c r="B96" s="52"/>
      <c r="C96" s="52"/>
      <c r="D96" s="133"/>
      <c r="E96" s="133"/>
      <c r="F96" s="133"/>
      <c r="G96" s="133"/>
      <c r="H96" s="133"/>
      <c r="I96" s="133"/>
      <c r="J96" s="133"/>
      <c r="K96" s="133"/>
      <c r="L96" s="87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63"/>
      <c r="AD96" s="151"/>
      <c r="AE96" s="2"/>
    </row>
    <row r="97" spans="1:31" s="12" customFormat="1" ht="21" customHeight="1">
      <c r="A97" s="51"/>
      <c r="B97" s="52"/>
      <c r="C97" s="42" t="s">
        <v>19</v>
      </c>
      <c r="D97" s="137">
        <v>1640</v>
      </c>
      <c r="E97" s="137">
        <f>F97+G97+H97+J97</f>
        <v>2059.38</v>
      </c>
      <c r="F97" s="137"/>
      <c r="G97" s="137">
        <f>AC98/1000</f>
        <v>359.38</v>
      </c>
      <c r="H97" s="137">
        <f>SUM(AC99:AC100)/1000</f>
        <v>1700</v>
      </c>
      <c r="I97" s="137">
        <v>0</v>
      </c>
      <c r="J97" s="137">
        <v>0</v>
      </c>
      <c r="K97" s="137">
        <f>E97-D97</f>
        <v>419.38000000000011</v>
      </c>
      <c r="L97" s="145">
        <f>IF(D97=0,0,K97/D97)</f>
        <v>0.25571951219512201</v>
      </c>
      <c r="M97" s="121" t="s">
        <v>50</v>
      </c>
      <c r="N97" s="117"/>
      <c r="O97" s="117"/>
      <c r="P97" s="117"/>
      <c r="Q97" s="117"/>
      <c r="R97" s="225"/>
      <c r="S97" s="110"/>
      <c r="T97" s="110"/>
      <c r="U97" s="110"/>
      <c r="V97" s="110"/>
      <c r="W97" s="110"/>
      <c r="X97" s="203" t="s">
        <v>136</v>
      </c>
      <c r="Y97" s="203"/>
      <c r="Z97" s="203"/>
      <c r="AA97" s="203"/>
      <c r="AB97" s="205"/>
      <c r="AC97" s="205">
        <f>SUM(AC98:AC101)</f>
        <v>2059380</v>
      </c>
      <c r="AD97" s="204" t="s">
        <v>25</v>
      </c>
      <c r="AE97" s="1"/>
    </row>
    <row r="98" spans="1:31" s="12" customFormat="1" ht="21" customHeight="1">
      <c r="A98" s="51"/>
      <c r="B98" s="52"/>
      <c r="C98" s="52"/>
      <c r="D98" s="133"/>
      <c r="E98" s="133"/>
      <c r="F98" s="133"/>
      <c r="G98" s="133"/>
      <c r="H98" s="133"/>
      <c r="I98" s="133"/>
      <c r="J98" s="133"/>
      <c r="K98" s="133"/>
      <c r="L98" s="87"/>
      <c r="M98" s="324" t="s">
        <v>334</v>
      </c>
      <c r="N98" s="56"/>
      <c r="O98" s="56"/>
      <c r="P98" s="38"/>
      <c r="Q98" s="38"/>
      <c r="R98" s="221"/>
      <c r="S98" s="39"/>
      <c r="T98" s="39"/>
      <c r="U98" s="39"/>
      <c r="V98" s="39"/>
      <c r="W98" s="39"/>
      <c r="X98" s="39"/>
      <c r="Y98" s="39"/>
      <c r="Z98" s="39"/>
      <c r="AA98" s="503" t="s">
        <v>331</v>
      </c>
      <c r="AB98" s="58"/>
      <c r="AC98" s="84">
        <v>359380</v>
      </c>
      <c r="AD98" s="64" t="s">
        <v>25</v>
      </c>
      <c r="AE98" s="2"/>
    </row>
    <row r="99" spans="1:31" s="12" customFormat="1" ht="21" customHeight="1">
      <c r="A99" s="51"/>
      <c r="B99" s="52"/>
      <c r="C99" s="52"/>
      <c r="D99" s="133"/>
      <c r="E99" s="133"/>
      <c r="F99" s="133"/>
      <c r="G99" s="133"/>
      <c r="H99" s="133"/>
      <c r="I99" s="133"/>
      <c r="J99" s="133"/>
      <c r="K99" s="133"/>
      <c r="L99" s="87"/>
      <c r="M99" s="504" t="s">
        <v>473</v>
      </c>
      <c r="N99" s="375"/>
      <c r="O99" s="375"/>
      <c r="P99" s="375"/>
      <c r="Q99" s="375"/>
      <c r="R99" s="375"/>
      <c r="S99" s="374"/>
      <c r="T99" s="220"/>
      <c r="U99" s="220"/>
      <c r="V99" s="220"/>
      <c r="W99" s="220"/>
      <c r="X99" s="220"/>
      <c r="Y99" s="220"/>
      <c r="Z99" s="220"/>
      <c r="AA99" s="374" t="s">
        <v>279</v>
      </c>
      <c r="AB99" s="58"/>
      <c r="AC99" s="84">
        <v>400000</v>
      </c>
      <c r="AD99" s="64" t="s">
        <v>25</v>
      </c>
      <c r="AE99" s="2"/>
    </row>
    <row r="100" spans="1:31" s="12" customFormat="1" ht="21" customHeight="1">
      <c r="A100" s="51"/>
      <c r="B100" s="345"/>
      <c r="C100" s="345"/>
      <c r="D100" s="133"/>
      <c r="E100" s="133"/>
      <c r="F100" s="133"/>
      <c r="G100" s="133"/>
      <c r="H100" s="133"/>
      <c r="I100" s="133"/>
      <c r="J100" s="133"/>
      <c r="K100" s="133"/>
      <c r="L100" s="87"/>
      <c r="M100" s="504" t="s">
        <v>281</v>
      </c>
      <c r="N100" s="504"/>
      <c r="O100" s="504"/>
      <c r="P100" s="504"/>
      <c r="Q100" s="504"/>
      <c r="R100" s="504"/>
      <c r="S100" s="503"/>
      <c r="T100" s="220"/>
      <c r="U100" s="220"/>
      <c r="V100" s="220"/>
      <c r="W100" s="220"/>
      <c r="X100" s="220"/>
      <c r="Y100" s="220"/>
      <c r="Z100" s="220"/>
      <c r="AA100" s="503" t="s">
        <v>279</v>
      </c>
      <c r="AB100" s="58"/>
      <c r="AC100" s="84">
        <v>1300000</v>
      </c>
      <c r="AD100" s="64" t="s">
        <v>25</v>
      </c>
      <c r="AE100" s="2"/>
    </row>
    <row r="101" spans="1:31" s="12" customFormat="1" ht="21" customHeight="1">
      <c r="A101" s="51"/>
      <c r="B101" s="52"/>
      <c r="C101" s="52"/>
      <c r="D101" s="133"/>
      <c r="E101" s="133"/>
      <c r="F101" s="133"/>
      <c r="G101" s="135"/>
      <c r="H101" s="133"/>
      <c r="I101" s="133"/>
      <c r="J101" s="133"/>
      <c r="K101" s="133"/>
      <c r="L101" s="87"/>
      <c r="M101" s="365"/>
      <c r="N101" s="56"/>
      <c r="O101" s="56"/>
      <c r="P101" s="56"/>
      <c r="Q101" s="57"/>
      <c r="R101" s="278"/>
      <c r="S101" s="141"/>
      <c r="T101" s="61"/>
      <c r="U101" s="84"/>
      <c r="V101" s="84"/>
      <c r="W101" s="57"/>
      <c r="X101" s="57"/>
      <c r="Y101" s="57"/>
      <c r="Z101" s="57"/>
      <c r="AA101" s="57"/>
      <c r="AB101" s="57"/>
      <c r="AC101" s="57"/>
      <c r="AD101" s="64"/>
      <c r="AE101" s="2"/>
    </row>
    <row r="102" spans="1:31" s="12" customFormat="1" ht="21" customHeight="1">
      <c r="A102" s="51"/>
      <c r="B102" s="52"/>
      <c r="C102" s="42" t="s">
        <v>51</v>
      </c>
      <c r="D102" s="137">
        <v>2000</v>
      </c>
      <c r="E102" s="137">
        <f>F102+H102+J102+G102</f>
        <v>440</v>
      </c>
      <c r="F102" s="137"/>
      <c r="G102" s="300">
        <f>AC103/1000</f>
        <v>440</v>
      </c>
      <c r="H102" s="137">
        <v>0</v>
      </c>
      <c r="I102" s="137">
        <v>0</v>
      </c>
      <c r="J102" s="137">
        <v>0</v>
      </c>
      <c r="K102" s="137">
        <f>E102-D102</f>
        <v>-1560</v>
      </c>
      <c r="L102" s="145">
        <f>IF(D102=0,0,K102/D102)</f>
        <v>-0.78</v>
      </c>
      <c r="M102" s="121" t="s">
        <v>52</v>
      </c>
      <c r="N102" s="117"/>
      <c r="O102" s="117"/>
      <c r="P102" s="117"/>
      <c r="Q102" s="117"/>
      <c r="R102" s="225"/>
      <c r="S102" s="110"/>
      <c r="T102" s="110"/>
      <c r="U102" s="110"/>
      <c r="V102" s="110"/>
      <c r="W102" s="110"/>
      <c r="X102" s="203" t="s">
        <v>136</v>
      </c>
      <c r="Y102" s="203"/>
      <c r="Z102" s="203"/>
      <c r="AA102" s="203"/>
      <c r="AB102" s="205"/>
      <c r="AC102" s="205">
        <f>SUM(AC103:AC103)</f>
        <v>440000</v>
      </c>
      <c r="AD102" s="204" t="s">
        <v>25</v>
      </c>
      <c r="AE102" s="1"/>
    </row>
    <row r="103" spans="1:31" s="1" customFormat="1" ht="21" customHeight="1">
      <c r="A103" s="51"/>
      <c r="B103" s="52"/>
      <c r="C103" s="52" t="s">
        <v>157</v>
      </c>
      <c r="D103" s="133"/>
      <c r="E103" s="133"/>
      <c r="F103" s="133"/>
      <c r="G103" s="133"/>
      <c r="H103" s="133"/>
      <c r="I103" s="133"/>
      <c r="J103" s="133"/>
      <c r="K103" s="133"/>
      <c r="L103" s="87"/>
      <c r="M103" s="339" t="s">
        <v>333</v>
      </c>
      <c r="N103" s="56"/>
      <c r="O103" s="56"/>
      <c r="P103" s="56"/>
      <c r="Q103" s="57"/>
      <c r="R103" s="278"/>
      <c r="S103" s="61"/>
      <c r="T103" s="61"/>
      <c r="U103" s="57"/>
      <c r="V103" s="56"/>
      <c r="W103" s="57"/>
      <c r="X103" s="57"/>
      <c r="Y103" s="57"/>
      <c r="Z103" s="57"/>
      <c r="AA103" s="338" t="s">
        <v>331</v>
      </c>
      <c r="AB103" s="57"/>
      <c r="AC103" s="222">
        <v>440000</v>
      </c>
      <c r="AD103" s="64" t="s">
        <v>25</v>
      </c>
      <c r="AE103" s="2"/>
    </row>
    <row r="104" spans="1:31" s="1" customFormat="1" ht="21" customHeight="1">
      <c r="A104" s="51"/>
      <c r="B104" s="52"/>
      <c r="C104" s="52"/>
      <c r="D104" s="133"/>
      <c r="E104" s="133"/>
      <c r="F104" s="133"/>
      <c r="G104" s="133"/>
      <c r="H104" s="133"/>
      <c r="I104" s="133"/>
      <c r="J104" s="133"/>
      <c r="K104" s="133"/>
      <c r="L104" s="87"/>
      <c r="M104" s="189"/>
      <c r="N104" s="56"/>
      <c r="O104" s="56"/>
      <c r="P104" s="56"/>
      <c r="Q104" s="57"/>
      <c r="R104" s="278"/>
      <c r="S104" s="61"/>
      <c r="T104" s="61"/>
      <c r="U104" s="57"/>
      <c r="V104" s="56"/>
      <c r="W104" s="57"/>
      <c r="X104" s="57"/>
      <c r="Y104" s="57"/>
      <c r="Z104" s="57"/>
      <c r="AA104" s="152"/>
      <c r="AB104" s="57"/>
      <c r="AC104" s="57"/>
      <c r="AD104" s="64"/>
      <c r="AE104" s="2"/>
    </row>
    <row r="105" spans="1:31" s="12" customFormat="1" ht="21" customHeight="1">
      <c r="A105" s="231" t="s">
        <v>20</v>
      </c>
      <c r="B105" s="583" t="s">
        <v>21</v>
      </c>
      <c r="C105" s="584"/>
      <c r="D105" s="232">
        <v>20443</v>
      </c>
      <c r="E105" s="232">
        <f>SUM(E106,E127)</f>
        <v>21130.587</v>
      </c>
      <c r="F105" s="232">
        <f>SUM(F106,F127)</f>
        <v>10188.76</v>
      </c>
      <c r="G105" s="232">
        <f>SUM(G106,G127)</f>
        <v>0</v>
      </c>
      <c r="H105" s="232">
        <f>SUM(H106,H127)</f>
        <v>9394.530999999999</v>
      </c>
      <c r="I105" s="232">
        <f>I106</f>
        <v>1206.001</v>
      </c>
      <c r="J105" s="232">
        <f>SUM(J106,J127)</f>
        <v>341.29500000000002</v>
      </c>
      <c r="K105" s="232">
        <f>SUM(K106,K113,K117,K120,K124)</f>
        <v>876.23699999999951</v>
      </c>
      <c r="L105" s="233">
        <f>IF(D105=0,0,K105/D105)</f>
        <v>4.2862446803306732E-2</v>
      </c>
      <c r="M105" s="358" t="s">
        <v>148</v>
      </c>
      <c r="N105" s="358"/>
      <c r="O105" s="358"/>
      <c r="P105" s="358"/>
      <c r="Q105" s="358"/>
      <c r="R105" s="358"/>
      <c r="S105" s="359"/>
      <c r="T105" s="359"/>
      <c r="U105" s="359"/>
      <c r="V105" s="359"/>
      <c r="W105" s="359"/>
      <c r="X105" s="359"/>
      <c r="Y105" s="359"/>
      <c r="Z105" s="359"/>
      <c r="AA105" s="359"/>
      <c r="AB105" s="359"/>
      <c r="AC105" s="359">
        <f>SUM(AC106,AC127)</f>
        <v>21130587</v>
      </c>
      <c r="AD105" s="360" t="s">
        <v>25</v>
      </c>
      <c r="AE105" s="14"/>
    </row>
    <row r="106" spans="1:31" s="12" customFormat="1" ht="21" customHeight="1">
      <c r="A106" s="52"/>
      <c r="B106" s="42" t="s">
        <v>104</v>
      </c>
      <c r="C106" s="42" t="s">
        <v>149</v>
      </c>
      <c r="D106" s="137">
        <v>15137</v>
      </c>
      <c r="E106" s="137">
        <f>SUM(E107,E113,E117,E120,E124)</f>
        <v>15824.587</v>
      </c>
      <c r="F106" s="137">
        <f>SUM(F107,F113,F117,F120,F124)</f>
        <v>10188.76</v>
      </c>
      <c r="G106" s="137">
        <f>SUM(G107,G113,G117,G120,G124)</f>
        <v>0</v>
      </c>
      <c r="H106" s="137">
        <f>SUM(H107,H113,H117,H120,H124)</f>
        <v>4088.5309999999999</v>
      </c>
      <c r="I106" s="137">
        <f>I107+I113+I117</f>
        <v>1206.001</v>
      </c>
      <c r="J106" s="137">
        <f>SUM(J107,J113,J117,J120,J124)</f>
        <v>341.29500000000002</v>
      </c>
      <c r="K106" s="137">
        <f>E106-D106</f>
        <v>687.58699999999953</v>
      </c>
      <c r="L106" s="145">
        <f>IF(D106=0,0,K106/D106)</f>
        <v>4.5424258439585093E-2</v>
      </c>
      <c r="M106" s="117"/>
      <c r="N106" s="117"/>
      <c r="O106" s="117"/>
      <c r="P106" s="117"/>
      <c r="Q106" s="117"/>
      <c r="R106" s="225"/>
      <c r="S106" s="110"/>
      <c r="T106" s="110"/>
      <c r="U106" s="110"/>
      <c r="V106" s="110"/>
      <c r="W106" s="110"/>
      <c r="X106" s="110" t="s">
        <v>28</v>
      </c>
      <c r="Y106" s="110"/>
      <c r="Z106" s="110"/>
      <c r="AA106" s="110"/>
      <c r="AB106" s="118"/>
      <c r="AC106" s="118">
        <f>SUM(AC107,AC113,AC117,AC120,AC124)</f>
        <v>15824587</v>
      </c>
      <c r="AD106" s="119" t="s">
        <v>25</v>
      </c>
      <c r="AE106" s="1"/>
    </row>
    <row r="107" spans="1:31" s="12" customFormat="1" ht="21" customHeight="1">
      <c r="A107" s="52"/>
      <c r="B107" s="52"/>
      <c r="C107" s="42" t="s">
        <v>59</v>
      </c>
      <c r="D107" s="137">
        <v>12557</v>
      </c>
      <c r="E107" s="137">
        <f>SUM(F107,G107,H107,J107,I107)</f>
        <v>13055.937</v>
      </c>
      <c r="F107" s="137">
        <f>SUM(AC108)/1000</f>
        <v>8988.11</v>
      </c>
      <c r="G107" s="137">
        <v>0</v>
      </c>
      <c r="H107" s="137">
        <f>(AC109+AC110)/1000</f>
        <v>2920.5309999999999</v>
      </c>
      <c r="I107" s="137">
        <f>AC111/1000</f>
        <v>806.00099999999998</v>
      </c>
      <c r="J107" s="137">
        <f>AC112/1000</f>
        <v>341.29500000000002</v>
      </c>
      <c r="K107" s="137">
        <f>E107-D107</f>
        <v>498.9369999999999</v>
      </c>
      <c r="L107" s="145">
        <f>IF(D107=0,0,K107/D107)</f>
        <v>3.9733773990602843E-2</v>
      </c>
      <c r="M107" s="121" t="s">
        <v>105</v>
      </c>
      <c r="N107" s="225"/>
      <c r="O107" s="225"/>
      <c r="P107" s="225"/>
      <c r="Q107" s="225"/>
      <c r="R107" s="225"/>
      <c r="S107" s="224"/>
      <c r="T107" s="224"/>
      <c r="U107" s="224"/>
      <c r="V107" s="224"/>
      <c r="W107" s="224"/>
      <c r="X107" s="203" t="s">
        <v>136</v>
      </c>
      <c r="Y107" s="203"/>
      <c r="Z107" s="203"/>
      <c r="AA107" s="203"/>
      <c r="AB107" s="205"/>
      <c r="AC107" s="205">
        <f>SUM(AC108:AC112)</f>
        <v>13055937</v>
      </c>
      <c r="AD107" s="204" t="s">
        <v>25</v>
      </c>
      <c r="AE107" s="1"/>
    </row>
    <row r="108" spans="1:31" s="12" customFormat="1" ht="21" customHeight="1">
      <c r="A108" s="52"/>
      <c r="B108" s="52"/>
      <c r="C108" s="52"/>
      <c r="D108" s="133"/>
      <c r="E108" s="133"/>
      <c r="F108" s="133"/>
      <c r="G108" s="133"/>
      <c r="H108" s="133"/>
      <c r="I108" s="133"/>
      <c r="J108" s="133"/>
      <c r="K108" s="133"/>
      <c r="L108" s="87"/>
      <c r="M108" s="252" t="s">
        <v>181</v>
      </c>
      <c r="N108" s="56"/>
      <c r="O108" s="57"/>
      <c r="P108" s="57"/>
      <c r="Q108" s="57"/>
      <c r="R108" s="278"/>
      <c r="S108" s="57"/>
      <c r="T108" s="61"/>
      <c r="U108" s="57"/>
      <c r="V108" s="57"/>
      <c r="W108" s="61"/>
      <c r="X108" s="57"/>
      <c r="Y108" s="57"/>
      <c r="Z108" s="63"/>
      <c r="AA108" s="57" t="s">
        <v>97</v>
      </c>
      <c r="AB108" s="84"/>
      <c r="AC108" s="84">
        <v>8988110</v>
      </c>
      <c r="AD108" s="64" t="s">
        <v>25</v>
      </c>
      <c r="AE108" s="2"/>
    </row>
    <row r="109" spans="1:31" s="12" customFormat="1" ht="21" customHeight="1">
      <c r="A109" s="52"/>
      <c r="B109" s="52"/>
      <c r="C109" s="52"/>
      <c r="D109" s="133"/>
      <c r="E109" s="133"/>
      <c r="F109" s="133"/>
      <c r="G109" s="133"/>
      <c r="H109" s="133"/>
      <c r="I109" s="133"/>
      <c r="J109" s="133"/>
      <c r="K109" s="133"/>
      <c r="L109" s="87"/>
      <c r="M109" s="189" t="s">
        <v>305</v>
      </c>
      <c r="N109" s="175"/>
      <c r="O109" s="175"/>
      <c r="P109" s="175"/>
      <c r="Q109" s="174"/>
      <c r="R109" s="278"/>
      <c r="S109" s="61"/>
      <c r="T109" s="61"/>
      <c r="U109" s="174"/>
      <c r="V109" s="174"/>
      <c r="W109" s="61"/>
      <c r="X109" s="174"/>
      <c r="Y109" s="174"/>
      <c r="Z109" s="173"/>
      <c r="AA109" s="174" t="s">
        <v>110</v>
      </c>
      <c r="AB109" s="174"/>
      <c r="AC109" s="174">
        <v>2520531</v>
      </c>
      <c r="AD109" s="157" t="s">
        <v>86</v>
      </c>
      <c r="AE109" s="2"/>
    </row>
    <row r="110" spans="1:31" s="12" customFormat="1" ht="21" customHeight="1">
      <c r="A110" s="52"/>
      <c r="B110" s="52"/>
      <c r="C110" s="52"/>
      <c r="D110" s="133"/>
      <c r="E110" s="133"/>
      <c r="F110" s="133"/>
      <c r="G110" s="133"/>
      <c r="H110" s="133"/>
      <c r="I110" s="133"/>
      <c r="J110" s="133"/>
      <c r="K110" s="133"/>
      <c r="L110" s="87"/>
      <c r="M110" s="264" t="s">
        <v>306</v>
      </c>
      <c r="N110" s="264"/>
      <c r="O110" s="264"/>
      <c r="P110" s="264"/>
      <c r="Q110" s="263"/>
      <c r="R110" s="278"/>
      <c r="S110" s="61"/>
      <c r="T110" s="61"/>
      <c r="U110" s="263"/>
      <c r="V110" s="263"/>
      <c r="W110" s="61"/>
      <c r="X110" s="263"/>
      <c r="Y110" s="263"/>
      <c r="Z110" s="234"/>
      <c r="AA110" s="338" t="s">
        <v>319</v>
      </c>
      <c r="AB110" s="263"/>
      <c r="AC110" s="263">
        <v>400000</v>
      </c>
      <c r="AD110" s="157" t="s">
        <v>190</v>
      </c>
      <c r="AE110" s="2"/>
    </row>
    <row r="111" spans="1:31" s="12" customFormat="1" ht="21" customHeight="1">
      <c r="A111" s="52"/>
      <c r="B111" s="52"/>
      <c r="C111" s="52"/>
      <c r="D111" s="133"/>
      <c r="E111" s="133"/>
      <c r="F111" s="133"/>
      <c r="G111" s="133"/>
      <c r="H111" s="133"/>
      <c r="I111" s="133"/>
      <c r="J111" s="133"/>
      <c r="K111" s="133"/>
      <c r="L111" s="87"/>
      <c r="M111" s="332" t="s">
        <v>307</v>
      </c>
      <c r="N111" s="282"/>
      <c r="O111" s="282"/>
      <c r="P111" s="282"/>
      <c r="Q111" s="331"/>
      <c r="R111" s="331"/>
      <c r="S111" s="331"/>
      <c r="T111" s="61"/>
      <c r="U111" s="331"/>
      <c r="V111" s="331"/>
      <c r="W111" s="61"/>
      <c r="X111" s="331"/>
      <c r="Y111" s="331"/>
      <c r="Z111" s="234"/>
      <c r="AA111" s="331" t="s">
        <v>289</v>
      </c>
      <c r="AB111" s="84"/>
      <c r="AC111" s="84">
        <v>806001</v>
      </c>
      <c r="AD111" s="64" t="s">
        <v>290</v>
      </c>
      <c r="AE111" s="2"/>
    </row>
    <row r="112" spans="1:31" s="12" customFormat="1" ht="21" customHeight="1">
      <c r="A112" s="52"/>
      <c r="B112" s="52"/>
      <c r="C112" s="66"/>
      <c r="D112" s="135"/>
      <c r="E112" s="135"/>
      <c r="F112" s="135"/>
      <c r="G112" s="135"/>
      <c r="H112" s="135"/>
      <c r="I112" s="135"/>
      <c r="J112" s="135"/>
      <c r="K112" s="135"/>
      <c r="L112" s="105"/>
      <c r="M112" s="141" t="s">
        <v>308</v>
      </c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 t="s">
        <v>295</v>
      </c>
      <c r="AB112" s="141"/>
      <c r="AC112" s="163">
        <v>341295</v>
      </c>
      <c r="AD112" s="151" t="s">
        <v>294</v>
      </c>
      <c r="AE112" s="2"/>
    </row>
    <row r="113" spans="1:31" s="12" customFormat="1" ht="21" customHeight="1">
      <c r="A113" s="52"/>
      <c r="B113" s="52"/>
      <c r="C113" s="52" t="s">
        <v>106</v>
      </c>
      <c r="D113" s="133">
        <v>1100</v>
      </c>
      <c r="E113" s="133">
        <f>SUM(F113,G113,H113,J113)</f>
        <v>1300</v>
      </c>
      <c r="F113" s="133">
        <f>AC114/1000</f>
        <v>950</v>
      </c>
      <c r="G113" s="133">
        <v>0</v>
      </c>
      <c r="H113" s="133">
        <f>AC115/1000</f>
        <v>350</v>
      </c>
      <c r="I113" s="133">
        <v>0</v>
      </c>
      <c r="J113" s="133">
        <v>0</v>
      </c>
      <c r="K113" s="133">
        <f>E113-D113</f>
        <v>200</v>
      </c>
      <c r="L113" s="87">
        <f>IF(D113=0,0,K113/D113)</f>
        <v>0.18181818181818182</v>
      </c>
      <c r="M113" s="121" t="s">
        <v>107</v>
      </c>
      <c r="N113" s="117"/>
      <c r="O113" s="117"/>
      <c r="P113" s="117"/>
      <c r="Q113" s="117"/>
      <c r="R113" s="225"/>
      <c r="S113" s="110"/>
      <c r="T113" s="110"/>
      <c r="U113" s="110"/>
      <c r="V113" s="110"/>
      <c r="W113" s="110"/>
      <c r="X113" s="203" t="s">
        <v>136</v>
      </c>
      <c r="Y113" s="203"/>
      <c r="Z113" s="203"/>
      <c r="AA113" s="203"/>
      <c r="AB113" s="205"/>
      <c r="AC113" s="205">
        <f>SUM(AC114:AC115)</f>
        <v>1300000</v>
      </c>
      <c r="AD113" s="204" t="s">
        <v>25</v>
      </c>
      <c r="AE113" s="1"/>
    </row>
    <row r="114" spans="1:31" s="12" customFormat="1" ht="21" customHeight="1">
      <c r="A114" s="52"/>
      <c r="B114" s="52"/>
      <c r="C114" s="52" t="s">
        <v>150</v>
      </c>
      <c r="D114" s="133"/>
      <c r="E114" s="133"/>
      <c r="F114" s="133"/>
      <c r="G114" s="133"/>
      <c r="H114" s="133"/>
      <c r="I114" s="133"/>
      <c r="J114" s="133"/>
      <c r="K114" s="133"/>
      <c r="L114" s="87"/>
      <c r="M114" s="252" t="s">
        <v>182</v>
      </c>
      <c r="N114" s="56"/>
      <c r="O114" s="56"/>
      <c r="P114" s="56"/>
      <c r="Q114" s="57"/>
      <c r="R114" s="278"/>
      <c r="S114" s="61"/>
      <c r="T114" s="61"/>
      <c r="U114" s="57"/>
      <c r="V114" s="57"/>
      <c r="W114" s="57"/>
      <c r="X114" s="57"/>
      <c r="Y114" s="57"/>
      <c r="Z114" s="57"/>
      <c r="AA114" s="302" t="s">
        <v>227</v>
      </c>
      <c r="AB114" s="57"/>
      <c r="AC114" s="57">
        <v>950000</v>
      </c>
      <c r="AD114" s="64" t="s">
        <v>86</v>
      </c>
      <c r="AE114" s="2"/>
    </row>
    <row r="115" spans="1:31" s="12" customFormat="1" ht="21" customHeight="1">
      <c r="A115" s="52"/>
      <c r="B115" s="52"/>
      <c r="C115" s="52"/>
      <c r="D115" s="133"/>
      <c r="E115" s="133"/>
      <c r="F115" s="133"/>
      <c r="G115" s="133"/>
      <c r="H115" s="133"/>
      <c r="I115" s="133"/>
      <c r="J115" s="133"/>
      <c r="K115" s="133"/>
      <c r="L115" s="87"/>
      <c r="M115" s="270"/>
      <c r="N115" s="270"/>
      <c r="O115" s="270"/>
      <c r="P115" s="270"/>
      <c r="Q115" s="269"/>
      <c r="R115" s="278"/>
      <c r="S115" s="61"/>
      <c r="T115" s="61"/>
      <c r="U115" s="269"/>
      <c r="V115" s="269"/>
      <c r="W115" s="269"/>
      <c r="X115" s="269"/>
      <c r="Y115" s="269"/>
      <c r="Z115" s="269"/>
      <c r="AA115" s="269" t="s">
        <v>319</v>
      </c>
      <c r="AB115" s="269"/>
      <c r="AC115" s="269">
        <v>350000</v>
      </c>
      <c r="AD115" s="64" t="s">
        <v>278</v>
      </c>
      <c r="AE115" s="2"/>
    </row>
    <row r="116" spans="1:31" s="12" customFormat="1" ht="21" customHeight="1">
      <c r="A116" s="52"/>
      <c r="B116" s="52"/>
      <c r="C116" s="52"/>
      <c r="D116" s="133"/>
      <c r="E116" s="133"/>
      <c r="F116" s="133"/>
      <c r="G116" s="133"/>
      <c r="H116" s="133"/>
      <c r="I116" s="133"/>
      <c r="J116" s="133"/>
      <c r="K116" s="133"/>
      <c r="L116" s="87"/>
      <c r="M116" s="187"/>
      <c r="N116" s="98"/>
      <c r="O116" s="98"/>
      <c r="P116" s="98"/>
      <c r="Q116" s="97"/>
      <c r="R116" s="275"/>
      <c r="S116" s="106"/>
      <c r="T116" s="61"/>
      <c r="U116" s="89"/>
      <c r="V116" s="97"/>
      <c r="W116" s="97"/>
      <c r="X116" s="97"/>
      <c r="Y116" s="97"/>
      <c r="Z116" s="97"/>
      <c r="AA116" s="180"/>
      <c r="AB116" s="97"/>
      <c r="AC116" s="97"/>
      <c r="AD116" s="90"/>
      <c r="AE116" s="1"/>
    </row>
    <row r="117" spans="1:31" s="12" customFormat="1" ht="21" customHeight="1">
      <c r="A117" s="52"/>
      <c r="B117" s="52"/>
      <c r="C117" s="42" t="s">
        <v>101</v>
      </c>
      <c r="D117" s="137">
        <v>800</v>
      </c>
      <c r="E117" s="137">
        <f>AC117/1000</f>
        <v>800</v>
      </c>
      <c r="F117" s="137">
        <v>0</v>
      </c>
      <c r="G117" s="137">
        <v>0</v>
      </c>
      <c r="H117" s="137">
        <f>AC118/1000</f>
        <v>400</v>
      </c>
      <c r="I117" s="137">
        <f>AC119/1000</f>
        <v>400</v>
      </c>
      <c r="J117" s="137">
        <v>0</v>
      </c>
      <c r="K117" s="137">
        <f>E117-D117</f>
        <v>0</v>
      </c>
      <c r="L117" s="145">
        <f>IF(D117=0,0,K117/D117)</f>
        <v>0</v>
      </c>
      <c r="M117" s="121" t="s">
        <v>131</v>
      </c>
      <c r="N117" s="202"/>
      <c r="O117" s="117"/>
      <c r="P117" s="117"/>
      <c r="Q117" s="117"/>
      <c r="R117" s="225"/>
      <c r="S117" s="110"/>
      <c r="T117" s="110"/>
      <c r="U117" s="110"/>
      <c r="V117" s="224"/>
      <c r="W117" s="224"/>
      <c r="X117" s="203" t="s">
        <v>136</v>
      </c>
      <c r="Y117" s="203"/>
      <c r="Z117" s="203"/>
      <c r="AA117" s="203"/>
      <c r="AB117" s="205"/>
      <c r="AC117" s="205">
        <f>SUM(AC118:AC119)</f>
        <v>800000</v>
      </c>
      <c r="AD117" s="204" t="s">
        <v>25</v>
      </c>
      <c r="AE117" s="1"/>
    </row>
    <row r="118" spans="1:31" s="12" customFormat="1" ht="21" customHeight="1">
      <c r="A118" s="52"/>
      <c r="B118" s="52"/>
      <c r="C118" s="52"/>
      <c r="D118" s="133"/>
      <c r="E118" s="133"/>
      <c r="F118" s="133"/>
      <c r="G118" s="133"/>
      <c r="H118" s="133"/>
      <c r="I118" s="133"/>
      <c r="J118" s="133"/>
      <c r="K118" s="133"/>
      <c r="L118" s="87"/>
      <c r="M118" s="252" t="s">
        <v>183</v>
      </c>
      <c r="N118" s="56"/>
      <c r="O118" s="57"/>
      <c r="P118" s="57"/>
      <c r="Q118" s="57">
        <v>100000</v>
      </c>
      <c r="R118" s="278"/>
      <c r="S118" s="57" t="s">
        <v>86</v>
      </c>
      <c r="T118" s="56" t="s">
        <v>87</v>
      </c>
      <c r="U118" s="57">
        <v>4</v>
      </c>
      <c r="V118" s="251" t="s">
        <v>184</v>
      </c>
      <c r="W118" s="252" t="s">
        <v>185</v>
      </c>
      <c r="X118" s="57"/>
      <c r="Y118" s="57"/>
      <c r="Z118" s="57"/>
      <c r="AA118" s="302" t="s">
        <v>226</v>
      </c>
      <c r="AB118" s="84"/>
      <c r="AC118" s="84">
        <f>Q118*U118</f>
        <v>400000</v>
      </c>
      <c r="AD118" s="64" t="s">
        <v>25</v>
      </c>
      <c r="AE118" s="1"/>
    </row>
    <row r="119" spans="1:31" s="12" customFormat="1" ht="21" customHeight="1">
      <c r="A119" s="52"/>
      <c r="B119" s="52"/>
      <c r="C119" s="52"/>
      <c r="D119" s="133"/>
      <c r="E119" s="133"/>
      <c r="F119" s="133"/>
      <c r="G119" s="133"/>
      <c r="H119" s="133"/>
      <c r="I119" s="133"/>
      <c r="J119" s="133"/>
      <c r="K119" s="133"/>
      <c r="L119" s="87"/>
      <c r="M119" s="212"/>
      <c r="N119" s="56"/>
      <c r="O119" s="57"/>
      <c r="P119" s="57"/>
      <c r="Q119" s="57">
        <v>100000</v>
      </c>
      <c r="R119" s="278"/>
      <c r="S119" s="364" t="s">
        <v>57</v>
      </c>
      <c r="T119" s="365" t="s">
        <v>58</v>
      </c>
      <c r="U119" s="364">
        <v>4</v>
      </c>
      <c r="V119" s="364" t="s">
        <v>56</v>
      </c>
      <c r="W119" s="365" t="s">
        <v>53</v>
      </c>
      <c r="X119" s="57"/>
      <c r="Y119" s="57"/>
      <c r="Z119" s="57"/>
      <c r="AA119" s="211" t="s">
        <v>283</v>
      </c>
      <c r="AB119" s="84"/>
      <c r="AC119" s="84">
        <f>Q119*U119</f>
        <v>400000</v>
      </c>
      <c r="AD119" s="64" t="s">
        <v>25</v>
      </c>
      <c r="AE119" s="1"/>
    </row>
    <row r="120" spans="1:31" s="12" customFormat="1" ht="21" customHeight="1">
      <c r="A120" s="52"/>
      <c r="B120" s="52"/>
      <c r="C120" s="42" t="s">
        <v>102</v>
      </c>
      <c r="D120" s="137">
        <v>460</v>
      </c>
      <c r="E120" s="137">
        <f>F120+G120+H120+J120</f>
        <v>460</v>
      </c>
      <c r="F120" s="137">
        <f>AC121/1000</f>
        <v>160</v>
      </c>
      <c r="G120" s="137">
        <v>0</v>
      </c>
      <c r="H120" s="137">
        <f>AC122/1000</f>
        <v>300</v>
      </c>
      <c r="I120" s="137">
        <v>0</v>
      </c>
      <c r="J120" s="137">
        <v>0</v>
      </c>
      <c r="K120" s="137">
        <f>E120-D120</f>
        <v>0</v>
      </c>
      <c r="L120" s="145">
        <f>IF(D120=0,0,K120/D120)</f>
        <v>0</v>
      </c>
      <c r="M120" s="121" t="s">
        <v>132</v>
      </c>
      <c r="N120" s="202"/>
      <c r="O120" s="210"/>
      <c r="P120" s="210"/>
      <c r="Q120" s="210"/>
      <c r="R120" s="225"/>
      <c r="S120" s="209"/>
      <c r="T120" s="209"/>
      <c r="U120" s="209"/>
      <c r="V120" s="224"/>
      <c r="W120" s="224"/>
      <c r="X120" s="203" t="s">
        <v>136</v>
      </c>
      <c r="Y120" s="203"/>
      <c r="Z120" s="203"/>
      <c r="AA120" s="203"/>
      <c r="AB120" s="205"/>
      <c r="AC120" s="205">
        <f>SUM(AC121:AC122)</f>
        <v>460000</v>
      </c>
      <c r="AD120" s="204" t="s">
        <v>25</v>
      </c>
      <c r="AE120" s="1"/>
    </row>
    <row r="121" spans="1:31" s="15" customFormat="1" ht="21" customHeight="1">
      <c r="A121" s="52"/>
      <c r="B121" s="52"/>
      <c r="C121" s="52"/>
      <c r="D121" s="133"/>
      <c r="E121" s="133"/>
      <c r="F121" s="133"/>
      <c r="G121" s="133"/>
      <c r="H121" s="133"/>
      <c r="I121" s="133"/>
      <c r="J121" s="133"/>
      <c r="K121" s="133"/>
      <c r="L121" s="87"/>
      <c r="M121" s="252" t="s">
        <v>186</v>
      </c>
      <c r="N121" s="56"/>
      <c r="O121" s="57"/>
      <c r="P121" s="57"/>
      <c r="Q121" s="57">
        <v>40000</v>
      </c>
      <c r="R121" s="278"/>
      <c r="S121" s="57" t="s">
        <v>86</v>
      </c>
      <c r="T121" s="56" t="s">
        <v>87</v>
      </c>
      <c r="U121" s="57">
        <v>1</v>
      </c>
      <c r="V121" s="57" t="s">
        <v>100</v>
      </c>
      <c r="W121" s="56" t="s">
        <v>87</v>
      </c>
      <c r="X121" s="57">
        <v>4</v>
      </c>
      <c r="Y121" s="57" t="s">
        <v>88</v>
      </c>
      <c r="Z121" s="57" t="s">
        <v>89</v>
      </c>
      <c r="AA121" s="302" t="s">
        <v>227</v>
      </c>
      <c r="AB121" s="84"/>
      <c r="AC121" s="84">
        <f>Q121*U121*X121</f>
        <v>160000</v>
      </c>
      <c r="AD121" s="64" t="s">
        <v>25</v>
      </c>
      <c r="AE121" s="5"/>
    </row>
    <row r="122" spans="1:31" s="15" customFormat="1" ht="21" customHeight="1">
      <c r="A122" s="52"/>
      <c r="B122" s="52"/>
      <c r="C122" s="52"/>
      <c r="D122" s="133"/>
      <c r="E122" s="133"/>
      <c r="F122" s="133"/>
      <c r="G122" s="133"/>
      <c r="H122" s="133"/>
      <c r="I122" s="133"/>
      <c r="J122" s="133"/>
      <c r="K122" s="133"/>
      <c r="L122" s="87"/>
      <c r="M122" s="252" t="s">
        <v>187</v>
      </c>
      <c r="N122" s="56"/>
      <c r="O122" s="56"/>
      <c r="P122" s="56"/>
      <c r="Q122" s="211"/>
      <c r="R122" s="278"/>
      <c r="S122" s="61"/>
      <c r="T122" s="61"/>
      <c r="U122" s="211"/>
      <c r="V122" s="211"/>
      <c r="W122" s="206"/>
      <c r="X122" s="164"/>
      <c r="Y122" s="92"/>
      <c r="Z122" s="218"/>
      <c r="AA122" s="302" t="s">
        <v>226</v>
      </c>
      <c r="AB122" s="57"/>
      <c r="AC122" s="57">
        <v>300000</v>
      </c>
      <c r="AD122" s="64" t="s">
        <v>25</v>
      </c>
      <c r="AE122" s="5"/>
    </row>
    <row r="123" spans="1:31" s="12" customFormat="1" ht="21" customHeight="1">
      <c r="A123" s="52"/>
      <c r="B123" s="52"/>
      <c r="C123" s="66"/>
      <c r="D123" s="192"/>
      <c r="E123" s="192"/>
      <c r="F123" s="192"/>
      <c r="G123" s="192"/>
      <c r="H123" s="192"/>
      <c r="I123" s="192"/>
      <c r="J123" s="192"/>
      <c r="K123" s="166"/>
      <c r="L123" s="105"/>
      <c r="M123" s="165"/>
      <c r="N123" s="165"/>
      <c r="O123" s="165"/>
      <c r="P123" s="165"/>
      <c r="Q123" s="165"/>
      <c r="R123" s="165"/>
      <c r="S123" s="167"/>
      <c r="T123" s="57"/>
      <c r="U123" s="63"/>
      <c r="V123" s="57"/>
      <c r="W123" s="57"/>
      <c r="X123" s="57"/>
      <c r="Y123" s="57"/>
      <c r="Z123" s="57"/>
      <c r="AA123" s="57"/>
      <c r="AB123" s="57"/>
      <c r="AC123" s="57"/>
      <c r="AD123" s="64"/>
      <c r="AE123" s="1"/>
    </row>
    <row r="124" spans="1:31" s="12" customFormat="1" ht="21" customHeight="1">
      <c r="A124" s="52"/>
      <c r="B124" s="52"/>
      <c r="C124" s="52" t="s">
        <v>103</v>
      </c>
      <c r="D124" s="133">
        <v>220</v>
      </c>
      <c r="E124" s="133">
        <f>SUM(F124,G124,H124,J124)</f>
        <v>208.65</v>
      </c>
      <c r="F124" s="133">
        <f>AC125/1000</f>
        <v>90.65</v>
      </c>
      <c r="G124" s="133">
        <v>0</v>
      </c>
      <c r="H124" s="133">
        <f>AC126/1000</f>
        <v>118</v>
      </c>
      <c r="I124" s="133">
        <v>0</v>
      </c>
      <c r="J124" s="133">
        <v>0</v>
      </c>
      <c r="K124" s="133">
        <f>E124-D124</f>
        <v>-11.349999999999994</v>
      </c>
      <c r="L124" s="87">
        <f>IF(D124=0,0,K124/D124)</f>
        <v>-5.1590909090909062E-2</v>
      </c>
      <c r="M124" s="121" t="s">
        <v>108</v>
      </c>
      <c r="N124" s="117"/>
      <c r="O124" s="117"/>
      <c r="P124" s="117"/>
      <c r="Q124" s="117"/>
      <c r="R124" s="225"/>
      <c r="S124" s="110"/>
      <c r="T124" s="110"/>
      <c r="U124" s="110"/>
      <c r="V124" s="110"/>
      <c r="W124" s="110"/>
      <c r="X124" s="203" t="s">
        <v>136</v>
      </c>
      <c r="Y124" s="203"/>
      <c r="Z124" s="203"/>
      <c r="AA124" s="203"/>
      <c r="AB124" s="205"/>
      <c r="AC124" s="205">
        <f>SUM(AC125:AC126)</f>
        <v>208650</v>
      </c>
      <c r="AD124" s="204" t="s">
        <v>25</v>
      </c>
      <c r="AE124" s="1"/>
    </row>
    <row r="125" spans="1:31" s="12" customFormat="1" ht="21" customHeight="1">
      <c r="A125" s="52"/>
      <c r="B125" s="52"/>
      <c r="C125" s="52"/>
      <c r="D125" s="133"/>
      <c r="E125" s="133"/>
      <c r="F125" s="133"/>
      <c r="G125" s="133"/>
      <c r="H125" s="133"/>
      <c r="I125" s="133"/>
      <c r="J125" s="133"/>
      <c r="K125" s="133"/>
      <c r="L125" s="87"/>
      <c r="M125" s="252" t="s">
        <v>188</v>
      </c>
      <c r="N125" s="56"/>
      <c r="O125" s="56"/>
      <c r="P125" s="56"/>
      <c r="Q125" s="222"/>
      <c r="R125" s="278"/>
      <c r="S125" s="61"/>
      <c r="T125" s="61"/>
      <c r="U125" s="222"/>
      <c r="V125" s="222"/>
      <c r="W125" s="219"/>
      <c r="X125" s="164"/>
      <c r="Y125" s="92"/>
      <c r="Z125" s="218"/>
      <c r="AA125" s="302" t="s">
        <v>227</v>
      </c>
      <c r="AB125" s="222"/>
      <c r="AC125" s="222">
        <v>90650</v>
      </c>
      <c r="AD125" s="64" t="s">
        <v>25</v>
      </c>
      <c r="AE125" s="1"/>
    </row>
    <row r="126" spans="1:31" s="12" customFormat="1" ht="21" customHeight="1">
      <c r="A126" s="52"/>
      <c r="B126" s="52"/>
      <c r="C126" s="52"/>
      <c r="D126" s="133"/>
      <c r="E126" s="133"/>
      <c r="F126" s="133"/>
      <c r="G126" s="133"/>
      <c r="H126" s="133"/>
      <c r="I126" s="133"/>
      <c r="J126" s="133"/>
      <c r="K126" s="133"/>
      <c r="L126" s="87"/>
      <c r="M126" s="56"/>
      <c r="N126" s="56"/>
      <c r="O126" s="56"/>
      <c r="P126" s="56"/>
      <c r="Q126" s="57">
        <v>36000</v>
      </c>
      <c r="R126" s="278"/>
      <c r="S126" s="61" t="s">
        <v>25</v>
      </c>
      <c r="T126" s="56" t="s">
        <v>26</v>
      </c>
      <c r="U126" s="57">
        <v>3</v>
      </c>
      <c r="V126" s="56" t="s">
        <v>29</v>
      </c>
      <c r="W126" s="57"/>
      <c r="X126" s="57"/>
      <c r="Y126" s="57"/>
      <c r="Z126" s="57" t="s">
        <v>27</v>
      </c>
      <c r="AA126" s="57" t="s">
        <v>320</v>
      </c>
      <c r="AB126" s="57"/>
      <c r="AC126" s="57">
        <v>118000</v>
      </c>
      <c r="AD126" s="64" t="s">
        <v>25</v>
      </c>
      <c r="AE126" s="1"/>
    </row>
    <row r="127" spans="1:31" s="12" customFormat="1" ht="21" customHeight="1">
      <c r="A127" s="52"/>
      <c r="B127" s="42" t="s">
        <v>109</v>
      </c>
      <c r="C127" s="199" t="s">
        <v>145</v>
      </c>
      <c r="D127" s="200">
        <v>5306</v>
      </c>
      <c r="E127" s="200">
        <f>E128</f>
        <v>5306</v>
      </c>
      <c r="F127" s="200">
        <f t="shared" ref="F127:J127" si="11">F128</f>
        <v>0</v>
      </c>
      <c r="G127" s="200">
        <f t="shared" si="11"/>
        <v>0</v>
      </c>
      <c r="H127" s="200">
        <f>H128</f>
        <v>5306</v>
      </c>
      <c r="I127" s="200">
        <f>I128</f>
        <v>0</v>
      </c>
      <c r="J127" s="200">
        <f t="shared" si="11"/>
        <v>0</v>
      </c>
      <c r="K127" s="200">
        <f>E127-D127</f>
        <v>0</v>
      </c>
      <c r="L127" s="201">
        <f>IF(D127=0,0,K127/D127)</f>
        <v>0</v>
      </c>
      <c r="M127" s="202"/>
      <c r="N127" s="202"/>
      <c r="O127" s="202"/>
      <c r="P127" s="202"/>
      <c r="Q127" s="202"/>
      <c r="R127" s="277"/>
      <c r="S127" s="203"/>
      <c r="T127" s="203"/>
      <c r="U127" s="203"/>
      <c r="V127" s="203"/>
      <c r="W127" s="203"/>
      <c r="X127" s="203" t="s">
        <v>28</v>
      </c>
      <c r="Y127" s="203"/>
      <c r="Z127" s="203"/>
      <c r="AA127" s="203"/>
      <c r="AB127" s="205"/>
      <c r="AC127" s="205">
        <f>AC128</f>
        <v>5306000</v>
      </c>
      <c r="AD127" s="204" t="s">
        <v>25</v>
      </c>
      <c r="AE127" s="1"/>
    </row>
    <row r="128" spans="1:31" s="12" customFormat="1" ht="26.25" customHeight="1">
      <c r="A128" s="52"/>
      <c r="B128" s="52" t="s">
        <v>128</v>
      </c>
      <c r="C128" s="52" t="s">
        <v>127</v>
      </c>
      <c r="D128" s="137">
        <v>5306</v>
      </c>
      <c r="E128" s="137">
        <f>SUM(F128+G128+H128+I128+J128)</f>
        <v>5306</v>
      </c>
      <c r="F128" s="137">
        <v>0</v>
      </c>
      <c r="G128" s="137">
        <v>0</v>
      </c>
      <c r="H128" s="137">
        <f>SUM(AC131,AC139,AC158,AC132,AC142,AC148,AC149,AC150,AC155,AC151,AC145,AC133,,AC161,AC134,AC159,AC136+AC135)/1000</f>
        <v>5306</v>
      </c>
      <c r="I128" s="137"/>
      <c r="J128" s="137">
        <v>0</v>
      </c>
      <c r="K128" s="137">
        <f>E128-D128</f>
        <v>0</v>
      </c>
      <c r="L128" s="145">
        <f>IF(D128=0,0,K128/D128)</f>
        <v>0</v>
      </c>
      <c r="M128" s="123" t="s">
        <v>129</v>
      </c>
      <c r="N128" s="140"/>
      <c r="O128" s="38"/>
      <c r="P128" s="34"/>
      <c r="Q128" s="34"/>
      <c r="R128" s="34"/>
      <c r="S128" s="34"/>
      <c r="T128" s="34"/>
      <c r="U128" s="34"/>
      <c r="V128" s="224"/>
      <c r="W128" s="224"/>
      <c r="X128" s="203" t="s">
        <v>136</v>
      </c>
      <c r="Y128" s="124"/>
      <c r="Z128" s="124"/>
      <c r="AA128" s="124"/>
      <c r="AB128" s="142"/>
      <c r="AC128" s="142">
        <f>SUM(AC130,AC138,AC147,AC153,AC141,AC144,AC157,AC161)</f>
        <v>5306000</v>
      </c>
      <c r="AD128" s="143" t="s">
        <v>25</v>
      </c>
      <c r="AE128" s="1"/>
    </row>
    <row r="129" spans="1:31" s="16" customFormat="1" ht="24" customHeight="1">
      <c r="A129" s="52"/>
      <c r="B129" s="52"/>
      <c r="C129" s="52" t="s">
        <v>128</v>
      </c>
      <c r="D129" s="133"/>
      <c r="E129" s="133"/>
      <c r="F129" s="133"/>
      <c r="G129" s="133"/>
      <c r="H129" s="133"/>
      <c r="I129" s="133"/>
      <c r="J129" s="133"/>
      <c r="K129" s="133"/>
      <c r="L129" s="87"/>
      <c r="M129" s="212"/>
      <c r="N129" s="56"/>
      <c r="O129" s="56"/>
      <c r="P129" s="56"/>
      <c r="Q129" s="56"/>
      <c r="R129" s="279"/>
      <c r="S129" s="57"/>
      <c r="T129" s="57"/>
      <c r="U129" s="57"/>
      <c r="V129" s="57"/>
      <c r="W129" s="57"/>
      <c r="X129" s="168"/>
      <c r="Y129" s="168"/>
      <c r="Z129" s="168"/>
      <c r="AA129" s="168"/>
      <c r="AB129" s="169"/>
      <c r="AC129" s="169"/>
      <c r="AD129" s="64"/>
      <c r="AE129" s="17"/>
    </row>
    <row r="130" spans="1:31" s="16" customFormat="1" ht="24" customHeight="1">
      <c r="A130" s="52"/>
      <c r="B130" s="52"/>
      <c r="C130" s="52"/>
      <c r="D130" s="133"/>
      <c r="E130" s="133"/>
      <c r="F130" s="133"/>
      <c r="G130" s="133"/>
      <c r="H130" s="133"/>
      <c r="I130" s="133"/>
      <c r="J130" s="133"/>
      <c r="K130" s="133"/>
      <c r="L130" s="87"/>
      <c r="M130" s="88" t="s">
        <v>237</v>
      </c>
      <c r="N130" s="208"/>
      <c r="O130" s="212"/>
      <c r="P130" s="212"/>
      <c r="Q130" s="212"/>
      <c r="R130" s="279"/>
      <c r="S130" s="211"/>
      <c r="T130" s="211"/>
      <c r="U130" s="211"/>
      <c r="V130" s="207" t="s">
        <v>130</v>
      </c>
      <c r="W130" s="207"/>
      <c r="X130" s="207"/>
      <c r="Y130" s="207"/>
      <c r="Z130" s="207"/>
      <c r="AA130" s="207"/>
      <c r="AB130" s="89"/>
      <c r="AC130" s="89">
        <f>SUM(AC131:AC136)</f>
        <v>2030000</v>
      </c>
      <c r="AD130" s="90" t="s">
        <v>25</v>
      </c>
      <c r="AE130" s="17"/>
    </row>
    <row r="131" spans="1:31" s="16" customFormat="1" ht="24" customHeight="1">
      <c r="A131" s="52"/>
      <c r="B131" s="52"/>
      <c r="C131" s="52"/>
      <c r="D131" s="133"/>
      <c r="E131" s="133"/>
      <c r="F131" s="133"/>
      <c r="G131" s="133"/>
      <c r="H131" s="133"/>
      <c r="I131" s="133"/>
      <c r="J131" s="133"/>
      <c r="K131" s="133"/>
      <c r="L131" s="87"/>
      <c r="M131" s="330" t="s">
        <v>235</v>
      </c>
      <c r="N131" s="212"/>
      <c r="O131" s="212"/>
      <c r="P131" s="212"/>
      <c r="Q131" s="251">
        <v>10000</v>
      </c>
      <c r="R131" s="278"/>
      <c r="S131" s="251" t="s">
        <v>57</v>
      </c>
      <c r="T131" s="252" t="s">
        <v>58</v>
      </c>
      <c r="U131" s="251">
        <v>6</v>
      </c>
      <c r="V131" s="251" t="s">
        <v>75</v>
      </c>
      <c r="W131" s="252" t="s">
        <v>58</v>
      </c>
      <c r="X131" s="251">
        <v>4</v>
      </c>
      <c r="Y131" s="251" t="s">
        <v>56</v>
      </c>
      <c r="Z131" s="251" t="s">
        <v>53</v>
      </c>
      <c r="AA131" s="329" t="s">
        <v>252</v>
      </c>
      <c r="AB131" s="84"/>
      <c r="AC131" s="84">
        <f>Q131*U131*X131</f>
        <v>240000</v>
      </c>
      <c r="AD131" s="64" t="s">
        <v>25</v>
      </c>
      <c r="AE131" s="17"/>
    </row>
    <row r="132" spans="1:31" s="16" customFormat="1" ht="24" customHeight="1">
      <c r="A132" s="52"/>
      <c r="B132" s="52"/>
      <c r="C132" s="52"/>
      <c r="D132" s="133"/>
      <c r="E132" s="133"/>
      <c r="F132" s="133"/>
      <c r="G132" s="133"/>
      <c r="H132" s="133"/>
      <c r="I132" s="133"/>
      <c r="J132" s="133"/>
      <c r="K132" s="133"/>
      <c r="L132" s="87"/>
      <c r="M132" s="330" t="s">
        <v>236</v>
      </c>
      <c r="N132" s="293"/>
      <c r="O132" s="293"/>
      <c r="P132" s="293"/>
      <c r="Q132" s="292">
        <v>10000</v>
      </c>
      <c r="R132" s="292"/>
      <c r="S132" s="292" t="s">
        <v>57</v>
      </c>
      <c r="T132" s="293" t="s">
        <v>58</v>
      </c>
      <c r="U132" s="292">
        <v>3</v>
      </c>
      <c r="V132" s="292" t="s">
        <v>75</v>
      </c>
      <c r="W132" s="293" t="s">
        <v>58</v>
      </c>
      <c r="X132" s="292">
        <v>5</v>
      </c>
      <c r="Y132" s="292" t="s">
        <v>56</v>
      </c>
      <c r="Z132" s="292" t="s">
        <v>53</v>
      </c>
      <c r="AA132" s="331" t="s">
        <v>110</v>
      </c>
      <c r="AB132" s="84"/>
      <c r="AC132" s="84">
        <f t="shared" ref="AC132:AC134" si="12">Q132*U132*X132</f>
        <v>150000</v>
      </c>
      <c r="AD132" s="64" t="s">
        <v>25</v>
      </c>
      <c r="AE132" s="17"/>
    </row>
    <row r="133" spans="1:31" s="16" customFormat="1" ht="24" customHeight="1">
      <c r="A133" s="52"/>
      <c r="B133" s="52"/>
      <c r="C133" s="52"/>
      <c r="D133" s="133"/>
      <c r="E133" s="133"/>
      <c r="F133" s="133"/>
      <c r="G133" s="133"/>
      <c r="H133" s="133"/>
      <c r="I133" s="133"/>
      <c r="J133" s="133"/>
      <c r="K133" s="133"/>
      <c r="L133" s="87"/>
      <c r="M133" s="365" t="s">
        <v>291</v>
      </c>
      <c r="N133" s="365"/>
      <c r="O133" s="365"/>
      <c r="P133" s="365"/>
      <c r="Q133" s="364">
        <v>10000</v>
      </c>
      <c r="R133" s="364"/>
      <c r="S133" s="364" t="s">
        <v>57</v>
      </c>
      <c r="T133" s="365" t="s">
        <v>58</v>
      </c>
      <c r="U133" s="364">
        <v>4</v>
      </c>
      <c r="V133" s="364" t="s">
        <v>75</v>
      </c>
      <c r="W133" s="365" t="s">
        <v>58</v>
      </c>
      <c r="X133" s="364">
        <v>4</v>
      </c>
      <c r="Y133" s="364" t="s">
        <v>56</v>
      </c>
      <c r="Z133" s="364" t="s">
        <v>53</v>
      </c>
      <c r="AA133" s="364" t="s">
        <v>252</v>
      </c>
      <c r="AB133" s="84"/>
      <c r="AC133" s="84">
        <f t="shared" si="12"/>
        <v>160000</v>
      </c>
      <c r="AD133" s="64" t="s">
        <v>25</v>
      </c>
      <c r="AE133" s="17"/>
    </row>
    <row r="134" spans="1:31" s="16" customFormat="1" ht="24" customHeight="1">
      <c r="A134" s="52"/>
      <c r="B134" s="52"/>
      <c r="C134" s="52"/>
      <c r="D134" s="133"/>
      <c r="E134" s="133"/>
      <c r="F134" s="133"/>
      <c r="G134" s="133"/>
      <c r="H134" s="133"/>
      <c r="I134" s="133"/>
      <c r="J134" s="133"/>
      <c r="K134" s="133"/>
      <c r="L134" s="87"/>
      <c r="M134" s="365" t="s">
        <v>292</v>
      </c>
      <c r="N134" s="365"/>
      <c r="O134" s="365"/>
      <c r="P134" s="365"/>
      <c r="Q134" s="364">
        <v>50000</v>
      </c>
      <c r="R134" s="364"/>
      <c r="S134" s="364" t="s">
        <v>57</v>
      </c>
      <c r="T134" s="365" t="s">
        <v>58</v>
      </c>
      <c r="U134" s="364">
        <v>1</v>
      </c>
      <c r="V134" s="364" t="s">
        <v>75</v>
      </c>
      <c r="W134" s="365" t="s">
        <v>58</v>
      </c>
      <c r="X134" s="364">
        <v>4</v>
      </c>
      <c r="Y134" s="364" t="s">
        <v>56</v>
      </c>
      <c r="Z134" s="364" t="s">
        <v>53</v>
      </c>
      <c r="AA134" s="364" t="s">
        <v>298</v>
      </c>
      <c r="AB134" s="84"/>
      <c r="AC134" s="84">
        <f t="shared" si="12"/>
        <v>200000</v>
      </c>
      <c r="AD134" s="64" t="s">
        <v>25</v>
      </c>
      <c r="AE134" s="17"/>
    </row>
    <row r="135" spans="1:31" s="16" customFormat="1" ht="24" customHeight="1">
      <c r="A135" s="52"/>
      <c r="B135" s="52"/>
      <c r="C135" s="52"/>
      <c r="D135" s="133"/>
      <c r="E135" s="133"/>
      <c r="F135" s="133"/>
      <c r="G135" s="133"/>
      <c r="H135" s="133"/>
      <c r="I135" s="133"/>
      <c r="J135" s="133"/>
      <c r="K135" s="133"/>
      <c r="L135" s="87"/>
      <c r="M135" s="330" t="s">
        <v>293</v>
      </c>
      <c r="N135" s="293"/>
      <c r="O135" s="293"/>
      <c r="P135" s="293"/>
      <c r="Q135" s="292">
        <v>70000</v>
      </c>
      <c r="R135" s="292"/>
      <c r="S135" s="292" t="s">
        <v>294</v>
      </c>
      <c r="T135" s="373" t="s">
        <v>58</v>
      </c>
      <c r="U135" s="372">
        <v>4</v>
      </c>
      <c r="V135" s="372" t="s">
        <v>56</v>
      </c>
      <c r="W135" s="293"/>
      <c r="X135" s="292"/>
      <c r="Y135" s="292"/>
      <c r="Z135" s="372" t="s">
        <v>53</v>
      </c>
      <c r="AA135" s="329" t="s">
        <v>296</v>
      </c>
      <c r="AB135" s="84"/>
      <c r="AC135" s="84">
        <f>Q135*U135</f>
        <v>280000</v>
      </c>
      <c r="AD135" s="64" t="s">
        <v>294</v>
      </c>
      <c r="AE135" s="17"/>
    </row>
    <row r="136" spans="1:31" s="16" customFormat="1" ht="24" customHeight="1">
      <c r="A136" s="52"/>
      <c r="B136" s="52"/>
      <c r="C136" s="52"/>
      <c r="D136" s="133"/>
      <c r="E136" s="133"/>
      <c r="F136" s="133"/>
      <c r="G136" s="133"/>
      <c r="H136" s="133"/>
      <c r="I136" s="133"/>
      <c r="J136" s="133"/>
      <c r="K136" s="133"/>
      <c r="L136" s="87"/>
      <c r="M136" s="170" t="s">
        <v>321</v>
      </c>
      <c r="N136" s="170"/>
      <c r="O136" s="170"/>
      <c r="P136" s="170"/>
      <c r="Q136" s="382">
        <v>1000000</v>
      </c>
      <c r="R136" s="170"/>
      <c r="S136" s="385" t="s">
        <v>313</v>
      </c>
      <c r="T136" s="61" t="s">
        <v>26</v>
      </c>
      <c r="U136" s="170">
        <v>1</v>
      </c>
      <c r="V136" s="170" t="s">
        <v>322</v>
      </c>
      <c r="W136" s="170"/>
      <c r="X136" s="170"/>
      <c r="Y136" s="170"/>
      <c r="Z136" s="170" t="s">
        <v>323</v>
      </c>
      <c r="AA136" s="170" t="s">
        <v>315</v>
      </c>
      <c r="AB136" s="170"/>
      <c r="AC136" s="171">
        <f>Q136*U136</f>
        <v>1000000</v>
      </c>
      <c r="AD136" s="172" t="s">
        <v>313</v>
      </c>
      <c r="AE136" s="17"/>
    </row>
    <row r="137" spans="1:31" s="16" customFormat="1" ht="24" customHeight="1">
      <c r="A137" s="345"/>
      <c r="B137" s="345"/>
      <c r="C137" s="345"/>
      <c r="D137" s="133"/>
      <c r="E137" s="133"/>
      <c r="F137" s="133"/>
      <c r="G137" s="133"/>
      <c r="H137" s="133"/>
      <c r="I137" s="133"/>
      <c r="J137" s="133"/>
      <c r="K137" s="133"/>
      <c r="L137" s="87"/>
      <c r="M137" s="170"/>
      <c r="N137" s="170"/>
      <c r="O137" s="170"/>
      <c r="P137" s="170"/>
      <c r="Q137" s="382"/>
      <c r="R137" s="170"/>
      <c r="S137" s="385"/>
      <c r="T137" s="61"/>
      <c r="U137" s="170"/>
      <c r="V137" s="170"/>
      <c r="W137" s="170"/>
      <c r="X137" s="170"/>
      <c r="Y137" s="170"/>
      <c r="Z137" s="170"/>
      <c r="AA137" s="170"/>
      <c r="AB137" s="170"/>
      <c r="AC137" s="171"/>
      <c r="AD137" s="172"/>
      <c r="AE137" s="17"/>
    </row>
    <row r="138" spans="1:31" s="16" customFormat="1" ht="24" customHeight="1">
      <c r="A138" s="52"/>
      <c r="B138" s="52"/>
      <c r="C138" s="52"/>
      <c r="D138" s="133"/>
      <c r="E138" s="133"/>
      <c r="F138" s="133"/>
      <c r="G138" s="133"/>
      <c r="H138" s="133"/>
      <c r="I138" s="133"/>
      <c r="J138" s="133"/>
      <c r="K138" s="133"/>
      <c r="L138" s="87"/>
      <c r="M138" s="88" t="s">
        <v>238</v>
      </c>
      <c r="N138" s="140"/>
      <c r="O138" s="213"/>
      <c r="P138" s="34"/>
      <c r="Q138" s="34"/>
      <c r="R138" s="34"/>
      <c r="S138" s="34"/>
      <c r="T138" s="34"/>
      <c r="U138" s="34"/>
      <c r="V138" s="207" t="s">
        <v>130</v>
      </c>
      <c r="W138" s="207"/>
      <c r="X138" s="207"/>
      <c r="Y138" s="207"/>
      <c r="Z138" s="207"/>
      <c r="AA138" s="207"/>
      <c r="AB138" s="89"/>
      <c r="AC138" s="89">
        <f>SUM(AC139:AC139)</f>
        <v>60000</v>
      </c>
      <c r="AD138" s="90" t="s">
        <v>25</v>
      </c>
      <c r="AE138" s="17"/>
    </row>
    <row r="139" spans="1:31" s="16" customFormat="1" ht="24" customHeight="1">
      <c r="A139" s="52"/>
      <c r="B139" s="52"/>
      <c r="C139" s="52"/>
      <c r="D139" s="133"/>
      <c r="E139" s="133"/>
      <c r="F139" s="133"/>
      <c r="G139" s="133"/>
      <c r="H139" s="133"/>
      <c r="I139" s="133"/>
      <c r="J139" s="133"/>
      <c r="K139" s="133"/>
      <c r="L139" s="87"/>
      <c r="M139" s="330" t="s">
        <v>379</v>
      </c>
      <c r="N139" s="212"/>
      <c r="O139" s="212"/>
      <c r="P139" s="212"/>
      <c r="Q139" s="251">
        <v>20000</v>
      </c>
      <c r="R139" s="278"/>
      <c r="S139" s="61" t="s">
        <v>57</v>
      </c>
      <c r="T139" s="61" t="s">
        <v>26</v>
      </c>
      <c r="U139" s="251">
        <v>3</v>
      </c>
      <c r="V139" s="251" t="s">
        <v>184</v>
      </c>
      <c r="W139" s="234"/>
      <c r="X139" s="164"/>
      <c r="Y139" s="92"/>
      <c r="Z139" s="218" t="s">
        <v>53</v>
      </c>
      <c r="AA139" s="329" t="s">
        <v>252</v>
      </c>
      <c r="AB139" s="251"/>
      <c r="AC139" s="251">
        <f>Q139*U139</f>
        <v>60000</v>
      </c>
      <c r="AD139" s="64" t="s">
        <v>25</v>
      </c>
      <c r="AE139" s="17"/>
    </row>
    <row r="140" spans="1:31" s="16" customFormat="1" ht="24" customHeight="1">
      <c r="A140" s="326"/>
      <c r="B140" s="326"/>
      <c r="C140" s="326"/>
      <c r="D140" s="133"/>
      <c r="E140" s="133"/>
      <c r="F140" s="133"/>
      <c r="G140" s="133"/>
      <c r="H140" s="133"/>
      <c r="I140" s="133"/>
      <c r="J140" s="133"/>
      <c r="K140" s="133"/>
      <c r="L140" s="87"/>
      <c r="M140" s="330"/>
      <c r="N140" s="330"/>
      <c r="O140" s="330"/>
      <c r="P140" s="330"/>
      <c r="Q140" s="329"/>
      <c r="R140" s="329"/>
      <c r="S140" s="61"/>
      <c r="T140" s="61"/>
      <c r="U140" s="329"/>
      <c r="V140" s="329"/>
      <c r="W140" s="234"/>
      <c r="X140" s="164"/>
      <c r="Y140" s="92"/>
      <c r="Z140" s="218"/>
      <c r="AA140" s="329"/>
      <c r="AB140" s="329"/>
      <c r="AC140" s="329"/>
      <c r="AD140" s="64"/>
      <c r="AE140" s="17"/>
    </row>
    <row r="141" spans="1:31" s="16" customFormat="1" ht="24" customHeight="1">
      <c r="A141" s="326"/>
      <c r="B141" s="326"/>
      <c r="C141" s="326"/>
      <c r="D141" s="133"/>
      <c r="E141" s="133"/>
      <c r="F141" s="133"/>
      <c r="G141" s="133"/>
      <c r="H141" s="133"/>
      <c r="I141" s="133"/>
      <c r="J141" s="133"/>
      <c r="K141" s="133"/>
      <c r="L141" s="87"/>
      <c r="M141" s="88" t="s">
        <v>239</v>
      </c>
      <c r="N141" s="328"/>
      <c r="O141" s="330"/>
      <c r="P141" s="330"/>
      <c r="Q141" s="330"/>
      <c r="R141" s="330"/>
      <c r="S141" s="329"/>
      <c r="T141" s="329"/>
      <c r="U141" s="329"/>
      <c r="V141" s="327" t="s">
        <v>130</v>
      </c>
      <c r="W141" s="327"/>
      <c r="X141" s="327"/>
      <c r="Y141" s="327"/>
      <c r="Z141" s="327"/>
      <c r="AA141" s="327"/>
      <c r="AB141" s="89"/>
      <c r="AC141" s="89">
        <f>SUM(AC142)</f>
        <v>268000</v>
      </c>
      <c r="AD141" s="90" t="s">
        <v>25</v>
      </c>
      <c r="AE141" s="17"/>
    </row>
    <row r="142" spans="1:31" s="16" customFormat="1" ht="24" customHeight="1">
      <c r="A142" s="326"/>
      <c r="B142" s="326"/>
      <c r="C142" s="326"/>
      <c r="D142" s="133"/>
      <c r="E142" s="133"/>
      <c r="F142" s="133"/>
      <c r="G142" s="133"/>
      <c r="H142" s="133"/>
      <c r="I142" s="133"/>
      <c r="J142" s="133"/>
      <c r="K142" s="133"/>
      <c r="L142" s="87"/>
      <c r="M142" s="330" t="s">
        <v>240</v>
      </c>
      <c r="N142" s="330"/>
      <c r="O142" s="330"/>
      <c r="P142" s="330"/>
      <c r="Q142" s="329">
        <v>6700</v>
      </c>
      <c r="R142" s="329"/>
      <c r="S142" s="61" t="s">
        <v>57</v>
      </c>
      <c r="T142" s="61" t="s">
        <v>26</v>
      </c>
      <c r="U142" s="329">
        <v>10</v>
      </c>
      <c r="V142" s="329" t="s">
        <v>75</v>
      </c>
      <c r="W142" s="377" t="s">
        <v>58</v>
      </c>
      <c r="X142" s="376">
        <v>4</v>
      </c>
      <c r="Y142" s="376" t="s">
        <v>56</v>
      </c>
      <c r="Z142" s="218" t="s">
        <v>53</v>
      </c>
      <c r="AA142" s="331" t="s">
        <v>256</v>
      </c>
      <c r="AB142" s="329"/>
      <c r="AC142" s="329">
        <f>Q142*U142*X142</f>
        <v>268000</v>
      </c>
      <c r="AD142" s="64" t="s">
        <v>25</v>
      </c>
      <c r="AE142" s="17"/>
    </row>
    <row r="143" spans="1:31" s="16" customFormat="1" ht="24" customHeight="1">
      <c r="A143" s="326"/>
      <c r="B143" s="326"/>
      <c r="C143" s="326"/>
      <c r="D143" s="133"/>
      <c r="E143" s="133"/>
      <c r="F143" s="133"/>
      <c r="G143" s="133"/>
      <c r="H143" s="133"/>
      <c r="I143" s="133"/>
      <c r="J143" s="133"/>
      <c r="K143" s="133"/>
      <c r="L143" s="87"/>
      <c r="M143" s="330"/>
      <c r="N143" s="330"/>
      <c r="O143" s="330"/>
      <c r="P143" s="330"/>
      <c r="Q143" s="329"/>
      <c r="R143" s="329"/>
      <c r="S143" s="61"/>
      <c r="T143" s="61"/>
      <c r="U143" s="329"/>
      <c r="V143" s="329"/>
      <c r="W143" s="234"/>
      <c r="X143" s="164"/>
      <c r="Y143" s="92"/>
      <c r="Z143" s="218"/>
      <c r="AA143" s="329"/>
      <c r="AB143" s="329"/>
      <c r="AC143" s="329"/>
      <c r="AD143" s="64"/>
      <c r="AE143" s="17"/>
    </row>
    <row r="144" spans="1:31" s="16" customFormat="1" ht="24" customHeight="1">
      <c r="A144" s="326"/>
      <c r="B144" s="326"/>
      <c r="C144" s="326"/>
      <c r="D144" s="133"/>
      <c r="E144" s="133"/>
      <c r="F144" s="133"/>
      <c r="G144" s="133"/>
      <c r="H144" s="133"/>
      <c r="I144" s="133"/>
      <c r="J144" s="133"/>
      <c r="K144" s="133"/>
      <c r="L144" s="87"/>
      <c r="M144" s="88" t="s">
        <v>241</v>
      </c>
      <c r="N144" s="328"/>
      <c r="O144" s="330"/>
      <c r="P144" s="330"/>
      <c r="Q144" s="330"/>
      <c r="R144" s="330"/>
      <c r="S144" s="329"/>
      <c r="T144" s="329"/>
      <c r="U144" s="329"/>
      <c r="V144" s="327" t="s">
        <v>130</v>
      </c>
      <c r="W144" s="327"/>
      <c r="X144" s="327"/>
      <c r="Y144" s="327"/>
      <c r="Z144" s="327"/>
      <c r="AA144" s="327"/>
      <c r="AB144" s="89"/>
      <c r="AC144" s="89">
        <f>SUM(AC145)</f>
        <v>200000</v>
      </c>
      <c r="AD144" s="90" t="s">
        <v>25</v>
      </c>
      <c r="AE144" s="17"/>
    </row>
    <row r="145" spans="1:31" s="16" customFormat="1" ht="24" customHeight="1">
      <c r="A145" s="326"/>
      <c r="B145" s="326"/>
      <c r="C145" s="326"/>
      <c r="D145" s="133"/>
      <c r="E145" s="133"/>
      <c r="F145" s="133"/>
      <c r="G145" s="133"/>
      <c r="H145" s="133"/>
      <c r="I145" s="133"/>
      <c r="J145" s="133"/>
      <c r="K145" s="133"/>
      <c r="L145" s="87"/>
      <c r="M145" s="330" t="s">
        <v>242</v>
      </c>
      <c r="N145" s="330"/>
      <c r="O145" s="330"/>
      <c r="P145" s="330"/>
      <c r="Q145" s="329">
        <v>50000</v>
      </c>
      <c r="R145" s="329"/>
      <c r="S145" s="329" t="s">
        <v>57</v>
      </c>
      <c r="T145" s="330" t="s">
        <v>58</v>
      </c>
      <c r="U145" s="329">
        <v>4</v>
      </c>
      <c r="V145" s="371" t="s">
        <v>56</v>
      </c>
      <c r="W145" s="330"/>
      <c r="X145" s="329"/>
      <c r="Y145" s="329"/>
      <c r="Z145" s="329" t="s">
        <v>53</v>
      </c>
      <c r="AA145" s="329" t="s">
        <v>280</v>
      </c>
      <c r="AB145" s="84"/>
      <c r="AC145" s="84">
        <f>Q145*U145</f>
        <v>200000</v>
      </c>
      <c r="AD145" s="64" t="s">
        <v>25</v>
      </c>
      <c r="AE145" s="17"/>
    </row>
    <row r="146" spans="1:31" s="16" customFormat="1" ht="24" customHeight="1">
      <c r="A146" s="326"/>
      <c r="B146" s="326"/>
      <c r="C146" s="326"/>
      <c r="D146" s="133"/>
      <c r="E146" s="133"/>
      <c r="F146" s="133"/>
      <c r="G146" s="133"/>
      <c r="H146" s="133"/>
      <c r="I146" s="133"/>
      <c r="J146" s="133"/>
      <c r="K146" s="133"/>
      <c r="L146" s="87"/>
      <c r="M146" s="330"/>
      <c r="N146" s="330"/>
      <c r="O146" s="330"/>
      <c r="P146" s="330"/>
      <c r="Q146" s="329"/>
      <c r="R146" s="329"/>
      <c r="S146" s="61"/>
      <c r="T146" s="61"/>
      <c r="U146" s="329"/>
      <c r="V146" s="329"/>
      <c r="W146" s="234"/>
      <c r="X146" s="164"/>
      <c r="Y146" s="92"/>
      <c r="Z146" s="218"/>
      <c r="AA146" s="329"/>
      <c r="AB146" s="329"/>
      <c r="AC146" s="329"/>
      <c r="AD146" s="64"/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88" t="s">
        <v>243</v>
      </c>
      <c r="N147" s="140"/>
      <c r="O147" s="213"/>
      <c r="P147" s="34"/>
      <c r="Q147" s="34"/>
      <c r="R147" s="34"/>
      <c r="S147" s="34"/>
      <c r="T147" s="34"/>
      <c r="U147" s="34"/>
      <c r="V147" s="207" t="s">
        <v>130</v>
      </c>
      <c r="W147" s="207"/>
      <c r="X147" s="207"/>
      <c r="Y147" s="207"/>
      <c r="Z147" s="207"/>
      <c r="AA147" s="207"/>
      <c r="AB147" s="89"/>
      <c r="AC147" s="89">
        <f>SUM(AC148:AC151)</f>
        <v>1360000</v>
      </c>
      <c r="AD147" s="90" t="s">
        <v>25</v>
      </c>
      <c r="AE147" s="17"/>
    </row>
    <row r="148" spans="1:31" s="16" customFormat="1" ht="24" customHeight="1">
      <c r="A148" s="52"/>
      <c r="B148" s="52"/>
      <c r="C148" s="52"/>
      <c r="D148" s="133"/>
      <c r="E148" s="133"/>
      <c r="F148" s="133"/>
      <c r="G148" s="133"/>
      <c r="H148" s="133"/>
      <c r="I148" s="133"/>
      <c r="J148" s="133"/>
      <c r="K148" s="133"/>
      <c r="L148" s="87"/>
      <c r="M148" s="170" t="s">
        <v>244</v>
      </c>
      <c r="N148" s="170"/>
      <c r="O148" s="170"/>
      <c r="P148" s="170"/>
      <c r="Q148" s="251">
        <v>20000</v>
      </c>
      <c r="R148" s="278"/>
      <c r="S148" s="61" t="s">
        <v>57</v>
      </c>
      <c r="T148" s="61" t="s">
        <v>26</v>
      </c>
      <c r="U148" s="251">
        <v>4</v>
      </c>
      <c r="V148" s="251" t="s">
        <v>184</v>
      </c>
      <c r="W148" s="234"/>
      <c r="X148" s="164"/>
      <c r="Y148" s="92"/>
      <c r="Z148" s="218" t="s">
        <v>53</v>
      </c>
      <c r="AA148" s="329" t="s">
        <v>252</v>
      </c>
      <c r="AB148" s="251"/>
      <c r="AC148" s="251">
        <f>Q148*U148</f>
        <v>80000</v>
      </c>
      <c r="AD148" s="64" t="s">
        <v>25</v>
      </c>
      <c r="AE148" s="17"/>
    </row>
    <row r="149" spans="1:31" s="16" customFormat="1" ht="24" customHeight="1">
      <c r="A149" s="52"/>
      <c r="B149" s="52"/>
      <c r="C149" s="52"/>
      <c r="D149" s="133"/>
      <c r="E149" s="133"/>
      <c r="F149" s="133"/>
      <c r="G149" s="133"/>
      <c r="H149" s="133"/>
      <c r="I149" s="133"/>
      <c r="J149" s="133"/>
      <c r="K149" s="133"/>
      <c r="L149" s="87"/>
      <c r="M149" s="170" t="s">
        <v>245</v>
      </c>
      <c r="N149" s="170"/>
      <c r="O149" s="170"/>
      <c r="P149" s="170"/>
      <c r="Q149" s="251">
        <v>150000</v>
      </c>
      <c r="R149" s="278"/>
      <c r="S149" s="61" t="s">
        <v>57</v>
      </c>
      <c r="T149" s="61" t="s">
        <v>26</v>
      </c>
      <c r="U149" s="251">
        <v>4</v>
      </c>
      <c r="V149" s="329" t="s">
        <v>56</v>
      </c>
      <c r="W149" s="234"/>
      <c r="X149" s="164"/>
      <c r="Y149" s="92"/>
      <c r="Z149" s="218" t="s">
        <v>53</v>
      </c>
      <c r="AA149" s="329" t="s">
        <v>252</v>
      </c>
      <c r="AB149" s="251"/>
      <c r="AC149" s="251">
        <f>Q149*U149</f>
        <v>600000</v>
      </c>
      <c r="AD149" s="64" t="s">
        <v>25</v>
      </c>
      <c r="AE149" s="17"/>
    </row>
    <row r="150" spans="1:31" s="16" customFormat="1" ht="24" customHeight="1">
      <c r="A150" s="52"/>
      <c r="B150" s="52"/>
      <c r="C150" s="52"/>
      <c r="D150" s="133"/>
      <c r="E150" s="133"/>
      <c r="F150" s="133"/>
      <c r="G150" s="133"/>
      <c r="H150" s="133"/>
      <c r="I150" s="133"/>
      <c r="J150" s="133"/>
      <c r="K150" s="133"/>
      <c r="L150" s="87"/>
      <c r="M150" s="170" t="s">
        <v>300</v>
      </c>
      <c r="N150" s="170"/>
      <c r="O150" s="170"/>
      <c r="P150" s="170"/>
      <c r="Q150" s="329">
        <v>150000</v>
      </c>
      <c r="R150" s="329"/>
      <c r="S150" s="61" t="s">
        <v>57</v>
      </c>
      <c r="T150" s="61" t="s">
        <v>26</v>
      </c>
      <c r="U150" s="329">
        <v>4</v>
      </c>
      <c r="V150" s="329" t="s">
        <v>56</v>
      </c>
      <c r="W150" s="234"/>
      <c r="X150" s="164"/>
      <c r="Y150" s="92"/>
      <c r="Z150" s="218" t="s">
        <v>53</v>
      </c>
      <c r="AA150" s="329" t="s">
        <v>252</v>
      </c>
      <c r="AB150" s="329"/>
      <c r="AC150" s="329">
        <f>Q150*U150</f>
        <v>600000</v>
      </c>
      <c r="AD150" s="64" t="s">
        <v>25</v>
      </c>
      <c r="AE150" s="17"/>
    </row>
    <row r="151" spans="1:31" s="16" customFormat="1" ht="24" customHeight="1">
      <c r="A151" s="52"/>
      <c r="B151" s="52"/>
      <c r="C151" s="52"/>
      <c r="D151" s="133"/>
      <c r="E151" s="133"/>
      <c r="F151" s="133"/>
      <c r="G151" s="133"/>
      <c r="H151" s="133"/>
      <c r="I151" s="133"/>
      <c r="J151" s="133"/>
      <c r="K151" s="133"/>
      <c r="L151" s="87"/>
      <c r="M151" s="170" t="s">
        <v>246</v>
      </c>
      <c r="N151" s="170"/>
      <c r="O151" s="170"/>
      <c r="P151" s="170"/>
      <c r="Q151" s="299">
        <v>20000</v>
      </c>
      <c r="R151" s="170"/>
      <c r="S151" s="170" t="s">
        <v>202</v>
      </c>
      <c r="T151" s="61" t="s">
        <v>26</v>
      </c>
      <c r="U151" s="170">
        <v>4</v>
      </c>
      <c r="V151" s="170" t="s">
        <v>56</v>
      </c>
      <c r="W151" s="170"/>
      <c r="X151" s="170"/>
      <c r="Y151" s="170"/>
      <c r="Z151" s="170" t="s">
        <v>206</v>
      </c>
      <c r="AA151" s="170" t="s">
        <v>110</v>
      </c>
      <c r="AB151" s="170"/>
      <c r="AC151" s="171">
        <f>Q151*U151</f>
        <v>80000</v>
      </c>
      <c r="AD151" s="172" t="s">
        <v>204</v>
      </c>
      <c r="AE151" s="17"/>
    </row>
    <row r="152" spans="1:31" s="16" customFormat="1" ht="24" customHeight="1">
      <c r="A152" s="52"/>
      <c r="B152" s="52"/>
      <c r="C152" s="52"/>
      <c r="D152" s="133"/>
      <c r="E152" s="133"/>
      <c r="F152" s="133"/>
      <c r="G152" s="133"/>
      <c r="H152" s="133"/>
      <c r="I152" s="133"/>
      <c r="J152" s="133"/>
      <c r="K152" s="133"/>
      <c r="L152" s="87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1"/>
      <c r="AD152" s="172"/>
      <c r="AE152" s="17"/>
    </row>
    <row r="153" spans="1:31" s="16" customFormat="1" ht="24" customHeight="1">
      <c r="A153" s="52"/>
      <c r="B153" s="52"/>
      <c r="C153" s="52"/>
      <c r="D153" s="133"/>
      <c r="E153" s="133"/>
      <c r="F153" s="133"/>
      <c r="G153" s="133"/>
      <c r="H153" s="133"/>
      <c r="I153" s="133"/>
      <c r="J153" s="133"/>
      <c r="K153" s="133"/>
      <c r="L153" s="87"/>
      <c r="M153" s="88" t="s">
        <v>249</v>
      </c>
      <c r="N153" s="140"/>
      <c r="O153" s="213"/>
      <c r="P153" s="34"/>
      <c r="Q153" s="34"/>
      <c r="R153" s="34"/>
      <c r="S153" s="34"/>
      <c r="T153" s="34"/>
      <c r="U153" s="34"/>
      <c r="V153" s="207" t="s">
        <v>130</v>
      </c>
      <c r="W153" s="207"/>
      <c r="X153" s="207"/>
      <c r="Y153" s="207"/>
      <c r="Z153" s="207"/>
      <c r="AA153" s="207"/>
      <c r="AB153" s="89"/>
      <c r="AC153" s="89">
        <f>SUM(AC155)</f>
        <v>400000</v>
      </c>
      <c r="AD153" s="90" t="s">
        <v>25</v>
      </c>
      <c r="AE153" s="17"/>
    </row>
    <row r="154" spans="1:31" s="16" customFormat="1" ht="24" customHeight="1">
      <c r="A154" s="52"/>
      <c r="B154" s="52"/>
      <c r="C154" s="52"/>
      <c r="D154" s="133"/>
      <c r="E154" s="133"/>
      <c r="F154" s="133"/>
      <c r="G154" s="133"/>
      <c r="H154" s="133"/>
      <c r="I154" s="133"/>
      <c r="J154" s="133"/>
      <c r="K154" s="133"/>
      <c r="L154" s="87"/>
      <c r="M154" s="170" t="s">
        <v>250</v>
      </c>
      <c r="N154" s="170"/>
      <c r="O154" s="170"/>
      <c r="P154" s="170"/>
      <c r="Q154" s="292">
        <v>50000</v>
      </c>
      <c r="R154" s="292"/>
      <c r="S154" s="292" t="s">
        <v>57</v>
      </c>
      <c r="T154" s="293" t="s">
        <v>58</v>
      </c>
      <c r="U154" s="292">
        <v>4</v>
      </c>
      <c r="V154" s="292" t="s">
        <v>56</v>
      </c>
      <c r="W154" s="293" t="s">
        <v>58</v>
      </c>
      <c r="X154" s="292">
        <v>1</v>
      </c>
      <c r="Y154" s="292" t="s">
        <v>75</v>
      </c>
      <c r="Z154" s="292" t="s">
        <v>53</v>
      </c>
      <c r="AA154" s="369" t="s">
        <v>254</v>
      </c>
      <c r="AB154" s="370"/>
      <c r="AC154" s="370">
        <f t="shared" ref="AC154" si="13">Q154*U154*X154</f>
        <v>200000</v>
      </c>
      <c r="AD154" s="64" t="s">
        <v>25</v>
      </c>
      <c r="AE154" s="17"/>
    </row>
    <row r="155" spans="1:31" s="16" customFormat="1" ht="24" customHeight="1">
      <c r="A155" s="52"/>
      <c r="B155" s="52"/>
      <c r="C155" s="52"/>
      <c r="D155" s="133"/>
      <c r="E155" s="133"/>
      <c r="F155" s="133"/>
      <c r="G155" s="133"/>
      <c r="H155" s="133"/>
      <c r="I155" s="133"/>
      <c r="J155" s="133"/>
      <c r="K155" s="133"/>
      <c r="L155" s="87"/>
      <c r="M155" s="170" t="s">
        <v>251</v>
      </c>
      <c r="N155" s="170"/>
      <c r="O155" s="170"/>
      <c r="P155" s="170"/>
      <c r="Q155" s="382">
        <v>50000</v>
      </c>
      <c r="R155" s="382"/>
      <c r="S155" s="61" t="s">
        <v>313</v>
      </c>
      <c r="T155" s="61" t="s">
        <v>26</v>
      </c>
      <c r="U155" s="382">
        <v>4</v>
      </c>
      <c r="V155" s="382" t="s">
        <v>322</v>
      </c>
      <c r="W155" s="383" t="s">
        <v>324</v>
      </c>
      <c r="X155" s="382">
        <v>2</v>
      </c>
      <c r="Y155" s="382" t="s">
        <v>314</v>
      </c>
      <c r="Z155" s="218" t="s">
        <v>323</v>
      </c>
      <c r="AA155" s="382" t="s">
        <v>315</v>
      </c>
      <c r="AB155" s="382"/>
      <c r="AC155" s="382">
        <f>Q155*U155*X155</f>
        <v>400000</v>
      </c>
      <c r="AD155" s="64" t="s">
        <v>25</v>
      </c>
      <c r="AE155" s="17"/>
    </row>
    <row r="156" spans="1:31" s="16" customFormat="1" ht="24" customHeight="1">
      <c r="A156" s="52"/>
      <c r="B156" s="52"/>
      <c r="C156" s="52"/>
      <c r="D156" s="133"/>
      <c r="E156" s="133"/>
      <c r="F156" s="133"/>
      <c r="G156" s="133"/>
      <c r="H156" s="133"/>
      <c r="I156" s="133"/>
      <c r="J156" s="133"/>
      <c r="K156" s="133"/>
      <c r="L156" s="87"/>
      <c r="M156" s="170"/>
      <c r="N156" s="170"/>
      <c r="O156" s="170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  <c r="AA156" s="170"/>
      <c r="AB156" s="170"/>
      <c r="AC156" s="171"/>
      <c r="AD156" s="172"/>
      <c r="AE156" s="17"/>
    </row>
    <row r="157" spans="1:31" s="16" customFormat="1" ht="24" customHeight="1">
      <c r="A157" s="52"/>
      <c r="B157" s="52"/>
      <c r="C157" s="52"/>
      <c r="D157" s="133"/>
      <c r="E157" s="133"/>
      <c r="F157" s="133"/>
      <c r="G157" s="133"/>
      <c r="H157" s="133"/>
      <c r="I157" s="133"/>
      <c r="J157" s="133"/>
      <c r="K157" s="133"/>
      <c r="L157" s="87"/>
      <c r="M157" s="88" t="s">
        <v>247</v>
      </c>
      <c r="N157" s="140"/>
      <c r="O157" s="221"/>
      <c r="P157" s="34"/>
      <c r="Q157" s="34"/>
      <c r="R157" s="34"/>
      <c r="S157" s="34"/>
      <c r="T157" s="34"/>
      <c r="U157" s="34"/>
      <c r="V157" s="327" t="s">
        <v>130</v>
      </c>
      <c r="W157" s="327"/>
      <c r="X157" s="327"/>
      <c r="Y157" s="327"/>
      <c r="Z157" s="327"/>
      <c r="AA157" s="327"/>
      <c r="AB157" s="89"/>
      <c r="AC157" s="89">
        <f>SUM(AC158:AC159)</f>
        <v>848000</v>
      </c>
      <c r="AD157" s="90" t="s">
        <v>25</v>
      </c>
      <c r="AE157" s="17"/>
    </row>
    <row r="158" spans="1:31" s="16" customFormat="1" ht="24" customHeight="1">
      <c r="A158" s="52"/>
      <c r="B158" s="52"/>
      <c r="C158" s="52"/>
      <c r="D158" s="133"/>
      <c r="E158" s="133"/>
      <c r="F158" s="133"/>
      <c r="G158" s="133"/>
      <c r="H158" s="133"/>
      <c r="I158" s="133"/>
      <c r="J158" s="133"/>
      <c r="K158" s="133"/>
      <c r="L158" s="87"/>
      <c r="M158" s="330" t="s">
        <v>248</v>
      </c>
      <c r="N158" s="330"/>
      <c r="O158" s="330"/>
      <c r="P158" s="330"/>
      <c r="Q158" s="329">
        <v>8000</v>
      </c>
      <c r="R158" s="329"/>
      <c r="S158" s="329" t="s">
        <v>57</v>
      </c>
      <c r="T158" s="330" t="s">
        <v>58</v>
      </c>
      <c r="U158" s="329">
        <v>1</v>
      </c>
      <c r="V158" s="329" t="s">
        <v>75</v>
      </c>
      <c r="W158" s="330" t="s">
        <v>58</v>
      </c>
      <c r="X158" s="329">
        <v>2</v>
      </c>
      <c r="Y158" s="329" t="s">
        <v>56</v>
      </c>
      <c r="Z158" s="329" t="s">
        <v>53</v>
      </c>
      <c r="AA158" s="329" t="s">
        <v>252</v>
      </c>
      <c r="AB158" s="84"/>
      <c r="AC158" s="84">
        <v>16000</v>
      </c>
      <c r="AD158" s="64" t="s">
        <v>25</v>
      </c>
      <c r="AE158" s="17"/>
    </row>
    <row r="159" spans="1:31" s="16" customFormat="1" ht="24" customHeight="1">
      <c r="A159" s="345"/>
      <c r="B159" s="345"/>
      <c r="C159" s="53"/>
      <c r="D159" s="133"/>
      <c r="E159" s="133"/>
      <c r="F159" s="133"/>
      <c r="G159" s="133"/>
      <c r="H159" s="133"/>
      <c r="I159" s="133"/>
      <c r="J159" s="133"/>
      <c r="K159" s="133"/>
      <c r="L159" s="87"/>
      <c r="M159" s="379" t="s">
        <v>310</v>
      </c>
      <c r="N159" s="379"/>
      <c r="O159" s="379"/>
      <c r="P159" s="379"/>
      <c r="Q159" s="378">
        <v>13000</v>
      </c>
      <c r="R159" s="378"/>
      <c r="S159" s="378" t="s">
        <v>57</v>
      </c>
      <c r="T159" s="379" t="s">
        <v>58</v>
      </c>
      <c r="U159" s="378">
        <v>16</v>
      </c>
      <c r="V159" s="378" t="s">
        <v>75</v>
      </c>
      <c r="W159" s="379" t="s">
        <v>58</v>
      </c>
      <c r="X159" s="378">
        <v>4</v>
      </c>
      <c r="Y159" s="378" t="s">
        <v>56</v>
      </c>
      <c r="Z159" s="378" t="s">
        <v>53</v>
      </c>
      <c r="AA159" s="378" t="s">
        <v>311</v>
      </c>
      <c r="AB159" s="84"/>
      <c r="AC159" s="84">
        <f>Q159*U159*X159</f>
        <v>832000</v>
      </c>
      <c r="AD159" s="64" t="s">
        <v>312</v>
      </c>
      <c r="AE159" s="17"/>
    </row>
    <row r="160" spans="1:31" s="16" customFormat="1" ht="24" customHeight="1">
      <c r="A160" s="345"/>
      <c r="B160" s="345"/>
      <c r="C160" s="53"/>
      <c r="D160" s="133"/>
      <c r="E160" s="133"/>
      <c r="F160" s="133"/>
      <c r="G160" s="133"/>
      <c r="H160" s="133"/>
      <c r="I160" s="133"/>
      <c r="J160" s="133"/>
      <c r="K160" s="133"/>
      <c r="L160" s="87"/>
      <c r="M160" s="383"/>
      <c r="N160" s="383"/>
      <c r="O160" s="383"/>
      <c r="P160" s="383"/>
      <c r="Q160" s="382"/>
      <c r="R160" s="382"/>
      <c r="S160" s="382"/>
      <c r="T160" s="383"/>
      <c r="U160" s="382"/>
      <c r="V160" s="382"/>
      <c r="W160" s="383"/>
      <c r="X160" s="382"/>
      <c r="Y160" s="382"/>
      <c r="Z160" s="382"/>
      <c r="AA160" s="382"/>
      <c r="AB160" s="84"/>
      <c r="AC160" s="84"/>
      <c r="AD160" s="64"/>
      <c r="AE160" s="17"/>
    </row>
    <row r="161" spans="1:31" s="16" customFormat="1" ht="24" customHeight="1">
      <c r="A161" s="345"/>
      <c r="B161" s="345"/>
      <c r="C161" s="53"/>
      <c r="D161" s="133"/>
      <c r="E161" s="133"/>
      <c r="F161" s="133"/>
      <c r="G161" s="133"/>
      <c r="H161" s="133"/>
      <c r="I161" s="133"/>
      <c r="J161" s="133"/>
      <c r="K161" s="133"/>
      <c r="L161" s="87"/>
      <c r="M161" s="88" t="s">
        <v>326</v>
      </c>
      <c r="N161" s="381"/>
      <c r="O161" s="383"/>
      <c r="P161" s="383"/>
      <c r="Q161" s="382"/>
      <c r="R161" s="382"/>
      <c r="S161" s="382"/>
      <c r="T161" s="383"/>
      <c r="U161" s="382"/>
      <c r="V161" s="380" t="s">
        <v>327</v>
      </c>
      <c r="W161" s="381"/>
      <c r="X161" s="380"/>
      <c r="Y161" s="380"/>
      <c r="Z161" s="380"/>
      <c r="AA161" s="380"/>
      <c r="AB161" s="89"/>
      <c r="AC161" s="89">
        <f>AC162+AC163</f>
        <v>140000</v>
      </c>
      <c r="AD161" s="90" t="s">
        <v>25</v>
      </c>
      <c r="AE161" s="17"/>
    </row>
    <row r="162" spans="1:31" s="16" customFormat="1" ht="24" customHeight="1">
      <c r="A162" s="345"/>
      <c r="B162" s="345"/>
      <c r="C162" s="53"/>
      <c r="D162" s="133"/>
      <c r="E162" s="133"/>
      <c r="F162" s="133"/>
      <c r="G162" s="133"/>
      <c r="H162" s="133"/>
      <c r="I162" s="133"/>
      <c r="J162" s="133"/>
      <c r="K162" s="133"/>
      <c r="L162" s="87"/>
      <c r="M162" s="383" t="s">
        <v>328</v>
      </c>
      <c r="N162" s="383"/>
      <c r="O162" s="383"/>
      <c r="P162" s="383"/>
      <c r="Q162" s="382">
        <v>100000</v>
      </c>
      <c r="R162" s="382"/>
      <c r="S162" s="382" t="s">
        <v>313</v>
      </c>
      <c r="T162" s="383" t="s">
        <v>324</v>
      </c>
      <c r="U162" s="382">
        <v>1</v>
      </c>
      <c r="V162" s="382" t="s">
        <v>314</v>
      </c>
      <c r="W162" s="383"/>
      <c r="X162" s="382"/>
      <c r="Y162" s="382"/>
      <c r="Z162" s="218" t="s">
        <v>323</v>
      </c>
      <c r="AA162" s="382" t="s">
        <v>315</v>
      </c>
      <c r="AB162" s="84"/>
      <c r="AC162" s="84">
        <f>Q162*U162</f>
        <v>100000</v>
      </c>
      <c r="AD162" s="64" t="s">
        <v>313</v>
      </c>
      <c r="AE162" s="17"/>
    </row>
    <row r="163" spans="1:31" s="16" customFormat="1" ht="24" customHeight="1">
      <c r="A163" s="66"/>
      <c r="B163" s="66"/>
      <c r="C163" s="134"/>
      <c r="D163" s="135"/>
      <c r="E163" s="135"/>
      <c r="F163" s="135"/>
      <c r="G163" s="135"/>
      <c r="H163" s="135"/>
      <c r="I163" s="135"/>
      <c r="J163" s="135"/>
      <c r="K163" s="133"/>
      <c r="L163" s="87"/>
      <c r="M163" s="383" t="s">
        <v>329</v>
      </c>
      <c r="N163" s="383"/>
      <c r="O163" s="383"/>
      <c r="P163" s="383"/>
      <c r="Q163" s="382">
        <v>40000</v>
      </c>
      <c r="R163" s="382"/>
      <c r="S163" s="382" t="s">
        <v>313</v>
      </c>
      <c r="T163" s="383" t="s">
        <v>324</v>
      </c>
      <c r="U163" s="382">
        <v>1</v>
      </c>
      <c r="V163" s="382" t="s">
        <v>314</v>
      </c>
      <c r="W163" s="383"/>
      <c r="X163" s="382"/>
      <c r="Y163" s="382"/>
      <c r="Z163" s="218" t="s">
        <v>323</v>
      </c>
      <c r="AA163" s="382" t="s">
        <v>315</v>
      </c>
      <c r="AB163" s="84"/>
      <c r="AC163" s="84">
        <f>Q163*U163</f>
        <v>40000</v>
      </c>
      <c r="AD163" s="64" t="s">
        <v>313</v>
      </c>
      <c r="AE163" s="17"/>
    </row>
    <row r="164" spans="1:31" s="12" customFormat="1" ht="21" customHeight="1">
      <c r="A164" s="136" t="s">
        <v>152</v>
      </c>
      <c r="B164" s="581" t="s">
        <v>21</v>
      </c>
      <c r="C164" s="582"/>
      <c r="D164" s="200">
        <v>17</v>
      </c>
      <c r="E164" s="200">
        <f>SUM(E165)</f>
        <v>16.699000000000002</v>
      </c>
      <c r="F164" s="200">
        <f t="shared" ref="F164:J164" si="14">SUM(F165)</f>
        <v>6.6989999999999998</v>
      </c>
      <c r="G164" s="200">
        <f t="shared" si="14"/>
        <v>10</v>
      </c>
      <c r="H164" s="200">
        <f t="shared" si="14"/>
        <v>0</v>
      </c>
      <c r="I164" s="200">
        <v>0</v>
      </c>
      <c r="J164" s="200">
        <f t="shared" si="14"/>
        <v>0</v>
      </c>
      <c r="K164" s="200">
        <f>E164-D164</f>
        <v>-0.30099999999999838</v>
      </c>
      <c r="L164" s="201">
        <f>IF(D164=0,0,K164/D164)</f>
        <v>-1.7705882352941082E-2</v>
      </c>
      <c r="M164" s="361" t="s">
        <v>155</v>
      </c>
      <c r="N164" s="362"/>
      <c r="O164" s="362"/>
      <c r="P164" s="362"/>
      <c r="Q164" s="363"/>
      <c r="R164" s="363"/>
      <c r="S164" s="363"/>
      <c r="T164" s="363"/>
      <c r="U164" s="363"/>
      <c r="V164" s="363"/>
      <c r="W164" s="363"/>
      <c r="X164" s="363"/>
      <c r="Y164" s="363"/>
      <c r="Z164" s="363"/>
      <c r="AA164" s="363"/>
      <c r="AB164" s="363"/>
      <c r="AC164" s="363">
        <f>SUM(AC165)</f>
        <v>16699</v>
      </c>
      <c r="AD164" s="204" t="s">
        <v>25</v>
      </c>
      <c r="AE164" s="1"/>
    </row>
    <row r="165" spans="1:31" s="12" customFormat="1" ht="21" customHeight="1">
      <c r="A165" s="229" t="s">
        <v>154</v>
      </c>
      <c r="B165" s="52" t="s">
        <v>152</v>
      </c>
      <c r="C165" s="52" t="s">
        <v>152</v>
      </c>
      <c r="D165" s="133">
        <v>17</v>
      </c>
      <c r="E165" s="133">
        <f>AC165/1000</f>
        <v>16.699000000000002</v>
      </c>
      <c r="F165" s="133">
        <f>SUM(AC166)/1000</f>
        <v>6.6989999999999998</v>
      </c>
      <c r="G165" s="133">
        <f>AC167/1000</f>
        <v>10</v>
      </c>
      <c r="H165" s="133">
        <v>0</v>
      </c>
      <c r="I165" s="133">
        <v>0</v>
      </c>
      <c r="J165" s="133">
        <v>0</v>
      </c>
      <c r="K165" s="133">
        <f>E165-D165</f>
        <v>-0.30099999999999838</v>
      </c>
      <c r="L165" s="87">
        <f>IF(D165=0,0,K165/D165)</f>
        <v>-1.7705882352941082E-2</v>
      </c>
      <c r="M165" s="140" t="s">
        <v>156</v>
      </c>
      <c r="N165" s="38"/>
      <c r="O165" s="38"/>
      <c r="P165" s="38"/>
      <c r="Q165" s="38"/>
      <c r="R165" s="221"/>
      <c r="S165" s="39"/>
      <c r="T165" s="39"/>
      <c r="U165" s="39"/>
      <c r="V165" s="39"/>
      <c r="W165" s="39"/>
      <c r="X165" s="203" t="s">
        <v>136</v>
      </c>
      <c r="Y165" s="124"/>
      <c r="Z165" s="124"/>
      <c r="AA165" s="124"/>
      <c r="AB165" s="142"/>
      <c r="AC165" s="142">
        <f>SUM(AC166:AC167)</f>
        <v>16699</v>
      </c>
      <c r="AD165" s="143" t="s">
        <v>25</v>
      </c>
      <c r="AE165" s="1"/>
    </row>
    <row r="166" spans="1:31" ht="21" customHeight="1">
      <c r="A166" s="51"/>
      <c r="B166" s="52" t="s">
        <v>153</v>
      </c>
      <c r="C166" s="52" t="s">
        <v>153</v>
      </c>
      <c r="D166" s="133"/>
      <c r="E166" s="133"/>
      <c r="F166" s="133"/>
      <c r="G166" s="133"/>
      <c r="H166" s="133"/>
      <c r="I166" s="133"/>
      <c r="J166" s="133"/>
      <c r="K166" s="133"/>
      <c r="L166" s="87"/>
      <c r="M166" s="339" t="s">
        <v>189</v>
      </c>
      <c r="N166" s="282"/>
      <c r="O166" s="282"/>
      <c r="P166" s="282"/>
      <c r="Q166" s="281"/>
      <c r="R166" s="281"/>
      <c r="S166" s="281"/>
      <c r="T166" s="281"/>
      <c r="U166" s="281"/>
      <c r="V166" s="281"/>
      <c r="W166" s="281"/>
      <c r="X166" s="281"/>
      <c r="Y166" s="281"/>
      <c r="Z166" s="281"/>
      <c r="AA166" s="281"/>
      <c r="AB166" s="281"/>
      <c r="AC166" s="281">
        <v>6699</v>
      </c>
      <c r="AD166" s="64" t="s">
        <v>25</v>
      </c>
    </row>
    <row r="167" spans="1:31" ht="21" customHeight="1">
      <c r="A167" s="517"/>
      <c r="B167" s="509"/>
      <c r="C167" s="509"/>
      <c r="D167" s="510"/>
      <c r="E167" s="510"/>
      <c r="F167" s="510"/>
      <c r="G167" s="510"/>
      <c r="H167" s="510"/>
      <c r="I167" s="510"/>
      <c r="J167" s="510"/>
      <c r="K167" s="510"/>
      <c r="L167" s="511"/>
      <c r="M167" s="512" t="s">
        <v>297</v>
      </c>
      <c r="N167" s="513"/>
      <c r="O167" s="513"/>
      <c r="P167" s="513"/>
      <c r="Q167" s="514"/>
      <c r="R167" s="514"/>
      <c r="S167" s="514"/>
      <c r="T167" s="514"/>
      <c r="U167" s="514"/>
      <c r="V167" s="514"/>
      <c r="W167" s="514"/>
      <c r="X167" s="514"/>
      <c r="Y167" s="514"/>
      <c r="Z167" s="514"/>
      <c r="AA167" s="514"/>
      <c r="AB167" s="514"/>
      <c r="AC167" s="514">
        <v>10000</v>
      </c>
      <c r="AD167" s="515" t="s">
        <v>255</v>
      </c>
    </row>
    <row r="168" spans="1:31" ht="21" customHeight="1">
      <c r="A168" s="229" t="s">
        <v>464</v>
      </c>
      <c r="B168" s="585" t="s">
        <v>21</v>
      </c>
      <c r="C168" s="586"/>
      <c r="D168" s="135">
        <v>0</v>
      </c>
      <c r="E168" s="135">
        <f>SUM(E169)</f>
        <v>0</v>
      </c>
      <c r="F168" s="135">
        <f t="shared" ref="F168:J168" si="15">SUM(F169)</f>
        <v>0</v>
      </c>
      <c r="G168" s="135">
        <f t="shared" si="15"/>
        <v>0</v>
      </c>
      <c r="H168" s="135">
        <f t="shared" si="15"/>
        <v>0</v>
      </c>
      <c r="I168" s="135">
        <v>0</v>
      </c>
      <c r="J168" s="135">
        <f t="shared" si="15"/>
        <v>0</v>
      </c>
      <c r="K168" s="135">
        <f>E168-D168</f>
        <v>0</v>
      </c>
      <c r="L168" s="105">
        <f>IF(D168=0,0,K168/D168)</f>
        <v>0</v>
      </c>
      <c r="M168" s="505" t="s">
        <v>464</v>
      </c>
      <c r="N168" s="506"/>
      <c r="O168" s="506"/>
      <c r="P168" s="506"/>
      <c r="Q168" s="507"/>
      <c r="R168" s="507"/>
      <c r="S168" s="507"/>
      <c r="T168" s="507"/>
      <c r="U168" s="507"/>
      <c r="V168" s="507"/>
      <c r="W168" s="507"/>
      <c r="X168" s="507"/>
      <c r="Y168" s="507"/>
      <c r="Z168" s="507"/>
      <c r="AA168" s="507"/>
      <c r="AB168" s="507"/>
      <c r="AC168" s="507">
        <f>SUM(AC169)</f>
        <v>0</v>
      </c>
      <c r="AD168" s="143" t="s">
        <v>25</v>
      </c>
    </row>
    <row r="169" spans="1:31" ht="21" customHeight="1">
      <c r="A169" s="229"/>
      <c r="B169" s="345" t="s">
        <v>464</v>
      </c>
      <c r="C169" s="345" t="s">
        <v>464</v>
      </c>
      <c r="D169" s="133">
        <v>0</v>
      </c>
      <c r="E169" s="133">
        <f>AC169/1000</f>
        <v>0</v>
      </c>
      <c r="F169" s="133">
        <f>SUM(AC170)/1000</f>
        <v>0</v>
      </c>
      <c r="G169" s="133">
        <f>AC171/1000</f>
        <v>0</v>
      </c>
      <c r="H169" s="133">
        <v>0</v>
      </c>
      <c r="I169" s="133">
        <v>0</v>
      </c>
      <c r="J169" s="133">
        <v>0</v>
      </c>
      <c r="K169" s="133">
        <f>E169-D169</f>
        <v>0</v>
      </c>
      <c r="L169" s="87">
        <f>IF(D169=0,0,K169/D169)</f>
        <v>0</v>
      </c>
      <c r="M169" s="140" t="s">
        <v>465</v>
      </c>
      <c r="N169" s="221"/>
      <c r="O169" s="221"/>
      <c r="P169" s="221"/>
      <c r="Q169" s="221"/>
      <c r="R169" s="221"/>
      <c r="S169" s="220"/>
      <c r="T169" s="220"/>
      <c r="U169" s="220"/>
      <c r="V169" s="220"/>
      <c r="W169" s="220"/>
      <c r="X169" s="500" t="s">
        <v>466</v>
      </c>
      <c r="Y169" s="124"/>
      <c r="Z169" s="124"/>
      <c r="AA169" s="124"/>
      <c r="AB169" s="142"/>
      <c r="AC169" s="142">
        <f>SUM(AC170:AC171)</f>
        <v>0</v>
      </c>
      <c r="AD169" s="143" t="s">
        <v>25</v>
      </c>
    </row>
    <row r="170" spans="1:31" ht="21" customHeight="1">
      <c r="A170" s="51"/>
      <c r="B170" s="345"/>
      <c r="C170" s="345"/>
      <c r="D170" s="133"/>
      <c r="E170" s="133"/>
      <c r="F170" s="133"/>
      <c r="G170" s="133"/>
      <c r="H170" s="133"/>
      <c r="I170" s="133"/>
      <c r="J170" s="133"/>
      <c r="K170" s="133"/>
      <c r="L170" s="87"/>
      <c r="M170" s="502"/>
      <c r="N170" s="502"/>
      <c r="O170" s="502"/>
      <c r="P170" s="502"/>
      <c r="Q170" s="501"/>
      <c r="R170" s="501"/>
      <c r="S170" s="501"/>
      <c r="T170" s="501"/>
      <c r="U170" s="501"/>
      <c r="V170" s="501"/>
      <c r="W170" s="501"/>
      <c r="X170" s="501"/>
      <c r="Y170" s="501"/>
      <c r="Z170" s="501"/>
      <c r="AA170" s="501"/>
      <c r="AB170" s="501"/>
      <c r="AC170" s="501">
        <v>0</v>
      </c>
      <c r="AD170" s="64" t="s">
        <v>25</v>
      </c>
    </row>
    <row r="171" spans="1:31" ht="21" customHeight="1">
      <c r="A171" s="508"/>
      <c r="B171" s="509"/>
      <c r="C171" s="509"/>
      <c r="D171" s="510"/>
      <c r="E171" s="510"/>
      <c r="F171" s="510"/>
      <c r="G171" s="510"/>
      <c r="H171" s="510"/>
      <c r="I171" s="510"/>
      <c r="J171" s="510"/>
      <c r="K171" s="510"/>
      <c r="L171" s="511"/>
      <c r="M171" s="512"/>
      <c r="N171" s="513"/>
      <c r="O171" s="513"/>
      <c r="P171" s="513"/>
      <c r="Q171" s="514"/>
      <c r="R171" s="514"/>
      <c r="S171" s="514"/>
      <c r="T171" s="514"/>
      <c r="U171" s="514"/>
      <c r="V171" s="514"/>
      <c r="W171" s="514"/>
      <c r="X171" s="514"/>
      <c r="Y171" s="514"/>
      <c r="Z171" s="514"/>
      <c r="AA171" s="514"/>
      <c r="AB171" s="514"/>
      <c r="AC171" s="514">
        <v>0</v>
      </c>
      <c r="AD171" s="515" t="s">
        <v>467</v>
      </c>
    </row>
    <row r="172" spans="1:31" ht="21" customHeight="1">
      <c r="A172" s="229" t="s">
        <v>468</v>
      </c>
      <c r="B172" s="585" t="s">
        <v>21</v>
      </c>
      <c r="C172" s="586"/>
      <c r="D172" s="135">
        <v>0</v>
      </c>
      <c r="E172" s="135">
        <f>SUM(E173)</f>
        <v>8</v>
      </c>
      <c r="F172" s="135">
        <f t="shared" ref="F172:J172" si="16">SUM(F173)</f>
        <v>8</v>
      </c>
      <c r="G172" s="135">
        <f t="shared" si="16"/>
        <v>0</v>
      </c>
      <c r="H172" s="135">
        <f t="shared" si="16"/>
        <v>0</v>
      </c>
      <c r="I172" s="135">
        <v>0</v>
      </c>
      <c r="J172" s="135">
        <f t="shared" si="16"/>
        <v>0</v>
      </c>
      <c r="K172" s="135">
        <f>E172-D172</f>
        <v>8</v>
      </c>
      <c r="L172" s="105">
        <f>IF(D172=0,0,K172/D172)</f>
        <v>0</v>
      </c>
      <c r="M172" s="505" t="s">
        <v>468</v>
      </c>
      <c r="N172" s="506"/>
      <c r="O172" s="506"/>
      <c r="P172" s="506"/>
      <c r="Q172" s="507"/>
      <c r="R172" s="507"/>
      <c r="S172" s="507"/>
      <c r="T172" s="507"/>
      <c r="U172" s="507"/>
      <c r="V172" s="507"/>
      <c r="W172" s="507"/>
      <c r="X172" s="507"/>
      <c r="Y172" s="507"/>
      <c r="Z172" s="507"/>
      <c r="AA172" s="507"/>
      <c r="AB172" s="507"/>
      <c r="AC172" s="507">
        <f>SUM(AC173)</f>
        <v>8000</v>
      </c>
      <c r="AD172" s="143" t="s">
        <v>25</v>
      </c>
    </row>
    <row r="173" spans="1:31" ht="21" customHeight="1">
      <c r="A173" s="229"/>
      <c r="B173" s="345" t="s">
        <v>468</v>
      </c>
      <c r="C173" s="345" t="s">
        <v>468</v>
      </c>
      <c r="D173" s="133">
        <v>0</v>
      </c>
      <c r="E173" s="133">
        <f>AC173/1000</f>
        <v>8</v>
      </c>
      <c r="F173" s="133">
        <f>SUM(AC172)/1000</f>
        <v>8</v>
      </c>
      <c r="G173" s="133"/>
      <c r="H173" s="133">
        <v>0</v>
      </c>
      <c r="I173" s="133">
        <v>0</v>
      </c>
      <c r="J173" s="133">
        <v>0</v>
      </c>
      <c r="K173" s="133">
        <f>E173-D173</f>
        <v>8</v>
      </c>
      <c r="L173" s="87">
        <f>IF(D173=0,0,K173/D173)</f>
        <v>0</v>
      </c>
      <c r="M173" s="140" t="s">
        <v>469</v>
      </c>
      <c r="N173" s="221"/>
      <c r="O173" s="221"/>
      <c r="P173" s="221"/>
      <c r="Q173" s="221"/>
      <c r="R173" s="221"/>
      <c r="S173" s="220"/>
      <c r="T173" s="220"/>
      <c r="U173" s="220"/>
      <c r="V173" s="220"/>
      <c r="W173" s="220"/>
      <c r="X173" s="500" t="s">
        <v>466</v>
      </c>
      <c r="Y173" s="124"/>
      <c r="Z173" s="124"/>
      <c r="AA173" s="124"/>
      <c r="AB173" s="142"/>
      <c r="AC173" s="142">
        <f>SUM(AC174:AC175)</f>
        <v>8000</v>
      </c>
      <c r="AD173" s="143" t="s">
        <v>25</v>
      </c>
    </row>
    <row r="174" spans="1:31" ht="21" customHeight="1">
      <c r="A174" s="51"/>
      <c r="B174" s="345"/>
      <c r="C174" s="345"/>
      <c r="D174" s="133"/>
      <c r="E174" s="133"/>
      <c r="F174" s="133"/>
      <c r="G174" s="133"/>
      <c r="H174" s="133"/>
      <c r="I174" s="133"/>
      <c r="J174" s="133"/>
      <c r="K174" s="133"/>
      <c r="L174" s="87"/>
      <c r="M174" s="502" t="s">
        <v>470</v>
      </c>
      <c r="N174" s="502"/>
      <c r="O174" s="502"/>
      <c r="P174" s="502"/>
      <c r="Q174" s="501"/>
      <c r="R174" s="501"/>
      <c r="S174" s="501"/>
      <c r="T174" s="501"/>
      <c r="U174" s="501"/>
      <c r="V174" s="501"/>
      <c r="W174" s="501"/>
      <c r="X174" s="501"/>
      <c r="Y174" s="501"/>
      <c r="Z174" s="501"/>
      <c r="AA174" s="501"/>
      <c r="AB174" s="501"/>
      <c r="AC174" s="501">
        <v>8000</v>
      </c>
      <c r="AD174" s="64" t="s">
        <v>25</v>
      </c>
    </row>
    <row r="175" spans="1:31" ht="21" customHeight="1" thickBot="1">
      <c r="A175" s="516"/>
      <c r="B175" s="287"/>
      <c r="C175" s="287"/>
      <c r="D175" s="288"/>
      <c r="E175" s="288"/>
      <c r="F175" s="288"/>
      <c r="G175" s="288"/>
      <c r="H175" s="288"/>
      <c r="I175" s="288"/>
      <c r="J175" s="288"/>
      <c r="K175" s="288"/>
      <c r="L175" s="289"/>
      <c r="M175" s="333"/>
      <c r="N175" s="334"/>
      <c r="O175" s="334"/>
      <c r="P175" s="334"/>
      <c r="Q175" s="335"/>
      <c r="R175" s="335"/>
      <c r="S175" s="335"/>
      <c r="T175" s="335"/>
      <c r="U175" s="335"/>
      <c r="V175" s="335"/>
      <c r="W175" s="335"/>
      <c r="X175" s="335"/>
      <c r="Y175" s="335"/>
      <c r="Z175" s="335"/>
      <c r="AA175" s="335"/>
      <c r="AB175" s="335"/>
      <c r="AC175" s="335"/>
      <c r="AD175" s="336" t="s">
        <v>467</v>
      </c>
    </row>
  </sheetData>
  <mergeCells count="16">
    <mergeCell ref="B172:C172"/>
    <mergeCell ref="A1:C1"/>
    <mergeCell ref="B5:C5"/>
    <mergeCell ref="A4:C4"/>
    <mergeCell ref="K2:L2"/>
    <mergeCell ref="A2:C2"/>
    <mergeCell ref="D2:D3"/>
    <mergeCell ref="E2:J2"/>
    <mergeCell ref="B91:C91"/>
    <mergeCell ref="B168:C168"/>
    <mergeCell ref="U86:V86"/>
    <mergeCell ref="U58:V58"/>
    <mergeCell ref="U63:V63"/>
    <mergeCell ref="M2:AD3"/>
    <mergeCell ref="B164:C164"/>
    <mergeCell ref="B105:C105"/>
  </mergeCells>
  <phoneticPr fontId="5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differentOddEven="1" differentFirst="1">
    <oddFooter>&amp;R장애인공동생활가정 마르따의 집</oddFooter>
    <evenFooter>&amp;R장애인공동생활가정 마르따의 집</evenFooter>
    <firstFooter>&amp;R장애인공동생활가정 마르따의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10"/>
  <sheetViews>
    <sheetView topLeftCell="A7" workbookViewId="0">
      <selection activeCell="D17" sqref="D17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595" t="s">
        <v>462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</row>
    <row r="2" spans="1:14" ht="34.5" customHeight="1">
      <c r="A2" s="596" t="s">
        <v>380</v>
      </c>
      <c r="B2" s="597"/>
      <c r="C2" s="598"/>
      <c r="D2" s="599" t="s">
        <v>381</v>
      </c>
      <c r="E2" s="598"/>
      <c r="F2" s="600" t="s">
        <v>382</v>
      </c>
      <c r="G2" s="602" t="s">
        <v>383</v>
      </c>
      <c r="H2" s="603"/>
      <c r="I2" s="603"/>
      <c r="J2" s="603"/>
      <c r="K2" s="606" t="s">
        <v>384</v>
      </c>
      <c r="L2" s="408"/>
      <c r="M2" s="408"/>
      <c r="N2" s="408"/>
    </row>
    <row r="3" spans="1:14" ht="35.25" customHeight="1" thickBot="1">
      <c r="A3" s="409" t="s">
        <v>385</v>
      </c>
      <c r="B3" s="410" t="s">
        <v>386</v>
      </c>
      <c r="C3" s="411" t="s">
        <v>387</v>
      </c>
      <c r="D3" s="412" t="s">
        <v>378</v>
      </c>
      <c r="E3" s="412" t="s">
        <v>457</v>
      </c>
      <c r="F3" s="601"/>
      <c r="G3" s="604"/>
      <c r="H3" s="605"/>
      <c r="I3" s="605"/>
      <c r="J3" s="605"/>
      <c r="K3" s="607"/>
      <c r="L3" s="408"/>
      <c r="M3" s="408"/>
      <c r="N3" s="408"/>
    </row>
    <row r="4" spans="1:14" ht="36.75" customHeight="1" thickBot="1">
      <c r="A4" s="592" t="s">
        <v>388</v>
      </c>
      <c r="B4" s="593"/>
      <c r="C4" s="594"/>
      <c r="D4" s="413">
        <f>SUM(D5:D18)</f>
        <v>65679746</v>
      </c>
      <c r="E4" s="414">
        <f>SUM(E5:E18)</f>
        <v>64668126</v>
      </c>
      <c r="F4" s="415">
        <f t="shared" ref="F4:F18" si="0">E4-D4</f>
        <v>-1011620</v>
      </c>
      <c r="G4" s="416"/>
      <c r="H4" s="416"/>
      <c r="I4" s="416"/>
      <c r="J4" s="416"/>
      <c r="K4" s="417"/>
      <c r="L4" s="408"/>
      <c r="M4" s="408"/>
      <c r="N4" s="408"/>
    </row>
    <row r="5" spans="1:14" ht="46.5" customHeight="1" thickBot="1">
      <c r="A5" s="418" t="s">
        <v>389</v>
      </c>
      <c r="B5" s="419" t="s">
        <v>389</v>
      </c>
      <c r="C5" s="420" t="s">
        <v>389</v>
      </c>
      <c r="D5" s="421">
        <v>7200000</v>
      </c>
      <c r="E5" s="422">
        <v>7200000</v>
      </c>
      <c r="F5" s="423">
        <f t="shared" si="0"/>
        <v>0</v>
      </c>
      <c r="G5" s="424">
        <v>250000</v>
      </c>
      <c r="H5" s="425">
        <v>25</v>
      </c>
      <c r="I5" s="426">
        <v>12</v>
      </c>
      <c r="J5" s="427">
        <f>G5*H5*I5</f>
        <v>75000000</v>
      </c>
      <c r="K5" s="428" t="s">
        <v>455</v>
      </c>
    </row>
    <row r="6" spans="1:14" ht="46.5" customHeight="1">
      <c r="A6" s="479" t="s">
        <v>440</v>
      </c>
      <c r="B6" s="443" t="s">
        <v>391</v>
      </c>
      <c r="C6" s="444" t="s">
        <v>441</v>
      </c>
      <c r="D6" s="445">
        <v>48125000</v>
      </c>
      <c r="E6" s="446">
        <f>세입!AB10</f>
        <v>48130000</v>
      </c>
      <c r="F6" s="447">
        <f t="shared" si="0"/>
        <v>5000</v>
      </c>
      <c r="G6" s="319"/>
      <c r="H6" s="319"/>
      <c r="I6" s="319"/>
      <c r="J6" s="319"/>
      <c r="K6" s="448" t="s">
        <v>474</v>
      </c>
    </row>
    <row r="7" spans="1:14" ht="55.5" customHeight="1">
      <c r="A7" s="442"/>
      <c r="B7" s="449"/>
      <c r="C7" s="450" t="s">
        <v>442</v>
      </c>
      <c r="D7" s="445">
        <v>1200000</v>
      </c>
      <c r="E7" s="446">
        <f>세입!AB12</f>
        <v>1200000</v>
      </c>
      <c r="F7" s="447">
        <f t="shared" si="0"/>
        <v>0</v>
      </c>
      <c r="G7" s="319"/>
      <c r="H7" s="319"/>
      <c r="I7" s="319"/>
      <c r="J7" s="319"/>
      <c r="K7" s="499" t="s">
        <v>446</v>
      </c>
    </row>
    <row r="8" spans="1:14" ht="46.5" customHeight="1">
      <c r="A8" s="442"/>
      <c r="B8" s="449"/>
      <c r="C8" s="450" t="s">
        <v>443</v>
      </c>
      <c r="D8" s="445">
        <v>2000000</v>
      </c>
      <c r="E8" s="446">
        <f>세입!AB11</f>
        <v>799380</v>
      </c>
      <c r="F8" s="447">
        <f t="shared" si="0"/>
        <v>-1200620</v>
      </c>
      <c r="G8" s="319"/>
      <c r="H8" s="319"/>
      <c r="I8" s="319"/>
      <c r="J8" s="319"/>
      <c r="K8" s="441" t="s">
        <v>475</v>
      </c>
    </row>
    <row r="9" spans="1:14" ht="46.5" customHeight="1" thickBot="1">
      <c r="A9" s="442"/>
      <c r="B9" s="451" t="s">
        <v>393</v>
      </c>
      <c r="C9" s="450" t="s">
        <v>444</v>
      </c>
      <c r="D9" s="445">
        <v>0</v>
      </c>
      <c r="E9" s="446">
        <v>0</v>
      </c>
      <c r="F9" s="447">
        <f t="shared" si="0"/>
        <v>0</v>
      </c>
      <c r="G9" s="319"/>
      <c r="H9" s="319"/>
      <c r="I9" s="319"/>
      <c r="J9" s="319"/>
      <c r="K9" s="448" t="s">
        <v>447</v>
      </c>
    </row>
    <row r="10" spans="1:14" ht="55.5" customHeight="1">
      <c r="A10" s="457" t="s">
        <v>394</v>
      </c>
      <c r="B10" s="458" t="s">
        <v>394</v>
      </c>
      <c r="C10" s="459" t="s">
        <v>395</v>
      </c>
      <c r="D10" s="431">
        <v>0</v>
      </c>
      <c r="E10" s="460">
        <v>0</v>
      </c>
      <c r="F10" s="461">
        <f t="shared" si="0"/>
        <v>0</v>
      </c>
      <c r="G10" s="462"/>
      <c r="H10" s="462"/>
      <c r="I10" s="462"/>
      <c r="J10" s="462"/>
      <c r="K10" s="435" t="s">
        <v>446</v>
      </c>
    </row>
    <row r="11" spans="1:14" ht="35.25" customHeight="1" thickBot="1">
      <c r="A11" s="452"/>
      <c r="B11" s="463"/>
      <c r="C11" s="453" t="s">
        <v>396</v>
      </c>
      <c r="D11" s="454">
        <v>300000</v>
      </c>
      <c r="E11" s="464">
        <f>세입!AB19</f>
        <v>480000</v>
      </c>
      <c r="F11" s="456">
        <f t="shared" si="0"/>
        <v>180000</v>
      </c>
      <c r="G11" s="465"/>
      <c r="H11" s="465"/>
      <c r="I11" s="465"/>
      <c r="J11" s="465"/>
      <c r="K11" s="466" t="s">
        <v>476</v>
      </c>
    </row>
    <row r="12" spans="1:14" ht="57" customHeight="1" thickBot="1">
      <c r="A12" s="467" t="s">
        <v>397</v>
      </c>
      <c r="B12" s="419" t="s">
        <v>398</v>
      </c>
      <c r="C12" s="420" t="s">
        <v>399</v>
      </c>
      <c r="D12" s="421"/>
      <c r="E12" s="468">
        <v>0</v>
      </c>
      <c r="F12" s="423">
        <f t="shared" si="0"/>
        <v>0</v>
      </c>
      <c r="G12" s="469"/>
      <c r="H12" s="469"/>
      <c r="I12" s="469"/>
      <c r="J12" s="469"/>
      <c r="K12" s="428" t="s">
        <v>447</v>
      </c>
    </row>
    <row r="13" spans="1:14" ht="40.5" customHeight="1" thickBot="1">
      <c r="A13" s="470" t="s">
        <v>400</v>
      </c>
      <c r="B13" s="471" t="s">
        <v>401</v>
      </c>
      <c r="C13" s="472" t="s">
        <v>402</v>
      </c>
      <c r="D13" s="438">
        <v>5722251</v>
      </c>
      <c r="E13" s="439">
        <f>세입!AB24</f>
        <v>5722251</v>
      </c>
      <c r="F13" s="440">
        <f t="shared" si="0"/>
        <v>0</v>
      </c>
      <c r="G13" s="319"/>
      <c r="H13" s="319"/>
      <c r="I13" s="319"/>
      <c r="J13" s="319"/>
      <c r="K13" s="435" t="s">
        <v>438</v>
      </c>
    </row>
    <row r="14" spans="1:14" ht="40.5" customHeight="1" thickBot="1">
      <c r="A14" s="442"/>
      <c r="B14" s="473"/>
      <c r="C14" s="450" t="s">
        <v>403</v>
      </c>
      <c r="D14" s="445">
        <v>16699</v>
      </c>
      <c r="E14" s="446">
        <f>세입!AB22+세입!AB23</f>
        <v>16699</v>
      </c>
      <c r="F14" s="447">
        <f t="shared" si="0"/>
        <v>0</v>
      </c>
      <c r="G14" s="319"/>
      <c r="H14" s="319"/>
      <c r="I14" s="319"/>
      <c r="J14" s="319"/>
      <c r="K14" s="435" t="s">
        <v>438</v>
      </c>
    </row>
    <row r="15" spans="1:14" ht="40.5" customHeight="1" thickBot="1">
      <c r="A15" s="442"/>
      <c r="B15" s="473"/>
      <c r="C15" s="450" t="s">
        <v>404</v>
      </c>
      <c r="D15" s="445">
        <v>363795</v>
      </c>
      <c r="E15" s="446">
        <f>세입!AB25</f>
        <v>363795</v>
      </c>
      <c r="F15" s="447">
        <f t="shared" si="0"/>
        <v>0</v>
      </c>
      <c r="G15" s="319"/>
      <c r="H15" s="319"/>
      <c r="I15" s="319"/>
      <c r="J15" s="319"/>
      <c r="K15" s="435" t="s">
        <v>438</v>
      </c>
    </row>
    <row r="16" spans="1:14" ht="40.5" customHeight="1" thickBot="1">
      <c r="A16" s="442"/>
      <c r="B16" s="475"/>
      <c r="C16" s="450" t="s">
        <v>405</v>
      </c>
      <c r="D16" s="445">
        <v>0</v>
      </c>
      <c r="E16" s="446">
        <v>0</v>
      </c>
      <c r="F16" s="447">
        <f t="shared" si="0"/>
        <v>0</v>
      </c>
      <c r="G16" s="319"/>
      <c r="H16" s="319"/>
      <c r="I16" s="319"/>
      <c r="J16" s="319"/>
      <c r="K16" s="435" t="s">
        <v>438</v>
      </c>
    </row>
    <row r="17" spans="1:11" ht="44.25" customHeight="1" thickBot="1">
      <c r="A17" s="452"/>
      <c r="B17" s="476" t="s">
        <v>406</v>
      </c>
      <c r="C17" s="453" t="s">
        <v>407</v>
      </c>
      <c r="D17" s="454">
        <v>720001</v>
      </c>
      <c r="E17" s="455">
        <f>세입!AB26</f>
        <v>720001</v>
      </c>
      <c r="F17" s="456">
        <f t="shared" si="0"/>
        <v>0</v>
      </c>
      <c r="G17" s="320"/>
      <c r="H17" s="320"/>
      <c r="I17" s="320"/>
      <c r="J17" s="320"/>
      <c r="K17" s="435" t="s">
        <v>438</v>
      </c>
    </row>
    <row r="18" spans="1:11" ht="46.5" customHeight="1" thickBot="1">
      <c r="A18" s="418" t="s">
        <v>408</v>
      </c>
      <c r="B18" s="419" t="s">
        <v>408</v>
      </c>
      <c r="C18" s="420" t="s">
        <v>408</v>
      </c>
      <c r="D18" s="421">
        <v>32000</v>
      </c>
      <c r="E18" s="422">
        <f>세입!AB27</f>
        <v>36000</v>
      </c>
      <c r="F18" s="423">
        <f t="shared" si="0"/>
        <v>4000</v>
      </c>
      <c r="G18" s="424">
        <v>250000</v>
      </c>
      <c r="H18" s="425">
        <v>25</v>
      </c>
      <c r="I18" s="426">
        <v>12</v>
      </c>
      <c r="J18" s="427">
        <f>G18*H18*I18</f>
        <v>75000000</v>
      </c>
      <c r="K18" s="428" t="s">
        <v>453</v>
      </c>
    </row>
    <row r="19" spans="1:11" ht="46.5" customHeight="1">
      <c r="D19" s="477"/>
      <c r="E19" s="477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1"/>
  <sheetViews>
    <sheetView topLeftCell="A7" workbookViewId="0">
      <selection activeCell="K23" sqref="K23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595" t="s">
        <v>463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</row>
    <row r="2" spans="1:14" ht="46.5" customHeight="1">
      <c r="A2" s="596" t="s">
        <v>380</v>
      </c>
      <c r="B2" s="597"/>
      <c r="C2" s="598"/>
      <c r="D2" s="599" t="s">
        <v>439</v>
      </c>
      <c r="E2" s="598"/>
      <c r="F2" s="600" t="s">
        <v>382</v>
      </c>
      <c r="G2" s="602" t="s">
        <v>383</v>
      </c>
      <c r="H2" s="603"/>
      <c r="I2" s="603"/>
      <c r="J2" s="603"/>
      <c r="K2" s="606" t="s">
        <v>384</v>
      </c>
      <c r="L2" s="408"/>
      <c r="M2" s="408"/>
      <c r="N2" s="408"/>
    </row>
    <row r="3" spans="1:14" ht="46.5" customHeight="1" thickBot="1">
      <c r="A3" s="409" t="s">
        <v>385</v>
      </c>
      <c r="B3" s="410" t="s">
        <v>386</v>
      </c>
      <c r="C3" s="411" t="s">
        <v>387</v>
      </c>
      <c r="D3" s="412" t="s">
        <v>378</v>
      </c>
      <c r="E3" s="412" t="s">
        <v>457</v>
      </c>
      <c r="F3" s="601"/>
      <c r="G3" s="604"/>
      <c r="H3" s="605"/>
      <c r="I3" s="605"/>
      <c r="J3" s="605"/>
      <c r="K3" s="607"/>
      <c r="L3" s="408"/>
      <c r="M3" s="408"/>
      <c r="N3" s="408"/>
    </row>
    <row r="4" spans="1:14" ht="46.5" customHeight="1" thickBot="1">
      <c r="A4" s="592" t="s">
        <v>388</v>
      </c>
      <c r="B4" s="593"/>
      <c r="C4" s="594"/>
      <c r="D4" s="413">
        <f>SUM(D5:D29)</f>
        <v>65679746</v>
      </c>
      <c r="E4" s="413">
        <f>SUM(E5:E29)</f>
        <v>64668126</v>
      </c>
      <c r="F4" s="415">
        <f t="shared" ref="F4:F29" si="0">E4-D4</f>
        <v>-1011620</v>
      </c>
      <c r="G4" s="416"/>
      <c r="H4" s="416"/>
      <c r="I4" s="416"/>
      <c r="J4" s="416"/>
      <c r="K4" s="519"/>
      <c r="L4" s="408"/>
      <c r="M4" s="408"/>
      <c r="N4" s="408"/>
    </row>
    <row r="5" spans="1:14" ht="50.1" customHeight="1">
      <c r="A5" s="478" t="s">
        <v>409</v>
      </c>
      <c r="B5" s="429" t="s">
        <v>410</v>
      </c>
      <c r="C5" s="430" t="s">
        <v>411</v>
      </c>
      <c r="D5" s="431">
        <v>21888000</v>
      </c>
      <c r="E5" s="432">
        <f>세출!AC7</f>
        <v>21888000</v>
      </c>
      <c r="F5" s="461">
        <f t="shared" si="0"/>
        <v>0</v>
      </c>
      <c r="G5" s="434"/>
      <c r="H5" s="434"/>
      <c r="I5" s="434"/>
      <c r="J5" s="434"/>
      <c r="K5" s="441" t="s">
        <v>438</v>
      </c>
    </row>
    <row r="6" spans="1:14" ht="50.1" customHeight="1">
      <c r="A6" s="479"/>
      <c r="B6" s="471"/>
      <c r="C6" s="437" t="s">
        <v>412</v>
      </c>
      <c r="D6" s="438">
        <v>0</v>
      </c>
      <c r="E6" s="439">
        <v>0</v>
      </c>
      <c r="F6" s="447">
        <v>0</v>
      </c>
      <c r="G6" s="319"/>
      <c r="H6" s="319"/>
      <c r="I6" s="319"/>
      <c r="J6" s="319"/>
      <c r="K6" s="441" t="s">
        <v>446</v>
      </c>
    </row>
    <row r="7" spans="1:14" ht="50.1" customHeight="1">
      <c r="A7" s="442"/>
      <c r="B7" s="471"/>
      <c r="C7" s="444" t="s">
        <v>413</v>
      </c>
      <c r="D7" s="445">
        <v>7314300</v>
      </c>
      <c r="E7" s="446">
        <f>세출!AC11</f>
        <v>7314300</v>
      </c>
      <c r="F7" s="447">
        <f t="shared" si="0"/>
        <v>0</v>
      </c>
      <c r="G7" s="319"/>
      <c r="H7" s="319"/>
      <c r="I7" s="319"/>
      <c r="J7" s="319"/>
      <c r="K7" s="441" t="s">
        <v>438</v>
      </c>
    </row>
    <row r="8" spans="1:14" ht="50.1" customHeight="1">
      <c r="A8" s="442"/>
      <c r="B8" s="473"/>
      <c r="C8" s="450" t="s">
        <v>414</v>
      </c>
      <c r="D8" s="445">
        <v>2433520</v>
      </c>
      <c r="E8" s="446">
        <f>세출!AC27</f>
        <v>2433520</v>
      </c>
      <c r="F8" s="447">
        <f t="shared" si="0"/>
        <v>0</v>
      </c>
      <c r="G8" s="319"/>
      <c r="H8" s="319"/>
      <c r="I8" s="319"/>
      <c r="J8" s="319"/>
      <c r="K8" s="441" t="s">
        <v>438</v>
      </c>
    </row>
    <row r="9" spans="1:14" ht="50.1" customHeight="1">
      <c r="A9" s="442"/>
      <c r="B9" s="473"/>
      <c r="C9" s="450" t="s">
        <v>415</v>
      </c>
      <c r="D9" s="445">
        <v>2748940</v>
      </c>
      <c r="E9" s="446">
        <f>세출!AC31</f>
        <v>2569220</v>
      </c>
      <c r="F9" s="447">
        <f t="shared" si="0"/>
        <v>-179720</v>
      </c>
      <c r="G9" s="319"/>
      <c r="H9" s="319"/>
      <c r="I9" s="319"/>
      <c r="J9" s="319"/>
      <c r="K9" s="448" t="s">
        <v>477</v>
      </c>
    </row>
    <row r="10" spans="1:14" ht="46.5" customHeight="1">
      <c r="A10" s="442"/>
      <c r="B10" s="451"/>
      <c r="C10" s="450" t="s">
        <v>416</v>
      </c>
      <c r="D10" s="445">
        <v>0</v>
      </c>
      <c r="E10" s="446">
        <f>세출!AC46</f>
        <v>0</v>
      </c>
      <c r="F10" s="447">
        <f t="shared" si="0"/>
        <v>0</v>
      </c>
      <c r="G10" s="319"/>
      <c r="H10" s="319"/>
      <c r="I10" s="319"/>
      <c r="J10" s="319"/>
      <c r="K10" s="448" t="s">
        <v>446</v>
      </c>
    </row>
    <row r="11" spans="1:14" ht="50.1" customHeight="1">
      <c r="A11" s="442"/>
      <c r="B11" s="480" t="s">
        <v>417</v>
      </c>
      <c r="C11" s="450" t="s">
        <v>418</v>
      </c>
      <c r="D11" s="445">
        <v>50000</v>
      </c>
      <c r="E11" s="446">
        <f>세출!AC50</f>
        <v>0</v>
      </c>
      <c r="F11" s="447">
        <f t="shared" si="0"/>
        <v>-50000</v>
      </c>
      <c r="G11" s="319"/>
      <c r="H11" s="319"/>
      <c r="I11" s="319"/>
      <c r="J11" s="319"/>
      <c r="K11" s="448" t="s">
        <v>478</v>
      </c>
    </row>
    <row r="12" spans="1:14" ht="50.1" customHeight="1">
      <c r="A12" s="442"/>
      <c r="B12" s="481"/>
      <c r="C12" s="482" t="s">
        <v>419</v>
      </c>
      <c r="D12" s="483">
        <v>60000</v>
      </c>
      <c r="E12" s="484">
        <f>세출!AC55</f>
        <v>40000</v>
      </c>
      <c r="F12" s="485">
        <f t="shared" si="0"/>
        <v>-20000</v>
      </c>
      <c r="G12" s="319"/>
      <c r="H12" s="319"/>
      <c r="I12" s="319"/>
      <c r="J12" s="319"/>
      <c r="K12" s="486" t="s">
        <v>479</v>
      </c>
    </row>
    <row r="13" spans="1:14" ht="50.1" customHeight="1">
      <c r="A13" s="442"/>
      <c r="B13" s="480" t="s">
        <v>420</v>
      </c>
      <c r="C13" s="482" t="s">
        <v>421</v>
      </c>
      <c r="D13" s="483">
        <v>60000</v>
      </c>
      <c r="E13" s="484">
        <f>세출!AC59</f>
        <v>22500</v>
      </c>
      <c r="F13" s="485">
        <f t="shared" si="0"/>
        <v>-37500</v>
      </c>
      <c r="G13" s="319"/>
      <c r="H13" s="319"/>
      <c r="I13" s="319"/>
      <c r="J13" s="319"/>
      <c r="K13" s="486" t="s">
        <v>480</v>
      </c>
    </row>
    <row r="14" spans="1:14" ht="50.1" customHeight="1">
      <c r="A14" s="442"/>
      <c r="B14" s="451"/>
      <c r="C14" s="482" t="s">
        <v>422</v>
      </c>
      <c r="D14" s="483">
        <v>2133000</v>
      </c>
      <c r="E14" s="484">
        <f>세출!AC62</f>
        <v>2396025</v>
      </c>
      <c r="F14" s="485">
        <f t="shared" si="0"/>
        <v>263025</v>
      </c>
      <c r="G14" s="319"/>
      <c r="H14" s="319"/>
      <c r="I14" s="319"/>
      <c r="J14" s="319"/>
      <c r="K14" s="486" t="s">
        <v>448</v>
      </c>
    </row>
    <row r="15" spans="1:14" ht="50.1" customHeight="1">
      <c r="A15" s="442"/>
      <c r="B15" s="451"/>
      <c r="C15" s="482" t="s">
        <v>423</v>
      </c>
      <c r="D15" s="483">
        <v>3720000</v>
      </c>
      <c r="E15" s="484">
        <f>세출!AC67</f>
        <v>3883975</v>
      </c>
      <c r="F15" s="485">
        <f t="shared" si="0"/>
        <v>163975</v>
      </c>
      <c r="G15" s="319"/>
      <c r="H15" s="319"/>
      <c r="I15" s="319"/>
      <c r="J15" s="319"/>
      <c r="K15" s="486" t="s">
        <v>488</v>
      </c>
    </row>
    <row r="16" spans="1:14" ht="50.1" customHeight="1">
      <c r="A16" s="442"/>
      <c r="B16" s="451"/>
      <c r="C16" s="482" t="s">
        <v>424</v>
      </c>
      <c r="D16" s="483">
        <v>602760</v>
      </c>
      <c r="E16" s="484">
        <f>세출!AC74</f>
        <v>365920</v>
      </c>
      <c r="F16" s="485">
        <f t="shared" si="0"/>
        <v>-236840</v>
      </c>
      <c r="G16" s="319"/>
      <c r="H16" s="319"/>
      <c r="I16" s="319"/>
      <c r="J16" s="319"/>
      <c r="K16" s="486" t="s">
        <v>481</v>
      </c>
    </row>
    <row r="17" spans="1:11" ht="50.1" customHeight="1">
      <c r="A17" s="442"/>
      <c r="B17" s="451"/>
      <c r="C17" s="482" t="s">
        <v>425</v>
      </c>
      <c r="D17" s="483">
        <v>320000</v>
      </c>
      <c r="E17" s="484">
        <f>세출!AC84</f>
        <v>0</v>
      </c>
      <c r="F17" s="485">
        <f t="shared" si="0"/>
        <v>-320000</v>
      </c>
      <c r="G17" s="319"/>
      <c r="H17" s="319"/>
      <c r="I17" s="319"/>
      <c r="J17" s="319"/>
      <c r="K17" s="486" t="s">
        <v>482</v>
      </c>
    </row>
    <row r="18" spans="1:11" ht="50.1" customHeight="1" thickBot="1">
      <c r="A18" s="452"/>
      <c r="B18" s="320"/>
      <c r="C18" s="453" t="s">
        <v>426</v>
      </c>
      <c r="D18" s="454">
        <v>250000</v>
      </c>
      <c r="E18" s="455">
        <f>세출!AC87</f>
        <v>100000</v>
      </c>
      <c r="F18" s="456">
        <f t="shared" si="0"/>
        <v>-150000</v>
      </c>
      <c r="G18" s="320"/>
      <c r="H18" s="320"/>
      <c r="I18" s="320"/>
      <c r="J18" s="320"/>
      <c r="K18" s="487" t="s">
        <v>483</v>
      </c>
    </row>
    <row r="19" spans="1:11" ht="48.75" customHeight="1">
      <c r="A19" s="478" t="s">
        <v>427</v>
      </c>
      <c r="B19" s="429" t="s">
        <v>428</v>
      </c>
      <c r="C19" s="459" t="s">
        <v>449</v>
      </c>
      <c r="D19" s="431">
        <v>0</v>
      </c>
      <c r="E19" s="460">
        <v>0</v>
      </c>
      <c r="F19" s="433">
        <f t="shared" si="0"/>
        <v>0</v>
      </c>
      <c r="G19" s="462"/>
      <c r="H19" s="462"/>
      <c r="I19" s="462"/>
      <c r="J19" s="462"/>
      <c r="K19" s="435" t="s">
        <v>438</v>
      </c>
    </row>
    <row r="20" spans="1:11" ht="48.75" customHeight="1">
      <c r="A20" s="436"/>
      <c r="B20" s="471"/>
      <c r="C20" s="450" t="s">
        <v>445</v>
      </c>
      <c r="D20" s="445">
        <v>1640000</v>
      </c>
      <c r="E20" s="497">
        <f>세출!AC97</f>
        <v>2059380</v>
      </c>
      <c r="F20" s="440">
        <f t="shared" si="0"/>
        <v>419380</v>
      </c>
      <c r="G20" s="498"/>
      <c r="H20" s="498"/>
      <c r="I20" s="498"/>
      <c r="J20" s="498"/>
      <c r="K20" s="448" t="s">
        <v>450</v>
      </c>
    </row>
    <row r="21" spans="1:11" ht="48.75" customHeight="1" thickBot="1">
      <c r="A21" s="496"/>
      <c r="B21" s="488"/>
      <c r="C21" s="489" t="s">
        <v>429</v>
      </c>
      <c r="D21" s="490">
        <v>2000000</v>
      </c>
      <c r="E21" s="491">
        <f>세출!AC102</f>
        <v>440000</v>
      </c>
      <c r="F21" s="492">
        <f t="shared" si="0"/>
        <v>-1560000</v>
      </c>
      <c r="G21" s="320"/>
      <c r="H21" s="320"/>
      <c r="I21" s="320"/>
      <c r="J21" s="320"/>
      <c r="K21" s="493" t="s">
        <v>484</v>
      </c>
    </row>
    <row r="22" spans="1:11" ht="46.5" customHeight="1">
      <c r="A22" s="457" t="s">
        <v>430</v>
      </c>
      <c r="B22" s="458" t="s">
        <v>390</v>
      </c>
      <c r="C22" s="459" t="s">
        <v>392</v>
      </c>
      <c r="D22" s="431">
        <v>12556527</v>
      </c>
      <c r="E22" s="432">
        <f>세출!AC107</f>
        <v>13055937</v>
      </c>
      <c r="F22" s="461">
        <f t="shared" si="0"/>
        <v>499410</v>
      </c>
      <c r="G22" s="434"/>
      <c r="H22" s="434"/>
      <c r="I22" s="434"/>
      <c r="J22" s="434"/>
      <c r="K22" s="435" t="s">
        <v>451</v>
      </c>
    </row>
    <row r="23" spans="1:11" ht="46.5" customHeight="1">
      <c r="A23" s="442"/>
      <c r="B23" s="473"/>
      <c r="C23" s="450" t="s">
        <v>431</v>
      </c>
      <c r="D23" s="445">
        <v>1100000</v>
      </c>
      <c r="E23" s="446">
        <f>세출!AC113</f>
        <v>1300000</v>
      </c>
      <c r="F23" s="447">
        <f t="shared" si="0"/>
        <v>200000</v>
      </c>
      <c r="G23" s="319"/>
      <c r="H23" s="319"/>
      <c r="I23" s="319"/>
      <c r="J23" s="319"/>
      <c r="K23" s="448" t="s">
        <v>452</v>
      </c>
    </row>
    <row r="24" spans="1:11" ht="46.5" customHeight="1">
      <c r="A24" s="442"/>
      <c r="B24" s="473"/>
      <c r="C24" s="450" t="s">
        <v>432</v>
      </c>
      <c r="D24" s="445">
        <v>800000</v>
      </c>
      <c r="E24" s="446">
        <f>세출!AC117</f>
        <v>800000</v>
      </c>
      <c r="F24" s="447">
        <f t="shared" si="0"/>
        <v>0</v>
      </c>
      <c r="G24" s="319"/>
      <c r="H24" s="319"/>
      <c r="I24" s="319"/>
      <c r="J24" s="319"/>
      <c r="K24" s="474" t="s">
        <v>446</v>
      </c>
    </row>
    <row r="25" spans="1:11" ht="62.25" customHeight="1">
      <c r="A25" s="442"/>
      <c r="B25" s="473"/>
      <c r="C25" s="450" t="s">
        <v>433</v>
      </c>
      <c r="D25" s="445">
        <v>460000</v>
      </c>
      <c r="E25" s="446">
        <f>세출!AC120</f>
        <v>460000</v>
      </c>
      <c r="F25" s="447">
        <f t="shared" si="0"/>
        <v>0</v>
      </c>
      <c r="G25" s="319"/>
      <c r="H25" s="319"/>
      <c r="I25" s="319"/>
      <c r="J25" s="319"/>
      <c r="K25" s="474" t="s">
        <v>438</v>
      </c>
    </row>
    <row r="26" spans="1:11" ht="46.5" customHeight="1">
      <c r="A26" s="442"/>
      <c r="B26" s="473"/>
      <c r="C26" s="450" t="s">
        <v>434</v>
      </c>
      <c r="D26" s="445">
        <v>220000</v>
      </c>
      <c r="E26" s="446">
        <f>세출!AC124</f>
        <v>208650</v>
      </c>
      <c r="F26" s="447">
        <f t="shared" si="0"/>
        <v>-11350</v>
      </c>
      <c r="G26" s="319"/>
      <c r="H26" s="319"/>
      <c r="I26" s="319"/>
      <c r="J26" s="319"/>
      <c r="K26" s="474" t="s">
        <v>487</v>
      </c>
    </row>
    <row r="27" spans="1:11" ht="78.75" customHeight="1" thickBot="1">
      <c r="A27" s="452"/>
      <c r="B27" s="476" t="s">
        <v>435</v>
      </c>
      <c r="C27" s="494" t="s">
        <v>435</v>
      </c>
      <c r="D27" s="454">
        <v>5306000</v>
      </c>
      <c r="E27" s="455">
        <f>세출!AC128</f>
        <v>5306000</v>
      </c>
      <c r="F27" s="456">
        <f t="shared" si="0"/>
        <v>0</v>
      </c>
      <c r="G27" s="320"/>
      <c r="H27" s="320"/>
      <c r="I27" s="320"/>
      <c r="J27" s="320"/>
      <c r="K27" s="487" t="s">
        <v>454</v>
      </c>
    </row>
    <row r="28" spans="1:11" ht="46.5" customHeight="1" thickBot="1">
      <c r="A28" s="418" t="s">
        <v>436</v>
      </c>
      <c r="B28" s="419" t="s">
        <v>436</v>
      </c>
      <c r="C28" s="420" t="s">
        <v>436</v>
      </c>
      <c r="D28" s="421">
        <v>16699</v>
      </c>
      <c r="E28" s="422">
        <f>세출!AC165</f>
        <v>16699</v>
      </c>
      <c r="F28" s="423">
        <f t="shared" si="0"/>
        <v>0</v>
      </c>
      <c r="G28" s="469"/>
      <c r="H28" s="469"/>
      <c r="I28" s="469"/>
      <c r="J28" s="469"/>
      <c r="K28" s="495" t="s">
        <v>438</v>
      </c>
    </row>
    <row r="29" spans="1:11" ht="46.5" customHeight="1" thickBot="1">
      <c r="A29" s="418" t="s">
        <v>437</v>
      </c>
      <c r="B29" s="419" t="s">
        <v>437</v>
      </c>
      <c r="C29" s="420" t="s">
        <v>437</v>
      </c>
      <c r="D29" s="421">
        <v>0</v>
      </c>
      <c r="E29" s="422">
        <f>세출!AC172</f>
        <v>8000</v>
      </c>
      <c r="F29" s="423">
        <f t="shared" si="0"/>
        <v>8000</v>
      </c>
      <c r="G29" s="469"/>
      <c r="H29" s="469"/>
      <c r="I29" s="469"/>
      <c r="J29" s="469"/>
      <c r="K29" s="495" t="s">
        <v>485</v>
      </c>
    </row>
    <row r="30" spans="1:11" ht="46.5" customHeight="1">
      <c r="D30" s="477"/>
      <c r="E30" s="477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5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Registered User</cp:lastModifiedBy>
  <cp:revision>65</cp:revision>
  <cp:lastPrinted>2015-12-01T00:11:10Z</cp:lastPrinted>
  <dcterms:created xsi:type="dcterms:W3CDTF">2003-12-18T04:11:57Z</dcterms:created>
  <dcterms:modified xsi:type="dcterms:W3CDTF">2015-12-01T00:37:07Z</dcterms:modified>
</cp:coreProperties>
</file>