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3870" yWindow="180" windowWidth="9540" windowHeight="11730" tabRatio="487"/>
  </bookViews>
  <sheets>
    <sheet name="세입세출총괄표" sheetId="16" r:id="rId1"/>
    <sheet name="세입" sheetId="4" r:id="rId2"/>
    <sheet name="세출" sheetId="5" r:id="rId3"/>
    <sheet name="증감사유" sheetId="17" r:id="rId4"/>
  </sheets>
  <definedNames>
    <definedName name="가계보조비" localSheetId="1">세입!#REF!</definedName>
    <definedName name="가계보조수당" localSheetId="1">세입!#REF!</definedName>
    <definedName name="가계보조수당" localSheetId="3">세입!#REF!</definedName>
    <definedName name="가계보조수당">세입!#REF!</definedName>
    <definedName name="가족수당" localSheetId="2">세출!$AD$27</definedName>
    <definedName name="가족수당1" localSheetId="1">세입!$AD$13</definedName>
    <definedName name="급식비" localSheetId="1">세입!#REF!</definedName>
    <definedName name="급식비1" localSheetId="3">세입!#REF!</definedName>
    <definedName name="급식비1">세입!#REF!</definedName>
    <definedName name="급여총액" localSheetId="1">세입!#REF!</definedName>
    <definedName name="급여총액" localSheetId="3">세입!#REF!</definedName>
    <definedName name="급여총액">세입!#REF!</definedName>
    <definedName name="기말수당" localSheetId="1">세입!#REF!</definedName>
    <definedName name="기본급" localSheetId="1">세입!$AD$51</definedName>
    <definedName name="기본급" localSheetId="2">세출!$AD$9</definedName>
    <definedName name="기본급" localSheetId="3">세입!#REF!</definedName>
    <definedName name="기본급">세입!#REF!</definedName>
    <definedName name="기본급1" localSheetId="1">세입!$AD$10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세출!$AD$23</definedName>
    <definedName name="명절휴가비1" localSheetId="1">세입!$AD$12</definedName>
    <definedName name="사회보험" localSheetId="3">세입!#REF!</definedName>
    <definedName name="사회보험">세입!#REF!</definedName>
    <definedName name="사회보험1" localSheetId="1">세입!$AD$17</definedName>
    <definedName name="사회보험부담금" localSheetId="1">세입!$AD$63</definedName>
    <definedName name="상여금" localSheetId="1">세입!#REF!</definedName>
    <definedName name="상여금" localSheetId="3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3">세입!#REF!</definedName>
    <definedName name="수정제수당총액">세입!#REF!</definedName>
    <definedName name="연장근로수당" localSheetId="2">세출!$AD$31</definedName>
    <definedName name="연장근로수당1" localSheetId="1">세입!$AD$14</definedName>
    <definedName name="운영비지원금" localSheetId="1">세입!$AD$70</definedName>
    <definedName name="운전조리급식비" localSheetId="1">세입!#REF!</definedName>
    <definedName name="인건비지원금" localSheetId="1">세입!$AD$49</definedName>
    <definedName name="입소자지원금" localSheetId="1">세입!$AD$41</definedName>
    <definedName name="정근수당" localSheetId="1">세입!#REF!</definedName>
    <definedName name="제수당" localSheetId="1">세입!$AD$53</definedName>
    <definedName name="제수당" localSheetId="3">세입!#REF!</definedName>
    <definedName name="제수당">세입!#REF!</definedName>
    <definedName name="제수당1" localSheetId="1">세입!$AD$11</definedName>
    <definedName name="제수당1" localSheetId="2">세출!#REF!</definedName>
    <definedName name="제수당총액" localSheetId="1">세입!#REF!</definedName>
    <definedName name="제수당총액" localSheetId="2">세출!$AD$85</definedName>
    <definedName name="직원급식비" localSheetId="3">세입!#REF!</definedName>
    <definedName name="직원급식비">세입!#REF!</definedName>
    <definedName name="직책보조비" localSheetId="1">세입!#REF!</definedName>
    <definedName name="퇴직금" localSheetId="3">세입!#REF!</definedName>
    <definedName name="퇴직금">세입!#REF!</definedName>
    <definedName name="퇴직금적립금" localSheetId="1">세입!$AD$60</definedName>
    <definedName name="퇴직적립금1" localSheetId="1">세입!$AD$15</definedName>
    <definedName name="특수근무수당" localSheetId="1">세입!$AD$58</definedName>
    <definedName name="특수근무수당" localSheetId="3">세입!#REF!</definedName>
    <definedName name="특수근무수당">세입!#REF!</definedName>
    <definedName name="특수근무수당1" localSheetId="1">세입!#REF!</definedName>
    <definedName name="특수근무수당1" localSheetId="3">세입!#REF!</definedName>
    <definedName name="특수근무수당1">세입!#REF!</definedName>
    <definedName name="특수근무수당2" localSheetId="1">세입!#REF!</definedName>
    <definedName name="특수근무수당2" localSheetId="3">세입!#REF!</definedName>
    <definedName name="특수근무수당2">세입!#REF!</definedName>
    <definedName name="특수근무수당3" localSheetId="1">세입!#REF!</definedName>
    <definedName name="특수근무수당3" localSheetId="3">세입!#REF!</definedName>
    <definedName name="특수근무수당3">세입!#REF!</definedName>
    <definedName name="프로그램지원금" localSheetId="1">세입!$AD$77</definedName>
    <definedName name="_xlnm.Print_Area" localSheetId="1">세입!$A$1:$AE$171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K22" i="17"/>
  <c r="K21"/>
  <c r="K20"/>
  <c r="K19"/>
  <c r="K18"/>
  <c r="K17"/>
  <c r="K16"/>
  <c r="F16"/>
  <c r="K15"/>
  <c r="F15"/>
  <c r="K14"/>
  <c r="F14"/>
  <c r="K13"/>
  <c r="F13"/>
  <c r="K12"/>
  <c r="F12"/>
  <c r="K11"/>
  <c r="F11"/>
  <c r="K10"/>
  <c r="F10"/>
  <c r="K9"/>
  <c r="F9"/>
  <c r="K8"/>
  <c r="F8"/>
  <c r="K7"/>
  <c r="J7"/>
  <c r="I7"/>
  <c r="F7"/>
  <c r="E7"/>
  <c r="D7"/>
  <c r="AD137" i="4"/>
  <c r="AD306" i="5"/>
  <c r="AD53"/>
  <c r="AD52" s="1"/>
  <c r="AD208"/>
  <c r="AD207"/>
  <c r="AD201"/>
  <c r="AD204"/>
  <c r="I7" i="16"/>
  <c r="D7"/>
  <c r="E227" i="5"/>
  <c r="E222"/>
  <c r="E56"/>
  <c r="AD239"/>
  <c r="AD273"/>
  <c r="AD70"/>
  <c r="AD60"/>
  <c r="AD46"/>
  <c r="AD23"/>
  <c r="D199"/>
  <c r="D198"/>
  <c r="D178"/>
  <c r="D110"/>
  <c r="D100"/>
  <c r="D6"/>
  <c r="D5" s="1"/>
  <c r="D4" s="1"/>
  <c r="AD80"/>
  <c r="S80"/>
  <c r="S75"/>
  <c r="S71"/>
  <c r="S70"/>
  <c r="S69"/>
  <c r="S65"/>
  <c r="S60"/>
  <c r="AD48"/>
  <c r="AD42" i="4"/>
  <c r="S59" i="5" l="1"/>
  <c r="S64" s="1"/>
  <c r="S74" s="1"/>
  <c r="S79" s="1"/>
  <c r="AD245"/>
  <c r="AD135" i="4"/>
  <c r="K22" i="16"/>
  <c r="K9"/>
  <c r="K10"/>
  <c r="K11"/>
  <c r="K12"/>
  <c r="K13"/>
  <c r="K14"/>
  <c r="K15"/>
  <c r="K16"/>
  <c r="K17"/>
  <c r="K18"/>
  <c r="K19"/>
  <c r="K20"/>
  <c r="K21"/>
  <c r="K8"/>
  <c r="F9"/>
  <c r="F10"/>
  <c r="F11"/>
  <c r="F12"/>
  <c r="F13"/>
  <c r="F14"/>
  <c r="F15"/>
  <c r="F16"/>
  <c r="F8"/>
  <c r="I200" i="5"/>
  <c r="F320"/>
  <c r="G320"/>
  <c r="H320"/>
  <c r="I320"/>
  <c r="J320"/>
  <c r="K320"/>
  <c r="L320"/>
  <c r="AD321"/>
  <c r="F316"/>
  <c r="G316"/>
  <c r="H316"/>
  <c r="I316"/>
  <c r="J316"/>
  <c r="K316"/>
  <c r="L316"/>
  <c r="AD317"/>
  <c r="I305"/>
  <c r="J305"/>
  <c r="K305"/>
  <c r="L305"/>
  <c r="H305"/>
  <c r="G305"/>
  <c r="F305"/>
  <c r="AD86" i="4"/>
  <c r="F110" i="5"/>
  <c r="G110"/>
  <c r="H110"/>
  <c r="I110"/>
  <c r="J110"/>
  <c r="L110"/>
  <c r="G238"/>
  <c r="H238"/>
  <c r="I238"/>
  <c r="J238"/>
  <c r="K238"/>
  <c r="L238"/>
  <c r="G199"/>
  <c r="I199"/>
  <c r="K199"/>
  <c r="AD236"/>
  <c r="AD235"/>
  <c r="AD234"/>
  <c r="AD224"/>
  <c r="AD223"/>
  <c r="AD214"/>
  <c r="AD211"/>
  <c r="J200"/>
  <c r="AD194"/>
  <c r="AD193"/>
  <c r="F178"/>
  <c r="F177" s="1"/>
  <c r="G178"/>
  <c r="G177" s="1"/>
  <c r="H178"/>
  <c r="H177" s="1"/>
  <c r="I178"/>
  <c r="I177" s="1"/>
  <c r="J178"/>
  <c r="J177" s="1"/>
  <c r="K178"/>
  <c r="K177" s="1"/>
  <c r="L178"/>
  <c r="L177" s="1"/>
  <c r="AD183"/>
  <c r="N179"/>
  <c r="AD179"/>
  <c r="E179" s="1"/>
  <c r="M179" s="1"/>
  <c r="AD175"/>
  <c r="AD161"/>
  <c r="AD154"/>
  <c r="AD134"/>
  <c r="AD133"/>
  <c r="AD135"/>
  <c r="AD137"/>
  <c r="AD136"/>
  <c r="AD125"/>
  <c r="AD113"/>
  <c r="AD112"/>
  <c r="H6"/>
  <c r="J6"/>
  <c r="L6"/>
  <c r="F100"/>
  <c r="G100"/>
  <c r="H100"/>
  <c r="I100"/>
  <c r="J100"/>
  <c r="L100"/>
  <c r="AD101"/>
  <c r="K101" s="1"/>
  <c r="I198" l="1"/>
  <c r="F7" i="16"/>
  <c r="E321" i="5"/>
  <c r="K198"/>
  <c r="J5"/>
  <c r="L5"/>
  <c r="G198"/>
  <c r="H5"/>
  <c r="AD233"/>
  <c r="F200"/>
  <c r="AD192"/>
  <c r="AD178" s="1"/>
  <c r="AD132"/>
  <c r="AD111"/>
  <c r="AD81"/>
  <c r="AD79"/>
  <c r="AD76"/>
  <c r="AD75"/>
  <c r="AD74"/>
  <c r="AD71"/>
  <c r="AD69"/>
  <c r="AD65"/>
  <c r="AD66"/>
  <c r="AD64"/>
  <c r="AD61"/>
  <c r="AD59"/>
  <c r="G8" i="4"/>
  <c r="H8"/>
  <c r="I8"/>
  <c r="J8"/>
  <c r="K8"/>
  <c r="L8"/>
  <c r="I7"/>
  <c r="J7"/>
  <c r="K7"/>
  <c r="L7"/>
  <c r="AD116"/>
  <c r="F239" i="5" l="1"/>
  <c r="AD299"/>
  <c r="J199"/>
  <c r="J198" s="1"/>
  <c r="J4" s="1"/>
  <c r="AD225"/>
  <c r="AD229"/>
  <c r="AD291"/>
  <c r="L137" i="4"/>
  <c r="J137"/>
  <c r="I137"/>
  <c r="AD285" i="5"/>
  <c r="AD281"/>
  <c r="AD266"/>
  <c r="AD264"/>
  <c r="AD259" s="1"/>
  <c r="AD252"/>
  <c r="AD241"/>
  <c r="F238" l="1"/>
  <c r="H222"/>
  <c r="AD222"/>
  <c r="AD238" l="1"/>
  <c r="E239"/>
  <c r="K56"/>
  <c r="F56"/>
  <c r="G56"/>
  <c r="G22"/>
  <c r="F22"/>
  <c r="AD7"/>
  <c r="E7" s="1"/>
  <c r="K7"/>
  <c r="G7"/>
  <c r="F7"/>
  <c r="D160" i="4"/>
  <c r="D8"/>
  <c r="D7" s="1"/>
  <c r="F160"/>
  <c r="G160"/>
  <c r="H160"/>
  <c r="I160"/>
  <c r="J160"/>
  <c r="K160"/>
  <c r="E238" i="5" l="1"/>
  <c r="M239"/>
  <c r="N239" s="1"/>
  <c r="M56"/>
  <c r="N56" s="1"/>
  <c r="E163" i="4"/>
  <c r="M163" s="1"/>
  <c r="N163" s="1"/>
  <c r="E161"/>
  <c r="M161" s="1"/>
  <c r="E158"/>
  <c r="M158" s="1"/>
  <c r="E137"/>
  <c r="M137" s="1"/>
  <c r="AD6"/>
  <c r="AD5" s="1"/>
  <c r="J5" s="1"/>
  <c r="E5" s="1"/>
  <c r="M5" s="1"/>
  <c r="AD77"/>
  <c r="AD169"/>
  <c r="AD11"/>
  <c r="M7" i="5" l="1"/>
  <c r="AD50"/>
  <c r="AD49" s="1"/>
  <c r="AD42"/>
  <c r="AD41"/>
  <c r="AD40"/>
  <c r="AD39"/>
  <c r="AD38"/>
  <c r="AD78"/>
  <c r="AD73"/>
  <c r="AD68"/>
  <c r="AD63"/>
  <c r="AD58"/>
  <c r="S53"/>
  <c r="I44" s="1"/>
  <c r="I6" s="1"/>
  <c r="I5" s="1"/>
  <c r="I4" s="1"/>
  <c r="AD47"/>
  <c r="G44" s="1"/>
  <c r="AD31"/>
  <c r="AD167" i="4"/>
  <c r="AD29"/>
  <c r="AD30"/>
  <c r="AD31"/>
  <c r="AD32"/>
  <c r="AD33"/>
  <c r="AD56" i="5" l="1"/>
  <c r="AD45"/>
  <c r="AD37"/>
  <c r="F44" l="1"/>
  <c r="F6" s="1"/>
  <c r="F5" s="1"/>
  <c r="AD44"/>
  <c r="E44" s="1"/>
  <c r="K22"/>
  <c r="J7" i="16"/>
  <c r="E7"/>
  <c r="D4" i="4"/>
  <c r="K44" i="5" l="1"/>
  <c r="K7" i="16"/>
  <c r="AD305" i="5"/>
  <c r="AD212"/>
  <c r="AD210"/>
  <c r="AD173"/>
  <c r="AD172"/>
  <c r="AD171"/>
  <c r="AD108"/>
  <c r="AD106" s="1"/>
  <c r="K106" s="1"/>
  <c r="AD98"/>
  <c r="AD94"/>
  <c r="AD92"/>
  <c r="AD87"/>
  <c r="AD86"/>
  <c r="AD85"/>
  <c r="AD84"/>
  <c r="AD27"/>
  <c r="AD18"/>
  <c r="AD20"/>
  <c r="AD130" i="4"/>
  <c r="AD129"/>
  <c r="AD128"/>
  <c r="AD124"/>
  <c r="AD120"/>
  <c r="AD112"/>
  <c r="AD106"/>
  <c r="AD107"/>
  <c r="AD108"/>
  <c r="AD109"/>
  <c r="AD105"/>
  <c r="AD96"/>
  <c r="S100" s="1"/>
  <c r="AD100" s="1"/>
  <c r="AD74"/>
  <c r="AD73"/>
  <c r="AD71"/>
  <c r="AD44"/>
  <c r="AD45"/>
  <c r="AD47"/>
  <c r="AD43"/>
  <c r="AD90"/>
  <c r="AD84" s="1"/>
  <c r="AD35"/>
  <c r="AD132"/>
  <c r="AD142" i="5"/>
  <c r="AD143"/>
  <c r="AD144"/>
  <c r="AD129"/>
  <c r="AD130"/>
  <c r="AD205"/>
  <c r="AD206"/>
  <c r="AD228"/>
  <c r="AD227" s="1"/>
  <c r="AD113" i="4"/>
  <c r="AD166"/>
  <c r="AD168"/>
  <c r="AD26"/>
  <c r="AD24" s="1"/>
  <c r="F24" s="1"/>
  <c r="E24" s="1"/>
  <c r="M24" s="1"/>
  <c r="N158"/>
  <c r="S101"/>
  <c r="AD101" s="1"/>
  <c r="S102"/>
  <c r="AD102" s="1"/>
  <c r="K159" i="5" l="1"/>
  <c r="F35" i="4"/>
  <c r="E35" s="1"/>
  <c r="M35" s="1"/>
  <c r="N35" s="1"/>
  <c r="L200" i="5"/>
  <c r="L199" s="1"/>
  <c r="L198" s="1"/>
  <c r="L4" s="1"/>
  <c r="H200"/>
  <c r="H199" s="1"/>
  <c r="H198" s="1"/>
  <c r="H4" s="1"/>
  <c r="AD200"/>
  <c r="E183"/>
  <c r="M183" s="1"/>
  <c r="N183" s="1"/>
  <c r="K110"/>
  <c r="AD159"/>
  <c r="AD140"/>
  <c r="E140" s="1"/>
  <c r="M140" s="1"/>
  <c r="N140" s="1"/>
  <c r="K83"/>
  <c r="K100"/>
  <c r="AD100"/>
  <c r="M44"/>
  <c r="N44" s="1"/>
  <c r="AD165" i="4"/>
  <c r="AD160" s="1"/>
  <c r="S98"/>
  <c r="AD98" s="1"/>
  <c r="M227" i="5"/>
  <c r="N227" s="1"/>
  <c r="F222"/>
  <c r="AD83"/>
  <c r="E83" s="1"/>
  <c r="AD22"/>
  <c r="E22" s="1"/>
  <c r="AD16"/>
  <c r="I84" i="4"/>
  <c r="AD104"/>
  <c r="AD119"/>
  <c r="AD93" s="1"/>
  <c r="AD127"/>
  <c r="N137"/>
  <c r="N7" i="5"/>
  <c r="S99" i="4"/>
  <c r="S97"/>
  <c r="AD97" s="1"/>
  <c r="AD111"/>
  <c r="AD41"/>
  <c r="AD70"/>
  <c r="E192" i="5"/>
  <c r="S18" i="4"/>
  <c r="AD18" s="1"/>
  <c r="AD28"/>
  <c r="F28" s="1"/>
  <c r="E28" s="1"/>
  <c r="M28" s="1"/>
  <c r="AD53"/>
  <c r="S67" s="1"/>
  <c r="AD67" s="1"/>
  <c r="AD128" i="5"/>
  <c r="AD114" s="1"/>
  <c r="AD110" s="1"/>
  <c r="E101"/>
  <c r="E111"/>
  <c r="E214"/>
  <c r="M214" s="1"/>
  <c r="N214" s="1"/>
  <c r="E306"/>
  <c r="N24" i="4"/>
  <c r="E106" i="5"/>
  <c r="M106" s="1"/>
  <c r="N106" s="1"/>
  <c r="M83" l="1"/>
  <c r="N83" s="1"/>
  <c r="L165" i="4"/>
  <c r="G16" i="5"/>
  <c r="G6" s="1"/>
  <c r="G5" s="1"/>
  <c r="G4" s="1"/>
  <c r="AD6"/>
  <c r="AD5" s="1"/>
  <c r="E200"/>
  <c r="M200" s="1"/>
  <c r="N200" s="1"/>
  <c r="AD199"/>
  <c r="AD198" s="1"/>
  <c r="M111"/>
  <c r="N111" s="1"/>
  <c r="F199"/>
  <c r="F198" s="1"/>
  <c r="F4" s="1"/>
  <c r="M192"/>
  <c r="N192" s="1"/>
  <c r="E178"/>
  <c r="E177" s="1"/>
  <c r="AD177"/>
  <c r="E159"/>
  <c r="M159" s="1"/>
  <c r="N159" s="1"/>
  <c r="E154"/>
  <c r="M154" s="1"/>
  <c r="N154" s="1"/>
  <c r="K6"/>
  <c r="K5" s="1"/>
  <c r="K4" s="1"/>
  <c r="M101"/>
  <c r="N101" s="1"/>
  <c r="L160" i="4"/>
  <c r="E165"/>
  <c r="E84"/>
  <c r="M84" s="1"/>
  <c r="N84" s="1"/>
  <c r="H39"/>
  <c r="H7" s="1"/>
  <c r="N28"/>
  <c r="AD99"/>
  <c r="AD95" s="1"/>
  <c r="S61"/>
  <c r="AD61" s="1"/>
  <c r="S16"/>
  <c r="S21"/>
  <c r="AD21" s="1"/>
  <c r="S64"/>
  <c r="AD64" s="1"/>
  <c r="S22"/>
  <c r="AD22" s="1"/>
  <c r="S19"/>
  <c r="S65"/>
  <c r="AD65" s="1"/>
  <c r="S68"/>
  <c r="AD68" s="1"/>
  <c r="E132" i="5"/>
  <c r="M132" s="1"/>
  <c r="N132" s="1"/>
  <c r="M222"/>
  <c r="N222" s="1"/>
  <c r="E233"/>
  <c r="M233" s="1"/>
  <c r="N233" s="1"/>
  <c r="M306"/>
  <c r="N306" s="1"/>
  <c r="E305"/>
  <c r="D16"/>
  <c r="E16"/>
  <c r="E6" s="1"/>
  <c r="M238"/>
  <c r="N238" s="1"/>
  <c r="E104"/>
  <c r="M104" s="1"/>
  <c r="N104" s="1"/>
  <c r="N5" i="4"/>
  <c r="M305" i="5" l="1"/>
  <c r="N305" s="1"/>
  <c r="K93" i="4"/>
  <c r="E93" s="1"/>
  <c r="M93" s="1"/>
  <c r="N93" s="1"/>
  <c r="E317" i="5"/>
  <c r="AD316"/>
  <c r="AD4" s="1"/>
  <c r="E199"/>
  <c r="E198" s="1"/>
  <c r="M177"/>
  <c r="N177" s="1"/>
  <c r="M178"/>
  <c r="N178" s="1"/>
  <c r="E100"/>
  <c r="M100" s="1"/>
  <c r="N100" s="1"/>
  <c r="M165" i="4"/>
  <c r="N165" s="1"/>
  <c r="E160"/>
  <c r="M22" i="5"/>
  <c r="N22" s="1"/>
  <c r="S66" i="4"/>
  <c r="AD66" s="1"/>
  <c r="AD60"/>
  <c r="AD19"/>
  <c r="S20" s="1"/>
  <c r="AD20" s="1"/>
  <c r="AD16"/>
  <c r="AD15" s="1"/>
  <c r="E114" i="5"/>
  <c r="M321"/>
  <c r="N321" s="1"/>
  <c r="E320"/>
  <c r="M320" s="1"/>
  <c r="N320" s="1"/>
  <c r="M16"/>
  <c r="N16" s="1"/>
  <c r="M199" l="1"/>
  <c r="N199" s="1"/>
  <c r="M317"/>
  <c r="N317" s="1"/>
  <c r="E316"/>
  <c r="M316"/>
  <c r="N316" s="1"/>
  <c r="M114"/>
  <c r="N114" s="1"/>
  <c r="E110"/>
  <c r="M110" s="1"/>
  <c r="N110" s="1"/>
  <c r="M160" i="4"/>
  <c r="N160" s="1"/>
  <c r="M6" i="5"/>
  <c r="N6" s="1"/>
  <c r="AD63" i="4"/>
  <c r="AD49" s="1"/>
  <c r="AD17"/>
  <c r="E5" i="5" l="1"/>
  <c r="M198"/>
  <c r="N198" s="1"/>
  <c r="G39" i="4"/>
  <c r="G7" s="1"/>
  <c r="AD39"/>
  <c r="AD9"/>
  <c r="F9" s="1"/>
  <c r="F8" s="1"/>
  <c r="F7" s="1"/>
  <c r="E4" i="5" l="1"/>
  <c r="M4" s="1"/>
  <c r="N4" s="1"/>
  <c r="M5"/>
  <c r="N5" s="1"/>
  <c r="AD8" i="4"/>
  <c r="AD7" s="1"/>
  <c r="AD4" s="1"/>
  <c r="E39"/>
  <c r="M39" s="1"/>
  <c r="N39" s="1"/>
  <c r="G4"/>
  <c r="H4"/>
  <c r="L4"/>
  <c r="K4"/>
  <c r="F4"/>
  <c r="J4"/>
  <c r="I4"/>
  <c r="E9"/>
  <c r="M9" s="1"/>
  <c r="N9" s="1"/>
  <c r="E8" l="1"/>
  <c r="E7" l="1"/>
  <c r="M8"/>
  <c r="N8" s="1"/>
  <c r="M7" l="1"/>
  <c r="N7" s="1"/>
  <c r="E4"/>
  <c r="M4" s="1"/>
</calcChain>
</file>

<file path=xl/sharedStrings.xml><?xml version="1.0" encoding="utf-8"?>
<sst xmlns="http://schemas.openxmlformats.org/spreadsheetml/2006/main" count="1791" uniqueCount="649">
  <si>
    <t>월</t>
    <phoneticPr fontId="4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</si>
  <si>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</si>
  <si>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</si>
  <si>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</si>
  <si>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</si>
  <si>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</si>
  <si>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</si>
  <si>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</si>
  <si>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</si>
  <si>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</si>
  <si>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</si>
  <si>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</si>
  <si>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</si>
  <si>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</si>
  <si>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</si>
  <si>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</si>
  <si>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</si>
  <si>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</si>
  <si>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</si>
  <si>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</si>
  <si>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</si>
  <si>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</si>
  <si>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</si>
  <si>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</si>
  <si>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</si>
  <si>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</si>
  <si>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</si>
  <si>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</si>
  <si>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</si>
  <si>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</si>
  <si>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</si>
  <si>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</si>
  <si>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후원금</t>
  </si>
  <si>
    <t>※ 법인전입금</t>
  </si>
  <si>
    <t>※ 이월금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</si>
  <si>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</si>
  <si>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</si>
  <si>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</si>
  <si>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</si>
  <si>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</si>
  <si>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</si>
  <si>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</si>
  <si>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</si>
  <si>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</si>
  <si>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</si>
  <si>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</si>
  <si>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</si>
  <si>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</si>
  <si>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</si>
  <si>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</si>
  <si>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</si>
  <si>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</si>
  <si>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</si>
  <si>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</si>
  <si>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</si>
  <si>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</si>
  <si>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</si>
  <si>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</si>
  <si>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4" type="noConversion"/>
  </si>
  <si>
    <t>산              출               기              초</t>
    <phoneticPr fontId="4" type="noConversion"/>
  </si>
  <si>
    <t>산               출                기               초</t>
    <phoneticPr fontId="4" type="noConversion"/>
  </si>
  <si>
    <t>명</t>
    <phoneticPr fontId="4" type="noConversion"/>
  </si>
  <si>
    <t>원</t>
    <phoneticPr fontId="4" type="noConversion"/>
  </si>
  <si>
    <t>×</t>
    <phoneticPr fontId="4" type="noConversion"/>
  </si>
  <si>
    <t>생계비</t>
    <phoneticPr fontId="4" type="noConversion"/>
  </si>
  <si>
    <t>입  소</t>
    <phoneticPr fontId="4" type="noConversion"/>
  </si>
  <si>
    <t>비  용</t>
    <phoneticPr fontId="4" type="noConversion"/>
  </si>
  <si>
    <t xml:space="preserve"> </t>
    <phoneticPr fontId="4" type="noConversion"/>
  </si>
  <si>
    <t>합  계 :</t>
    <phoneticPr fontId="4" type="noConversion"/>
  </si>
  <si>
    <t>후원금</t>
    <phoneticPr fontId="4" type="noConversion"/>
  </si>
  <si>
    <t>잡수입</t>
    <phoneticPr fontId="4" type="noConversion"/>
  </si>
  <si>
    <t>합    계 :</t>
  </si>
  <si>
    <t>* 입소비용수입</t>
    <phoneticPr fontId="4" type="noConversion"/>
  </si>
  <si>
    <t xml:space="preserve">                                                                                    </t>
    <phoneticPr fontId="4" type="noConversion"/>
  </si>
  <si>
    <t>과            목</t>
    <phoneticPr fontId="4" type="noConversion"/>
  </si>
  <si>
    <t>1.지정후원금</t>
    <phoneticPr fontId="4" type="noConversion"/>
  </si>
  <si>
    <t>&lt;보조금수입 합계&gt;</t>
    <phoneticPr fontId="4" type="noConversion"/>
  </si>
  <si>
    <t>원</t>
    <phoneticPr fontId="4" type="noConversion"/>
  </si>
  <si>
    <t>경  상</t>
    <phoneticPr fontId="4" type="noConversion"/>
  </si>
  <si>
    <t>계</t>
    <phoneticPr fontId="4" type="noConversion"/>
  </si>
  <si>
    <t>&lt;경상보조금수입 합계&gt;</t>
    <phoneticPr fontId="4" type="noConversion"/>
  </si>
  <si>
    <t>총  계 :</t>
    <phoneticPr fontId="4" type="noConversion"/>
  </si>
  <si>
    <t>보조금</t>
    <phoneticPr fontId="4" type="noConversion"/>
  </si>
  <si>
    <t>인건비</t>
    <phoneticPr fontId="4" type="noConversion"/>
  </si>
  <si>
    <t>총  계 :</t>
    <phoneticPr fontId="4" type="noConversion"/>
  </si>
  <si>
    <t>원</t>
    <phoneticPr fontId="4" type="noConversion"/>
  </si>
  <si>
    <t>×</t>
    <phoneticPr fontId="4" type="noConversion"/>
  </si>
  <si>
    <t>명</t>
    <phoneticPr fontId="4" type="noConversion"/>
  </si>
  <si>
    <t>월</t>
    <phoneticPr fontId="4" type="noConversion"/>
  </si>
  <si>
    <t>=</t>
    <phoneticPr fontId="4" type="noConversion"/>
  </si>
  <si>
    <t>합    계 :</t>
    <phoneticPr fontId="4" type="noConversion"/>
  </si>
  <si>
    <t>소계 :</t>
    <phoneticPr fontId="4" type="noConversion"/>
  </si>
  <si>
    <t>÷</t>
    <phoneticPr fontId="4" type="noConversion"/>
  </si>
  <si>
    <t>=</t>
    <phoneticPr fontId="4" type="noConversion"/>
  </si>
  <si>
    <t xml:space="preserve"> 가.국민연금부담금</t>
    <phoneticPr fontId="4" type="noConversion"/>
  </si>
  <si>
    <t xml:space="preserve"> 나.건강보험부담금</t>
    <phoneticPr fontId="4" type="noConversion"/>
  </si>
  <si>
    <t xml:space="preserve"> 다.장기요양보험부담금</t>
    <phoneticPr fontId="4" type="noConversion"/>
  </si>
  <si>
    <t xml:space="preserve"> 라.고용보험부담금</t>
    <phoneticPr fontId="4" type="noConversion"/>
  </si>
  <si>
    <t xml:space="preserve"> 마.산재보험부담금</t>
    <phoneticPr fontId="4" type="noConversion"/>
  </si>
  <si>
    <t>운영비</t>
    <phoneticPr fontId="4" type="noConversion"/>
  </si>
  <si>
    <t>※ 운영비수입</t>
    <phoneticPr fontId="4" type="noConversion"/>
  </si>
  <si>
    <t>* 시설당 기본지원</t>
    <phoneticPr fontId="4" type="noConversion"/>
  </si>
  <si>
    <t>* 생활 장애인수 가중지원</t>
    <phoneticPr fontId="4" type="noConversion"/>
  </si>
  <si>
    <t>생계비</t>
    <phoneticPr fontId="4" type="noConversion"/>
  </si>
  <si>
    <t>※ 생계비수입</t>
    <phoneticPr fontId="4" type="noConversion"/>
  </si>
  <si>
    <t>*주부식비(취사연료비 포함)</t>
    <phoneticPr fontId="4" type="noConversion"/>
  </si>
  <si>
    <t>명</t>
    <phoneticPr fontId="4" type="noConversion"/>
  </si>
  <si>
    <t>월</t>
    <phoneticPr fontId="4" type="noConversion"/>
  </si>
  <si>
    <t>*피복신발비(런닝팬티포함)</t>
    <phoneticPr fontId="4" type="noConversion"/>
  </si>
  <si>
    <t>*동내의(10월신청)</t>
    <phoneticPr fontId="4" type="noConversion"/>
  </si>
  <si>
    <t>회</t>
    <phoneticPr fontId="4" type="noConversion"/>
  </si>
  <si>
    <t>*월동대책비(10월신청)</t>
    <phoneticPr fontId="4" type="noConversion"/>
  </si>
  <si>
    <t>*특별위로금(설날,추석)</t>
    <phoneticPr fontId="4" type="noConversion"/>
  </si>
  <si>
    <t>자본</t>
    <phoneticPr fontId="4" type="noConversion"/>
  </si>
  <si>
    <t>※자본보조금수입</t>
    <phoneticPr fontId="4" type="noConversion"/>
  </si>
  <si>
    <t>①국비기능보강사업</t>
    <phoneticPr fontId="4" type="noConversion"/>
  </si>
  <si>
    <t>* 체험홈설치</t>
    <phoneticPr fontId="4" type="noConversion"/>
  </si>
  <si>
    <t>기타</t>
    <phoneticPr fontId="4" type="noConversion"/>
  </si>
  <si>
    <t>※기타보조금수입 합계</t>
    <phoneticPr fontId="4" type="noConversion"/>
  </si>
  <si>
    <t>지자체</t>
    <phoneticPr fontId="4" type="noConversion"/>
  </si>
  <si>
    <t>1.입소자지원금(4종)</t>
    <phoneticPr fontId="4" type="noConversion"/>
  </si>
  <si>
    <t>입소자지원금 합  계 :</t>
    <phoneticPr fontId="4" type="noConversion"/>
  </si>
  <si>
    <t>*입소자 부식비(매월신청)</t>
    <phoneticPr fontId="4" type="noConversion"/>
  </si>
  <si>
    <t>일</t>
    <phoneticPr fontId="4" type="noConversion"/>
  </si>
  <si>
    <t>*입소자 간식비(매월신청)</t>
    <phoneticPr fontId="4" type="noConversion"/>
  </si>
  <si>
    <t xml:space="preserve">              (특별급식비)</t>
    <phoneticPr fontId="4" type="noConversion"/>
  </si>
  <si>
    <t>(설날,장애인의날, 추석,연말)</t>
    <phoneticPr fontId="4" type="noConversion"/>
  </si>
  <si>
    <t>*입소자 건강진단비</t>
    <phoneticPr fontId="4" type="noConversion"/>
  </si>
  <si>
    <t>2.인건비 지원금(7종)</t>
    <phoneticPr fontId="4" type="noConversion"/>
  </si>
  <si>
    <t>인건비 지원금 합계 :</t>
    <phoneticPr fontId="4" type="noConversion"/>
  </si>
  <si>
    <t>계 :</t>
    <phoneticPr fontId="4" type="noConversion"/>
  </si>
  <si>
    <t xml:space="preserve">   7종 보조금</t>
    <phoneticPr fontId="4" type="noConversion"/>
  </si>
  <si>
    <t xml:space="preserve"> A.국민연금부담금</t>
    <phoneticPr fontId="4" type="noConversion"/>
  </si>
  <si>
    <t xml:space="preserve"> B.건강보험부담금</t>
    <phoneticPr fontId="4" type="noConversion"/>
  </si>
  <si>
    <t xml:space="preserve"> C.장기요양보험부담금</t>
    <phoneticPr fontId="4" type="noConversion"/>
  </si>
  <si>
    <t xml:space="preserve"> D.고용보험부담금</t>
    <phoneticPr fontId="4" type="noConversion"/>
  </si>
  <si>
    <t xml:space="preserve"> E.산재보험부담금</t>
    <phoneticPr fontId="4" type="noConversion"/>
  </si>
  <si>
    <t>3. 7종 운영비 지원</t>
    <phoneticPr fontId="4" type="noConversion"/>
  </si>
  <si>
    <t>7종 운영비 지원금 합계 :</t>
    <phoneticPr fontId="4" type="noConversion"/>
  </si>
  <si>
    <t>*차량운영비</t>
    <phoneticPr fontId="4" type="noConversion"/>
  </si>
  <si>
    <t>개</t>
    <phoneticPr fontId="4" type="noConversion"/>
  </si>
  <si>
    <t>*환경개선사업비</t>
    <phoneticPr fontId="4" type="noConversion"/>
  </si>
  <si>
    <t>*간병인비 지원</t>
    <phoneticPr fontId="4" type="noConversion"/>
  </si>
  <si>
    <t>일</t>
    <phoneticPr fontId="4" type="noConversion"/>
  </si>
  <si>
    <t>*출산휴가 대체인건비 지원</t>
    <phoneticPr fontId="4" type="noConversion"/>
  </si>
  <si>
    <t>4. 기타 프로그램 지원비(7종)</t>
    <phoneticPr fontId="4" type="noConversion"/>
  </si>
  <si>
    <t>기타 프로그램 지원비 합계 :</t>
    <phoneticPr fontId="4" type="noConversion"/>
  </si>
  <si>
    <t>*여름캠프 지원금</t>
    <phoneticPr fontId="4" type="noConversion"/>
  </si>
  <si>
    <t>*가을여행 지원금</t>
    <phoneticPr fontId="4" type="noConversion"/>
  </si>
  <si>
    <t>*시지원 프로그램 지원금(승마)</t>
    <phoneticPr fontId="4" type="noConversion"/>
  </si>
  <si>
    <t>후원금</t>
    <phoneticPr fontId="4" type="noConversion"/>
  </si>
  <si>
    <t>※후원금수입</t>
    <phoneticPr fontId="4" type="noConversion"/>
  </si>
  <si>
    <t>2.비지정후원금</t>
    <phoneticPr fontId="4" type="noConversion"/>
  </si>
  <si>
    <t xml:space="preserve">  *후원금 수입</t>
    <phoneticPr fontId="4" type="noConversion"/>
  </si>
  <si>
    <t>비지정</t>
    <phoneticPr fontId="4" type="noConversion"/>
  </si>
  <si>
    <t>전입금</t>
    <phoneticPr fontId="4" type="noConversion"/>
  </si>
  <si>
    <t>1.법인지원 직원 인건비</t>
    <phoneticPr fontId="4" type="noConversion"/>
  </si>
  <si>
    <t>법인지원 직원 인건비 합  계 :</t>
    <phoneticPr fontId="4" type="noConversion"/>
  </si>
  <si>
    <t xml:space="preserve">  *기본급</t>
    <phoneticPr fontId="4" type="noConversion"/>
  </si>
  <si>
    <t xml:space="preserve">  *국민연금부담금</t>
    <phoneticPr fontId="4" type="noConversion"/>
  </si>
  <si>
    <t xml:space="preserve">  *건강보험부담금</t>
    <phoneticPr fontId="4" type="noConversion"/>
  </si>
  <si>
    <t xml:space="preserve">  *장기요양보험부담금</t>
    <phoneticPr fontId="4" type="noConversion"/>
  </si>
  <si>
    <t xml:space="preserve">  *고용보험부담금</t>
    <phoneticPr fontId="4" type="noConversion"/>
  </si>
  <si>
    <t xml:space="preserve">  *산재보험부담금</t>
    <phoneticPr fontId="4" type="noConversion"/>
  </si>
  <si>
    <t xml:space="preserve">  *퇴직금적립금</t>
    <phoneticPr fontId="4" type="noConversion"/>
  </si>
  <si>
    <t>2.직책보조비 지원</t>
    <phoneticPr fontId="4" type="noConversion"/>
  </si>
  <si>
    <t>직책보조비 지원금 합계 :</t>
    <phoneticPr fontId="4" type="noConversion"/>
  </si>
  <si>
    <t xml:space="preserve">  *시설장</t>
    <phoneticPr fontId="4" type="noConversion"/>
  </si>
  <si>
    <t xml:space="preserve">  *사무국장</t>
    <phoneticPr fontId="4" type="noConversion"/>
  </si>
  <si>
    <t xml:space="preserve">  *과장</t>
    <phoneticPr fontId="4" type="noConversion"/>
  </si>
  <si>
    <t xml:space="preserve">  *팀장</t>
    <phoneticPr fontId="4" type="noConversion"/>
  </si>
  <si>
    <t>직원 기타후생경비 합계 :</t>
    <phoneticPr fontId="4" type="noConversion"/>
  </si>
  <si>
    <t>* 직원경조사비</t>
    <phoneticPr fontId="4" type="noConversion"/>
  </si>
  <si>
    <t>* 상조회 지원금(상,하반기)</t>
    <phoneticPr fontId="4" type="noConversion"/>
  </si>
  <si>
    <t>회</t>
    <phoneticPr fontId="4" type="noConversion"/>
  </si>
  <si>
    <t>* 우수직원 포상금(12월)</t>
    <phoneticPr fontId="4" type="noConversion"/>
  </si>
  <si>
    <t>* 팀장 워크샵(11월 : 숙박비 40만원, 식대 44만원, 기타경비 16만원)</t>
    <phoneticPr fontId="4" type="noConversion"/>
  </si>
  <si>
    <t>* 직원하계수련회비용(숙박비 80만원, 식대 120만원, 차량비 외 100만원)</t>
    <phoneticPr fontId="4" type="noConversion"/>
  </si>
  <si>
    <t>* 직원다이어리구입비</t>
    <phoneticPr fontId="4" type="noConversion"/>
  </si>
  <si>
    <t>*시설연합 행사(둘다섯 해누리)</t>
    <phoneticPr fontId="4" type="noConversion"/>
  </si>
  <si>
    <t>* 직원동아리지원금</t>
    <phoneticPr fontId="4" type="noConversion"/>
  </si>
  <si>
    <t>직원 교육훈련비 합계 :</t>
    <phoneticPr fontId="4" type="noConversion"/>
  </si>
  <si>
    <t>* 사업평가시 외부전문가 자문비</t>
    <phoneticPr fontId="4" type="noConversion"/>
  </si>
  <si>
    <t>회(상·하반기)</t>
    <phoneticPr fontId="4" type="noConversion"/>
  </si>
  <si>
    <t>* 사업평가및계획워크샵</t>
    <phoneticPr fontId="4" type="noConversion"/>
  </si>
  <si>
    <t>* 직원교육(피정,직무교육 등)</t>
    <phoneticPr fontId="4" type="noConversion"/>
  </si>
  <si>
    <t>* 타기관견학및실습</t>
    <phoneticPr fontId="4" type="noConversion"/>
  </si>
  <si>
    <t>기타 운영비 지원금 :</t>
    <phoneticPr fontId="4" type="noConversion"/>
  </si>
  <si>
    <t>* 기관운영비(유관기관경조사비)</t>
    <phoneticPr fontId="4" type="noConversion"/>
  </si>
  <si>
    <t>* 시설장 여비</t>
    <phoneticPr fontId="4" type="noConversion"/>
  </si>
  <si>
    <t>* 운영위원 참석수당</t>
    <phoneticPr fontId="4" type="noConversion"/>
  </si>
  <si>
    <t>회의비 :</t>
    <phoneticPr fontId="4" type="noConversion"/>
  </si>
  <si>
    <t>* 회의비</t>
    <phoneticPr fontId="4" type="noConversion"/>
  </si>
  <si>
    <t>전년도</t>
    <phoneticPr fontId="4" type="noConversion"/>
  </si>
  <si>
    <t>이  월</t>
    <phoneticPr fontId="4" type="noConversion"/>
  </si>
  <si>
    <t>사업비</t>
    <phoneticPr fontId="4" type="noConversion"/>
  </si>
  <si>
    <t>잡수입</t>
    <phoneticPr fontId="4" type="noConversion"/>
  </si>
  <si>
    <t>소계</t>
    <phoneticPr fontId="4" type="noConversion"/>
  </si>
  <si>
    <t>&lt;잡수입 합계&gt;</t>
    <phoneticPr fontId="4" type="noConversion"/>
  </si>
  <si>
    <t>원</t>
    <phoneticPr fontId="4" type="noConversion"/>
  </si>
  <si>
    <t>※ 불용품매각대</t>
    <phoneticPr fontId="4" type="noConversion"/>
  </si>
  <si>
    <t>매각대</t>
    <phoneticPr fontId="4" type="noConversion"/>
  </si>
  <si>
    <t>※ 예금이자수입</t>
    <phoneticPr fontId="4" type="noConversion"/>
  </si>
  <si>
    <t>원</t>
    <phoneticPr fontId="4" type="noConversion"/>
  </si>
  <si>
    <t>* 생활시설 직원급식비</t>
    <phoneticPr fontId="4" type="noConversion"/>
  </si>
  <si>
    <t>×</t>
    <phoneticPr fontId="4" type="noConversion"/>
  </si>
  <si>
    <t>명</t>
    <phoneticPr fontId="4" type="noConversion"/>
  </si>
  <si>
    <t>월</t>
    <phoneticPr fontId="4" type="noConversion"/>
  </si>
  <si>
    <t>=</t>
    <phoneticPr fontId="4" type="noConversion"/>
  </si>
  <si>
    <t>* 직업재활 직원급식비</t>
    <phoneticPr fontId="4" type="noConversion"/>
  </si>
  <si>
    <t>* 식권 수입</t>
    <phoneticPr fontId="4" type="noConversion"/>
  </si>
  <si>
    <t>* 실습생 20명 실습비</t>
    <phoneticPr fontId="4" type="noConversion"/>
  </si>
  <si>
    <t>일용잡급</t>
    <phoneticPr fontId="4" type="noConversion"/>
  </si>
  <si>
    <t>※기본급</t>
    <phoneticPr fontId="4" type="noConversion"/>
  </si>
  <si>
    <t>원</t>
    <phoneticPr fontId="4" type="noConversion"/>
  </si>
  <si>
    <t>합    계 :</t>
    <phoneticPr fontId="4" type="noConversion"/>
  </si>
  <si>
    <t>※ 일용잡급</t>
    <phoneticPr fontId="4" type="noConversion"/>
  </si>
  <si>
    <t>원</t>
    <phoneticPr fontId="4" type="noConversion"/>
  </si>
  <si>
    <t>×</t>
    <phoneticPr fontId="4" type="noConversion"/>
  </si>
  <si>
    <t>일</t>
    <phoneticPr fontId="4" type="noConversion"/>
  </si>
  <si>
    <t>명</t>
    <phoneticPr fontId="4" type="noConversion"/>
  </si>
  <si>
    <t>=</t>
    <phoneticPr fontId="4" type="noConversion"/>
  </si>
  <si>
    <t xml:space="preserve"> </t>
    <phoneticPr fontId="4" type="noConversion"/>
  </si>
  <si>
    <t>합    계 :</t>
    <phoneticPr fontId="4" type="noConversion"/>
  </si>
  <si>
    <t>원</t>
    <phoneticPr fontId="4" type="noConversion"/>
  </si>
  <si>
    <t xml:space="preserve"> </t>
    <phoneticPr fontId="4" type="noConversion"/>
  </si>
  <si>
    <t>사회보험</t>
    <phoneticPr fontId="4" type="noConversion"/>
  </si>
  <si>
    <t>기타후생</t>
    <phoneticPr fontId="4" type="noConversion"/>
  </si>
  <si>
    <t>※ 기타후생경비</t>
    <phoneticPr fontId="4" type="noConversion"/>
  </si>
  <si>
    <t>법인</t>
    <phoneticPr fontId="4" type="noConversion"/>
  </si>
  <si>
    <t>법인</t>
    <phoneticPr fontId="4" type="noConversion"/>
  </si>
  <si>
    <t xml:space="preserve">             (사무국장)</t>
    <phoneticPr fontId="4" type="noConversion"/>
  </si>
  <si>
    <t>월</t>
    <phoneticPr fontId="4" type="noConversion"/>
  </si>
  <si>
    <t>(부장)</t>
    <phoneticPr fontId="4" type="noConversion"/>
  </si>
  <si>
    <t xml:space="preserve">             (과장)</t>
    <phoneticPr fontId="4" type="noConversion"/>
  </si>
  <si>
    <t>(팀장)</t>
    <phoneticPr fontId="4" type="noConversion"/>
  </si>
  <si>
    <t>회  의  비</t>
    <phoneticPr fontId="4" type="noConversion"/>
  </si>
  <si>
    <t>1. 회의관련 다과비등</t>
    <phoneticPr fontId="4" type="noConversion"/>
  </si>
  <si>
    <t>여    비</t>
    <phoneticPr fontId="4" type="noConversion"/>
  </si>
  <si>
    <t>보조</t>
    <phoneticPr fontId="4" type="noConversion"/>
  </si>
  <si>
    <t xml:space="preserve"> ① CMS 이용료</t>
    <phoneticPr fontId="4" type="noConversion"/>
  </si>
  <si>
    <t xml:space="preserve"> ② CMS 이체수수료</t>
    <phoneticPr fontId="4" type="noConversion"/>
  </si>
  <si>
    <t xml:space="preserve"> ③ 보증보험료</t>
    <phoneticPr fontId="4" type="noConversion"/>
  </si>
  <si>
    <t>1. 전화료</t>
    <phoneticPr fontId="4" type="noConversion"/>
  </si>
  <si>
    <t>2. 일반전기요금</t>
    <phoneticPr fontId="4" type="noConversion"/>
  </si>
  <si>
    <t>3. 상하수도요금</t>
    <phoneticPr fontId="4" type="noConversion"/>
  </si>
  <si>
    <t>1.협회비</t>
    <phoneticPr fontId="4" type="noConversion"/>
  </si>
  <si>
    <t xml:space="preserve"> ① 한국장애인복지시설협회비</t>
    <phoneticPr fontId="4" type="noConversion"/>
  </si>
  <si>
    <t xml:space="preserve"> ② 경기도장애인복지시설협회비</t>
    <phoneticPr fontId="4" type="noConversion"/>
  </si>
  <si>
    <t xml:space="preserve"> ③ 경장협 사무국장 협의회비</t>
    <phoneticPr fontId="4" type="noConversion"/>
  </si>
  <si>
    <t xml:space="preserve"> ④ 기타 협회비(영양사협회,방화관리자 외)</t>
    <phoneticPr fontId="4" type="noConversion"/>
  </si>
  <si>
    <t>2.보험료 및 세금</t>
    <phoneticPr fontId="4" type="noConversion"/>
  </si>
  <si>
    <t>②일반화재보험(대물)</t>
    <phoneticPr fontId="4" type="noConversion"/>
  </si>
  <si>
    <t>③영업배상책임보험(대인)</t>
    <phoneticPr fontId="4" type="noConversion"/>
  </si>
  <si>
    <t>1.차량유류대</t>
    <phoneticPr fontId="4" type="noConversion"/>
  </si>
  <si>
    <t>기타운영비</t>
    <phoneticPr fontId="4" type="noConversion"/>
  </si>
  <si>
    <t>※ 직원 교육훈련비</t>
    <phoneticPr fontId="4" type="noConversion"/>
  </si>
  <si>
    <t>회</t>
    <phoneticPr fontId="4" type="noConversion"/>
  </si>
  <si>
    <t>권</t>
    <phoneticPr fontId="4" type="noConversion"/>
  </si>
  <si>
    <t>1.전기안전관리대행료</t>
    <phoneticPr fontId="4" type="noConversion"/>
  </si>
  <si>
    <t>2.방화관리(소방) 대행료</t>
    <phoneticPr fontId="4" type="noConversion"/>
  </si>
  <si>
    <t>피복비</t>
    <phoneticPr fontId="4" type="noConversion"/>
  </si>
  <si>
    <t>의료비</t>
    <phoneticPr fontId="4" type="noConversion"/>
  </si>
  <si>
    <t>연료비</t>
    <phoneticPr fontId="4" type="noConversion"/>
  </si>
  <si>
    <t>운영비</t>
    <phoneticPr fontId="4" type="noConversion"/>
  </si>
  <si>
    <t>※ 생계비</t>
    <phoneticPr fontId="4" type="noConversion"/>
  </si>
  <si>
    <t>수용기관</t>
    <phoneticPr fontId="4" type="noConversion"/>
  </si>
  <si>
    <t>※ 수용기관경비</t>
    <phoneticPr fontId="4" type="noConversion"/>
  </si>
  <si>
    <t>1. 생활용품구입비</t>
    <phoneticPr fontId="4" type="noConversion"/>
  </si>
  <si>
    <t>2.동내의</t>
    <phoneticPr fontId="4" type="noConversion"/>
  </si>
  <si>
    <t>년</t>
    <phoneticPr fontId="4" type="noConversion"/>
  </si>
  <si>
    <t>1.입소자 건강진단비</t>
    <phoneticPr fontId="4" type="noConversion"/>
  </si>
  <si>
    <t>※ 연료비</t>
    <phoneticPr fontId="4" type="noConversion"/>
  </si>
  <si>
    <t>프로그램</t>
    <phoneticPr fontId="4" type="noConversion"/>
  </si>
  <si>
    <t>잡지출</t>
    <phoneticPr fontId="4" type="noConversion"/>
  </si>
  <si>
    <t>※ 잡지출</t>
    <phoneticPr fontId="4" type="noConversion"/>
  </si>
  <si>
    <t>2.인건비지원(7종) : 운전원, 조리원 2명</t>
    <phoneticPr fontId="4" type="noConversion"/>
  </si>
  <si>
    <t>3.법인지원직원 : 상담원</t>
    <phoneticPr fontId="4" type="noConversion"/>
  </si>
  <si>
    <t>1.출산휴가 대체인건비(7종)</t>
    <phoneticPr fontId="4" type="noConversion"/>
  </si>
  <si>
    <t>2.간병인비 지원(7종)</t>
    <phoneticPr fontId="4" type="noConversion"/>
  </si>
  <si>
    <t>일</t>
    <phoneticPr fontId="4" type="noConversion"/>
  </si>
  <si>
    <t xml:space="preserve"> B.인건비지원(7종 : 운전원,조리원)</t>
    <phoneticPr fontId="4" type="noConversion"/>
  </si>
  <si>
    <t>2.인건비지원(7종)</t>
    <phoneticPr fontId="4" type="noConversion"/>
  </si>
  <si>
    <t>1.국민연금부담금</t>
    <phoneticPr fontId="4" type="noConversion"/>
  </si>
  <si>
    <t>2.국민건강보험부담금</t>
    <phoneticPr fontId="4" type="noConversion"/>
  </si>
  <si>
    <t>3.장기요양보험부담금</t>
    <phoneticPr fontId="4" type="noConversion"/>
  </si>
  <si>
    <t>4.고용보험부담금</t>
    <phoneticPr fontId="4" type="noConversion"/>
  </si>
  <si>
    <t>5.산업재해보험부담금</t>
    <phoneticPr fontId="4" type="noConversion"/>
  </si>
  <si>
    <t xml:space="preserve"> B.인건비지원(7종)</t>
    <phoneticPr fontId="4" type="noConversion"/>
  </si>
  <si>
    <t xml:space="preserve"> C.법인지원직원 1명(상담원)</t>
    <phoneticPr fontId="4" type="noConversion"/>
  </si>
  <si>
    <t>잡수</t>
    <phoneticPr fontId="4" type="noConversion"/>
  </si>
  <si>
    <t>2. 운영위원회 참석수당</t>
    <phoneticPr fontId="4" type="noConversion"/>
  </si>
  <si>
    <t>1. 사무용품비(문구류 )</t>
    <phoneticPr fontId="4" type="noConversion"/>
  </si>
  <si>
    <t>입소</t>
    <phoneticPr fontId="4" type="noConversion"/>
  </si>
  <si>
    <t>4. 유선방송시청료</t>
    <phoneticPr fontId="4" type="noConversion"/>
  </si>
  <si>
    <t>①자동차보험료(32인승, 25인승, 15인승, 마티즈)</t>
    <phoneticPr fontId="4" type="noConversion"/>
  </si>
  <si>
    <t>④자동차세/환경개선부담금(시설,자동차분)</t>
  </si>
  <si>
    <t>1.외부교육</t>
    <phoneticPr fontId="4" type="noConversion"/>
  </si>
  <si>
    <t xml:space="preserve"> 2)사회복지종사자 피정 등</t>
    <phoneticPr fontId="4" type="noConversion"/>
  </si>
  <si>
    <t>2.내부교육</t>
    <phoneticPr fontId="4" type="noConversion"/>
  </si>
  <si>
    <t>3. 상하반기 사업평가 시 외부전문가 자문</t>
    <phoneticPr fontId="4" type="noConversion"/>
  </si>
  <si>
    <t>4.사업평가 및 계획 워크샵</t>
    <phoneticPr fontId="4" type="noConversion"/>
  </si>
  <si>
    <t>5.타기관 견학 및 실습</t>
    <phoneticPr fontId="4" type="noConversion"/>
  </si>
  <si>
    <t xml:space="preserve">6. 하계직원 교육 강사료, 점심식대 등) </t>
    <phoneticPr fontId="4" type="noConversion"/>
  </si>
  <si>
    <t>1.주부식비(취사연료비 포함)</t>
    <phoneticPr fontId="4" type="noConversion"/>
  </si>
  <si>
    <t>2. 쓰레기봉투 구입비</t>
    <phoneticPr fontId="4" type="noConversion"/>
  </si>
  <si>
    <t>3. 정수기 임대료 및 필터교환</t>
    <phoneticPr fontId="4" type="noConversion"/>
  </si>
  <si>
    <t>4.외주방역</t>
    <phoneticPr fontId="4" type="noConversion"/>
  </si>
  <si>
    <t>5. 주방식기류 및 그릇 보강</t>
    <phoneticPr fontId="4" type="noConversion"/>
  </si>
  <si>
    <t>2.외래진료 및 의약품비 등</t>
    <phoneticPr fontId="4" type="noConversion"/>
  </si>
  <si>
    <t>1. 심야전력요금</t>
    <phoneticPr fontId="4" type="noConversion"/>
  </si>
  <si>
    <t>2. 주방가스요금</t>
    <phoneticPr fontId="4" type="noConversion"/>
  </si>
  <si>
    <t>1. 보조금 이월금 내역</t>
    <phoneticPr fontId="4" type="noConversion"/>
  </si>
  <si>
    <t xml:space="preserve"> *4종 보조금이월금</t>
    <phoneticPr fontId="4" type="noConversion"/>
  </si>
  <si>
    <t xml:space="preserve"> *운영비보조금이월금</t>
    <phoneticPr fontId="4" type="noConversion"/>
  </si>
  <si>
    <t xml:space="preserve"> *7종 보조금이월금</t>
    <phoneticPr fontId="4" type="noConversion"/>
  </si>
  <si>
    <t xml:space="preserve"> *보조금이월금</t>
    <phoneticPr fontId="4" type="noConversion"/>
  </si>
  <si>
    <t xml:space="preserve"> *예금이자이월금</t>
    <phoneticPr fontId="4" type="noConversion"/>
  </si>
  <si>
    <t xml:space="preserve"> *잡수입이월금</t>
    <phoneticPr fontId="4" type="noConversion"/>
  </si>
  <si>
    <t xml:space="preserve"> *예금이자</t>
    <phoneticPr fontId="4" type="noConversion"/>
  </si>
  <si>
    <t xml:space="preserve"> *입소비용이월금</t>
    <phoneticPr fontId="4" type="noConversion"/>
  </si>
  <si>
    <t xml:space="preserve"> *후원금이월금</t>
    <phoneticPr fontId="4" type="noConversion"/>
  </si>
  <si>
    <t>3. 입소비용</t>
    <phoneticPr fontId="4" type="noConversion"/>
  </si>
  <si>
    <t>* 직원축일·생일축하 도서상품권 구입비</t>
    <phoneticPr fontId="4" type="noConversion"/>
  </si>
  <si>
    <t>원</t>
    <phoneticPr fontId="4" type="noConversion"/>
  </si>
  <si>
    <t>명</t>
    <phoneticPr fontId="4" type="noConversion"/>
  </si>
  <si>
    <t>월</t>
    <phoneticPr fontId="4" type="noConversion"/>
  </si>
  <si>
    <t>잡수</t>
    <phoneticPr fontId="4" type="noConversion"/>
  </si>
  <si>
    <t>2.주부식비(보충액)</t>
    <phoneticPr fontId="4" type="noConversion"/>
  </si>
  <si>
    <t>1.보조금 운영비 이월금</t>
    <phoneticPr fontId="4" type="noConversion"/>
  </si>
  <si>
    <t>1. 후원금</t>
    <phoneticPr fontId="4" type="noConversion"/>
  </si>
  <si>
    <t>2. 입소비용수입</t>
    <phoneticPr fontId="4" type="noConversion"/>
  </si>
  <si>
    <t>2.제수당</t>
    <phoneticPr fontId="4" type="noConversion"/>
  </si>
  <si>
    <t xml:space="preserve"> 가.명절휴가비</t>
    <phoneticPr fontId="4" type="noConversion"/>
  </si>
  <si>
    <t xml:space="preserve"> 나.가족수당</t>
    <phoneticPr fontId="4" type="noConversion"/>
  </si>
  <si>
    <t xml:space="preserve"> 다.연장근로수당</t>
    <phoneticPr fontId="4" type="noConversion"/>
  </si>
  <si>
    <t xml:space="preserve"> 나.제수당</t>
    <phoneticPr fontId="4" type="noConversion"/>
  </si>
  <si>
    <t xml:space="preserve"> 다.퇴직금적립금(7종)</t>
    <phoneticPr fontId="4" type="noConversion"/>
  </si>
  <si>
    <t xml:space="preserve"> 라.사회보험부담금(7종)</t>
    <phoneticPr fontId="4" type="noConversion"/>
  </si>
  <si>
    <t xml:space="preserve"> A.경상보조금 </t>
    <phoneticPr fontId="4" type="noConversion"/>
  </si>
  <si>
    <t xml:space="preserve">  가.법인지원직원 1명(상담원)</t>
    <phoneticPr fontId="4" type="noConversion"/>
  </si>
  <si>
    <t>⑤신원보증보험갱신</t>
    <phoneticPr fontId="4" type="noConversion"/>
  </si>
  <si>
    <t>5. 우편물발송료 및 택배료</t>
    <phoneticPr fontId="4" type="noConversion"/>
  </si>
  <si>
    <t>(단위:원)</t>
    <phoneticPr fontId="29" type="noConversion"/>
  </si>
  <si>
    <t>세       입</t>
    <phoneticPr fontId="29" type="noConversion"/>
  </si>
  <si>
    <t>세       출</t>
    <phoneticPr fontId="29" type="noConversion"/>
  </si>
  <si>
    <t>구        분</t>
    <phoneticPr fontId="29" type="noConversion"/>
  </si>
  <si>
    <t>증감</t>
    <phoneticPr fontId="29" type="noConversion"/>
  </si>
  <si>
    <t>합        계</t>
    <phoneticPr fontId="29" type="noConversion"/>
  </si>
  <si>
    <t>입소비용수입</t>
    <phoneticPr fontId="29" type="noConversion"/>
  </si>
  <si>
    <t>입소비용   수입</t>
    <phoneticPr fontId="29" type="noConversion"/>
  </si>
  <si>
    <t>사   무   비</t>
    <phoneticPr fontId="29" type="noConversion"/>
  </si>
  <si>
    <t>인      건      비</t>
    <phoneticPr fontId="29" type="noConversion"/>
  </si>
  <si>
    <t>보조금  수입</t>
    <phoneticPr fontId="29" type="noConversion"/>
  </si>
  <si>
    <t>경상보조금수입</t>
    <phoneticPr fontId="29" type="noConversion"/>
  </si>
  <si>
    <t>업 무   추 진 비</t>
    <phoneticPr fontId="29" type="noConversion"/>
  </si>
  <si>
    <t>자본보조금수입</t>
    <phoneticPr fontId="29" type="noConversion"/>
  </si>
  <si>
    <t>운      영      비</t>
    <phoneticPr fontId="29" type="noConversion"/>
  </si>
  <si>
    <t>기타보조금수입</t>
    <phoneticPr fontId="29" type="noConversion"/>
  </si>
  <si>
    <t>재산조성비</t>
    <phoneticPr fontId="29" type="noConversion"/>
  </si>
  <si>
    <t>시      설      비</t>
    <phoneticPr fontId="29" type="noConversion"/>
  </si>
  <si>
    <t>후원금  수입</t>
    <phoneticPr fontId="29" type="noConversion"/>
  </si>
  <si>
    <t>지정      후원금</t>
    <phoneticPr fontId="29" type="noConversion"/>
  </si>
  <si>
    <t>자 산   취 득 비</t>
    <phoneticPr fontId="29" type="noConversion"/>
  </si>
  <si>
    <t>비지정   후원금</t>
    <phoneticPr fontId="29" type="noConversion"/>
  </si>
  <si>
    <t>시설장비유지비</t>
    <phoneticPr fontId="29" type="noConversion"/>
  </si>
  <si>
    <t>전    입    금</t>
    <phoneticPr fontId="29" type="noConversion"/>
  </si>
  <si>
    <t>법인      전입금</t>
    <phoneticPr fontId="29" type="noConversion"/>
  </si>
  <si>
    <t>사   업   비</t>
    <phoneticPr fontId="29" type="noConversion"/>
  </si>
  <si>
    <t>생      계      비</t>
    <phoneticPr fontId="29" type="noConversion"/>
  </si>
  <si>
    <t>이    월    금</t>
    <phoneticPr fontId="29" type="noConversion"/>
  </si>
  <si>
    <t>전년도   이월금</t>
    <phoneticPr fontId="29" type="noConversion"/>
  </si>
  <si>
    <t>수용기관   경비</t>
    <phoneticPr fontId="29" type="noConversion"/>
  </si>
  <si>
    <t>잡    수    입</t>
    <phoneticPr fontId="29" type="noConversion"/>
  </si>
  <si>
    <t>잡      수      입</t>
    <phoneticPr fontId="29" type="noConversion"/>
  </si>
  <si>
    <t>피      복      비</t>
    <phoneticPr fontId="29" type="noConversion"/>
  </si>
  <si>
    <t>의      료      비</t>
    <phoneticPr fontId="29" type="noConversion"/>
  </si>
  <si>
    <t>연      료      비</t>
    <phoneticPr fontId="29" type="noConversion"/>
  </si>
  <si>
    <t>프로그램사업비</t>
    <phoneticPr fontId="29" type="noConversion"/>
  </si>
  <si>
    <t>보조금   반납금</t>
    <phoneticPr fontId="29" type="noConversion"/>
  </si>
  <si>
    <t>잡   지   출</t>
    <phoneticPr fontId="29" type="noConversion"/>
  </si>
  <si>
    <t>잡      지      출</t>
    <phoneticPr fontId="29" type="noConversion"/>
  </si>
  <si>
    <t>예   비   비</t>
    <phoneticPr fontId="29" type="noConversion"/>
  </si>
  <si>
    <t>예      비      비</t>
    <phoneticPr fontId="29" type="noConversion"/>
  </si>
  <si>
    <t>원</t>
    <phoneticPr fontId="4" type="noConversion"/>
  </si>
  <si>
    <t>원</t>
    <phoneticPr fontId="4" type="noConversion"/>
  </si>
  <si>
    <t>*결연 후원금 지급</t>
    <phoneticPr fontId="4" type="noConversion"/>
  </si>
  <si>
    <t>원</t>
    <phoneticPr fontId="4" type="noConversion"/>
  </si>
  <si>
    <t>2. 체험홈 전화료</t>
    <phoneticPr fontId="4" type="noConversion"/>
  </si>
  <si>
    <t>1.기본급 (인건비 산출내역 참조)</t>
    <phoneticPr fontId="4" type="noConversion"/>
  </si>
  <si>
    <t xml:space="preserve"> 가.기본급(7종 운전원, 보조원)</t>
    <phoneticPr fontId="4" type="noConversion"/>
  </si>
  <si>
    <t xml:space="preserve">   B.가족수당 : 운전원, 조리원(7종)</t>
    <phoneticPr fontId="4" type="noConversion"/>
  </si>
  <si>
    <t xml:space="preserve">   A.명절휴가비 : 운전원, 조리원(7종)</t>
    <phoneticPr fontId="4" type="noConversion"/>
  </si>
  <si>
    <t xml:space="preserve">   C.연장근로수당 : 운전원, 조리원(7종)</t>
    <phoneticPr fontId="4" type="noConversion"/>
  </si>
  <si>
    <t xml:space="preserve">  *부장</t>
    <phoneticPr fontId="4" type="noConversion"/>
  </si>
  <si>
    <t>&lt;2012년도 세입내역&gt;</t>
    <phoneticPr fontId="4" type="noConversion"/>
  </si>
  <si>
    <t>1.명절휴가비</t>
    <phoneticPr fontId="4" type="noConversion"/>
  </si>
  <si>
    <t>2.가족수당</t>
    <phoneticPr fontId="4" type="noConversion"/>
  </si>
  <si>
    <t>3.연장근로수당</t>
    <phoneticPr fontId="4" type="noConversion"/>
  </si>
  <si>
    <t xml:space="preserve">                  (시설장)</t>
    <phoneticPr fontId="4" type="noConversion"/>
  </si>
  <si>
    <t>5.직책보조비(법인전입금)</t>
    <phoneticPr fontId="4" type="noConversion"/>
  </si>
  <si>
    <t>3.법인부담금</t>
    <phoneticPr fontId="4" type="noConversion"/>
  </si>
  <si>
    <t>&lt;2012년도 세출내역&gt;</t>
    <phoneticPr fontId="4" type="noConversion"/>
  </si>
  <si>
    <t>* 직원 연찬회(3월,6월,9월,12월)</t>
    <phoneticPr fontId="4" type="noConversion"/>
  </si>
  <si>
    <t>* 팀장 워크샵(11월 : 숙박비 40만원, 식대 44만원, 기타경비 16만원)</t>
    <phoneticPr fontId="4" type="noConversion"/>
  </si>
  <si>
    <t>*재활프로그램(주말농장)</t>
    <phoneticPr fontId="4" type="noConversion"/>
  </si>
  <si>
    <t xml:space="preserve">  *시설비 및 자산취득비 등</t>
    <phoneticPr fontId="4" type="noConversion"/>
  </si>
  <si>
    <t>월</t>
    <phoneticPr fontId="4" type="noConversion"/>
  </si>
  <si>
    <t>원</t>
    <phoneticPr fontId="4" type="noConversion"/>
  </si>
  <si>
    <t>* 기타 잡수입</t>
    <phoneticPr fontId="4" type="noConversion"/>
  </si>
  <si>
    <t>*직장내 성희롱 예방교육/ 장애인 성교육 등</t>
    <phoneticPr fontId="4" type="noConversion"/>
  </si>
  <si>
    <t>4. 후원금</t>
    <phoneticPr fontId="4" type="noConversion"/>
  </si>
  <si>
    <t>5. 잡수입</t>
    <phoneticPr fontId="4" type="noConversion"/>
  </si>
  <si>
    <t>* 주방직원 가운비</t>
    <phoneticPr fontId="4" type="noConversion"/>
  </si>
  <si>
    <t>* 주방직원 건강진단비</t>
    <phoneticPr fontId="4" type="noConversion"/>
  </si>
  <si>
    <t>* 직원독감예방접종</t>
    <phoneticPr fontId="4" type="noConversion"/>
  </si>
  <si>
    <t xml:space="preserve">  *직원후생복지 및 직원교육</t>
    <phoneticPr fontId="4" type="noConversion"/>
  </si>
  <si>
    <t>후원금</t>
    <phoneticPr fontId="4" type="noConversion"/>
  </si>
  <si>
    <t>입소자
부담금</t>
    <phoneticPr fontId="4" type="noConversion"/>
  </si>
  <si>
    <t>잡수입</t>
    <phoneticPr fontId="4" type="noConversion"/>
  </si>
  <si>
    <t>비  용</t>
  </si>
  <si>
    <t>보조금
(4종)</t>
    <phoneticPr fontId="4" type="noConversion"/>
  </si>
  <si>
    <t>법인
전입금</t>
    <phoneticPr fontId="4" type="noConversion"/>
  </si>
  <si>
    <t>이월금</t>
    <phoneticPr fontId="4" type="noConversion"/>
  </si>
  <si>
    <t xml:space="preserve">총  계 : </t>
    <phoneticPr fontId="4" type="noConversion"/>
  </si>
  <si>
    <t>※ 이월 사업비</t>
    <phoneticPr fontId="4" type="noConversion"/>
  </si>
  <si>
    <t>합계:</t>
    <phoneticPr fontId="4" type="noConversion"/>
  </si>
  <si>
    <t>후원금</t>
    <phoneticPr fontId="4" type="noConversion"/>
  </si>
  <si>
    <t>법인</t>
    <phoneticPr fontId="4" type="noConversion"/>
  </si>
  <si>
    <t>전입금</t>
    <phoneticPr fontId="4" type="noConversion"/>
  </si>
  <si>
    <t>기타</t>
    <phoneticPr fontId="4" type="noConversion"/>
  </si>
  <si>
    <t>예금</t>
    <phoneticPr fontId="4" type="noConversion"/>
  </si>
  <si>
    <t>이자</t>
    <phoneticPr fontId="4" type="noConversion"/>
  </si>
  <si>
    <t>불용품</t>
    <phoneticPr fontId="4" type="noConversion"/>
  </si>
  <si>
    <t>입   소</t>
    <phoneticPr fontId="4" type="noConversion"/>
  </si>
  <si>
    <t>계
(B)</t>
    <phoneticPr fontId="4" type="noConversion"/>
  </si>
  <si>
    <t>금액
(B-A)</t>
    <phoneticPr fontId="4" type="noConversion"/>
  </si>
  <si>
    <t>합  계 :</t>
    <phoneticPr fontId="4" type="noConversion"/>
  </si>
  <si>
    <t>부담금</t>
    <phoneticPr fontId="4" type="noConversion"/>
  </si>
  <si>
    <t>업   무</t>
    <phoneticPr fontId="4" type="noConversion"/>
  </si>
  <si>
    <t>경      비</t>
    <phoneticPr fontId="4" type="noConversion"/>
  </si>
  <si>
    <t>2. 재활프로그램(난타)이월금</t>
    <phoneticPr fontId="4" type="noConversion"/>
  </si>
  <si>
    <t>*입소자 구료비(특별피복비)</t>
    <phoneticPr fontId="4" type="noConversion"/>
  </si>
  <si>
    <t>1. 사회적응프로그램(A)</t>
    <phoneticPr fontId="4" type="noConversion"/>
  </si>
  <si>
    <t>2. 사회적응프로그램(B)</t>
    <phoneticPr fontId="4" type="noConversion"/>
  </si>
  <si>
    <t>프로그램</t>
    <phoneticPr fontId="4" type="noConversion"/>
  </si>
  <si>
    <t>사업비</t>
    <phoneticPr fontId="4" type="noConversion"/>
  </si>
  <si>
    <t>※ 프로그램사업비 합계</t>
    <phoneticPr fontId="4" type="noConversion"/>
  </si>
  <si>
    <t>원</t>
    <phoneticPr fontId="4" type="noConversion"/>
  </si>
  <si>
    <t>A. 가정연계 지원사업</t>
    <phoneticPr fontId="4" type="noConversion"/>
  </si>
  <si>
    <t>소  계 :</t>
    <phoneticPr fontId="4" type="noConversion"/>
  </si>
  <si>
    <t>B. 사회적응지원사업비</t>
    <phoneticPr fontId="4" type="noConversion"/>
  </si>
  <si>
    <t>C. 원내행사 지원사업비</t>
    <phoneticPr fontId="4" type="noConversion"/>
  </si>
  <si>
    <t>1. 추석/설날 명절 행사</t>
    <phoneticPr fontId="4" type="noConversion"/>
  </si>
  <si>
    <t>2. 가을체육대회</t>
    <phoneticPr fontId="4" type="noConversion"/>
  </si>
  <si>
    <t xml:space="preserve">3. 개원기념일 </t>
    <phoneticPr fontId="4" type="noConversion"/>
  </si>
  <si>
    <t>4. 연말 송년회</t>
    <phoneticPr fontId="4" type="noConversion"/>
  </si>
  <si>
    <t>5. 미귀가 이용인 프로그램</t>
    <phoneticPr fontId="4" type="noConversion"/>
  </si>
  <si>
    <t>D. 일상생활 지원사업비</t>
    <phoneticPr fontId="4" type="noConversion"/>
  </si>
  <si>
    <t>2. 합창동아리</t>
    <phoneticPr fontId="4" type="noConversion"/>
  </si>
  <si>
    <t>3. 댄스스포츠</t>
    <phoneticPr fontId="4" type="noConversion"/>
  </si>
  <si>
    <t>4. 여가활동 프로그램(B1대상 작업시간외 P/G)</t>
    <phoneticPr fontId="4" type="noConversion"/>
  </si>
  <si>
    <t>5. 생일잔치</t>
    <phoneticPr fontId="4" type="noConversion"/>
  </si>
  <si>
    <t>명</t>
    <phoneticPr fontId="4" type="noConversion"/>
  </si>
  <si>
    <t>E. 재활프로그램 사업비</t>
    <phoneticPr fontId="4" type="noConversion"/>
  </si>
  <si>
    <t>1. 레인보우</t>
    <phoneticPr fontId="4" type="noConversion"/>
  </si>
  <si>
    <t>2. 미술치료</t>
    <phoneticPr fontId="4" type="noConversion"/>
  </si>
  <si>
    <t>3. 원예치료</t>
    <phoneticPr fontId="4" type="noConversion"/>
  </si>
  <si>
    <t>4. 음악치료</t>
    <phoneticPr fontId="4" type="noConversion"/>
  </si>
  <si>
    <t>5. 산타클로스</t>
    <phoneticPr fontId="4" type="noConversion"/>
  </si>
  <si>
    <t>F. 지역사회연계 사업비</t>
    <phoneticPr fontId="4" type="noConversion"/>
  </si>
  <si>
    <t>1. 부활절 부활계란 나눔행사</t>
    <phoneticPr fontId="4" type="noConversion"/>
  </si>
  <si>
    <t>2. 빈자리축제</t>
    <phoneticPr fontId="4" type="noConversion"/>
  </si>
  <si>
    <t>3. 비둘기캠프</t>
    <phoneticPr fontId="4" type="noConversion"/>
  </si>
  <si>
    <t>4. 경로잔치</t>
    <phoneticPr fontId="4" type="noConversion"/>
  </si>
  <si>
    <t>G. 질보장 지원사업</t>
    <phoneticPr fontId="4" type="noConversion"/>
  </si>
  <si>
    <t>1. 자치회의</t>
    <phoneticPr fontId="4" type="noConversion"/>
  </si>
  <si>
    <t>2. 생활실 환경미화</t>
    <phoneticPr fontId="4" type="noConversion"/>
  </si>
  <si>
    <t>원</t>
    <phoneticPr fontId="4" type="noConversion"/>
  </si>
  <si>
    <t>소  계 :</t>
    <phoneticPr fontId="4" type="noConversion"/>
  </si>
  <si>
    <t>H. 특화사업</t>
    <phoneticPr fontId="4" type="noConversion"/>
  </si>
  <si>
    <t>1. 봉사동아리</t>
    <phoneticPr fontId="4" type="noConversion"/>
  </si>
  <si>
    <t>2. 난타</t>
    <phoneticPr fontId="4" type="noConversion"/>
  </si>
  <si>
    <t>3. 콰이어차임</t>
    <phoneticPr fontId="4" type="noConversion"/>
  </si>
  <si>
    <t>4. 야구동아리</t>
    <phoneticPr fontId="4" type="noConversion"/>
  </si>
  <si>
    <t>1. 경기도재활프로그램사업(주말농장 : 보조금 \5,990,000)</t>
    <phoneticPr fontId="4" type="noConversion"/>
  </si>
  <si>
    <t xml:space="preserve"> *예금이자(운영비)</t>
    <phoneticPr fontId="4" type="noConversion"/>
  </si>
  <si>
    <t xml:space="preserve"> *예금이자(4종)</t>
    <phoneticPr fontId="4" type="noConversion"/>
  </si>
  <si>
    <t xml:space="preserve"> *예금이자(7종)</t>
    <phoneticPr fontId="4" type="noConversion"/>
  </si>
  <si>
    <t>보조금
(7종/재활)</t>
    <phoneticPr fontId="4" type="noConversion"/>
  </si>
  <si>
    <t>I. 물리치료실 몸짱 프로그램</t>
    <phoneticPr fontId="4" type="noConversion"/>
  </si>
  <si>
    <t>=</t>
    <phoneticPr fontId="4" type="noConversion"/>
  </si>
  <si>
    <t>자담</t>
    <phoneticPr fontId="4" type="noConversion"/>
  </si>
  <si>
    <t>3.특별피복비(도비4종)</t>
    <phoneticPr fontId="4" type="noConversion"/>
  </si>
  <si>
    <t>회</t>
    <phoneticPr fontId="4" type="noConversion"/>
  </si>
  <si>
    <t>4.피복비</t>
    <phoneticPr fontId="4" type="noConversion"/>
  </si>
  <si>
    <t>※ 피복비</t>
  </si>
  <si>
    <t>※ 의료비</t>
    <phoneticPr fontId="4" type="noConversion"/>
  </si>
  <si>
    <t>3.이용인/직원/봉사자 등 구충제</t>
    <phoneticPr fontId="4" type="noConversion"/>
  </si>
  <si>
    <t>자담</t>
    <phoneticPr fontId="4" type="noConversion"/>
  </si>
  <si>
    <t>1. 생활실 숙소 및 물리치료실 운동</t>
    <phoneticPr fontId="4" type="noConversion"/>
  </si>
  <si>
    <t>3. 등산(식대 및 간식)</t>
    <phoneticPr fontId="4" type="noConversion"/>
  </si>
  <si>
    <t>4. 마라톤 참가비 및 식대, 간식비</t>
    <phoneticPr fontId="4" type="noConversion"/>
  </si>
  <si>
    <t>j. 이용인 성교육</t>
    <phoneticPr fontId="4" type="noConversion"/>
  </si>
  <si>
    <t>1. 성교육 강사비</t>
    <phoneticPr fontId="4" type="noConversion"/>
  </si>
  <si>
    <t>2. 이용인 성교육(식대 및 다과비 등)</t>
    <phoneticPr fontId="4" type="noConversion"/>
  </si>
  <si>
    <t>3.물리치료실 사지압박순환 치료기</t>
    <phoneticPr fontId="4" type="noConversion"/>
  </si>
  <si>
    <t>1.일반피복비(아쿠아로빅 수영복 포함)</t>
    <phoneticPr fontId="4" type="noConversion"/>
  </si>
  <si>
    <t>신규 그룹홈/체험홈 1개소 설치 합계 :</t>
    <phoneticPr fontId="4" type="noConversion"/>
  </si>
  <si>
    <t>* 아파트 구입 및 부대비용</t>
    <phoneticPr fontId="4" type="noConversion"/>
  </si>
  <si>
    <t>원</t>
    <phoneticPr fontId="4" type="noConversion"/>
  </si>
  <si>
    <t>* 우수직원 포상금(12월)</t>
    <phoneticPr fontId="4" type="noConversion"/>
  </si>
  <si>
    <t>3.종사자퇴직금적립금</t>
    <phoneticPr fontId="4" type="noConversion"/>
  </si>
  <si>
    <t>4.종사자사회보험부담금</t>
    <phoneticPr fontId="4" type="noConversion"/>
  </si>
  <si>
    <t>÷</t>
  </si>
  <si>
    <t xml:space="preserve"> A.경상보조금 33명</t>
    <phoneticPr fontId="4" type="noConversion"/>
  </si>
  <si>
    <t>자담</t>
    <phoneticPr fontId="4" type="noConversion"/>
  </si>
  <si>
    <t>* 공익근무요원(회식 및 감사패 등)</t>
    <phoneticPr fontId="4" type="noConversion"/>
  </si>
  <si>
    <t>추진비</t>
    <phoneticPr fontId="4" type="noConversion"/>
  </si>
  <si>
    <t>업무추진비</t>
    <phoneticPr fontId="4" type="noConversion"/>
  </si>
  <si>
    <t>※ 직책보조비</t>
    <phoneticPr fontId="4" type="noConversion"/>
  </si>
  <si>
    <t>소계:</t>
    <phoneticPr fontId="4" type="noConversion"/>
  </si>
  <si>
    <t>* 유관기관경조사비,무료봉사진료기관감사선물비등</t>
    <phoneticPr fontId="4" type="noConversion"/>
  </si>
  <si>
    <t>인건비</t>
    <phoneticPr fontId="4" type="noConversion"/>
  </si>
  <si>
    <t>사무비</t>
    <phoneticPr fontId="4" type="noConversion"/>
  </si>
  <si>
    <t>세출총계</t>
    <phoneticPr fontId="4" type="noConversion"/>
  </si>
  <si>
    <t>운영비</t>
    <phoneticPr fontId="4" type="noConversion"/>
  </si>
  <si>
    <t xml:space="preserve"> * 시설장 출장여비</t>
    <phoneticPr fontId="4" type="noConversion"/>
  </si>
  <si>
    <t>법인</t>
    <phoneticPr fontId="4" type="noConversion"/>
  </si>
  <si>
    <t xml:space="preserve"> * 교육 및 출장여비</t>
    <phoneticPr fontId="4" type="noConversion"/>
  </si>
  <si>
    <t>명</t>
  </si>
  <si>
    <t>회</t>
    <phoneticPr fontId="4" type="noConversion"/>
  </si>
  <si>
    <t>2. 복사용지 구입</t>
    <phoneticPr fontId="4" type="noConversion"/>
  </si>
  <si>
    <t>3. 프린터 터너, 잉크 등</t>
    <phoneticPr fontId="4" type="noConversion"/>
  </si>
  <si>
    <t>4. 인쇄비(회지, 사업계획 및 평가서 등)</t>
    <phoneticPr fontId="4" type="noConversion"/>
  </si>
  <si>
    <t>5. 소규모수선비(시설잡자재, 전산장비 등)</t>
    <phoneticPr fontId="4" type="noConversion"/>
  </si>
  <si>
    <t>6. 주차료, 통행료, 택배료, 김장 운송비 등</t>
    <phoneticPr fontId="4" type="noConversion"/>
  </si>
  <si>
    <t>7.주방 소모품비</t>
    <phoneticPr fontId="4" type="noConversion"/>
  </si>
  <si>
    <t>8.주방식기세척기 린스, 세제, 유지방분해제 구입비</t>
    <phoneticPr fontId="4" type="noConversion"/>
  </si>
  <si>
    <t>9.홈페이지 유지관리(도메인/호스트/ 유지보수비)</t>
    <phoneticPr fontId="4" type="noConversion"/>
  </si>
  <si>
    <t>10. 기타 수용비 및 수수료</t>
    <phoneticPr fontId="4" type="noConversion"/>
  </si>
  <si>
    <t>11. 체험홈 APT관리비</t>
    <phoneticPr fontId="4" type="noConversion"/>
  </si>
  <si>
    <t>12. 크리스마스 트리장식</t>
    <phoneticPr fontId="4" type="noConversion"/>
  </si>
  <si>
    <t>13. 퇴직연금 관리 수수료</t>
    <phoneticPr fontId="4" type="noConversion"/>
  </si>
  <si>
    <t>14. CMS가입비,보증보험료,이용료</t>
    <phoneticPr fontId="4" type="noConversion"/>
  </si>
  <si>
    <t>2.차량검사비</t>
    <phoneticPr fontId="4" type="noConversion"/>
  </si>
  <si>
    <t xml:space="preserve"> 3)워크숍, 연찬회 등</t>
    <phoneticPr fontId="4" type="noConversion"/>
  </si>
  <si>
    <t xml:space="preserve"> 1)국립재활원, 한장협, 경장협, 등 </t>
    <phoneticPr fontId="4" type="noConversion"/>
  </si>
  <si>
    <t xml:space="preserve"> 3)응급처치 및 안전교육</t>
    <phoneticPr fontId="4" type="noConversion"/>
  </si>
  <si>
    <t xml:space="preserve"> 4)직무교육(욕구조사 후 4회)</t>
    <phoneticPr fontId="4" type="noConversion"/>
  </si>
  <si>
    <t xml:space="preserve"> 5)독서통신교육</t>
    <phoneticPr fontId="4" type="noConversion"/>
  </si>
  <si>
    <t>법인</t>
    <phoneticPr fontId="4" type="noConversion"/>
  </si>
  <si>
    <t>보조</t>
    <phoneticPr fontId="4" type="noConversion"/>
  </si>
  <si>
    <t>법인</t>
    <phoneticPr fontId="4" type="noConversion"/>
  </si>
  <si>
    <t>7.직무관련교재구입</t>
    <phoneticPr fontId="4" type="noConversion"/>
  </si>
  <si>
    <t>* 우수직원 해외연수</t>
    <phoneticPr fontId="4" type="noConversion"/>
  </si>
  <si>
    <t>재산조성비</t>
    <phoneticPr fontId="4" type="noConversion"/>
  </si>
  <si>
    <t>계</t>
    <phoneticPr fontId="4" type="noConversion"/>
  </si>
  <si>
    <t>시설비</t>
    <phoneticPr fontId="4" type="noConversion"/>
  </si>
  <si>
    <t>수수료</t>
    <phoneticPr fontId="4" type="noConversion"/>
  </si>
  <si>
    <t>1.4층 정원 천막보수비</t>
    <phoneticPr fontId="4" type="noConversion"/>
  </si>
  <si>
    <t>1.신규 그룹홈/체험홈 1개소 아파트 구입 및 부대비용</t>
    <phoneticPr fontId="4" type="noConversion"/>
  </si>
  <si>
    <t>2.신규 그룹홈/체험홈 환경 구성비(비품, 수리 등)</t>
    <phoneticPr fontId="4" type="noConversion"/>
  </si>
  <si>
    <t>4.주방 야채 절단기</t>
    <phoneticPr fontId="4" type="noConversion"/>
  </si>
  <si>
    <t>5.주방 수냉식 에어컨</t>
    <phoneticPr fontId="4" type="noConversion"/>
  </si>
  <si>
    <t>6.식품압축기(잔반처리)</t>
    <phoneticPr fontId="4" type="noConversion"/>
  </si>
  <si>
    <t xml:space="preserve">7.기타 </t>
    <phoneticPr fontId="4" type="noConversion"/>
  </si>
  <si>
    <t>3.물리치료기기 수리비</t>
    <phoneticPr fontId="4" type="noConversion"/>
  </si>
  <si>
    <t>4.기타 시설물 관리 및 보수비</t>
    <phoneticPr fontId="4" type="noConversion"/>
  </si>
  <si>
    <t>사업비</t>
    <phoneticPr fontId="4" type="noConversion"/>
  </si>
  <si>
    <t>계</t>
    <phoneticPr fontId="4" type="noConversion"/>
  </si>
  <si>
    <t>3.입소자 부식비</t>
    <phoneticPr fontId="4" type="noConversion"/>
  </si>
  <si>
    <t>4.입소자 간식비</t>
    <phoneticPr fontId="4" type="noConversion"/>
  </si>
  <si>
    <t>5.입소자 구료비(특별급식비)</t>
    <phoneticPr fontId="4" type="noConversion"/>
  </si>
  <si>
    <t>6.특별위로금(설날,추석)</t>
    <phoneticPr fontId="4" type="noConversion"/>
  </si>
  <si>
    <t xml:space="preserve">7.월동대책비(수급자급여) </t>
    <phoneticPr fontId="4" type="noConversion"/>
  </si>
  <si>
    <t>경비</t>
    <phoneticPr fontId="4" type="noConversion"/>
  </si>
  <si>
    <t>6. 기타 수용기관경비</t>
    <phoneticPr fontId="4" type="noConversion"/>
  </si>
  <si>
    <t>4.물리치료용품(치료용겔/초음파겔/테이핑 테이프 등)</t>
    <phoneticPr fontId="4" type="noConversion"/>
  </si>
  <si>
    <t>3. 체험홈 취사용 가스 등</t>
    <phoneticPr fontId="4" type="noConversion"/>
  </si>
  <si>
    <t>2. 어버이날 행사</t>
    <phoneticPr fontId="4" type="noConversion"/>
  </si>
  <si>
    <t>3. 여름캠프(보조금 \2,000,000)</t>
    <phoneticPr fontId="4" type="noConversion"/>
  </si>
  <si>
    <t>5. 자원봉사자 가을나들이</t>
    <phoneticPr fontId="4" type="noConversion"/>
  </si>
  <si>
    <t>조성비</t>
    <phoneticPr fontId="4" type="noConversion"/>
  </si>
  <si>
    <t xml:space="preserve">  *결연후원금</t>
    <phoneticPr fontId="4" type="noConversion"/>
  </si>
  <si>
    <t>보조금</t>
    <phoneticPr fontId="4" type="noConversion"/>
  </si>
  <si>
    <t>반환금</t>
    <phoneticPr fontId="4" type="noConversion"/>
  </si>
  <si>
    <t>반환금</t>
    <phoneticPr fontId="4" type="noConversion"/>
  </si>
  <si>
    <t>보조금 반환금</t>
    <phoneticPr fontId="4" type="noConversion"/>
  </si>
  <si>
    <t>※ 보조금 반환금(수원시)</t>
    <phoneticPr fontId="4" type="noConversion"/>
  </si>
  <si>
    <t>2.보조금(운영비/생계비) 예금이자</t>
    <phoneticPr fontId="4" type="noConversion"/>
  </si>
  <si>
    <t>3.보조금(4종)이월금</t>
    <phoneticPr fontId="4" type="noConversion"/>
  </si>
  <si>
    <t>4.보조금(4종) 예금이자</t>
    <phoneticPr fontId="4" type="noConversion"/>
  </si>
  <si>
    <t>5.보조금(7종) 이월금</t>
    <phoneticPr fontId="4" type="noConversion"/>
  </si>
  <si>
    <t>6.보조금(7종) 예금이자</t>
    <phoneticPr fontId="4" type="noConversion"/>
  </si>
  <si>
    <t>7.재활프로그램(난타) 보조금 이월액</t>
    <phoneticPr fontId="4" type="noConversion"/>
  </si>
  <si>
    <t>1. 부모회의(교육 및 다과비)</t>
    <phoneticPr fontId="4" type="noConversion"/>
  </si>
  <si>
    <t xml:space="preserve"> 1)직장내 성희롱 예방교육(7종)</t>
    <phoneticPr fontId="4" type="noConversion"/>
  </si>
  <si>
    <t xml:space="preserve"> 2)장애인 인권교육(7종)</t>
    <phoneticPr fontId="4" type="noConversion"/>
  </si>
  <si>
    <t>2.생활실 도배 및 장판(환경개선사업비)</t>
    <phoneticPr fontId="4" type="noConversion"/>
  </si>
  <si>
    <t>4.자부담금(후원금)</t>
    <phoneticPr fontId="4" type="noConversion"/>
  </si>
  <si>
    <t xml:space="preserve">  가.특수근무수당 퇴직금적립금</t>
    <phoneticPr fontId="4" type="noConversion"/>
  </si>
  <si>
    <t xml:space="preserve">  나.퇴직금적립금 시설유보액</t>
    <phoneticPr fontId="4" type="noConversion"/>
  </si>
  <si>
    <t>3.직원 기타후생경비</t>
    <phoneticPr fontId="4" type="noConversion"/>
  </si>
  <si>
    <t>4.신규 그룹홈/체험홈 1개소 설치</t>
    <phoneticPr fontId="4" type="noConversion"/>
  </si>
  <si>
    <t>5.직원 연수 및 교육훈련비</t>
    <phoneticPr fontId="4" type="noConversion"/>
  </si>
  <si>
    <t xml:space="preserve">6.기타 운영비 </t>
    <phoneticPr fontId="4" type="noConversion"/>
  </si>
  <si>
    <t>7.회의비</t>
    <phoneticPr fontId="4" type="noConversion"/>
  </si>
  <si>
    <t>후원</t>
    <phoneticPr fontId="4" type="noConversion"/>
  </si>
  <si>
    <t>8.직원급식비(생활)</t>
    <phoneticPr fontId="4" type="noConversion"/>
  </si>
  <si>
    <t>9.직원급식비(직재)</t>
    <phoneticPr fontId="4" type="noConversion"/>
  </si>
  <si>
    <t>10.식권수입</t>
    <phoneticPr fontId="4" type="noConversion"/>
  </si>
  <si>
    <t>2. 아쿠아로빅(강사비 및 입장료)</t>
    <phoneticPr fontId="4" type="noConversion"/>
  </si>
  <si>
    <t>3.차량정비 및  관리비, 소모품</t>
    <phoneticPr fontId="4" type="noConversion"/>
  </si>
  <si>
    <t>6. 몸짱 나들이</t>
    <phoneticPr fontId="4" type="noConversion"/>
  </si>
  <si>
    <t>8.재활프로그램(난타) 예금이자</t>
    <phoneticPr fontId="4" type="noConversion"/>
  </si>
  <si>
    <t>보조금
(운영/생계)</t>
    <phoneticPr fontId="4" type="noConversion"/>
  </si>
  <si>
    <t>보조금
(7종/재활)</t>
    <phoneticPr fontId="4" type="noConversion"/>
  </si>
  <si>
    <t>유지비</t>
    <phoneticPr fontId="4" type="noConversion"/>
  </si>
  <si>
    <t>보조금반환</t>
    <phoneticPr fontId="29" type="noConversion"/>
  </si>
  <si>
    <t>* 해외여행 프로그램 지원</t>
    <phoneticPr fontId="4" type="noConversion"/>
  </si>
  <si>
    <t>8.사회적응 프로그램 지원금</t>
    <phoneticPr fontId="4" type="noConversion"/>
  </si>
  <si>
    <t>법인</t>
    <phoneticPr fontId="4" type="noConversion"/>
  </si>
  <si>
    <t>원</t>
    <phoneticPr fontId="4" type="noConversion"/>
  </si>
  <si>
    <t>법인</t>
    <phoneticPr fontId="4" type="noConversion"/>
  </si>
  <si>
    <t>5. 해외여행 프로그램(직원 지원/이용자 본인부담)</t>
    <phoneticPr fontId="4" type="noConversion"/>
  </si>
  <si>
    <t>※ 인건비수입(30명)</t>
    <phoneticPr fontId="4" type="noConversion"/>
  </si>
  <si>
    <t xml:space="preserve"> *경상보조금 30명</t>
    <phoneticPr fontId="4" type="noConversion"/>
  </si>
  <si>
    <t xml:space="preserve">   D.특수근무수당 : 30명 + 2명 = 32명</t>
    <phoneticPr fontId="4" type="noConversion"/>
  </si>
  <si>
    <t>1.경상보조금 (종사자30명)</t>
    <phoneticPr fontId="4" type="noConversion"/>
  </si>
  <si>
    <t xml:space="preserve"> A.경상보조금 30명</t>
    <phoneticPr fontId="4" type="noConversion"/>
  </si>
  <si>
    <t>4.특수근무수당(7종) : 32명</t>
    <phoneticPr fontId="4" type="noConversion"/>
  </si>
  <si>
    <t>1.경상보조금 30명</t>
    <phoneticPr fontId="4" type="noConversion"/>
  </si>
  <si>
    <t>2012년 1차 추경 예산액(단위:천원)</t>
    <phoneticPr fontId="4" type="noConversion"/>
  </si>
  <si>
    <t>2012년
본예산액(A)
(단위:천원)</t>
    <phoneticPr fontId="4" type="noConversion"/>
  </si>
  <si>
    <t>4. 가을여행(보조금 \1,500,000)</t>
    <phoneticPr fontId="4" type="noConversion"/>
  </si>
  <si>
    <t>※ 입소비용수입</t>
    <phoneticPr fontId="4" type="noConversion"/>
  </si>
  <si>
    <t>※ 총 계</t>
    <phoneticPr fontId="4" type="noConversion"/>
  </si>
  <si>
    <t>원</t>
    <phoneticPr fontId="4" type="noConversion"/>
  </si>
  <si>
    <t>5. 재활승마(수원시 보조금으로 진행 \2,000,000)</t>
    <phoneticPr fontId="4" type="noConversion"/>
  </si>
  <si>
    <t>2012년
본예산액
(단위:천원)</t>
    <phoneticPr fontId="4" type="noConversion"/>
  </si>
  <si>
    <t>2012년 1차 추경 예산액(단위:천원)</t>
    <phoneticPr fontId="4" type="noConversion"/>
  </si>
  <si>
    <t>6. 요리경연대회 참가</t>
    <phoneticPr fontId="4" type="noConversion"/>
  </si>
  <si>
    <t>원</t>
    <phoneticPr fontId="4" type="noConversion"/>
  </si>
  <si>
    <t>(후원 : 200,000)</t>
    <phoneticPr fontId="4" type="noConversion"/>
  </si>
  <si>
    <t>k. 기타 프로그램 운영비</t>
    <phoneticPr fontId="4" type="noConversion"/>
  </si>
  <si>
    <t>2012년
본예산</t>
    <phoneticPr fontId="29" type="noConversion"/>
  </si>
  <si>
    <t>2012년
1차 추경 예산</t>
    <phoneticPr fontId="29" type="noConversion"/>
  </si>
  <si>
    <t>□ 2012년도 세 입 · 세 출 총  괄  표</t>
    <phoneticPr fontId="29" type="noConversion"/>
  </si>
</sst>
</file>

<file path=xl/styles.xml><?xml version="1.0" encoding="utf-8"?>
<styleSheet xmlns="http://schemas.openxmlformats.org/spreadsheetml/2006/main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</numFmts>
  <fonts count="3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Fill="0" applyAlignment="0">
      <alignment vertical="center"/>
    </xf>
    <xf numFmtId="9" fontId="3" fillId="0" borderId="0" applyFont="0" applyFill="0" applyAlignment="0" applyProtection="0">
      <alignment vertical="center"/>
    </xf>
    <xf numFmtId="41" fontId="3" fillId="0" borderId="0" applyFont="0" applyFill="0" applyAlignment="0" applyProtection="0">
      <alignment vertical="center"/>
    </xf>
    <xf numFmtId="0" fontId="3" fillId="0" borderId="0" applyFill="0" applyAlignment="0"/>
    <xf numFmtId="0" fontId="6" fillId="0" borderId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57">
    <xf numFmtId="0" fontId="0" fillId="0" borderId="0" xfId="0" applyFill="1" applyAlignment="1">
      <alignment vertical="center"/>
    </xf>
    <xf numFmtId="0" fontId="5" fillId="0" borderId="0" xfId="3" applyFont="1" applyFill="1" applyAlignment="1">
      <alignment vertical="center"/>
    </xf>
    <xf numFmtId="176" fontId="5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41" fontId="5" fillId="0" borderId="0" xfId="2" applyFont="1" applyFill="1" applyAlignment="1">
      <alignment vertical="center"/>
    </xf>
    <xf numFmtId="41" fontId="5" fillId="0" borderId="0" xfId="2" applyFont="1" applyFill="1" applyBorder="1" applyAlignment="1">
      <alignment vertical="center"/>
    </xf>
    <xf numFmtId="0" fontId="5" fillId="0" borderId="0" xfId="3" applyFont="1" applyFill="1" applyAlignment="1">
      <alignment horizontal="center" vertical="center" wrapText="1"/>
    </xf>
    <xf numFmtId="41" fontId="5" fillId="0" borderId="0" xfId="2" applyFont="1" applyFill="1" applyAlignment="1">
      <alignment horizontal="center" vertical="center"/>
    </xf>
    <xf numFmtId="178" fontId="5" fillId="0" borderId="0" xfId="3" applyNumberFormat="1" applyFont="1" applyFill="1" applyAlignment="1">
      <alignment vertical="center"/>
    </xf>
    <xf numFmtId="177" fontId="5" fillId="0" borderId="0" xfId="3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9" fontId="5" fillId="0" borderId="0" xfId="3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176" fontId="8" fillId="0" borderId="0" xfId="3" applyNumberFormat="1" applyFont="1" applyFill="1" applyAlignment="1">
      <alignment vertical="center"/>
    </xf>
    <xf numFmtId="38" fontId="5" fillId="0" borderId="0" xfId="3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5" fillId="0" borderId="0" xfId="3" applyFont="1" applyFill="1" applyBorder="1" applyAlignment="1">
      <alignment horizontal="center" vertical="center" wrapText="1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3" xfId="3" applyNumberFormat="1" applyFont="1" applyFill="1" applyBorder="1" applyAlignment="1">
      <alignment vertical="center"/>
    </xf>
    <xf numFmtId="177" fontId="11" fillId="0" borderId="23" xfId="3" applyNumberFormat="1" applyFont="1" applyFill="1" applyBorder="1" applyAlignment="1">
      <alignment vertical="center"/>
    </xf>
    <xf numFmtId="9" fontId="11" fillId="0" borderId="2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2" xfId="3" applyNumberFormat="1" applyFont="1" applyFill="1" applyBorder="1" applyAlignment="1">
      <alignment vertical="center"/>
    </xf>
    <xf numFmtId="176" fontId="14" fillId="0" borderId="24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178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1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76" fontId="14" fillId="0" borderId="32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4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4" fillId="0" borderId="35" xfId="3" applyFont="1" applyFill="1" applyBorder="1" applyAlignment="1">
      <alignment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0" fontId="17" fillId="0" borderId="29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176" fontId="18" fillId="0" borderId="31" xfId="3" applyNumberFormat="1" applyFont="1" applyFill="1" applyBorder="1" applyAlignment="1">
      <alignment vertical="center"/>
    </xf>
    <xf numFmtId="176" fontId="17" fillId="0" borderId="31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9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40" xfId="3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8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left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177" fontId="11" fillId="0" borderId="14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41" fontId="11" fillId="0" borderId="14" xfId="2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176" fontId="20" fillId="0" borderId="31" xfId="3" applyNumberFormat="1" applyFont="1" applyFill="1" applyBorder="1" applyAlignment="1">
      <alignment vertical="center"/>
    </xf>
    <xf numFmtId="176" fontId="19" fillId="0" borderId="31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horizontal="right" vertical="center"/>
    </xf>
    <xf numFmtId="176" fontId="19" fillId="0" borderId="36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30" xfId="3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4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1" fontId="24" fillId="0" borderId="0" xfId="1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7" fontId="24" fillId="0" borderId="0" xfId="3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179" fontId="11" fillId="0" borderId="0" xfId="1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6" xfId="3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5" xfId="3" applyFont="1" applyFill="1" applyBorder="1" applyAlignment="1">
      <alignment vertical="center"/>
    </xf>
    <xf numFmtId="177" fontId="13" fillId="0" borderId="13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14" fillId="0" borderId="42" xfId="3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right" vertical="center"/>
    </xf>
    <xf numFmtId="176" fontId="13" fillId="0" borderId="32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2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0" fontId="13" fillId="0" borderId="37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8" fontId="11" fillId="0" borderId="27" xfId="3" applyNumberFormat="1" applyFont="1" applyFill="1" applyBorder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11" fillId="0" borderId="43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8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176" fontId="11" fillId="0" borderId="32" xfId="3" applyNumberFormat="1" applyFont="1" applyFill="1" applyBorder="1" applyAlignment="1">
      <alignment vertical="center"/>
    </xf>
    <xf numFmtId="9" fontId="11" fillId="0" borderId="0" xfId="3" applyNumberFormat="1" applyFont="1" applyFill="1" applyBorder="1" applyAlignment="1">
      <alignment vertical="center"/>
    </xf>
    <xf numFmtId="0" fontId="27" fillId="0" borderId="1" xfId="3" applyFont="1" applyFill="1" applyBorder="1" applyAlignment="1">
      <alignment horizontal="center" vertical="center" wrapText="1"/>
    </xf>
    <xf numFmtId="38" fontId="27" fillId="0" borderId="1" xfId="3" applyNumberFormat="1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vertical="center"/>
    </xf>
    <xf numFmtId="176" fontId="12" fillId="0" borderId="38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38" fontId="11" fillId="0" borderId="14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38" fontId="11" fillId="0" borderId="31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" fontId="11" fillId="0" borderId="0" xfId="0" applyNumberFormat="1" applyFont="1" applyFill="1" applyAlignment="1">
      <alignment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38" fontId="27" fillId="0" borderId="11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176" fontId="27" fillId="0" borderId="5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178" fontId="11" fillId="0" borderId="0" xfId="0" applyNumberFormat="1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" fillId="0" borderId="0" xfId="5">
      <alignment vertical="center"/>
    </xf>
    <xf numFmtId="0" fontId="28" fillId="0" borderId="0" xfId="5" applyFont="1">
      <alignment vertical="center"/>
    </xf>
    <xf numFmtId="0" fontId="30" fillId="0" borderId="0" xfId="5" applyFont="1" applyAlignment="1">
      <alignment horizontal="right"/>
    </xf>
    <xf numFmtId="41" fontId="0" fillId="0" borderId="11" xfId="6" applyFont="1" applyBorder="1" applyAlignment="1">
      <alignment vertical="center"/>
    </xf>
    <xf numFmtId="182" fontId="0" fillId="0" borderId="37" xfId="6" applyNumberFormat="1" applyFont="1" applyBorder="1" applyAlignment="1">
      <alignment vertical="center"/>
    </xf>
    <xf numFmtId="182" fontId="0" fillId="0" borderId="12" xfId="6" applyNumberFormat="1" applyFont="1" applyBorder="1" applyAlignment="1">
      <alignment vertical="center"/>
    </xf>
    <xf numFmtId="0" fontId="2" fillId="0" borderId="15" xfId="5" applyBorder="1" applyAlignment="1">
      <alignment horizontal="center" vertical="center"/>
    </xf>
    <xf numFmtId="0" fontId="2" fillId="0" borderId="20" xfId="5" applyBorder="1" applyAlignment="1">
      <alignment horizontal="center" vertical="center"/>
    </xf>
    <xf numFmtId="41" fontId="0" fillId="0" borderId="20" xfId="6" applyFont="1" applyBorder="1">
      <alignment vertical="center"/>
    </xf>
    <xf numFmtId="182" fontId="0" fillId="0" borderId="42" xfId="6" applyNumberFormat="1" applyFont="1" applyBorder="1">
      <alignment vertical="center"/>
    </xf>
    <xf numFmtId="182" fontId="0" fillId="0" borderId="18" xfId="6" applyNumberFormat="1" applyFont="1" applyBorder="1">
      <alignment vertical="center"/>
    </xf>
    <xf numFmtId="0" fontId="2" fillId="0" borderId="16" xfId="5" applyBorder="1" applyAlignment="1">
      <alignment horizontal="center" vertical="center"/>
    </xf>
    <xf numFmtId="0" fontId="2" fillId="0" borderId="3" xfId="5" applyBorder="1" applyAlignment="1">
      <alignment horizontal="center" vertical="center"/>
    </xf>
    <xf numFmtId="41" fontId="0" fillId="0" borderId="3" xfId="6" applyFont="1" applyBorder="1">
      <alignment vertical="center"/>
    </xf>
    <xf numFmtId="182" fontId="0" fillId="0" borderId="4" xfId="6" applyNumberFormat="1" applyFont="1" applyBorder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14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6" fillId="0" borderId="31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0" fontId="11" fillId="0" borderId="42" xfId="3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horizontal="right" vertical="center"/>
    </xf>
    <xf numFmtId="176" fontId="11" fillId="0" borderId="46" xfId="3" applyNumberFormat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56" xfId="3" applyNumberFormat="1" applyFont="1" applyFill="1" applyBorder="1" applyAlignment="1">
      <alignment vertical="center"/>
    </xf>
    <xf numFmtId="0" fontId="11" fillId="0" borderId="55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38" fontId="11" fillId="0" borderId="34" xfId="3" applyNumberFormat="1" applyFont="1" applyFill="1" applyBorder="1" applyAlignment="1">
      <alignment vertical="center"/>
    </xf>
    <xf numFmtId="38" fontId="11" fillId="0" borderId="37" xfId="3" applyNumberFormat="1" applyFont="1" applyFill="1" applyBorder="1" applyAlignment="1">
      <alignment vertical="center"/>
    </xf>
    <xf numFmtId="38" fontId="11" fillId="0" borderId="35" xfId="3" applyNumberFormat="1" applyFont="1" applyFill="1" applyBorder="1" applyAlignment="1">
      <alignment vertical="center"/>
    </xf>
    <xf numFmtId="3" fontId="26" fillId="0" borderId="34" xfId="0" applyNumberFormat="1" applyFont="1" applyFill="1" applyBorder="1" applyAlignment="1">
      <alignment vertical="center"/>
    </xf>
    <xf numFmtId="3" fontId="26" fillId="0" borderId="37" xfId="0" applyNumberFormat="1" applyFont="1" applyFill="1" applyBorder="1" applyAlignment="1">
      <alignment vertical="center"/>
    </xf>
    <xf numFmtId="38" fontId="11" fillId="0" borderId="39" xfId="3" applyNumberFormat="1" applyFont="1" applyFill="1" applyBorder="1" applyAlignment="1">
      <alignment vertical="center"/>
    </xf>
    <xf numFmtId="0" fontId="11" fillId="0" borderId="31" xfId="3" applyFont="1" applyFill="1" applyBorder="1" applyAlignment="1">
      <alignment vertical="center"/>
    </xf>
    <xf numFmtId="41" fontId="13" fillId="0" borderId="27" xfId="0" applyNumberFormat="1" applyFont="1" applyFill="1" applyBorder="1" applyAlignment="1">
      <alignment vertical="center"/>
    </xf>
    <xf numFmtId="38" fontId="27" fillId="0" borderId="11" xfId="4" applyNumberFormat="1" applyFont="1" applyFill="1" applyBorder="1" applyAlignment="1">
      <alignment horizontal="center" vertical="center" wrapText="1"/>
    </xf>
    <xf numFmtId="38" fontId="13" fillId="0" borderId="8" xfId="3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vertical="center"/>
    </xf>
    <xf numFmtId="9" fontId="13" fillId="0" borderId="8" xfId="3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0" fontId="13" fillId="0" borderId="45" xfId="3" applyFont="1" applyFill="1" applyBorder="1" applyAlignment="1">
      <alignment vertical="center"/>
    </xf>
    <xf numFmtId="176" fontId="13" fillId="0" borderId="45" xfId="3" applyNumberFormat="1" applyFont="1" applyFill="1" applyBorder="1" applyAlignment="1">
      <alignment vertical="center"/>
    </xf>
    <xf numFmtId="176" fontId="13" fillId="0" borderId="46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42" xfId="3" applyNumberFormat="1" applyFont="1" applyFill="1" applyBorder="1" applyAlignment="1">
      <alignment vertical="center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0" fontId="13" fillId="0" borderId="55" xfId="3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5" fillId="0" borderId="0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vertical="center"/>
    </xf>
    <xf numFmtId="177" fontId="24" fillId="0" borderId="1" xfId="3" applyNumberFormat="1" applyFont="1" applyFill="1" applyBorder="1" applyAlignment="1">
      <alignment vertical="center"/>
    </xf>
    <xf numFmtId="9" fontId="24" fillId="0" borderId="1" xfId="3" applyNumberFormat="1" applyFont="1" applyFill="1" applyBorder="1" applyAlignment="1">
      <alignment horizontal="center" vertical="center"/>
    </xf>
    <xf numFmtId="176" fontId="27" fillId="0" borderId="0" xfId="4" applyNumberFormat="1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41" fontId="11" fillId="0" borderId="0" xfId="2" applyNumberFormat="1" applyFont="1" applyFill="1" applyBorder="1" applyAlignment="1">
      <alignment horizontal="center" vertical="center"/>
    </xf>
    <xf numFmtId="41" fontId="11" fillId="0" borderId="0" xfId="2" applyFont="1" applyFill="1" applyAlignment="1">
      <alignment vertical="center"/>
    </xf>
    <xf numFmtId="0" fontId="13" fillId="0" borderId="55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38" fontId="11" fillId="0" borderId="10" xfId="3" applyNumberFormat="1" applyFont="1" applyFill="1" applyBorder="1" applyAlignment="1">
      <alignment vertical="center"/>
    </xf>
    <xf numFmtId="38" fontId="11" fillId="0" borderId="8" xfId="3" applyNumberFormat="1" applyFont="1" applyFill="1" applyBorder="1" applyAlignment="1">
      <alignment vertical="center"/>
    </xf>
    <xf numFmtId="9" fontId="11" fillId="0" borderId="8" xfId="1" applyFont="1" applyFill="1" applyBorder="1" applyAlignment="1">
      <alignment horizontal="center" vertical="center"/>
    </xf>
    <xf numFmtId="0" fontId="1" fillId="0" borderId="15" xfId="5" applyFont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" fillId="0" borderId="15" xfId="5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2" fillId="0" borderId="2" xfId="5" applyBorder="1" applyAlignment="1">
      <alignment horizontal="center" vertical="center"/>
    </xf>
    <xf numFmtId="0" fontId="2" fillId="0" borderId="33" xfId="5" applyBorder="1" applyAlignment="1">
      <alignment horizontal="center" vertical="center"/>
    </xf>
    <xf numFmtId="0" fontId="2" fillId="0" borderId="17" xfId="5" applyBorder="1" applyAlignment="1">
      <alignment horizontal="center" vertical="center"/>
    </xf>
    <xf numFmtId="0" fontId="2" fillId="0" borderId="53" xfId="5" applyBorder="1" applyAlignment="1">
      <alignment horizontal="center" vertical="center"/>
    </xf>
    <xf numFmtId="0" fontId="2" fillId="0" borderId="31" xfId="5" applyBorder="1" applyAlignment="1">
      <alignment horizontal="center" vertical="center"/>
    </xf>
    <xf numFmtId="0" fontId="2" fillId="0" borderId="25" xfId="5" applyBorder="1" applyAlignment="1">
      <alignment horizontal="center" vertical="center"/>
    </xf>
    <xf numFmtId="0" fontId="2" fillId="0" borderId="0" xfId="5" applyBorder="1" applyAlignment="1">
      <alignment horizontal="center" vertical="center"/>
    </xf>
    <xf numFmtId="0" fontId="2" fillId="0" borderId="47" xfId="5" applyBorder="1" applyAlignment="1">
      <alignment horizontal="center" vertical="center"/>
    </xf>
    <xf numFmtId="0" fontId="2" fillId="0" borderId="13" xfId="5" applyBorder="1" applyAlignment="1">
      <alignment horizontal="center" vertical="center"/>
    </xf>
    <xf numFmtId="0" fontId="2" fillId="0" borderId="11" xfId="5" applyBorder="1" applyAlignment="1">
      <alignment horizontal="center" vertical="center"/>
    </xf>
    <xf numFmtId="0" fontId="2" fillId="0" borderId="15" xfId="5" applyBorder="1" applyAlignment="1">
      <alignment horizontal="center" vertical="center"/>
    </xf>
    <xf numFmtId="0" fontId="31" fillId="0" borderId="44" xfId="5" applyFont="1" applyBorder="1" applyAlignment="1">
      <alignment horizontal="center" vertical="center"/>
    </xf>
    <xf numFmtId="0" fontId="31" fillId="0" borderId="8" xfId="5" applyFont="1" applyBorder="1" applyAlignment="1">
      <alignment horizontal="center" vertical="center"/>
    </xf>
    <xf numFmtId="0" fontId="31" fillId="0" borderId="10" xfId="5" applyFont="1" applyBorder="1" applyAlignment="1">
      <alignment horizontal="center" vertical="center"/>
    </xf>
    <xf numFmtId="0" fontId="31" fillId="0" borderId="9" xfId="5" applyFont="1" applyBorder="1" applyAlignment="1">
      <alignment horizontal="center" vertical="center"/>
    </xf>
    <xf numFmtId="0" fontId="31" fillId="0" borderId="15" xfId="5" applyFont="1" applyBorder="1" applyAlignment="1">
      <alignment horizontal="center" vertical="center"/>
    </xf>
    <xf numFmtId="0" fontId="31" fillId="0" borderId="20" xfId="5" applyFont="1" applyBorder="1" applyAlignment="1">
      <alignment horizontal="center" vertical="center"/>
    </xf>
    <xf numFmtId="0" fontId="31" fillId="0" borderId="49" xfId="5" applyFont="1" applyBorder="1" applyAlignment="1">
      <alignment horizontal="center" vertical="center"/>
    </xf>
    <xf numFmtId="0" fontId="31" fillId="0" borderId="50" xfId="5" applyFont="1" applyBorder="1" applyAlignment="1">
      <alignment horizontal="center" vertical="center"/>
    </xf>
    <xf numFmtId="0" fontId="31" fillId="0" borderId="20" xfId="5" applyFont="1" applyBorder="1" applyAlignment="1">
      <alignment horizontal="center" vertical="center" wrapText="1"/>
    </xf>
    <xf numFmtId="0" fontId="31" fillId="0" borderId="50" xfId="5" applyFont="1" applyBorder="1" applyAlignment="1">
      <alignment horizontal="center" vertical="center" wrapText="1"/>
    </xf>
    <xf numFmtId="0" fontId="31" fillId="0" borderId="42" xfId="5" applyFont="1" applyBorder="1" applyAlignment="1">
      <alignment horizontal="center" vertical="center"/>
    </xf>
    <xf numFmtId="0" fontId="31" fillId="0" borderId="51" xfId="5" applyFont="1" applyBorder="1" applyAlignment="1">
      <alignment horizontal="center" vertical="center"/>
    </xf>
    <xf numFmtId="0" fontId="31" fillId="0" borderId="18" xfId="5" applyFont="1" applyBorder="1" applyAlignment="1">
      <alignment horizontal="center" vertical="center"/>
    </xf>
    <xf numFmtId="0" fontId="31" fillId="0" borderId="52" xfId="5" applyFont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44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178" fontId="12" fillId="0" borderId="8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5" xfId="3" applyNumberFormat="1" applyFont="1" applyFill="1" applyBorder="1" applyAlignment="1">
      <alignment horizontal="center" vertical="center" wrapText="1"/>
    </xf>
    <xf numFmtId="178" fontId="12" fillId="0" borderId="54" xfId="3" applyNumberFormat="1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 wrapText="1"/>
    </xf>
    <xf numFmtId="0" fontId="11" fillId="0" borderId="48" xfId="3" applyFont="1" applyFill="1" applyBorder="1" applyAlignment="1">
      <alignment horizontal="center" vertical="center" wrapText="1"/>
    </xf>
    <xf numFmtId="0" fontId="11" fillId="0" borderId="35" xfId="3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 wrapText="1"/>
    </xf>
    <xf numFmtId="0" fontId="11" fillId="0" borderId="54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13" fillId="0" borderId="35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5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0" fontId="13" fillId="0" borderId="44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2" fillId="0" borderId="29" xfId="3" applyNumberFormat="1" applyFont="1" applyFill="1" applyBorder="1" applyAlignment="1">
      <alignment horizontal="center" vertical="center" wrapText="1"/>
    </xf>
    <xf numFmtId="0" fontId="11" fillId="0" borderId="34" xfId="3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right" vertical="center"/>
    </xf>
    <xf numFmtId="0" fontId="11" fillId="0" borderId="41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</cellXfs>
  <cellStyles count="7">
    <cellStyle name="백분율" xfId="1" builtinId="5"/>
    <cellStyle name="쉼표 [0]" xfId="2" builtinId="6"/>
    <cellStyle name="쉼표 [0] 2" xfId="6"/>
    <cellStyle name="통화 [0]" xfId="3" builtinId="7"/>
    <cellStyle name="표준" xfId="0" builtinId="0"/>
    <cellStyle name="표준 2" xfId="5"/>
    <cellStyle name="표준_2003경기장복예산안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abSelected="1" workbookViewId="0">
      <selection activeCell="F11" sqref="F11"/>
    </sheetView>
  </sheetViews>
  <sheetFormatPr defaultRowHeight="16.5"/>
  <cols>
    <col min="1" max="1" width="1.44140625" style="240" customWidth="1"/>
    <col min="2" max="2" width="11.5546875" style="240" bestFit="1" customWidth="1"/>
    <col min="3" max="3" width="13.33203125" style="240" bestFit="1" customWidth="1"/>
    <col min="4" max="5" width="15.44140625" style="240" bestFit="1" customWidth="1"/>
    <col min="6" max="6" width="14.21875" style="240" bestFit="1" customWidth="1"/>
    <col min="7" max="7" width="9.6640625" style="240" bestFit="1" customWidth="1"/>
    <col min="8" max="8" width="13.33203125" style="240" bestFit="1" customWidth="1"/>
    <col min="9" max="10" width="15.44140625" style="240" bestFit="1" customWidth="1"/>
    <col min="11" max="11" width="13.77734375" style="240" bestFit="1" customWidth="1"/>
    <col min="12" max="16384" width="8.88671875" style="240"/>
  </cols>
  <sheetData>
    <row r="1" spans="2:11" ht="9.9499999999999993" customHeight="1"/>
    <row r="2" spans="2:11" ht="26.25">
      <c r="B2" s="241" t="s">
        <v>648</v>
      </c>
      <c r="K2" s="242" t="s">
        <v>343</v>
      </c>
    </row>
    <row r="3" spans="2:11" ht="9.9499999999999993" customHeight="1" thickBot="1"/>
    <row r="4" spans="2:11" ht="30" customHeight="1">
      <c r="B4" s="395" t="s">
        <v>344</v>
      </c>
      <c r="C4" s="396"/>
      <c r="D4" s="396"/>
      <c r="E4" s="396"/>
      <c r="F4" s="397"/>
      <c r="G4" s="395" t="s">
        <v>345</v>
      </c>
      <c r="H4" s="396"/>
      <c r="I4" s="396"/>
      <c r="J4" s="396"/>
      <c r="K4" s="398"/>
    </row>
    <row r="5" spans="2:11" ht="16.5" customHeight="1">
      <c r="B5" s="399" t="s">
        <v>346</v>
      </c>
      <c r="C5" s="400"/>
      <c r="D5" s="403" t="s">
        <v>646</v>
      </c>
      <c r="E5" s="403" t="s">
        <v>647</v>
      </c>
      <c r="F5" s="405" t="s">
        <v>347</v>
      </c>
      <c r="G5" s="399" t="s">
        <v>346</v>
      </c>
      <c r="H5" s="400"/>
      <c r="I5" s="403" t="s">
        <v>646</v>
      </c>
      <c r="J5" s="403" t="s">
        <v>647</v>
      </c>
      <c r="K5" s="407" t="s">
        <v>347</v>
      </c>
    </row>
    <row r="6" spans="2:11" ht="22.5" customHeight="1" thickBot="1">
      <c r="B6" s="401"/>
      <c r="C6" s="402"/>
      <c r="D6" s="404"/>
      <c r="E6" s="404"/>
      <c r="F6" s="406"/>
      <c r="G6" s="401"/>
      <c r="H6" s="402"/>
      <c r="I6" s="404"/>
      <c r="J6" s="404"/>
      <c r="K6" s="408"/>
    </row>
    <row r="7" spans="2:11" ht="24.95" customHeight="1" thickTop="1">
      <c r="B7" s="386" t="s">
        <v>348</v>
      </c>
      <c r="C7" s="393"/>
      <c r="D7" s="243">
        <f t="shared" ref="D7:E7" si="0">SUM(D8:D16)</f>
        <v>1972552000</v>
      </c>
      <c r="E7" s="243">
        <f t="shared" si="0"/>
        <v>1955397000</v>
      </c>
      <c r="F7" s="244">
        <f>SUM(F8:F16)</f>
        <v>-17155000</v>
      </c>
      <c r="G7" s="386" t="s">
        <v>348</v>
      </c>
      <c r="H7" s="393"/>
      <c r="I7" s="243">
        <f t="shared" ref="I7" si="1">SUM(I8:I22)</f>
        <v>1972552000</v>
      </c>
      <c r="J7" s="243">
        <f t="shared" ref="J7:K7" si="2">SUM(J8:J22)</f>
        <v>1955397000</v>
      </c>
      <c r="K7" s="245">
        <f t="shared" si="2"/>
        <v>-17155000</v>
      </c>
    </row>
    <row r="8" spans="2:11" ht="24.95" customHeight="1">
      <c r="B8" s="246" t="s">
        <v>349</v>
      </c>
      <c r="C8" s="247" t="s">
        <v>350</v>
      </c>
      <c r="D8" s="248">
        <v>57000000</v>
      </c>
      <c r="E8" s="248">
        <v>57000000</v>
      </c>
      <c r="F8" s="249">
        <f>E8-D8</f>
        <v>0</v>
      </c>
      <c r="G8" s="384" t="s">
        <v>351</v>
      </c>
      <c r="H8" s="247" t="s">
        <v>352</v>
      </c>
      <c r="I8" s="248">
        <v>1259461000</v>
      </c>
      <c r="J8" s="248">
        <v>1254437000</v>
      </c>
      <c r="K8" s="250">
        <f>J8-I8</f>
        <v>-5024000</v>
      </c>
    </row>
    <row r="9" spans="2:11" ht="24.95" customHeight="1">
      <c r="B9" s="394" t="s">
        <v>353</v>
      </c>
      <c r="C9" s="247" t="s">
        <v>354</v>
      </c>
      <c r="D9" s="248">
        <v>1179537000</v>
      </c>
      <c r="E9" s="248">
        <v>1167909000</v>
      </c>
      <c r="F9" s="249">
        <f t="shared" ref="F9:F16" si="3">E9-D9</f>
        <v>-11628000</v>
      </c>
      <c r="G9" s="385"/>
      <c r="H9" s="247" t="s">
        <v>355</v>
      </c>
      <c r="I9" s="248">
        <v>2420000</v>
      </c>
      <c r="J9" s="248">
        <v>2420000</v>
      </c>
      <c r="K9" s="250">
        <f t="shared" ref="K9:K21" si="4">J9-I9</f>
        <v>0</v>
      </c>
    </row>
    <row r="10" spans="2:11" ht="24.95" customHeight="1">
      <c r="B10" s="394"/>
      <c r="C10" s="247" t="s">
        <v>356</v>
      </c>
      <c r="D10" s="248">
        <v>0</v>
      </c>
      <c r="E10" s="248">
        <v>0</v>
      </c>
      <c r="F10" s="249">
        <f t="shared" si="3"/>
        <v>0</v>
      </c>
      <c r="G10" s="386"/>
      <c r="H10" s="247" t="s">
        <v>357</v>
      </c>
      <c r="I10" s="248">
        <v>75248000</v>
      </c>
      <c r="J10" s="248">
        <v>74558000</v>
      </c>
      <c r="K10" s="250">
        <f t="shared" si="4"/>
        <v>-690000</v>
      </c>
    </row>
    <row r="11" spans="2:11" ht="24.95" customHeight="1">
      <c r="B11" s="394"/>
      <c r="C11" s="247" t="s">
        <v>358</v>
      </c>
      <c r="D11" s="248">
        <v>212241000</v>
      </c>
      <c r="E11" s="248">
        <v>206775000</v>
      </c>
      <c r="F11" s="249">
        <f t="shared" si="3"/>
        <v>-5466000</v>
      </c>
      <c r="G11" s="384" t="s">
        <v>359</v>
      </c>
      <c r="H11" s="247" t="s">
        <v>360</v>
      </c>
      <c r="I11" s="248">
        <v>10000000</v>
      </c>
      <c r="J11" s="248">
        <v>10000000</v>
      </c>
      <c r="K11" s="250">
        <f t="shared" si="4"/>
        <v>0</v>
      </c>
    </row>
    <row r="12" spans="2:11" ht="24.95" customHeight="1">
      <c r="B12" s="394" t="s">
        <v>361</v>
      </c>
      <c r="C12" s="247" t="s">
        <v>362</v>
      </c>
      <c r="D12" s="248">
        <v>15200000</v>
      </c>
      <c r="E12" s="248">
        <v>15200000</v>
      </c>
      <c r="F12" s="249">
        <f t="shared" si="3"/>
        <v>0</v>
      </c>
      <c r="G12" s="385"/>
      <c r="H12" s="247" t="s">
        <v>363</v>
      </c>
      <c r="I12" s="248">
        <v>317490000</v>
      </c>
      <c r="J12" s="248">
        <v>317490000</v>
      </c>
      <c r="K12" s="250">
        <f t="shared" si="4"/>
        <v>0</v>
      </c>
    </row>
    <row r="13" spans="2:11" ht="24.95" customHeight="1">
      <c r="B13" s="394"/>
      <c r="C13" s="247" t="s">
        <v>364</v>
      </c>
      <c r="D13" s="248">
        <v>56000000</v>
      </c>
      <c r="E13" s="248">
        <v>56000000</v>
      </c>
      <c r="F13" s="249">
        <f t="shared" si="3"/>
        <v>0</v>
      </c>
      <c r="G13" s="386"/>
      <c r="H13" s="247" t="s">
        <v>365</v>
      </c>
      <c r="I13" s="248">
        <v>5812000</v>
      </c>
      <c r="J13" s="248">
        <v>5812000</v>
      </c>
      <c r="K13" s="250">
        <f t="shared" si="4"/>
        <v>0</v>
      </c>
    </row>
    <row r="14" spans="2:11" ht="24.95" customHeight="1">
      <c r="B14" s="246" t="s">
        <v>366</v>
      </c>
      <c r="C14" s="247" t="s">
        <v>367</v>
      </c>
      <c r="D14" s="248">
        <v>353739000</v>
      </c>
      <c r="E14" s="248">
        <v>353679000</v>
      </c>
      <c r="F14" s="249">
        <f t="shared" si="3"/>
        <v>-60000</v>
      </c>
      <c r="G14" s="384" t="s">
        <v>368</v>
      </c>
      <c r="H14" s="247" t="s">
        <v>369</v>
      </c>
      <c r="I14" s="248">
        <v>152612000</v>
      </c>
      <c r="J14" s="248">
        <v>140586000</v>
      </c>
      <c r="K14" s="250">
        <f t="shared" si="4"/>
        <v>-12026000</v>
      </c>
    </row>
    <row r="15" spans="2:11" ht="24.95" customHeight="1">
      <c r="B15" s="246" t="s">
        <v>370</v>
      </c>
      <c r="C15" s="247" t="s">
        <v>371</v>
      </c>
      <c r="D15" s="248">
        <v>67435000</v>
      </c>
      <c r="E15" s="248">
        <v>67434000</v>
      </c>
      <c r="F15" s="249">
        <f t="shared" si="3"/>
        <v>-1000</v>
      </c>
      <c r="G15" s="385"/>
      <c r="H15" s="247" t="s">
        <v>372</v>
      </c>
      <c r="I15" s="248">
        <v>4600000</v>
      </c>
      <c r="J15" s="248">
        <v>4600000</v>
      </c>
      <c r="K15" s="250">
        <f t="shared" si="4"/>
        <v>0</v>
      </c>
    </row>
    <row r="16" spans="2:11" ht="24.95" customHeight="1">
      <c r="B16" s="246" t="s">
        <v>373</v>
      </c>
      <c r="C16" s="247" t="s">
        <v>374</v>
      </c>
      <c r="D16" s="248">
        <v>31400000</v>
      </c>
      <c r="E16" s="248">
        <v>31400000</v>
      </c>
      <c r="F16" s="249">
        <f t="shared" si="3"/>
        <v>0</v>
      </c>
      <c r="G16" s="385"/>
      <c r="H16" s="247" t="s">
        <v>375</v>
      </c>
      <c r="I16" s="248">
        <v>11812000</v>
      </c>
      <c r="J16" s="248">
        <v>10457000</v>
      </c>
      <c r="K16" s="250">
        <f t="shared" si="4"/>
        <v>-1355000</v>
      </c>
    </row>
    <row r="17" spans="2:11" ht="24.95" customHeight="1">
      <c r="B17" s="387"/>
      <c r="C17" s="388"/>
      <c r="D17" s="388"/>
      <c r="E17" s="388"/>
      <c r="F17" s="388"/>
      <c r="G17" s="385"/>
      <c r="H17" s="247" t="s">
        <v>376</v>
      </c>
      <c r="I17" s="248">
        <v>6450000</v>
      </c>
      <c r="J17" s="248">
        <v>6170000</v>
      </c>
      <c r="K17" s="250">
        <f t="shared" si="4"/>
        <v>-280000</v>
      </c>
    </row>
    <row r="18" spans="2:11" ht="24.95" customHeight="1">
      <c r="B18" s="389"/>
      <c r="C18" s="390"/>
      <c r="D18" s="390"/>
      <c r="E18" s="390"/>
      <c r="F18" s="390"/>
      <c r="G18" s="385"/>
      <c r="H18" s="247" t="s">
        <v>377</v>
      </c>
      <c r="I18" s="248">
        <v>24720000</v>
      </c>
      <c r="J18" s="248">
        <v>26040000</v>
      </c>
      <c r="K18" s="250">
        <f t="shared" si="4"/>
        <v>1320000</v>
      </c>
    </row>
    <row r="19" spans="2:11" ht="24.95" customHeight="1">
      <c r="B19" s="389"/>
      <c r="C19" s="390"/>
      <c r="D19" s="390"/>
      <c r="E19" s="390"/>
      <c r="F19" s="390"/>
      <c r="G19" s="386"/>
      <c r="H19" s="247" t="s">
        <v>378</v>
      </c>
      <c r="I19" s="248">
        <v>91418000</v>
      </c>
      <c r="J19" s="248">
        <v>92318000</v>
      </c>
      <c r="K19" s="250">
        <f t="shared" si="4"/>
        <v>900000</v>
      </c>
    </row>
    <row r="20" spans="2:11" ht="24.95" customHeight="1">
      <c r="B20" s="389"/>
      <c r="C20" s="390"/>
      <c r="D20" s="390"/>
      <c r="E20" s="390"/>
      <c r="F20" s="390"/>
      <c r="G20" s="375" t="s">
        <v>619</v>
      </c>
      <c r="H20" s="247" t="s">
        <v>379</v>
      </c>
      <c r="I20" s="248">
        <v>10109000</v>
      </c>
      <c r="J20" s="248">
        <v>10109000</v>
      </c>
      <c r="K20" s="250">
        <f t="shared" si="4"/>
        <v>0</v>
      </c>
    </row>
    <row r="21" spans="2:11" ht="24.95" customHeight="1">
      <c r="B21" s="389"/>
      <c r="C21" s="390"/>
      <c r="D21" s="390"/>
      <c r="E21" s="390"/>
      <c r="F21" s="390"/>
      <c r="G21" s="246" t="s">
        <v>380</v>
      </c>
      <c r="H21" s="247" t="s">
        <v>381</v>
      </c>
      <c r="I21" s="248">
        <v>200000</v>
      </c>
      <c r="J21" s="248">
        <v>200000</v>
      </c>
      <c r="K21" s="250">
        <f t="shared" si="4"/>
        <v>0</v>
      </c>
    </row>
    <row r="22" spans="2:11" ht="24.95" customHeight="1" thickBot="1">
      <c r="B22" s="391"/>
      <c r="C22" s="392"/>
      <c r="D22" s="392"/>
      <c r="E22" s="392"/>
      <c r="F22" s="392"/>
      <c r="G22" s="251" t="s">
        <v>382</v>
      </c>
      <c r="H22" s="252" t="s">
        <v>383</v>
      </c>
      <c r="I22" s="253">
        <v>200000</v>
      </c>
      <c r="J22" s="253">
        <v>200000</v>
      </c>
      <c r="K22" s="254">
        <f>J22-I22</f>
        <v>0</v>
      </c>
    </row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G14:G19"/>
    <mergeCell ref="B17:F22"/>
    <mergeCell ref="B7:C7"/>
    <mergeCell ref="G7:H7"/>
    <mergeCell ref="G8:G10"/>
    <mergeCell ref="B9:B11"/>
    <mergeCell ref="G11:G13"/>
    <mergeCell ref="B12:B13"/>
  </mergeCells>
  <phoneticPr fontId="4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82"/>
  <sheetViews>
    <sheetView zoomScale="85" zoomScaleNormal="85" zoomScaleSheetLayoutView="85" workbookViewId="0">
      <pane xSplit="4" ySplit="4" topLeftCell="E14" activePane="bottomRight" state="frozen"/>
      <selection pane="topRight" activeCell="E1" sqref="E1"/>
      <selection pane="bottomLeft" activeCell="A5" sqref="A5"/>
      <selection pane="bottomRight" activeCell="N20" sqref="N20"/>
    </sheetView>
  </sheetViews>
  <sheetFormatPr defaultColWidth="13.77734375" defaultRowHeight="19.5" customHeight="1"/>
  <cols>
    <col min="1" max="2" width="5.6640625" style="8" bestFit="1" customWidth="1"/>
    <col min="3" max="3" width="5.88671875" style="8" bestFit="1" customWidth="1"/>
    <col min="4" max="4" width="7.88671875" style="10" customWidth="1"/>
    <col min="5" max="6" width="8" style="10" bestFit="1" customWidth="1"/>
    <col min="7" max="7" width="8" style="10" customWidth="1"/>
    <col min="8" max="8" width="6.109375" style="10" customWidth="1"/>
    <col min="9" max="9" width="8.88671875" style="10" customWidth="1"/>
    <col min="10" max="10" width="6.109375" style="10" customWidth="1"/>
    <col min="11" max="11" width="6.88671875" style="10" customWidth="1"/>
    <col min="12" max="12" width="6.109375" style="10" customWidth="1"/>
    <col min="13" max="13" width="7.44140625" style="11" customWidth="1"/>
    <col min="14" max="14" width="6" style="13" customWidth="1"/>
    <col min="15" max="15" width="16.109375" style="1" customWidth="1"/>
    <col min="16" max="16" width="4.77734375" style="2" customWidth="1"/>
    <col min="17" max="17" width="2.21875" style="2" customWidth="1"/>
    <col min="18" max="18" width="2.5546875" style="2" customWidth="1"/>
    <col min="19" max="19" width="10" style="2" bestFit="1" customWidth="1"/>
    <col min="20" max="20" width="3.109375" style="2" customWidth="1"/>
    <col min="21" max="21" width="3.44140625" style="2" bestFit="1" customWidth="1"/>
    <col min="22" max="22" width="5.33203125" style="2" bestFit="1" customWidth="1"/>
    <col min="23" max="23" width="4.88671875" style="2" customWidth="1"/>
    <col min="24" max="24" width="3.44140625" style="2" bestFit="1" customWidth="1"/>
    <col min="25" max="25" width="5.44140625" style="2" bestFit="1" customWidth="1"/>
    <col min="26" max="26" width="2.77734375" style="2" bestFit="1" customWidth="1"/>
    <col min="27" max="27" width="2.109375" style="2" bestFit="1" customWidth="1"/>
    <col min="28" max="28" width="3.44140625" style="2" customWidth="1"/>
    <col min="29" max="29" width="2.5546875" style="2" customWidth="1"/>
    <col min="30" max="30" width="11.77734375" style="2" bestFit="1" customWidth="1"/>
    <col min="31" max="31" width="2.77734375" style="2" customWidth="1"/>
    <col min="32" max="32" width="13.77734375" style="6"/>
    <col min="33" max="16384" width="13.77734375" style="1"/>
  </cols>
  <sheetData>
    <row r="1" spans="1:32" s="12" customFormat="1" ht="19.5" customHeight="1" thickBot="1">
      <c r="A1" s="409" t="s">
        <v>395</v>
      </c>
      <c r="B1" s="409"/>
      <c r="C1" s="409"/>
      <c r="D1" s="10"/>
      <c r="E1" s="10"/>
      <c r="F1" s="10"/>
      <c r="G1" s="10"/>
      <c r="H1" s="10"/>
      <c r="I1" s="10"/>
      <c r="J1" s="10"/>
      <c r="K1" s="10"/>
      <c r="L1" s="10"/>
      <c r="M1" s="11"/>
      <c r="N1" s="13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6"/>
    </row>
    <row r="2" spans="1:32" s="3" customFormat="1" ht="27" customHeight="1">
      <c r="A2" s="412" t="s">
        <v>74</v>
      </c>
      <c r="B2" s="413"/>
      <c r="C2" s="413"/>
      <c r="D2" s="414" t="s">
        <v>634</v>
      </c>
      <c r="E2" s="416" t="s">
        <v>633</v>
      </c>
      <c r="F2" s="417"/>
      <c r="G2" s="417"/>
      <c r="H2" s="417"/>
      <c r="I2" s="417"/>
      <c r="J2" s="417"/>
      <c r="K2" s="417"/>
      <c r="L2" s="418"/>
      <c r="M2" s="426" t="s">
        <v>24</v>
      </c>
      <c r="N2" s="426"/>
      <c r="O2" s="426" t="s">
        <v>60</v>
      </c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7"/>
      <c r="AF2" s="9"/>
    </row>
    <row r="3" spans="1:32" s="3" customFormat="1" ht="32.25" customHeight="1" thickBot="1">
      <c r="A3" s="26" t="s">
        <v>1</v>
      </c>
      <c r="B3" s="27" t="s">
        <v>2</v>
      </c>
      <c r="C3" s="27" t="s">
        <v>3</v>
      </c>
      <c r="D3" s="415"/>
      <c r="E3" s="278" t="s">
        <v>435</v>
      </c>
      <c r="F3" s="350" t="s">
        <v>616</v>
      </c>
      <c r="G3" s="335" t="s">
        <v>489</v>
      </c>
      <c r="H3" s="278" t="s">
        <v>421</v>
      </c>
      <c r="I3" s="278" t="s">
        <v>417</v>
      </c>
      <c r="J3" s="278" t="s">
        <v>418</v>
      </c>
      <c r="K3" s="278" t="s">
        <v>422</v>
      </c>
      <c r="L3" s="278" t="s">
        <v>419</v>
      </c>
      <c r="M3" s="298" t="s">
        <v>436</v>
      </c>
      <c r="N3" s="28" t="s">
        <v>4</v>
      </c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9"/>
      <c r="AF3" s="9"/>
    </row>
    <row r="4" spans="1:32" s="3" customFormat="1" ht="19.5" customHeight="1">
      <c r="A4" s="419" t="s">
        <v>25</v>
      </c>
      <c r="B4" s="420"/>
      <c r="C4" s="421"/>
      <c r="D4" s="29">
        <f>D5+D7+D93+D137+D160+D84</f>
        <v>1972552</v>
      </c>
      <c r="E4" s="29">
        <f t="shared" ref="E4:L4" si="0">SUM(E5,E7,E84,E93,E137,E160)</f>
        <v>1955397</v>
      </c>
      <c r="F4" s="29">
        <f t="shared" si="0"/>
        <v>1176844</v>
      </c>
      <c r="G4" s="29">
        <f t="shared" si="0"/>
        <v>186271</v>
      </c>
      <c r="H4" s="29">
        <f t="shared" si="0"/>
        <v>21818</v>
      </c>
      <c r="I4" s="29">
        <f t="shared" si="0"/>
        <v>103368</v>
      </c>
      <c r="J4" s="29">
        <f t="shared" si="0"/>
        <v>73642</v>
      </c>
      <c r="K4" s="29">
        <f t="shared" si="0"/>
        <v>353689</v>
      </c>
      <c r="L4" s="29">
        <f t="shared" si="0"/>
        <v>39765</v>
      </c>
      <c r="M4" s="30">
        <f>E4-D4</f>
        <v>-17155</v>
      </c>
      <c r="N4" s="31"/>
      <c r="O4" s="32" t="s">
        <v>637</v>
      </c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4">
        <f>AD5+AD7+AD84+AD93+AD137+AD160</f>
        <v>1955397000</v>
      </c>
      <c r="AE4" s="35" t="s">
        <v>638</v>
      </c>
      <c r="AF4" s="9"/>
    </row>
    <row r="5" spans="1:32" ht="21" customHeight="1" thickBot="1">
      <c r="A5" s="47" t="s">
        <v>65</v>
      </c>
      <c r="B5" s="48" t="s">
        <v>65</v>
      </c>
      <c r="C5" s="279" t="s">
        <v>434</v>
      </c>
      <c r="D5" s="49">
        <v>57000</v>
      </c>
      <c r="E5" s="49">
        <f>SUM(F5:L5)</f>
        <v>57000</v>
      </c>
      <c r="F5" s="49">
        <v>0</v>
      </c>
      <c r="G5" s="49">
        <v>0</v>
      </c>
      <c r="H5" s="49">
        <v>0</v>
      </c>
      <c r="I5" s="49">
        <v>0</v>
      </c>
      <c r="J5" s="49">
        <f>AD5/1000</f>
        <v>57000</v>
      </c>
      <c r="K5" s="49">
        <v>0</v>
      </c>
      <c r="L5" s="49">
        <v>0</v>
      </c>
      <c r="M5" s="50">
        <f>E5-D5</f>
        <v>0</v>
      </c>
      <c r="N5" s="51">
        <f>IF(D5=0,0,M5/D5)</f>
        <v>0</v>
      </c>
      <c r="O5" s="52" t="s">
        <v>636</v>
      </c>
      <c r="P5" s="276"/>
      <c r="Q5" s="53"/>
      <c r="R5" s="53"/>
      <c r="S5" s="53"/>
      <c r="T5" s="53"/>
      <c r="U5" s="53"/>
      <c r="V5" s="54"/>
      <c r="W5" s="54" t="s">
        <v>68</v>
      </c>
      <c r="X5" s="54"/>
      <c r="Y5" s="54"/>
      <c r="Z5" s="54"/>
      <c r="AA5" s="54"/>
      <c r="AB5" s="54"/>
      <c r="AC5" s="55"/>
      <c r="AD5" s="55">
        <f>AD6</f>
        <v>57000000</v>
      </c>
      <c r="AE5" s="56" t="s">
        <v>26</v>
      </c>
    </row>
    <row r="6" spans="1:32" ht="21" customHeight="1">
      <c r="A6" s="57" t="s">
        <v>66</v>
      </c>
      <c r="B6" s="58" t="s">
        <v>420</v>
      </c>
      <c r="C6" s="59" t="s">
        <v>420</v>
      </c>
      <c r="D6" s="60"/>
      <c r="E6" s="60"/>
      <c r="F6" s="60"/>
      <c r="G6" s="60"/>
      <c r="H6" s="60"/>
      <c r="I6" s="60"/>
      <c r="J6" s="60"/>
      <c r="K6" s="60"/>
      <c r="L6" s="60"/>
      <c r="M6" s="61"/>
      <c r="N6" s="43"/>
      <c r="O6" s="66" t="s">
        <v>72</v>
      </c>
      <c r="P6" s="67"/>
      <c r="Q6" s="68"/>
      <c r="R6" s="68"/>
      <c r="S6" s="283">
        <v>250000</v>
      </c>
      <c r="T6" s="283" t="s">
        <v>62</v>
      </c>
      <c r="U6" s="284" t="s">
        <v>63</v>
      </c>
      <c r="V6" s="283">
        <v>19</v>
      </c>
      <c r="W6" s="283" t="s">
        <v>61</v>
      </c>
      <c r="X6" s="284" t="s">
        <v>63</v>
      </c>
      <c r="Y6" s="69">
        <v>12</v>
      </c>
      <c r="Z6" s="277" t="s">
        <v>0</v>
      </c>
      <c r="AA6" s="277" t="s">
        <v>58</v>
      </c>
      <c r="AB6" s="277"/>
      <c r="AC6" s="283"/>
      <c r="AD6" s="283">
        <f>S6*V6*Y6</f>
        <v>57000000</v>
      </c>
      <c r="AE6" s="71" t="s">
        <v>62</v>
      </c>
    </row>
    <row r="7" spans="1:32" s="12" customFormat="1" ht="19.5" customHeight="1">
      <c r="A7" s="47" t="s">
        <v>31</v>
      </c>
      <c r="B7" s="422" t="s">
        <v>17</v>
      </c>
      <c r="C7" s="423"/>
      <c r="D7" s="345">
        <f>D8+D35+D39</f>
        <v>1391778</v>
      </c>
      <c r="E7" s="345">
        <f>SUM(E8,E35,E39)</f>
        <v>1374684</v>
      </c>
      <c r="F7" s="345">
        <f t="shared" ref="F7:L7" si="1">SUM(F8,F35,F39)</f>
        <v>1167909</v>
      </c>
      <c r="G7" s="345">
        <f t="shared" si="1"/>
        <v>185018</v>
      </c>
      <c r="H7" s="345">
        <f t="shared" si="1"/>
        <v>21757</v>
      </c>
      <c r="I7" s="345">
        <f t="shared" si="1"/>
        <v>0</v>
      </c>
      <c r="J7" s="345">
        <f t="shared" si="1"/>
        <v>0</v>
      </c>
      <c r="K7" s="345">
        <f t="shared" si="1"/>
        <v>0</v>
      </c>
      <c r="L7" s="345">
        <f t="shared" si="1"/>
        <v>0</v>
      </c>
      <c r="M7" s="346">
        <f>E7-D7</f>
        <v>-17094</v>
      </c>
      <c r="N7" s="347">
        <f>IF(D7=0,0,M7/D7)</f>
        <v>-1.2282131201958934E-2</v>
      </c>
      <c r="O7" s="74" t="s">
        <v>76</v>
      </c>
      <c r="P7" s="54"/>
      <c r="Q7" s="75"/>
      <c r="R7" s="75"/>
      <c r="S7" s="54"/>
      <c r="T7" s="54"/>
      <c r="U7" s="54"/>
      <c r="V7" s="54"/>
      <c r="W7" s="54"/>
      <c r="X7" s="76"/>
      <c r="Y7" s="76"/>
      <c r="Z7" s="76"/>
      <c r="AA7" s="76"/>
      <c r="AB7" s="76"/>
      <c r="AC7" s="76"/>
      <c r="AD7" s="54">
        <f>SUM(AD8,AD35,AD39)</f>
        <v>1374684000</v>
      </c>
      <c r="AE7" s="56" t="s">
        <v>26</v>
      </c>
      <c r="AF7" s="6"/>
    </row>
    <row r="8" spans="1:32" ht="21" customHeight="1" thickBot="1">
      <c r="A8" s="57"/>
      <c r="B8" s="48" t="s">
        <v>78</v>
      </c>
      <c r="C8" s="48" t="s">
        <v>79</v>
      </c>
      <c r="D8" s="49">
        <f>D9+D24+D28</f>
        <v>1179537</v>
      </c>
      <c r="E8" s="49">
        <f>E9+E24+E28</f>
        <v>1167909</v>
      </c>
      <c r="F8" s="49">
        <f t="shared" ref="F8:L8" si="2">F9+F24+F28</f>
        <v>1167909</v>
      </c>
      <c r="G8" s="49">
        <f t="shared" si="2"/>
        <v>0</v>
      </c>
      <c r="H8" s="49">
        <f t="shared" si="2"/>
        <v>0</v>
      </c>
      <c r="I8" s="49">
        <f t="shared" si="2"/>
        <v>0</v>
      </c>
      <c r="J8" s="49">
        <f t="shared" si="2"/>
        <v>0</v>
      </c>
      <c r="K8" s="49">
        <f t="shared" si="2"/>
        <v>0</v>
      </c>
      <c r="L8" s="49">
        <f t="shared" si="2"/>
        <v>0</v>
      </c>
      <c r="M8" s="50">
        <f>E8-D8</f>
        <v>-11628</v>
      </c>
      <c r="N8" s="51">
        <f>IF(D8=0,0,M8/D8)</f>
        <v>-9.8581053413330823E-3</v>
      </c>
      <c r="O8" s="78" t="s">
        <v>80</v>
      </c>
      <c r="P8" s="79"/>
      <c r="Q8" s="80"/>
      <c r="R8" s="80"/>
      <c r="S8" s="80"/>
      <c r="T8" s="80"/>
      <c r="U8" s="80"/>
      <c r="V8" s="81"/>
      <c r="W8" s="82" t="s">
        <v>81</v>
      </c>
      <c r="X8" s="82"/>
      <c r="Y8" s="82"/>
      <c r="Z8" s="82"/>
      <c r="AA8" s="82"/>
      <c r="AB8" s="82"/>
      <c r="AC8" s="83"/>
      <c r="AD8" s="83">
        <f>SUM(AD9,AD24,AD28)</f>
        <v>1167909000</v>
      </c>
      <c r="AE8" s="84" t="s">
        <v>77</v>
      </c>
    </row>
    <row r="9" spans="1:32" ht="21" customHeight="1" thickBot="1">
      <c r="A9" s="57"/>
      <c r="B9" s="58" t="s">
        <v>82</v>
      </c>
      <c r="C9" s="48" t="s">
        <v>83</v>
      </c>
      <c r="D9" s="49">
        <v>1038113</v>
      </c>
      <c r="E9" s="49">
        <f>SUM(F9:L9)</f>
        <v>1036072</v>
      </c>
      <c r="F9" s="49">
        <f>AD9/1000</f>
        <v>1036072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50">
        <f>E9-D9</f>
        <v>-2041</v>
      </c>
      <c r="N9" s="51">
        <f>IF(D9=0,0,M9/D9)</f>
        <v>-1.9660672778396959E-3</v>
      </c>
      <c r="O9" s="286" t="s">
        <v>626</v>
      </c>
      <c r="P9" s="117"/>
      <c r="Q9" s="287"/>
      <c r="R9" s="287"/>
      <c r="S9" s="118"/>
      <c r="T9" s="118"/>
      <c r="U9" s="118"/>
      <c r="V9" s="119"/>
      <c r="W9" s="120" t="s">
        <v>84</v>
      </c>
      <c r="X9" s="120"/>
      <c r="Y9" s="120"/>
      <c r="Z9" s="120"/>
      <c r="AA9" s="120"/>
      <c r="AB9" s="120"/>
      <c r="AC9" s="121"/>
      <c r="AD9" s="121">
        <f>기본급1+제수당1+퇴직적립금1+사회보험1</f>
        <v>1036072000</v>
      </c>
      <c r="AE9" s="122" t="s">
        <v>26</v>
      </c>
    </row>
    <row r="10" spans="1:32" ht="21" customHeight="1">
      <c r="A10" s="57"/>
      <c r="B10" s="58"/>
      <c r="C10" s="58"/>
      <c r="D10" s="60"/>
      <c r="E10" s="60"/>
      <c r="F10" s="60"/>
      <c r="G10" s="60"/>
      <c r="H10" s="60"/>
      <c r="I10" s="60"/>
      <c r="J10" s="60"/>
      <c r="K10" s="60"/>
      <c r="L10" s="60"/>
      <c r="M10" s="61"/>
      <c r="N10" s="43"/>
      <c r="O10" s="97" t="s">
        <v>389</v>
      </c>
      <c r="P10" s="281"/>
      <c r="Q10" s="64"/>
      <c r="R10" s="64"/>
      <c r="S10" s="64"/>
      <c r="T10" s="64"/>
      <c r="U10" s="64"/>
      <c r="V10" s="64"/>
      <c r="W10" s="289" t="s">
        <v>71</v>
      </c>
      <c r="X10" s="289"/>
      <c r="Y10" s="289"/>
      <c r="Z10" s="289"/>
      <c r="AA10" s="289"/>
      <c r="AB10" s="289"/>
      <c r="AC10" s="290"/>
      <c r="AD10" s="289">
        <v>651654000</v>
      </c>
      <c r="AE10" s="291" t="s">
        <v>26</v>
      </c>
    </row>
    <row r="11" spans="1:32" s="12" customFormat="1" ht="19.5" customHeight="1">
      <c r="A11" s="77"/>
      <c r="B11" s="58"/>
      <c r="C11" s="58"/>
      <c r="D11" s="60"/>
      <c r="E11" s="60"/>
      <c r="F11" s="60"/>
      <c r="G11" s="60"/>
      <c r="H11" s="60"/>
      <c r="I11" s="60"/>
      <c r="J11" s="60"/>
      <c r="K11" s="60"/>
      <c r="L11" s="60"/>
      <c r="M11" s="61"/>
      <c r="N11" s="96"/>
      <c r="O11" s="288" t="s">
        <v>332</v>
      </c>
      <c r="P11" s="295"/>
      <c r="Q11" s="232"/>
      <c r="R11" s="232"/>
      <c r="S11" s="232"/>
      <c r="T11" s="232"/>
      <c r="U11" s="232"/>
      <c r="V11" s="232"/>
      <c r="W11" s="292" t="s">
        <v>90</v>
      </c>
      <c r="X11" s="292"/>
      <c r="Y11" s="292"/>
      <c r="Z11" s="292"/>
      <c r="AA11" s="292"/>
      <c r="AB11" s="292"/>
      <c r="AC11" s="293"/>
      <c r="AD11" s="292">
        <f>ROUND(명절휴가비1+가족수당1+연장근로수당1,-3)</f>
        <v>230725000</v>
      </c>
      <c r="AE11" s="294" t="s">
        <v>26</v>
      </c>
      <c r="AF11" s="6"/>
    </row>
    <row r="12" spans="1:32" s="12" customFormat="1" ht="19.5" customHeight="1">
      <c r="A12" s="77"/>
      <c r="B12" s="58"/>
      <c r="C12" s="58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96"/>
      <c r="O12" s="91" t="s">
        <v>333</v>
      </c>
      <c r="P12" s="63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411" t="s">
        <v>91</v>
      </c>
      <c r="AC12" s="411"/>
      <c r="AD12" s="98">
        <v>54125000</v>
      </c>
      <c r="AE12" s="99" t="s">
        <v>77</v>
      </c>
      <c r="AF12" s="6"/>
    </row>
    <row r="13" spans="1:32" s="12" customFormat="1" ht="19.5" customHeight="1">
      <c r="A13" s="77"/>
      <c r="B13" s="58"/>
      <c r="C13" s="58"/>
      <c r="D13" s="60"/>
      <c r="E13" s="60"/>
      <c r="F13" s="60"/>
      <c r="G13" s="60"/>
      <c r="H13" s="60"/>
      <c r="I13" s="60"/>
      <c r="J13" s="60"/>
      <c r="K13" s="60"/>
      <c r="L13" s="60"/>
      <c r="M13" s="61"/>
      <c r="N13" s="96"/>
      <c r="O13" s="91" t="s">
        <v>334</v>
      </c>
      <c r="P13" s="63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411" t="s">
        <v>91</v>
      </c>
      <c r="AC13" s="411"/>
      <c r="AD13" s="98">
        <v>10320000</v>
      </c>
      <c r="AE13" s="99" t="s">
        <v>77</v>
      </c>
      <c r="AF13" s="6"/>
    </row>
    <row r="14" spans="1:32" s="12" customFormat="1" ht="19.5" customHeight="1">
      <c r="A14" s="77"/>
      <c r="B14" s="58"/>
      <c r="C14" s="58"/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96"/>
      <c r="O14" s="91" t="s">
        <v>335</v>
      </c>
      <c r="P14" s="63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411" t="s">
        <v>91</v>
      </c>
      <c r="AC14" s="411"/>
      <c r="AD14" s="98">
        <v>166280000</v>
      </c>
      <c r="AE14" s="99" t="s">
        <v>77</v>
      </c>
      <c r="AF14" s="6"/>
    </row>
    <row r="15" spans="1:32" s="12" customFormat="1" ht="19.5" customHeight="1">
      <c r="A15" s="77"/>
      <c r="B15" s="58"/>
      <c r="C15" s="58"/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96"/>
      <c r="O15" s="97" t="s">
        <v>512</v>
      </c>
      <c r="P15" s="281"/>
      <c r="Q15" s="64"/>
      <c r="R15" s="64"/>
      <c r="S15" s="64"/>
      <c r="T15" s="64"/>
      <c r="U15" s="64"/>
      <c r="V15" s="64"/>
      <c r="W15" s="280" t="s">
        <v>90</v>
      </c>
      <c r="X15" s="280"/>
      <c r="Y15" s="280"/>
      <c r="Z15" s="280"/>
      <c r="AA15" s="280"/>
      <c r="AB15" s="280"/>
      <c r="AC15" s="98"/>
      <c r="AD15" s="280">
        <f>AD16</f>
        <v>73531000</v>
      </c>
      <c r="AE15" s="99" t="s">
        <v>85</v>
      </c>
      <c r="AF15" s="6"/>
    </row>
    <row r="16" spans="1:32" s="12" customFormat="1" ht="19.5" customHeight="1">
      <c r="A16" s="77"/>
      <c r="B16" s="58"/>
      <c r="C16" s="58"/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96"/>
      <c r="O16" s="91" t="s">
        <v>627</v>
      </c>
      <c r="P16" s="63"/>
      <c r="Q16" s="64"/>
      <c r="R16" s="64"/>
      <c r="S16" s="234">
        <f>기본급1+제수당1</f>
        <v>882379000</v>
      </c>
      <c r="T16" s="70" t="s">
        <v>85</v>
      </c>
      <c r="U16" s="70" t="s">
        <v>92</v>
      </c>
      <c r="V16" s="103">
        <v>12</v>
      </c>
      <c r="W16" s="100" t="s">
        <v>88</v>
      </c>
      <c r="X16" s="64"/>
      <c r="Y16" s="64"/>
      <c r="Z16" s="64"/>
      <c r="AA16" s="64" t="s">
        <v>93</v>
      </c>
      <c r="AB16" s="64"/>
      <c r="AC16" s="92"/>
      <c r="AD16" s="92">
        <f>ROUNDDOWN(S16/V16,-3)</f>
        <v>73531000</v>
      </c>
      <c r="AE16" s="71" t="s">
        <v>77</v>
      </c>
      <c r="AF16" s="6"/>
    </row>
    <row r="17" spans="1:32" s="12" customFormat="1" ht="19.5" customHeight="1">
      <c r="A17" s="77"/>
      <c r="B17" s="58"/>
      <c r="C17" s="58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96"/>
      <c r="O17" s="97" t="s">
        <v>513</v>
      </c>
      <c r="P17" s="281"/>
      <c r="Q17" s="64"/>
      <c r="R17" s="64"/>
      <c r="S17" s="64"/>
      <c r="T17" s="64"/>
      <c r="U17" s="64"/>
      <c r="V17" s="64"/>
      <c r="W17" s="280" t="s">
        <v>90</v>
      </c>
      <c r="X17" s="280"/>
      <c r="Y17" s="280"/>
      <c r="Z17" s="280"/>
      <c r="AA17" s="280"/>
      <c r="AB17" s="280"/>
      <c r="AC17" s="98"/>
      <c r="AD17" s="98">
        <f>SUM(AD18:AD22)</f>
        <v>80162000</v>
      </c>
      <c r="AE17" s="99" t="s">
        <v>85</v>
      </c>
      <c r="AF17" s="6"/>
    </row>
    <row r="18" spans="1:32" s="12" customFormat="1" ht="19.5" customHeight="1">
      <c r="A18" s="77"/>
      <c r="B18" s="58"/>
      <c r="C18" s="58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96"/>
      <c r="O18" s="91" t="s">
        <v>94</v>
      </c>
      <c r="P18" s="63"/>
      <c r="Q18" s="64"/>
      <c r="R18" s="64"/>
      <c r="S18" s="234">
        <f>기본급1+제수당1</f>
        <v>882379000</v>
      </c>
      <c r="T18" s="70" t="s">
        <v>85</v>
      </c>
      <c r="U18" s="100" t="s">
        <v>86</v>
      </c>
      <c r="V18" s="104">
        <v>0.09</v>
      </c>
      <c r="W18" s="70" t="s">
        <v>92</v>
      </c>
      <c r="X18" s="105">
        <v>2</v>
      </c>
      <c r="Y18" s="102"/>
      <c r="Z18" s="102"/>
      <c r="AA18" s="70" t="s">
        <v>89</v>
      </c>
      <c r="AB18" s="64"/>
      <c r="AC18" s="92"/>
      <c r="AD18" s="92">
        <f>ROUND(S18*V18/X18,-3)</f>
        <v>39707000</v>
      </c>
      <c r="AE18" s="71" t="s">
        <v>77</v>
      </c>
      <c r="AF18" s="6"/>
    </row>
    <row r="19" spans="1:32" s="12" customFormat="1" ht="19.5" customHeight="1">
      <c r="A19" s="77"/>
      <c r="B19" s="58"/>
      <c r="C19" s="58"/>
      <c r="D19" s="60"/>
      <c r="E19" s="60"/>
      <c r="F19" s="60"/>
      <c r="G19" s="60"/>
      <c r="H19" s="60"/>
      <c r="I19" s="60"/>
      <c r="J19" s="60"/>
      <c r="K19" s="60"/>
      <c r="L19" s="60"/>
      <c r="M19" s="61"/>
      <c r="N19" s="96"/>
      <c r="O19" s="91" t="s">
        <v>95</v>
      </c>
      <c r="P19" s="63"/>
      <c r="Q19" s="64"/>
      <c r="R19" s="64"/>
      <c r="S19" s="234">
        <f>기본급1+제수당1</f>
        <v>882379000</v>
      </c>
      <c r="T19" s="70" t="s">
        <v>85</v>
      </c>
      <c r="U19" s="100" t="s">
        <v>86</v>
      </c>
      <c r="V19" s="106">
        <v>5.6399999999999999E-2</v>
      </c>
      <c r="W19" s="70" t="s">
        <v>92</v>
      </c>
      <c r="X19" s="105">
        <v>2</v>
      </c>
      <c r="Y19" s="102"/>
      <c r="Z19" s="102"/>
      <c r="AA19" s="70" t="s">
        <v>89</v>
      </c>
      <c r="AB19" s="64"/>
      <c r="AC19" s="92"/>
      <c r="AD19" s="92">
        <f>ROUND(S19*V19/X19,-3)</f>
        <v>24883000</v>
      </c>
      <c r="AE19" s="71" t="s">
        <v>77</v>
      </c>
      <c r="AF19" s="6"/>
    </row>
    <row r="20" spans="1:32" s="12" customFormat="1" ht="19.5" customHeight="1">
      <c r="A20" s="77"/>
      <c r="B20" s="58"/>
      <c r="C20" s="58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96"/>
      <c r="O20" s="91" t="s">
        <v>96</v>
      </c>
      <c r="P20" s="63"/>
      <c r="Q20" s="64"/>
      <c r="R20" s="64"/>
      <c r="S20" s="64">
        <f>AD19</f>
        <v>24883000</v>
      </c>
      <c r="T20" s="70" t="s">
        <v>85</v>
      </c>
      <c r="U20" s="100" t="s">
        <v>86</v>
      </c>
      <c r="V20" s="106">
        <v>6.5500000000000003E-2</v>
      </c>
      <c r="W20" s="107"/>
      <c r="X20" s="108"/>
      <c r="Y20" s="109"/>
      <c r="Z20" s="109"/>
      <c r="AA20" s="70" t="s">
        <v>89</v>
      </c>
      <c r="AB20" s="64"/>
      <c r="AC20" s="92"/>
      <c r="AD20" s="92">
        <f>ROUND(S20*V20,-3)</f>
        <v>1630000</v>
      </c>
      <c r="AE20" s="71" t="s">
        <v>77</v>
      </c>
      <c r="AF20" s="6"/>
    </row>
    <row r="21" spans="1:32" s="12" customFormat="1" ht="19.5" customHeight="1">
      <c r="A21" s="77"/>
      <c r="B21" s="58"/>
      <c r="C21" s="58"/>
      <c r="D21" s="60"/>
      <c r="E21" s="60"/>
      <c r="F21" s="60"/>
      <c r="G21" s="60"/>
      <c r="H21" s="60"/>
      <c r="I21" s="60"/>
      <c r="J21" s="60"/>
      <c r="K21" s="60"/>
      <c r="L21" s="60"/>
      <c r="M21" s="61"/>
      <c r="N21" s="96"/>
      <c r="O21" s="91" t="s">
        <v>97</v>
      </c>
      <c r="P21" s="63"/>
      <c r="Q21" s="64"/>
      <c r="R21" s="64"/>
      <c r="S21" s="234">
        <f>기본급1+제수당1</f>
        <v>882379000</v>
      </c>
      <c r="T21" s="70" t="s">
        <v>85</v>
      </c>
      <c r="U21" s="100" t="s">
        <v>86</v>
      </c>
      <c r="V21" s="106">
        <v>8.0000000000000002E-3</v>
      </c>
      <c r="W21" s="100"/>
      <c r="X21" s="110"/>
      <c r="Y21" s="102"/>
      <c r="Z21" s="102"/>
      <c r="AA21" s="70" t="s">
        <v>89</v>
      </c>
      <c r="AB21" s="64"/>
      <c r="AC21" s="92"/>
      <c r="AD21" s="92">
        <f>ROUND(S21*V21,-3)</f>
        <v>7059000</v>
      </c>
      <c r="AE21" s="71" t="s">
        <v>77</v>
      </c>
      <c r="AF21" s="6"/>
    </row>
    <row r="22" spans="1:32" s="12" customFormat="1" ht="19.5" customHeight="1">
      <c r="A22" s="77"/>
      <c r="B22" s="58"/>
      <c r="C22" s="58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96"/>
      <c r="O22" s="91" t="s">
        <v>98</v>
      </c>
      <c r="P22" s="63"/>
      <c r="Q22" s="64"/>
      <c r="R22" s="64"/>
      <c r="S22" s="234">
        <f>기본급1+제수당1</f>
        <v>882379000</v>
      </c>
      <c r="T22" s="70" t="s">
        <v>85</v>
      </c>
      <c r="U22" s="100" t="s">
        <v>86</v>
      </c>
      <c r="V22" s="106">
        <v>7.7999999999999996E-3</v>
      </c>
      <c r="W22" s="100"/>
      <c r="X22" s="110"/>
      <c r="Y22" s="102"/>
      <c r="Z22" s="102"/>
      <c r="AA22" s="70" t="s">
        <v>89</v>
      </c>
      <c r="AB22" s="64"/>
      <c r="AC22" s="92"/>
      <c r="AD22" s="92">
        <f>ROUND(S22*V22,-3)</f>
        <v>6883000</v>
      </c>
      <c r="AE22" s="71" t="s">
        <v>77</v>
      </c>
      <c r="AF22" s="6"/>
    </row>
    <row r="23" spans="1:32" s="12" customFormat="1" ht="19.5" customHeight="1">
      <c r="A23" s="77"/>
      <c r="B23" s="58"/>
      <c r="C23" s="58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96"/>
      <c r="O23" s="97"/>
      <c r="P23" s="98"/>
      <c r="Q23" s="111"/>
      <c r="R23" s="111"/>
      <c r="S23" s="112"/>
      <c r="T23" s="112"/>
      <c r="U23" s="113"/>
      <c r="V23" s="112"/>
      <c r="W23" s="112"/>
      <c r="X23" s="113"/>
      <c r="Y23" s="114"/>
      <c r="Z23" s="115"/>
      <c r="AA23" s="115"/>
      <c r="AB23" s="115"/>
      <c r="AC23" s="113"/>
      <c r="AD23" s="112"/>
      <c r="AE23" s="99"/>
      <c r="AF23" s="6"/>
    </row>
    <row r="24" spans="1:32" ht="21" customHeight="1" thickBot="1">
      <c r="A24" s="57"/>
      <c r="B24" s="58"/>
      <c r="C24" s="48" t="s">
        <v>99</v>
      </c>
      <c r="D24" s="49">
        <v>70858</v>
      </c>
      <c r="E24" s="49">
        <f>SUM(F24:L24)</f>
        <v>71020</v>
      </c>
      <c r="F24" s="49">
        <f>AD24/1000</f>
        <v>71020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50">
        <f>E24-D24</f>
        <v>162</v>
      </c>
      <c r="N24" s="51">
        <f>IF(D24=0,0,M24/D24)</f>
        <v>2.2862626661774251E-3</v>
      </c>
      <c r="O24" s="116" t="s">
        <v>100</v>
      </c>
      <c r="P24" s="117"/>
      <c r="Q24" s="118"/>
      <c r="R24" s="118"/>
      <c r="S24" s="118"/>
      <c r="T24" s="118"/>
      <c r="U24" s="118"/>
      <c r="V24" s="119"/>
      <c r="W24" s="120" t="s">
        <v>84</v>
      </c>
      <c r="X24" s="120"/>
      <c r="Y24" s="120"/>
      <c r="Z24" s="120"/>
      <c r="AA24" s="120"/>
      <c r="AB24" s="120"/>
      <c r="AC24" s="121"/>
      <c r="AD24" s="121">
        <f>SUM(AD25:AD26)</f>
        <v>71020000</v>
      </c>
      <c r="AE24" s="122" t="s">
        <v>26</v>
      </c>
    </row>
    <row r="25" spans="1:32" ht="21" customHeight="1">
      <c r="A25" s="57"/>
      <c r="B25" s="58"/>
      <c r="C25" s="58"/>
      <c r="D25" s="60"/>
      <c r="E25" s="60"/>
      <c r="F25" s="60"/>
      <c r="G25" s="60"/>
      <c r="H25" s="60"/>
      <c r="I25" s="60"/>
      <c r="J25" s="60"/>
      <c r="K25" s="60"/>
      <c r="L25" s="60"/>
      <c r="M25" s="61"/>
      <c r="N25" s="43"/>
      <c r="O25" s="63" t="s">
        <v>101</v>
      </c>
      <c r="P25" s="63"/>
      <c r="Q25" s="64"/>
      <c r="R25" s="64"/>
      <c r="S25" s="64"/>
      <c r="T25" s="64"/>
      <c r="U25" s="64"/>
      <c r="V25" s="45"/>
      <c r="W25" s="45"/>
      <c r="X25" s="45"/>
      <c r="Y25" s="45"/>
      <c r="Z25" s="45"/>
      <c r="AA25" s="45"/>
      <c r="AB25" s="45"/>
      <c r="AC25" s="65"/>
      <c r="AD25" s="92">
        <v>39591000</v>
      </c>
      <c r="AE25" s="71" t="s">
        <v>85</v>
      </c>
    </row>
    <row r="26" spans="1:32" s="12" customFormat="1" ht="19.5" customHeight="1">
      <c r="A26" s="77"/>
      <c r="B26" s="123"/>
      <c r="C26" s="58"/>
      <c r="D26" s="60"/>
      <c r="E26" s="60"/>
      <c r="F26" s="60"/>
      <c r="G26" s="60"/>
      <c r="H26" s="60"/>
      <c r="I26" s="60"/>
      <c r="J26" s="60"/>
      <c r="K26" s="60"/>
      <c r="L26" s="60"/>
      <c r="M26" s="61"/>
      <c r="N26" s="96"/>
      <c r="O26" s="91" t="s">
        <v>102</v>
      </c>
      <c r="P26" s="64"/>
      <c r="Q26" s="68"/>
      <c r="R26" s="68"/>
      <c r="S26" s="64">
        <v>593000</v>
      </c>
      <c r="T26" s="64" t="s">
        <v>85</v>
      </c>
      <c r="U26" s="63" t="s">
        <v>86</v>
      </c>
      <c r="V26" s="64">
        <v>53</v>
      </c>
      <c r="W26" s="64" t="s">
        <v>87</v>
      </c>
      <c r="X26" s="63" t="s">
        <v>89</v>
      </c>
      <c r="Y26" s="63"/>
      <c r="Z26" s="63"/>
      <c r="AA26" s="63"/>
      <c r="AB26" s="63"/>
      <c r="AC26" s="63"/>
      <c r="AD26" s="64">
        <f>S26*V26</f>
        <v>31429000</v>
      </c>
      <c r="AE26" s="71" t="s">
        <v>26</v>
      </c>
      <c r="AF26" s="6"/>
    </row>
    <row r="27" spans="1:32" s="12" customFormat="1" ht="19.5" customHeight="1">
      <c r="A27" s="77"/>
      <c r="B27" s="123"/>
      <c r="C27" s="73"/>
      <c r="D27" s="85"/>
      <c r="E27" s="60"/>
      <c r="F27" s="60"/>
      <c r="G27" s="60"/>
      <c r="H27" s="60"/>
      <c r="I27" s="60"/>
      <c r="J27" s="60"/>
      <c r="K27" s="60"/>
      <c r="L27" s="60"/>
      <c r="M27" s="61"/>
      <c r="N27" s="96"/>
      <c r="O27" s="63"/>
      <c r="P27" s="64"/>
      <c r="Q27" s="68"/>
      <c r="R27" s="68"/>
      <c r="S27" s="64"/>
      <c r="T27" s="64"/>
      <c r="U27" s="63"/>
      <c r="V27" s="64"/>
      <c r="W27" s="64"/>
      <c r="X27" s="63"/>
      <c r="Y27" s="63"/>
      <c r="Z27" s="63"/>
      <c r="AA27" s="63"/>
      <c r="AB27" s="63"/>
      <c r="AC27" s="63"/>
      <c r="AD27" s="64"/>
      <c r="AE27" s="71"/>
      <c r="AF27" s="6"/>
    </row>
    <row r="28" spans="1:32" ht="21" customHeight="1" thickBot="1">
      <c r="A28" s="57"/>
      <c r="B28" s="58"/>
      <c r="C28" s="48" t="s">
        <v>103</v>
      </c>
      <c r="D28" s="49">
        <v>70566</v>
      </c>
      <c r="E28" s="49">
        <f>SUM(F28:L28)</f>
        <v>60817</v>
      </c>
      <c r="F28" s="49">
        <f>AD28/1000</f>
        <v>60817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50">
        <f>E28-D28</f>
        <v>-9749</v>
      </c>
      <c r="N28" s="51">
        <f>IF(D28=0,0,M28/D28)</f>
        <v>-0.1381543519541989</v>
      </c>
      <c r="O28" s="116" t="s">
        <v>104</v>
      </c>
      <c r="P28" s="117"/>
      <c r="Q28" s="118"/>
      <c r="R28" s="118"/>
      <c r="S28" s="118"/>
      <c r="T28" s="118"/>
      <c r="U28" s="118"/>
      <c r="V28" s="119"/>
      <c r="W28" s="120" t="s">
        <v>84</v>
      </c>
      <c r="X28" s="120"/>
      <c r="Y28" s="120"/>
      <c r="Z28" s="120"/>
      <c r="AA28" s="120"/>
      <c r="AB28" s="120"/>
      <c r="AC28" s="121"/>
      <c r="AD28" s="121">
        <f>SUM(AD29:AD33)</f>
        <v>60817000</v>
      </c>
      <c r="AE28" s="122" t="s">
        <v>26</v>
      </c>
    </row>
    <row r="29" spans="1:32" ht="21" customHeight="1">
      <c r="A29" s="57"/>
      <c r="B29" s="58"/>
      <c r="C29" s="58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43"/>
      <c r="O29" s="63" t="s">
        <v>105</v>
      </c>
      <c r="P29" s="63"/>
      <c r="Q29" s="64"/>
      <c r="R29" s="64"/>
      <c r="S29" s="64">
        <v>127882</v>
      </c>
      <c r="T29" s="64" t="s">
        <v>77</v>
      </c>
      <c r="U29" s="63" t="s">
        <v>86</v>
      </c>
      <c r="V29" s="64">
        <v>34</v>
      </c>
      <c r="W29" s="64" t="s">
        <v>106</v>
      </c>
      <c r="X29" s="63" t="s">
        <v>86</v>
      </c>
      <c r="Y29" s="64">
        <v>12</v>
      </c>
      <c r="Z29" s="64" t="s">
        <v>107</v>
      </c>
      <c r="AA29" s="64" t="s">
        <v>93</v>
      </c>
      <c r="AB29" s="64"/>
      <c r="AC29" s="92"/>
      <c r="AD29" s="92">
        <f>ROUNDUP(S29*V29*Y29,-3)</f>
        <v>52176000</v>
      </c>
      <c r="AE29" s="71" t="s">
        <v>77</v>
      </c>
    </row>
    <row r="30" spans="1:32" ht="21" customHeight="1">
      <c r="A30" s="57"/>
      <c r="B30" s="58"/>
      <c r="C30" s="58"/>
      <c r="D30" s="60"/>
      <c r="E30" s="60"/>
      <c r="F30" s="60"/>
      <c r="G30" s="60"/>
      <c r="H30" s="60"/>
      <c r="I30" s="60"/>
      <c r="J30" s="60"/>
      <c r="K30" s="60"/>
      <c r="L30" s="60"/>
      <c r="M30" s="61"/>
      <c r="N30" s="43"/>
      <c r="O30" s="63" t="s">
        <v>108</v>
      </c>
      <c r="P30" s="63"/>
      <c r="Q30" s="64"/>
      <c r="R30" s="64"/>
      <c r="S30" s="64">
        <v>12996</v>
      </c>
      <c r="T30" s="64" t="s">
        <v>77</v>
      </c>
      <c r="U30" s="63" t="s">
        <v>86</v>
      </c>
      <c r="V30" s="64">
        <v>34</v>
      </c>
      <c r="W30" s="64" t="s">
        <v>106</v>
      </c>
      <c r="X30" s="63" t="s">
        <v>86</v>
      </c>
      <c r="Y30" s="64">
        <v>12</v>
      </c>
      <c r="Z30" s="64" t="s">
        <v>107</v>
      </c>
      <c r="AA30" s="64" t="s">
        <v>93</v>
      </c>
      <c r="AB30" s="64"/>
      <c r="AC30" s="92"/>
      <c r="AD30" s="92">
        <f>ROUNDUP(S30*V30*Y30,-3)</f>
        <v>5303000</v>
      </c>
      <c r="AE30" s="71" t="s">
        <v>77</v>
      </c>
    </row>
    <row r="31" spans="1:32" ht="21" customHeight="1">
      <c r="A31" s="57"/>
      <c r="B31" s="58"/>
      <c r="C31" s="58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43"/>
      <c r="O31" s="63" t="s">
        <v>109</v>
      </c>
      <c r="P31" s="63"/>
      <c r="Q31" s="64"/>
      <c r="R31" s="64"/>
      <c r="S31" s="64">
        <v>19189</v>
      </c>
      <c r="T31" s="64" t="s">
        <v>77</v>
      </c>
      <c r="U31" s="63" t="s">
        <v>86</v>
      </c>
      <c r="V31" s="64">
        <v>34</v>
      </c>
      <c r="W31" s="64" t="s">
        <v>106</v>
      </c>
      <c r="X31" s="63" t="s">
        <v>86</v>
      </c>
      <c r="Y31" s="64">
        <v>1</v>
      </c>
      <c r="Z31" s="64" t="s">
        <v>110</v>
      </c>
      <c r="AA31" s="64" t="s">
        <v>93</v>
      </c>
      <c r="AB31" s="64"/>
      <c r="AC31" s="92"/>
      <c r="AD31" s="92">
        <f>ROUNDUP(S31*V31*Y31,-3)</f>
        <v>653000</v>
      </c>
      <c r="AE31" s="71" t="s">
        <v>77</v>
      </c>
    </row>
    <row r="32" spans="1:32" ht="21" customHeight="1">
      <c r="A32" s="57"/>
      <c r="B32" s="58"/>
      <c r="C32" s="58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43"/>
      <c r="O32" s="63" t="s">
        <v>111</v>
      </c>
      <c r="P32" s="63"/>
      <c r="Q32" s="64"/>
      <c r="R32" s="64"/>
      <c r="S32" s="64">
        <v>25772</v>
      </c>
      <c r="T32" s="64" t="s">
        <v>77</v>
      </c>
      <c r="U32" s="63" t="s">
        <v>86</v>
      </c>
      <c r="V32" s="64">
        <v>34</v>
      </c>
      <c r="W32" s="64" t="s">
        <v>106</v>
      </c>
      <c r="X32" s="63" t="s">
        <v>86</v>
      </c>
      <c r="Y32" s="64">
        <v>1</v>
      </c>
      <c r="Z32" s="64" t="s">
        <v>110</v>
      </c>
      <c r="AA32" s="64" t="s">
        <v>93</v>
      </c>
      <c r="AB32" s="64"/>
      <c r="AC32" s="92"/>
      <c r="AD32" s="92">
        <f>ROUNDUP(S32*V32*Y32,-3)</f>
        <v>877000</v>
      </c>
      <c r="AE32" s="71" t="s">
        <v>77</v>
      </c>
    </row>
    <row r="33" spans="1:32" ht="21" customHeight="1">
      <c r="A33" s="57"/>
      <c r="B33" s="58"/>
      <c r="C33" s="58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43"/>
      <c r="O33" s="63" t="s">
        <v>112</v>
      </c>
      <c r="P33" s="63"/>
      <c r="Q33" s="64"/>
      <c r="R33" s="64"/>
      <c r="S33" s="64">
        <v>26585</v>
      </c>
      <c r="T33" s="64" t="s">
        <v>77</v>
      </c>
      <c r="U33" s="63" t="s">
        <v>86</v>
      </c>
      <c r="V33" s="64">
        <v>34</v>
      </c>
      <c r="W33" s="64" t="s">
        <v>106</v>
      </c>
      <c r="X33" s="63" t="s">
        <v>86</v>
      </c>
      <c r="Y33" s="64">
        <v>2</v>
      </c>
      <c r="Z33" s="64" t="s">
        <v>110</v>
      </c>
      <c r="AA33" s="64" t="s">
        <v>93</v>
      </c>
      <c r="AB33" s="64"/>
      <c r="AC33" s="92"/>
      <c r="AD33" s="92">
        <f>ROUNDUP(S33*V33*Y33,-3)</f>
        <v>1808000</v>
      </c>
      <c r="AE33" s="71" t="s">
        <v>77</v>
      </c>
    </row>
    <row r="34" spans="1:32" s="12" customFormat="1" ht="19.5" customHeight="1">
      <c r="A34" s="77"/>
      <c r="B34" s="124"/>
      <c r="C34" s="73"/>
      <c r="D34" s="85"/>
      <c r="E34" s="85"/>
      <c r="F34" s="85"/>
      <c r="G34" s="85"/>
      <c r="H34" s="85"/>
      <c r="I34" s="85"/>
      <c r="J34" s="85"/>
      <c r="K34" s="85"/>
      <c r="L34" s="85"/>
      <c r="M34" s="86"/>
      <c r="N34" s="125"/>
      <c r="O34" s="97"/>
      <c r="P34" s="112"/>
      <c r="Q34" s="126"/>
      <c r="R34" s="126"/>
      <c r="S34" s="127"/>
      <c r="T34" s="112"/>
      <c r="U34" s="126"/>
      <c r="V34" s="112"/>
      <c r="W34" s="112"/>
      <c r="X34" s="112"/>
      <c r="Y34" s="112"/>
      <c r="Z34" s="112"/>
      <c r="AA34" s="112"/>
      <c r="AB34" s="112"/>
      <c r="AC34" s="112"/>
      <c r="AD34" s="112"/>
      <c r="AE34" s="99"/>
      <c r="AF34" s="6"/>
    </row>
    <row r="35" spans="1:32" ht="21" customHeight="1" thickBot="1">
      <c r="A35" s="57"/>
      <c r="B35" s="48" t="s">
        <v>113</v>
      </c>
      <c r="C35" s="58" t="s">
        <v>113</v>
      </c>
      <c r="D35" s="60">
        <v>0</v>
      </c>
      <c r="E35" s="49">
        <f>SUM(F35:L35)</f>
        <v>0</v>
      </c>
      <c r="F35" s="49">
        <f>AD35/1000</f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61">
        <f>E35-D35</f>
        <v>0</v>
      </c>
      <c r="N35" s="43">
        <f>IF(D35=0,0,M35/D35)</f>
        <v>0</v>
      </c>
      <c r="O35" s="78" t="s">
        <v>114</v>
      </c>
      <c r="P35" s="79"/>
      <c r="Q35" s="80"/>
      <c r="R35" s="80"/>
      <c r="S35" s="80"/>
      <c r="T35" s="80"/>
      <c r="U35" s="80"/>
      <c r="V35" s="81"/>
      <c r="W35" s="82" t="s">
        <v>84</v>
      </c>
      <c r="X35" s="82"/>
      <c r="Y35" s="82"/>
      <c r="Z35" s="82"/>
      <c r="AA35" s="82"/>
      <c r="AB35" s="82"/>
      <c r="AC35" s="83"/>
      <c r="AD35" s="83">
        <f>AD37</f>
        <v>0</v>
      </c>
      <c r="AE35" s="84" t="s">
        <v>26</v>
      </c>
    </row>
    <row r="36" spans="1:32" s="12" customFormat="1" ht="19.5" customHeight="1">
      <c r="A36" s="57"/>
      <c r="B36" s="58" t="s">
        <v>82</v>
      </c>
      <c r="C36" s="58" t="s">
        <v>82</v>
      </c>
      <c r="D36" s="60"/>
      <c r="E36" s="60"/>
      <c r="F36" s="60"/>
      <c r="G36" s="60"/>
      <c r="H36" s="60"/>
      <c r="I36" s="60"/>
      <c r="J36" s="60"/>
      <c r="K36" s="60"/>
      <c r="L36" s="60"/>
      <c r="M36" s="61"/>
      <c r="N36" s="96"/>
      <c r="O36" s="91" t="s">
        <v>115</v>
      </c>
      <c r="P36" s="64"/>
      <c r="Q36" s="68"/>
      <c r="R36" s="68"/>
      <c r="S36" s="64"/>
      <c r="T36" s="64"/>
      <c r="U36" s="64"/>
      <c r="V36" s="64"/>
      <c r="W36" s="64"/>
      <c r="X36" s="63"/>
      <c r="Y36" s="63"/>
      <c r="Z36" s="63"/>
      <c r="AA36" s="63"/>
      <c r="AB36" s="63"/>
      <c r="AC36" s="63"/>
      <c r="AD36" s="64"/>
      <c r="AE36" s="71"/>
      <c r="AF36" s="6"/>
    </row>
    <row r="37" spans="1:32" s="12" customFormat="1" ht="19.5" customHeight="1">
      <c r="A37" s="57"/>
      <c r="B37" s="58"/>
      <c r="C37" s="58"/>
      <c r="D37" s="60"/>
      <c r="E37" s="60"/>
      <c r="F37" s="60"/>
      <c r="G37" s="60"/>
      <c r="H37" s="60"/>
      <c r="I37" s="60"/>
      <c r="J37" s="60"/>
      <c r="K37" s="60"/>
      <c r="L37" s="60"/>
      <c r="M37" s="61"/>
      <c r="N37" s="96"/>
      <c r="O37" s="91" t="s">
        <v>116</v>
      </c>
      <c r="P37" s="64"/>
      <c r="Q37" s="68"/>
      <c r="R37" s="68"/>
      <c r="S37" s="64"/>
      <c r="T37" s="64"/>
      <c r="U37" s="64"/>
      <c r="V37" s="64"/>
      <c r="W37" s="64"/>
      <c r="X37" s="63"/>
      <c r="Y37" s="63"/>
      <c r="Z37" s="63"/>
      <c r="AA37" s="63"/>
      <c r="AB37" s="63"/>
      <c r="AC37" s="63"/>
      <c r="AD37" s="64">
        <v>0</v>
      </c>
      <c r="AE37" s="71" t="s">
        <v>26</v>
      </c>
      <c r="AF37" s="6"/>
    </row>
    <row r="38" spans="1:32" s="12" customFormat="1" ht="19.5" customHeight="1">
      <c r="A38" s="57"/>
      <c r="B38" s="58"/>
      <c r="C38" s="58"/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96"/>
      <c r="O38" s="91"/>
      <c r="P38" s="64"/>
      <c r="Q38" s="68"/>
      <c r="R38" s="68"/>
      <c r="S38" s="64"/>
      <c r="T38" s="64"/>
      <c r="U38" s="64"/>
      <c r="V38" s="64"/>
      <c r="W38" s="64"/>
      <c r="X38" s="63"/>
      <c r="Y38" s="63"/>
      <c r="Z38" s="63"/>
      <c r="AA38" s="63"/>
      <c r="AB38" s="63"/>
      <c r="AC38" s="63"/>
      <c r="AD38" s="64"/>
      <c r="AE38" s="71"/>
      <c r="AF38" s="6"/>
    </row>
    <row r="39" spans="1:32" ht="21" customHeight="1" thickBot="1">
      <c r="A39" s="57"/>
      <c r="B39" s="128" t="s">
        <v>117</v>
      </c>
      <c r="C39" s="48" t="s">
        <v>119</v>
      </c>
      <c r="D39" s="49">
        <v>212241</v>
      </c>
      <c r="E39" s="49">
        <f>SUM(F39:L39)</f>
        <v>206775</v>
      </c>
      <c r="F39" s="49">
        <v>0</v>
      </c>
      <c r="G39" s="49">
        <f>SUM(인건비지원금,운영비지원금,프로그램지원금)/1000</f>
        <v>185018</v>
      </c>
      <c r="H39" s="49">
        <f>입소자지원금/1000</f>
        <v>21757</v>
      </c>
      <c r="I39" s="49">
        <v>0</v>
      </c>
      <c r="J39" s="49">
        <v>0</v>
      </c>
      <c r="K39" s="49">
        <v>0</v>
      </c>
      <c r="L39" s="49">
        <v>0</v>
      </c>
      <c r="M39" s="50">
        <f>E39-D39</f>
        <v>-5466</v>
      </c>
      <c r="N39" s="51">
        <f>IF(D39=0,0,M39/D39)</f>
        <v>-2.575374220815017E-2</v>
      </c>
      <c r="O39" s="78" t="s">
        <v>118</v>
      </c>
      <c r="P39" s="129"/>
      <c r="Q39" s="130"/>
      <c r="R39" s="130"/>
      <c r="S39" s="130"/>
      <c r="T39" s="130"/>
      <c r="U39" s="130"/>
      <c r="V39" s="131"/>
      <c r="W39" s="82" t="s">
        <v>84</v>
      </c>
      <c r="X39" s="82"/>
      <c r="Y39" s="82"/>
      <c r="Z39" s="82"/>
      <c r="AA39" s="82"/>
      <c r="AB39" s="82"/>
      <c r="AC39" s="83"/>
      <c r="AD39" s="83">
        <f>SUM(입소자지원금,인건비지원금,운영비지원금,프로그램지원금)</f>
        <v>206775000</v>
      </c>
      <c r="AE39" s="84" t="s">
        <v>26</v>
      </c>
    </row>
    <row r="40" spans="1:32" ht="21" customHeight="1">
      <c r="A40" s="57"/>
      <c r="B40" s="132" t="s">
        <v>82</v>
      </c>
      <c r="C40" s="58" t="s">
        <v>82</v>
      </c>
      <c r="D40" s="37"/>
      <c r="E40" s="37"/>
      <c r="F40" s="37"/>
      <c r="G40" s="37"/>
      <c r="H40" s="37"/>
      <c r="I40" s="37"/>
      <c r="J40" s="37"/>
      <c r="K40" s="37"/>
      <c r="L40" s="37"/>
      <c r="M40" s="61"/>
      <c r="N40" s="43"/>
      <c r="O40" s="62"/>
      <c r="P40" s="63"/>
      <c r="Q40" s="64"/>
      <c r="R40" s="64"/>
      <c r="S40" s="64"/>
      <c r="T40" s="64"/>
      <c r="U40" s="64"/>
      <c r="V40" s="45"/>
      <c r="W40" s="45"/>
      <c r="X40" s="45"/>
      <c r="Y40" s="45"/>
      <c r="Z40" s="45"/>
      <c r="AA40" s="45"/>
      <c r="AB40" s="45"/>
      <c r="AC40" s="65"/>
      <c r="AD40" s="65"/>
      <c r="AE40" s="46"/>
    </row>
    <row r="41" spans="1:32" ht="21" customHeight="1" thickBot="1">
      <c r="A41" s="57"/>
      <c r="B41" s="132"/>
      <c r="C41" s="58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43"/>
      <c r="O41" s="133" t="s">
        <v>120</v>
      </c>
      <c r="P41" s="134"/>
      <c r="Q41" s="45"/>
      <c r="R41" s="45"/>
      <c r="S41" s="45"/>
      <c r="T41" s="45"/>
      <c r="U41" s="45"/>
      <c r="V41" s="45"/>
      <c r="W41" s="135" t="s">
        <v>121</v>
      </c>
      <c r="X41" s="135"/>
      <c r="Y41" s="135"/>
      <c r="Z41" s="135"/>
      <c r="AA41" s="135"/>
      <c r="AB41" s="135"/>
      <c r="AC41" s="136"/>
      <c r="AD41" s="136">
        <f>SUM(AD42:AD47)</f>
        <v>21757000</v>
      </c>
      <c r="AE41" s="137" t="s">
        <v>85</v>
      </c>
    </row>
    <row r="42" spans="1:32" ht="21" customHeight="1">
      <c r="A42" s="57"/>
      <c r="B42" s="132"/>
      <c r="C42" s="58"/>
      <c r="D42" s="60"/>
      <c r="E42" s="60"/>
      <c r="F42" s="60"/>
      <c r="G42" s="60"/>
      <c r="H42" s="60"/>
      <c r="I42" s="60"/>
      <c r="J42" s="60"/>
      <c r="K42" s="60"/>
      <c r="L42" s="60"/>
      <c r="M42" s="61"/>
      <c r="N42" s="43"/>
      <c r="O42" s="91" t="s">
        <v>122</v>
      </c>
      <c r="P42" s="63"/>
      <c r="Q42" s="64"/>
      <c r="R42" s="64"/>
      <c r="S42" s="64">
        <v>500</v>
      </c>
      <c r="T42" s="64" t="s">
        <v>77</v>
      </c>
      <c r="U42" s="63" t="s">
        <v>86</v>
      </c>
      <c r="V42" s="64">
        <v>53</v>
      </c>
      <c r="W42" s="64" t="s">
        <v>106</v>
      </c>
      <c r="X42" s="63" t="s">
        <v>86</v>
      </c>
      <c r="Y42" s="64">
        <v>365</v>
      </c>
      <c r="Z42" s="64" t="s">
        <v>123</v>
      </c>
      <c r="AA42" s="64" t="s">
        <v>93</v>
      </c>
      <c r="AB42" s="64"/>
      <c r="AC42" s="92"/>
      <c r="AD42" s="92">
        <f>ROUNDUP(S42*V42*Y42,-3)</f>
        <v>9673000</v>
      </c>
      <c r="AE42" s="71" t="s">
        <v>26</v>
      </c>
    </row>
    <row r="43" spans="1:32" ht="21" customHeight="1">
      <c r="A43" s="57"/>
      <c r="B43" s="132"/>
      <c r="C43" s="58"/>
      <c r="D43" s="60"/>
      <c r="E43" s="60"/>
      <c r="F43" s="60"/>
      <c r="G43" s="60"/>
      <c r="H43" s="60"/>
      <c r="I43" s="60"/>
      <c r="J43" s="60"/>
      <c r="K43" s="60"/>
      <c r="L43" s="60"/>
      <c r="M43" s="61"/>
      <c r="N43" s="43"/>
      <c r="O43" s="91" t="s">
        <v>124</v>
      </c>
      <c r="P43" s="63"/>
      <c r="Q43" s="64"/>
      <c r="R43" s="64"/>
      <c r="S43" s="64">
        <v>5000</v>
      </c>
      <c r="T43" s="64" t="s">
        <v>77</v>
      </c>
      <c r="U43" s="63" t="s">
        <v>86</v>
      </c>
      <c r="V43" s="64">
        <v>53</v>
      </c>
      <c r="W43" s="64" t="s">
        <v>106</v>
      </c>
      <c r="X43" s="63" t="s">
        <v>86</v>
      </c>
      <c r="Y43" s="64">
        <v>12</v>
      </c>
      <c r="Z43" s="64" t="s">
        <v>107</v>
      </c>
      <c r="AA43" s="64" t="s">
        <v>93</v>
      </c>
      <c r="AB43" s="64"/>
      <c r="AC43" s="92"/>
      <c r="AD43" s="92">
        <f>S43*V43*Y43</f>
        <v>3180000</v>
      </c>
      <c r="AE43" s="71" t="s">
        <v>26</v>
      </c>
    </row>
    <row r="44" spans="1:32" ht="21" customHeight="1">
      <c r="A44" s="57"/>
      <c r="B44" s="132"/>
      <c r="C44" s="58"/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43"/>
      <c r="O44" s="91" t="s">
        <v>442</v>
      </c>
      <c r="P44" s="63"/>
      <c r="Q44" s="64"/>
      <c r="R44" s="64"/>
      <c r="S44" s="64">
        <v>20000</v>
      </c>
      <c r="T44" s="64" t="s">
        <v>77</v>
      </c>
      <c r="U44" s="63" t="s">
        <v>86</v>
      </c>
      <c r="V44" s="64">
        <v>53</v>
      </c>
      <c r="W44" s="64" t="s">
        <v>106</v>
      </c>
      <c r="X44" s="63" t="s">
        <v>86</v>
      </c>
      <c r="Y44" s="64">
        <v>4</v>
      </c>
      <c r="Z44" s="64" t="s">
        <v>110</v>
      </c>
      <c r="AA44" s="64" t="s">
        <v>93</v>
      </c>
      <c r="AB44" s="64"/>
      <c r="AC44" s="92"/>
      <c r="AD44" s="92">
        <f>S44*V44*Y44</f>
        <v>4240000</v>
      </c>
      <c r="AE44" s="71" t="s">
        <v>26</v>
      </c>
    </row>
    <row r="45" spans="1:32" ht="21" customHeight="1">
      <c r="A45" s="57"/>
      <c r="B45" s="132"/>
      <c r="C45" s="58"/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43"/>
      <c r="O45" s="91" t="s">
        <v>125</v>
      </c>
      <c r="P45" s="63"/>
      <c r="Q45" s="64"/>
      <c r="R45" s="64"/>
      <c r="S45" s="64">
        <v>12000</v>
      </c>
      <c r="T45" s="64" t="s">
        <v>77</v>
      </c>
      <c r="U45" s="63" t="s">
        <v>86</v>
      </c>
      <c r="V45" s="64">
        <v>53</v>
      </c>
      <c r="W45" s="64" t="s">
        <v>106</v>
      </c>
      <c r="X45" s="63" t="s">
        <v>86</v>
      </c>
      <c r="Y45" s="64">
        <v>4</v>
      </c>
      <c r="Z45" s="64" t="s">
        <v>110</v>
      </c>
      <c r="AA45" s="64" t="s">
        <v>93</v>
      </c>
      <c r="AB45" s="64"/>
      <c r="AC45" s="92"/>
      <c r="AD45" s="92">
        <f>S45*V45*Y45</f>
        <v>2544000</v>
      </c>
      <c r="AE45" s="71" t="s">
        <v>26</v>
      </c>
    </row>
    <row r="46" spans="1:32" ht="21" customHeight="1">
      <c r="A46" s="57"/>
      <c r="B46" s="132"/>
      <c r="C46" s="58"/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43"/>
      <c r="O46" s="91" t="s">
        <v>126</v>
      </c>
      <c r="P46" s="63"/>
      <c r="Q46" s="64"/>
      <c r="R46" s="64"/>
      <c r="S46" s="64"/>
      <c r="T46" s="64"/>
      <c r="U46" s="63"/>
      <c r="V46" s="64"/>
      <c r="W46" s="64"/>
      <c r="X46" s="63"/>
      <c r="Y46" s="64"/>
      <c r="Z46" s="64"/>
      <c r="AA46" s="64"/>
      <c r="AB46" s="64"/>
      <c r="AC46" s="92"/>
      <c r="AD46" s="92"/>
      <c r="AE46" s="71"/>
    </row>
    <row r="47" spans="1:32" ht="21" customHeight="1">
      <c r="A47" s="57"/>
      <c r="B47" s="132"/>
      <c r="C47" s="58"/>
      <c r="D47" s="60"/>
      <c r="E47" s="60"/>
      <c r="F47" s="60"/>
      <c r="G47" s="60"/>
      <c r="H47" s="60"/>
      <c r="I47" s="60"/>
      <c r="J47" s="60"/>
      <c r="K47" s="60"/>
      <c r="L47" s="60"/>
      <c r="M47" s="61"/>
      <c r="N47" s="43"/>
      <c r="O47" s="91" t="s">
        <v>127</v>
      </c>
      <c r="P47" s="63"/>
      <c r="Q47" s="64"/>
      <c r="R47" s="64"/>
      <c r="S47" s="64">
        <v>40000</v>
      </c>
      <c r="T47" s="64" t="s">
        <v>77</v>
      </c>
      <c r="U47" s="63" t="s">
        <v>86</v>
      </c>
      <c r="V47" s="64">
        <v>53</v>
      </c>
      <c r="W47" s="64" t="s">
        <v>106</v>
      </c>
      <c r="X47" s="63" t="s">
        <v>86</v>
      </c>
      <c r="Y47" s="64">
        <v>1</v>
      </c>
      <c r="Z47" s="64" t="s">
        <v>110</v>
      </c>
      <c r="AA47" s="64" t="s">
        <v>93</v>
      </c>
      <c r="AB47" s="64"/>
      <c r="AC47" s="92"/>
      <c r="AD47" s="92">
        <f>S47*V47*Y47</f>
        <v>2120000</v>
      </c>
      <c r="AE47" s="71" t="s">
        <v>26</v>
      </c>
    </row>
    <row r="48" spans="1:32" ht="21" customHeight="1">
      <c r="A48" s="57"/>
      <c r="B48" s="132"/>
      <c r="C48" s="58"/>
      <c r="D48" s="60"/>
      <c r="E48" s="60"/>
      <c r="F48" s="60"/>
      <c r="G48" s="60"/>
      <c r="H48" s="60"/>
      <c r="I48" s="60"/>
      <c r="J48" s="60"/>
      <c r="K48" s="60"/>
      <c r="L48" s="60"/>
      <c r="M48" s="61"/>
      <c r="N48" s="43"/>
      <c r="O48" s="91"/>
      <c r="P48" s="63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92"/>
      <c r="AD48" s="92"/>
      <c r="AE48" s="71"/>
    </row>
    <row r="49" spans="1:31" ht="21" customHeight="1" thickBot="1">
      <c r="A49" s="57"/>
      <c r="B49" s="132"/>
      <c r="C49" s="58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43"/>
      <c r="O49" s="133" t="s">
        <v>128</v>
      </c>
      <c r="P49" s="134"/>
      <c r="Q49" s="45"/>
      <c r="R49" s="45"/>
      <c r="S49" s="45"/>
      <c r="T49" s="45"/>
      <c r="U49" s="45"/>
      <c r="V49" s="45"/>
      <c r="W49" s="135" t="s">
        <v>129</v>
      </c>
      <c r="X49" s="135"/>
      <c r="Y49" s="135"/>
      <c r="Z49" s="135"/>
      <c r="AA49" s="135"/>
      <c r="AB49" s="135"/>
      <c r="AC49" s="136"/>
      <c r="AD49" s="136">
        <f>기본급+제수당+퇴직금적립금+사회보험부담금</f>
        <v>151628000</v>
      </c>
      <c r="AE49" s="137" t="s">
        <v>85</v>
      </c>
    </row>
    <row r="50" spans="1:31" ht="21" customHeight="1">
      <c r="A50" s="57"/>
      <c r="B50" s="132"/>
      <c r="C50" s="58"/>
      <c r="D50" s="60"/>
      <c r="E50" s="60"/>
      <c r="F50" s="60"/>
      <c r="G50" s="60"/>
      <c r="H50" s="60"/>
      <c r="I50" s="60"/>
      <c r="J50" s="60"/>
      <c r="K50" s="60"/>
      <c r="L50" s="60"/>
      <c r="M50" s="61"/>
      <c r="N50" s="43"/>
      <c r="O50" s="62"/>
      <c r="P50" s="44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65"/>
      <c r="AD50" s="65"/>
      <c r="AE50" s="46"/>
    </row>
    <row r="51" spans="1:31" ht="21" customHeight="1">
      <c r="A51" s="57"/>
      <c r="B51" s="132"/>
      <c r="C51" s="58"/>
      <c r="D51" s="60"/>
      <c r="E51" s="60"/>
      <c r="F51" s="60"/>
      <c r="G51" s="60"/>
      <c r="H51" s="60"/>
      <c r="I51" s="60"/>
      <c r="J51" s="60"/>
      <c r="K51" s="60"/>
      <c r="L51" s="60"/>
      <c r="M51" s="61"/>
      <c r="N51" s="43"/>
      <c r="O51" s="97" t="s">
        <v>390</v>
      </c>
      <c r="P51" s="63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411" t="s">
        <v>91</v>
      </c>
      <c r="AC51" s="411"/>
      <c r="AD51" s="98">
        <v>39156000</v>
      </c>
      <c r="AE51" s="99" t="s">
        <v>77</v>
      </c>
    </row>
    <row r="52" spans="1:31" ht="21" customHeight="1">
      <c r="A52" s="57"/>
      <c r="B52" s="132"/>
      <c r="C52" s="58"/>
      <c r="D52" s="60"/>
      <c r="E52" s="60"/>
      <c r="F52" s="60"/>
      <c r="G52" s="60"/>
      <c r="H52" s="60"/>
      <c r="I52" s="60"/>
      <c r="J52" s="60"/>
      <c r="K52" s="60"/>
      <c r="L52" s="60"/>
      <c r="M52" s="61"/>
      <c r="N52" s="43"/>
      <c r="O52" s="91"/>
      <c r="P52" s="63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92"/>
      <c r="AD52" s="92"/>
      <c r="AE52" s="71"/>
    </row>
    <row r="53" spans="1:31" ht="21" customHeight="1">
      <c r="A53" s="57"/>
      <c r="B53" s="132"/>
      <c r="C53" s="58"/>
      <c r="D53" s="60"/>
      <c r="E53" s="60"/>
      <c r="F53" s="60"/>
      <c r="G53" s="60"/>
      <c r="H53" s="60"/>
      <c r="I53" s="60"/>
      <c r="J53" s="60"/>
      <c r="K53" s="60"/>
      <c r="L53" s="60"/>
      <c r="M53" s="61"/>
      <c r="N53" s="43"/>
      <c r="O53" s="97" t="s">
        <v>336</v>
      </c>
      <c r="P53" s="63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411" t="s">
        <v>91</v>
      </c>
      <c r="AC53" s="411"/>
      <c r="AD53" s="98">
        <f>AD55+AD56+AD57+AD58</f>
        <v>103305000</v>
      </c>
      <c r="AE53" s="99" t="s">
        <v>77</v>
      </c>
    </row>
    <row r="54" spans="1:31" ht="21" customHeight="1">
      <c r="A54" s="57"/>
      <c r="B54" s="132"/>
      <c r="C54" s="58"/>
      <c r="D54" s="60"/>
      <c r="E54" s="60"/>
      <c r="F54" s="60"/>
      <c r="G54" s="60"/>
      <c r="H54" s="60"/>
      <c r="I54" s="60"/>
      <c r="J54" s="60"/>
      <c r="K54" s="60"/>
      <c r="L54" s="60"/>
      <c r="M54" s="61"/>
      <c r="N54" s="43"/>
      <c r="O54" s="91"/>
      <c r="P54" s="63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92"/>
      <c r="AD54" s="92"/>
      <c r="AE54" s="71"/>
    </row>
    <row r="55" spans="1:31" ht="21" customHeight="1">
      <c r="A55" s="57"/>
      <c r="B55" s="132"/>
      <c r="C55" s="58"/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43"/>
      <c r="O55" s="91" t="s">
        <v>392</v>
      </c>
      <c r="P55" s="63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410" t="s">
        <v>130</v>
      </c>
      <c r="AC55" s="410"/>
      <c r="AD55" s="92">
        <v>3241000</v>
      </c>
      <c r="AE55" s="71" t="s">
        <v>77</v>
      </c>
    </row>
    <row r="56" spans="1:31" ht="21" customHeight="1">
      <c r="A56" s="57"/>
      <c r="B56" s="132"/>
      <c r="C56" s="58"/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43"/>
      <c r="O56" s="91" t="s">
        <v>391</v>
      </c>
      <c r="P56" s="63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410" t="s">
        <v>130</v>
      </c>
      <c r="AC56" s="410"/>
      <c r="AD56" s="92">
        <v>1200000</v>
      </c>
      <c r="AE56" s="71" t="s">
        <v>77</v>
      </c>
    </row>
    <row r="57" spans="1:31" ht="21" customHeight="1">
      <c r="A57" s="57"/>
      <c r="B57" s="132"/>
      <c r="C57" s="58"/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43"/>
      <c r="O57" s="91" t="s">
        <v>393</v>
      </c>
      <c r="P57" s="63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410" t="s">
        <v>130</v>
      </c>
      <c r="AC57" s="410"/>
      <c r="AD57" s="92">
        <v>9014000</v>
      </c>
      <c r="AE57" s="71" t="s">
        <v>77</v>
      </c>
    </row>
    <row r="58" spans="1:31" ht="21" customHeight="1">
      <c r="A58" s="57"/>
      <c r="B58" s="132"/>
      <c r="C58" s="58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43"/>
      <c r="O58" s="91" t="s">
        <v>628</v>
      </c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410" t="s">
        <v>130</v>
      </c>
      <c r="AC58" s="410"/>
      <c r="AD58" s="92">
        <v>89850000</v>
      </c>
      <c r="AE58" s="71" t="s">
        <v>77</v>
      </c>
    </row>
    <row r="59" spans="1:31" ht="21" customHeight="1">
      <c r="A59" s="57"/>
      <c r="B59" s="132"/>
      <c r="C59" s="58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43"/>
      <c r="O59" s="91"/>
      <c r="P59" s="63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92"/>
      <c r="AD59" s="92"/>
      <c r="AE59" s="71"/>
    </row>
    <row r="60" spans="1:31" ht="21" customHeight="1">
      <c r="A60" s="57"/>
      <c r="B60" s="132"/>
      <c r="C60" s="58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43"/>
      <c r="O60" s="97" t="s">
        <v>337</v>
      </c>
      <c r="P60" s="63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411" t="s">
        <v>91</v>
      </c>
      <c r="AC60" s="411"/>
      <c r="AD60" s="98">
        <f>AD61</f>
        <v>4385000</v>
      </c>
      <c r="AE60" s="99" t="s">
        <v>77</v>
      </c>
    </row>
    <row r="61" spans="1:31" ht="21" customHeight="1">
      <c r="A61" s="57"/>
      <c r="B61" s="132"/>
      <c r="C61" s="58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43"/>
      <c r="O61" s="91" t="s">
        <v>131</v>
      </c>
      <c r="P61" s="63"/>
      <c r="Q61" s="64"/>
      <c r="R61" s="64"/>
      <c r="S61" s="64">
        <f>기본급+제수당-AD58</f>
        <v>52611000</v>
      </c>
      <c r="T61" s="139" t="s">
        <v>85</v>
      </c>
      <c r="U61" s="139" t="s">
        <v>92</v>
      </c>
      <c r="V61" s="140">
        <v>12</v>
      </c>
      <c r="W61" s="141" t="s">
        <v>88</v>
      </c>
      <c r="X61" s="142"/>
      <c r="Y61" s="143"/>
      <c r="Z61" s="144"/>
      <c r="AA61" s="139" t="s">
        <v>89</v>
      </c>
      <c r="AB61" s="64"/>
      <c r="AC61" s="92"/>
      <c r="AD61" s="92">
        <f>ROUNDUP(S61/V61,-3)</f>
        <v>4385000</v>
      </c>
      <c r="AE61" s="71" t="s">
        <v>77</v>
      </c>
    </row>
    <row r="62" spans="1:31" ht="21" customHeight="1">
      <c r="A62" s="57"/>
      <c r="B62" s="132"/>
      <c r="C62" s="58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43"/>
      <c r="O62" s="91"/>
      <c r="P62" s="63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92"/>
      <c r="AD62" s="92"/>
      <c r="AE62" s="71"/>
    </row>
    <row r="63" spans="1:31" ht="21" customHeight="1">
      <c r="A63" s="57"/>
      <c r="B63" s="132"/>
      <c r="C63" s="58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43"/>
      <c r="O63" s="97" t="s">
        <v>338</v>
      </c>
      <c r="P63" s="63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411" t="s">
        <v>91</v>
      </c>
      <c r="AC63" s="411"/>
      <c r="AD63" s="98">
        <f>SUM(AD64:AD68)</f>
        <v>4782000</v>
      </c>
      <c r="AE63" s="99" t="s">
        <v>77</v>
      </c>
    </row>
    <row r="64" spans="1:31" ht="21" customHeight="1">
      <c r="A64" s="57"/>
      <c r="B64" s="132"/>
      <c r="C64" s="58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43"/>
      <c r="O64" s="91" t="s">
        <v>132</v>
      </c>
      <c r="P64" s="63"/>
      <c r="Q64" s="64"/>
      <c r="R64" s="64"/>
      <c r="S64" s="234">
        <f>기본급+제수당-AD58</f>
        <v>52611000</v>
      </c>
      <c r="T64" s="70" t="s">
        <v>85</v>
      </c>
      <c r="U64" s="100" t="s">
        <v>86</v>
      </c>
      <c r="V64" s="104">
        <v>0.09</v>
      </c>
      <c r="W64" s="70" t="s">
        <v>92</v>
      </c>
      <c r="X64" s="105">
        <v>2</v>
      </c>
      <c r="Y64" s="102"/>
      <c r="Z64" s="102"/>
      <c r="AA64" s="70" t="s">
        <v>89</v>
      </c>
      <c r="AB64" s="64"/>
      <c r="AC64" s="92"/>
      <c r="AD64" s="92">
        <f>ROUNDUP(S64*V64/X64,-3)</f>
        <v>2368000</v>
      </c>
      <c r="AE64" s="71" t="s">
        <v>77</v>
      </c>
    </row>
    <row r="65" spans="1:31" ht="21" customHeight="1">
      <c r="A65" s="57"/>
      <c r="B65" s="132"/>
      <c r="C65" s="58"/>
      <c r="D65" s="60"/>
      <c r="E65" s="60"/>
      <c r="F65" s="60"/>
      <c r="G65" s="60"/>
      <c r="H65" s="60"/>
      <c r="I65" s="60"/>
      <c r="J65" s="60"/>
      <c r="K65" s="60"/>
      <c r="L65" s="60"/>
      <c r="M65" s="61"/>
      <c r="N65" s="43"/>
      <c r="O65" s="91" t="s">
        <v>133</v>
      </c>
      <c r="P65" s="63"/>
      <c r="Q65" s="64"/>
      <c r="R65" s="64"/>
      <c r="S65" s="234">
        <f>기본급+제수당-AD58</f>
        <v>52611000</v>
      </c>
      <c r="T65" s="70" t="s">
        <v>85</v>
      </c>
      <c r="U65" s="100" t="s">
        <v>86</v>
      </c>
      <c r="V65" s="106">
        <v>5.6399999999999999E-2</v>
      </c>
      <c r="W65" s="70" t="s">
        <v>92</v>
      </c>
      <c r="X65" s="105">
        <v>2</v>
      </c>
      <c r="Y65" s="102"/>
      <c r="Z65" s="102"/>
      <c r="AA65" s="70" t="s">
        <v>89</v>
      </c>
      <c r="AB65" s="64"/>
      <c r="AC65" s="92"/>
      <c r="AD65" s="92">
        <f>ROUNDUP(S65*V65/X65,-3)</f>
        <v>1484000</v>
      </c>
      <c r="AE65" s="71" t="s">
        <v>77</v>
      </c>
    </row>
    <row r="66" spans="1:31" ht="21" customHeight="1">
      <c r="A66" s="57"/>
      <c r="B66" s="132"/>
      <c r="C66" s="58"/>
      <c r="D66" s="60"/>
      <c r="E66" s="60"/>
      <c r="F66" s="60"/>
      <c r="G66" s="60"/>
      <c r="H66" s="60"/>
      <c r="I66" s="60"/>
      <c r="J66" s="60"/>
      <c r="K66" s="60"/>
      <c r="L66" s="60"/>
      <c r="M66" s="61"/>
      <c r="N66" s="43"/>
      <c r="O66" s="91" t="s">
        <v>134</v>
      </c>
      <c r="P66" s="63"/>
      <c r="Q66" s="64"/>
      <c r="R66" s="64"/>
      <c r="S66" s="64">
        <f>AD65</f>
        <v>1484000</v>
      </c>
      <c r="T66" s="70" t="s">
        <v>85</v>
      </c>
      <c r="U66" s="100" t="s">
        <v>86</v>
      </c>
      <c r="V66" s="106">
        <v>6.5500000000000003E-2</v>
      </c>
      <c r="W66" s="107"/>
      <c r="X66" s="108"/>
      <c r="Y66" s="109"/>
      <c r="Z66" s="109"/>
      <c r="AA66" s="70" t="s">
        <v>89</v>
      </c>
      <c r="AB66" s="64"/>
      <c r="AC66" s="92"/>
      <c r="AD66" s="92">
        <f>ROUNDUP(S66*V66,-3)</f>
        <v>98000</v>
      </c>
      <c r="AE66" s="71" t="s">
        <v>77</v>
      </c>
    </row>
    <row r="67" spans="1:31" ht="21" customHeight="1">
      <c r="A67" s="57"/>
      <c r="B67" s="132"/>
      <c r="C67" s="58"/>
      <c r="D67" s="60"/>
      <c r="E67" s="60"/>
      <c r="F67" s="60"/>
      <c r="G67" s="60"/>
      <c r="H67" s="60"/>
      <c r="I67" s="60"/>
      <c r="J67" s="60"/>
      <c r="K67" s="60"/>
      <c r="L67" s="60"/>
      <c r="M67" s="61"/>
      <c r="N67" s="43"/>
      <c r="O67" s="91" t="s">
        <v>135</v>
      </c>
      <c r="P67" s="63"/>
      <c r="Q67" s="64"/>
      <c r="R67" s="64"/>
      <c r="S67" s="234">
        <f>기본급+제수당-AD58</f>
        <v>52611000</v>
      </c>
      <c r="T67" s="70" t="s">
        <v>85</v>
      </c>
      <c r="U67" s="100" t="s">
        <v>86</v>
      </c>
      <c r="V67" s="106">
        <v>8.0000000000000002E-3</v>
      </c>
      <c r="W67" s="100"/>
      <c r="X67" s="110"/>
      <c r="Y67" s="102"/>
      <c r="Z67" s="102"/>
      <c r="AA67" s="70" t="s">
        <v>89</v>
      </c>
      <c r="AB67" s="64"/>
      <c r="AC67" s="92"/>
      <c r="AD67" s="92">
        <f>ROUNDUP(S67*V67,-3)</f>
        <v>421000</v>
      </c>
      <c r="AE67" s="71" t="s">
        <v>77</v>
      </c>
    </row>
    <row r="68" spans="1:31" ht="21" customHeight="1">
      <c r="A68" s="57"/>
      <c r="B68" s="132"/>
      <c r="C68" s="58"/>
      <c r="D68" s="60"/>
      <c r="E68" s="60"/>
      <c r="F68" s="60"/>
      <c r="G68" s="60"/>
      <c r="H68" s="60"/>
      <c r="I68" s="60"/>
      <c r="J68" s="60"/>
      <c r="K68" s="60"/>
      <c r="L68" s="60"/>
      <c r="M68" s="61"/>
      <c r="N68" s="43"/>
      <c r="O68" s="91" t="s">
        <v>136</v>
      </c>
      <c r="P68" s="63"/>
      <c r="Q68" s="64"/>
      <c r="R68" s="64"/>
      <c r="S68" s="234">
        <f>기본급+제수당-AD58</f>
        <v>52611000</v>
      </c>
      <c r="T68" s="70" t="s">
        <v>85</v>
      </c>
      <c r="U68" s="100" t="s">
        <v>86</v>
      </c>
      <c r="V68" s="106">
        <v>7.7999999999999996E-3</v>
      </c>
      <c r="W68" s="100"/>
      <c r="X68" s="110"/>
      <c r="Y68" s="102"/>
      <c r="Z68" s="102"/>
      <c r="AA68" s="70" t="s">
        <v>89</v>
      </c>
      <c r="AB68" s="64"/>
      <c r="AC68" s="92"/>
      <c r="AD68" s="92">
        <f>ROUNDUP(S68*V68,-3)</f>
        <v>411000</v>
      </c>
      <c r="AE68" s="71" t="s">
        <v>77</v>
      </c>
    </row>
    <row r="69" spans="1:31" ht="21" customHeight="1">
      <c r="A69" s="57"/>
      <c r="B69" s="132"/>
      <c r="C69" s="58"/>
      <c r="D69" s="60"/>
      <c r="E69" s="60"/>
      <c r="F69" s="60"/>
      <c r="G69" s="60"/>
      <c r="H69" s="60"/>
      <c r="I69" s="60"/>
      <c r="J69" s="60"/>
      <c r="K69" s="60"/>
      <c r="L69" s="60"/>
      <c r="M69" s="61"/>
      <c r="N69" s="43"/>
      <c r="O69" s="91"/>
      <c r="P69" s="63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92"/>
      <c r="AD69" s="92"/>
      <c r="AE69" s="71"/>
    </row>
    <row r="70" spans="1:31" ht="21" customHeight="1" thickBot="1">
      <c r="A70" s="57"/>
      <c r="B70" s="132"/>
      <c r="C70" s="58"/>
      <c r="D70" s="60"/>
      <c r="E70" s="60"/>
      <c r="F70" s="60"/>
      <c r="G70" s="60"/>
      <c r="H70" s="60"/>
      <c r="I70" s="60"/>
      <c r="J70" s="60"/>
      <c r="K70" s="60"/>
      <c r="L70" s="60"/>
      <c r="M70" s="61"/>
      <c r="N70" s="43"/>
      <c r="O70" s="133" t="s">
        <v>137</v>
      </c>
      <c r="P70" s="134"/>
      <c r="Q70" s="45"/>
      <c r="R70" s="45"/>
      <c r="S70" s="45"/>
      <c r="T70" s="45"/>
      <c r="U70" s="45"/>
      <c r="V70" s="45"/>
      <c r="W70" s="135" t="s">
        <v>138</v>
      </c>
      <c r="X70" s="135"/>
      <c r="Y70" s="135"/>
      <c r="Z70" s="135"/>
      <c r="AA70" s="135"/>
      <c r="AB70" s="135"/>
      <c r="AC70" s="136"/>
      <c r="AD70" s="136">
        <f>SUM(AD71:AD74)</f>
        <v>21400000</v>
      </c>
      <c r="AE70" s="137" t="s">
        <v>85</v>
      </c>
    </row>
    <row r="71" spans="1:31" ht="21" customHeight="1">
      <c r="A71" s="57"/>
      <c r="B71" s="132"/>
      <c r="C71" s="58"/>
      <c r="D71" s="60"/>
      <c r="E71" s="60"/>
      <c r="F71" s="60"/>
      <c r="G71" s="60"/>
      <c r="H71" s="60"/>
      <c r="I71" s="60"/>
      <c r="J71" s="60"/>
      <c r="K71" s="60"/>
      <c r="L71" s="60"/>
      <c r="M71" s="61"/>
      <c r="N71" s="43"/>
      <c r="O71" s="91" t="s">
        <v>139</v>
      </c>
      <c r="P71" s="63"/>
      <c r="Q71" s="64"/>
      <c r="R71" s="64"/>
      <c r="S71" s="93">
        <v>300000</v>
      </c>
      <c r="T71" s="94" t="s">
        <v>85</v>
      </c>
      <c r="U71" s="94" t="s">
        <v>86</v>
      </c>
      <c r="V71" s="94">
        <v>1</v>
      </c>
      <c r="W71" s="94" t="s">
        <v>140</v>
      </c>
      <c r="X71" s="94" t="s">
        <v>86</v>
      </c>
      <c r="Y71" s="95">
        <v>12</v>
      </c>
      <c r="Z71" s="94" t="s">
        <v>88</v>
      </c>
      <c r="AA71" s="94" t="s">
        <v>89</v>
      </c>
      <c r="AB71" s="64"/>
      <c r="AC71" s="92"/>
      <c r="AD71" s="64">
        <f>S71*V71*Y71</f>
        <v>3600000</v>
      </c>
      <c r="AE71" s="71" t="s">
        <v>85</v>
      </c>
    </row>
    <row r="72" spans="1:31" ht="21" customHeight="1">
      <c r="A72" s="57"/>
      <c r="B72" s="132"/>
      <c r="C72" s="58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43"/>
      <c r="O72" s="91" t="s">
        <v>141</v>
      </c>
      <c r="P72" s="63"/>
      <c r="Q72" s="64"/>
      <c r="R72" s="64"/>
      <c r="S72" s="93"/>
      <c r="T72" s="94"/>
      <c r="U72" s="94"/>
      <c r="V72" s="94"/>
      <c r="W72" s="94"/>
      <c r="X72" s="94"/>
      <c r="Y72" s="95"/>
      <c r="Z72" s="94"/>
      <c r="AA72" s="94"/>
      <c r="AB72" s="64"/>
      <c r="AC72" s="92"/>
      <c r="AD72" s="64">
        <v>7000000</v>
      </c>
      <c r="AE72" s="71" t="s">
        <v>85</v>
      </c>
    </row>
    <row r="73" spans="1:31" ht="21" customHeight="1">
      <c r="A73" s="57"/>
      <c r="B73" s="132"/>
      <c r="C73" s="58"/>
      <c r="D73" s="60"/>
      <c r="E73" s="60"/>
      <c r="F73" s="60"/>
      <c r="G73" s="60"/>
      <c r="H73" s="60"/>
      <c r="I73" s="60"/>
      <c r="J73" s="60"/>
      <c r="K73" s="60"/>
      <c r="L73" s="60"/>
      <c r="M73" s="61"/>
      <c r="N73" s="43"/>
      <c r="O73" s="91" t="s">
        <v>142</v>
      </c>
      <c r="P73" s="63"/>
      <c r="Q73" s="64"/>
      <c r="R73" s="64"/>
      <c r="S73" s="93">
        <v>60000</v>
      </c>
      <c r="T73" s="94" t="s">
        <v>85</v>
      </c>
      <c r="U73" s="94" t="s">
        <v>86</v>
      </c>
      <c r="V73" s="94">
        <v>1</v>
      </c>
      <c r="W73" s="94" t="s">
        <v>87</v>
      </c>
      <c r="X73" s="94" t="s">
        <v>86</v>
      </c>
      <c r="Y73" s="95">
        <v>90</v>
      </c>
      <c r="Z73" s="94" t="s">
        <v>143</v>
      </c>
      <c r="AA73" s="94" t="s">
        <v>89</v>
      </c>
      <c r="AB73" s="64"/>
      <c r="AC73" s="92"/>
      <c r="AD73" s="64">
        <f>S73*V73*Y73</f>
        <v>5400000</v>
      </c>
      <c r="AE73" s="71" t="s">
        <v>85</v>
      </c>
    </row>
    <row r="74" spans="1:31" ht="21" customHeight="1">
      <c r="A74" s="57"/>
      <c r="B74" s="132"/>
      <c r="C74" s="58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43"/>
      <c r="O74" s="91" t="s">
        <v>144</v>
      </c>
      <c r="P74" s="63"/>
      <c r="Q74" s="64"/>
      <c r="R74" s="64"/>
      <c r="S74" s="93">
        <v>45000</v>
      </c>
      <c r="T74" s="94" t="s">
        <v>85</v>
      </c>
      <c r="U74" s="94" t="s">
        <v>86</v>
      </c>
      <c r="V74" s="94">
        <v>1</v>
      </c>
      <c r="W74" s="94" t="s">
        <v>87</v>
      </c>
      <c r="X74" s="94" t="s">
        <v>86</v>
      </c>
      <c r="Y74" s="95">
        <v>120</v>
      </c>
      <c r="Z74" s="94" t="s">
        <v>143</v>
      </c>
      <c r="AA74" s="94" t="s">
        <v>89</v>
      </c>
      <c r="AB74" s="64"/>
      <c r="AC74" s="92"/>
      <c r="AD74" s="64">
        <f>S74*V74*Y74</f>
        <v>5400000</v>
      </c>
      <c r="AE74" s="71" t="s">
        <v>85</v>
      </c>
    </row>
    <row r="75" spans="1:31" ht="21" customHeight="1">
      <c r="A75" s="57"/>
      <c r="B75" s="132"/>
      <c r="C75" s="58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43"/>
      <c r="O75" s="91"/>
      <c r="P75" s="284"/>
      <c r="Q75" s="283"/>
      <c r="R75" s="283"/>
      <c r="S75" s="93"/>
      <c r="T75" s="94"/>
      <c r="U75" s="94"/>
      <c r="V75" s="94"/>
      <c r="W75" s="94"/>
      <c r="X75" s="94"/>
      <c r="Y75" s="95"/>
      <c r="Z75" s="94"/>
      <c r="AA75" s="94"/>
      <c r="AB75" s="283"/>
      <c r="AC75" s="92"/>
      <c r="AD75" s="283"/>
      <c r="AE75" s="71"/>
    </row>
    <row r="76" spans="1:31" ht="21" customHeight="1">
      <c r="A76" s="57"/>
      <c r="B76" s="132"/>
      <c r="C76" s="58"/>
      <c r="D76" s="60"/>
      <c r="E76" s="60"/>
      <c r="F76" s="60"/>
      <c r="G76" s="60"/>
      <c r="H76" s="60"/>
      <c r="I76" s="60"/>
      <c r="J76" s="60"/>
      <c r="K76" s="60"/>
      <c r="L76" s="60"/>
      <c r="M76" s="61"/>
      <c r="N76" s="43"/>
      <c r="O76" s="91"/>
      <c r="P76" s="63"/>
      <c r="Q76" s="64"/>
      <c r="R76" s="64"/>
      <c r="S76" s="64"/>
      <c r="T76" s="64"/>
      <c r="U76" s="63"/>
      <c r="V76" s="64"/>
      <c r="W76" s="64"/>
      <c r="X76" s="63"/>
      <c r="Y76" s="145"/>
      <c r="Z76" s="64"/>
      <c r="AA76" s="64"/>
      <c r="AB76" s="64"/>
      <c r="AC76" s="92"/>
      <c r="AD76" s="64"/>
      <c r="AE76" s="71"/>
    </row>
    <row r="77" spans="1:31" ht="21" customHeight="1" thickBot="1">
      <c r="A77" s="57"/>
      <c r="B77" s="132"/>
      <c r="C77" s="58"/>
      <c r="D77" s="60"/>
      <c r="E77" s="60"/>
      <c r="F77" s="60"/>
      <c r="G77" s="60"/>
      <c r="H77" s="60"/>
      <c r="I77" s="60"/>
      <c r="J77" s="60"/>
      <c r="K77" s="60"/>
      <c r="L77" s="60"/>
      <c r="M77" s="61"/>
      <c r="N77" s="43"/>
      <c r="O77" s="133" t="s">
        <v>145</v>
      </c>
      <c r="P77" s="134"/>
      <c r="Q77" s="45"/>
      <c r="R77" s="64"/>
      <c r="S77" s="64"/>
      <c r="T77" s="64"/>
      <c r="U77" s="63"/>
      <c r="V77" s="64"/>
      <c r="W77" s="135" t="s">
        <v>146</v>
      </c>
      <c r="X77" s="135"/>
      <c r="Y77" s="135"/>
      <c r="Z77" s="135"/>
      <c r="AA77" s="135"/>
      <c r="AB77" s="135"/>
      <c r="AC77" s="136"/>
      <c r="AD77" s="136">
        <f>SUM(AD78:AD82)</f>
        <v>11990000</v>
      </c>
      <c r="AE77" s="137" t="s">
        <v>85</v>
      </c>
    </row>
    <row r="78" spans="1:31" ht="21" customHeight="1">
      <c r="A78" s="57"/>
      <c r="B78" s="132"/>
      <c r="C78" s="58"/>
      <c r="D78" s="60"/>
      <c r="E78" s="60"/>
      <c r="F78" s="60"/>
      <c r="G78" s="60"/>
      <c r="H78" s="60"/>
      <c r="I78" s="60"/>
      <c r="J78" s="60"/>
      <c r="K78" s="60"/>
      <c r="L78" s="60"/>
      <c r="M78" s="61"/>
      <c r="N78" s="43"/>
      <c r="O78" s="91" t="s">
        <v>405</v>
      </c>
      <c r="P78" s="63"/>
      <c r="Q78" s="64"/>
      <c r="R78" s="64"/>
      <c r="S78" s="64"/>
      <c r="T78" s="64"/>
      <c r="U78" s="63"/>
      <c r="V78" s="64"/>
      <c r="W78" s="64"/>
      <c r="X78" s="63"/>
      <c r="Y78" s="145"/>
      <c r="Z78" s="64"/>
      <c r="AA78" s="64"/>
      <c r="AB78" s="64"/>
      <c r="AC78" s="92"/>
      <c r="AD78" s="64">
        <v>5990000</v>
      </c>
      <c r="AE78" s="71" t="s">
        <v>77</v>
      </c>
    </row>
    <row r="79" spans="1:31" ht="21" customHeight="1">
      <c r="A79" s="57"/>
      <c r="B79" s="132"/>
      <c r="C79" s="58"/>
      <c r="D79" s="60"/>
      <c r="E79" s="60"/>
      <c r="F79" s="60"/>
      <c r="G79" s="60"/>
      <c r="H79" s="60"/>
      <c r="I79" s="60"/>
      <c r="J79" s="60"/>
      <c r="K79" s="60"/>
      <c r="L79" s="60"/>
      <c r="M79" s="61"/>
      <c r="N79" s="43"/>
      <c r="O79" s="91" t="s">
        <v>147</v>
      </c>
      <c r="P79" s="63"/>
      <c r="Q79" s="64"/>
      <c r="R79" s="64"/>
      <c r="S79" s="64"/>
      <c r="T79" s="64"/>
      <c r="U79" s="63"/>
      <c r="V79" s="64"/>
      <c r="W79" s="64"/>
      <c r="X79" s="63"/>
      <c r="Y79" s="145"/>
      <c r="Z79" s="64"/>
      <c r="AA79" s="64"/>
      <c r="AB79" s="64"/>
      <c r="AC79" s="92"/>
      <c r="AD79" s="64">
        <v>2000000</v>
      </c>
      <c r="AE79" s="71" t="s">
        <v>77</v>
      </c>
    </row>
    <row r="80" spans="1:31" ht="21" customHeight="1">
      <c r="A80" s="57"/>
      <c r="B80" s="132"/>
      <c r="C80" s="58"/>
      <c r="D80" s="60"/>
      <c r="E80" s="60"/>
      <c r="F80" s="60"/>
      <c r="G80" s="60"/>
      <c r="H80" s="60"/>
      <c r="I80" s="60"/>
      <c r="J80" s="60"/>
      <c r="K80" s="60"/>
      <c r="L80" s="60"/>
      <c r="M80" s="61"/>
      <c r="N80" s="43"/>
      <c r="O80" s="91" t="s">
        <v>148</v>
      </c>
      <c r="P80" s="63"/>
      <c r="Q80" s="64"/>
      <c r="R80" s="64"/>
      <c r="S80" s="64"/>
      <c r="T80" s="64"/>
      <c r="U80" s="63"/>
      <c r="V80" s="64"/>
      <c r="W80" s="64"/>
      <c r="X80" s="63"/>
      <c r="Y80" s="145"/>
      <c r="Z80" s="64"/>
      <c r="AA80" s="64"/>
      <c r="AB80" s="64"/>
      <c r="AC80" s="92"/>
      <c r="AD80" s="64">
        <v>1500000</v>
      </c>
      <c r="AE80" s="71" t="s">
        <v>77</v>
      </c>
    </row>
    <row r="81" spans="1:33" ht="21" customHeight="1">
      <c r="A81" s="57"/>
      <c r="B81" s="132"/>
      <c r="C81" s="58"/>
      <c r="D81" s="60"/>
      <c r="E81" s="60"/>
      <c r="F81" s="60"/>
      <c r="G81" s="60"/>
      <c r="H81" s="60"/>
      <c r="I81" s="60"/>
      <c r="J81" s="60"/>
      <c r="K81" s="60"/>
      <c r="L81" s="60"/>
      <c r="M81" s="61"/>
      <c r="N81" s="43"/>
      <c r="O81" s="91" t="s">
        <v>149</v>
      </c>
      <c r="P81" s="63"/>
      <c r="Q81" s="64"/>
      <c r="R81" s="64"/>
      <c r="S81" s="64"/>
      <c r="T81" s="64"/>
      <c r="U81" s="63"/>
      <c r="V81" s="64"/>
      <c r="W81" s="64"/>
      <c r="X81" s="63"/>
      <c r="Y81" s="145"/>
      <c r="Z81" s="64"/>
      <c r="AA81" s="64"/>
      <c r="AB81" s="64"/>
      <c r="AC81" s="92"/>
      <c r="AD81" s="64">
        <v>2000000</v>
      </c>
      <c r="AE81" s="71" t="s">
        <v>77</v>
      </c>
    </row>
    <row r="82" spans="1:33" ht="21" customHeight="1">
      <c r="A82" s="57"/>
      <c r="B82" s="132"/>
      <c r="C82" s="58"/>
      <c r="D82" s="60"/>
      <c r="E82" s="60"/>
      <c r="F82" s="60"/>
      <c r="G82" s="60"/>
      <c r="H82" s="60"/>
      <c r="I82" s="60"/>
      <c r="J82" s="60"/>
      <c r="K82" s="60"/>
      <c r="L82" s="60"/>
      <c r="M82" s="61"/>
      <c r="N82" s="43"/>
      <c r="O82" s="91" t="s">
        <v>410</v>
      </c>
      <c r="P82" s="275"/>
      <c r="Q82" s="274"/>
      <c r="R82" s="274"/>
      <c r="S82" s="274"/>
      <c r="T82" s="274"/>
      <c r="U82" s="275"/>
      <c r="V82" s="274"/>
      <c r="W82" s="274"/>
      <c r="X82" s="275"/>
      <c r="Y82" s="145"/>
      <c r="Z82" s="274"/>
      <c r="AA82" s="274"/>
      <c r="AB82" s="274"/>
      <c r="AC82" s="92"/>
      <c r="AD82" s="274">
        <v>500000</v>
      </c>
      <c r="AE82" s="71" t="s">
        <v>408</v>
      </c>
    </row>
    <row r="83" spans="1:33" s="12" customFormat="1" ht="19.5" customHeight="1">
      <c r="A83" s="77"/>
      <c r="B83" s="42"/>
      <c r="C83" s="73"/>
      <c r="D83" s="85"/>
      <c r="E83" s="85"/>
      <c r="F83" s="85"/>
      <c r="G83" s="85"/>
      <c r="H83" s="85"/>
      <c r="I83" s="85"/>
      <c r="J83" s="85"/>
      <c r="K83" s="85"/>
      <c r="L83" s="85"/>
      <c r="M83" s="86"/>
      <c r="N83" s="125"/>
      <c r="O83" s="97"/>
      <c r="P83" s="112"/>
      <c r="Q83" s="126"/>
      <c r="R83" s="126"/>
      <c r="S83" s="112"/>
      <c r="T83" s="112"/>
      <c r="U83" s="112"/>
      <c r="V83" s="112"/>
      <c r="W83" s="112"/>
      <c r="X83" s="63"/>
      <c r="Y83" s="63"/>
      <c r="Z83" s="63"/>
      <c r="AA83" s="63"/>
      <c r="AB83" s="63"/>
      <c r="AC83" s="63"/>
      <c r="AD83" s="64"/>
      <c r="AE83" s="71"/>
      <c r="AF83" s="6"/>
    </row>
    <row r="84" spans="1:33" ht="21" customHeight="1" thickBot="1">
      <c r="A84" s="47" t="s">
        <v>150</v>
      </c>
      <c r="B84" s="48" t="s">
        <v>32</v>
      </c>
      <c r="C84" s="58" t="s">
        <v>427</v>
      </c>
      <c r="D84" s="60">
        <v>71200</v>
      </c>
      <c r="E84" s="49">
        <f>SUM(F84:L84)</f>
        <v>71200</v>
      </c>
      <c r="F84" s="49">
        <v>0</v>
      </c>
      <c r="G84" s="49">
        <v>0</v>
      </c>
      <c r="H84" s="49">
        <v>0</v>
      </c>
      <c r="I84" s="49">
        <f>AD84/1000</f>
        <v>71200</v>
      </c>
      <c r="J84" s="49">
        <v>0</v>
      </c>
      <c r="K84" s="49">
        <v>0</v>
      </c>
      <c r="L84" s="49">
        <v>0</v>
      </c>
      <c r="M84" s="61">
        <f>E84-D84</f>
        <v>0</v>
      </c>
      <c r="N84" s="43">
        <f>IF(D84=0,0,M84/D84)</f>
        <v>0</v>
      </c>
      <c r="O84" s="52" t="s">
        <v>151</v>
      </c>
      <c r="P84" s="146"/>
      <c r="Q84" s="54"/>
      <c r="R84" s="54"/>
      <c r="S84" s="54"/>
      <c r="T84" s="54"/>
      <c r="U84" s="54"/>
      <c r="V84" s="54"/>
      <c r="W84" s="147" t="s">
        <v>84</v>
      </c>
      <c r="X84" s="147"/>
      <c r="Y84" s="147"/>
      <c r="Z84" s="147"/>
      <c r="AA84" s="147"/>
      <c r="AB84" s="147"/>
      <c r="AC84" s="148"/>
      <c r="AD84" s="148">
        <f>AD86+AD90</f>
        <v>71200000</v>
      </c>
      <c r="AE84" s="149" t="s">
        <v>26</v>
      </c>
    </row>
    <row r="85" spans="1:33" ht="21" customHeight="1">
      <c r="A85" s="57"/>
      <c r="B85" s="58"/>
      <c r="C85" s="58"/>
      <c r="D85" s="60"/>
      <c r="E85" s="60"/>
      <c r="F85" s="60"/>
      <c r="G85" s="60"/>
      <c r="H85" s="60"/>
      <c r="I85" s="60"/>
      <c r="J85" s="60"/>
      <c r="K85" s="60"/>
      <c r="L85" s="60"/>
      <c r="M85" s="61"/>
      <c r="N85" s="43"/>
      <c r="O85" s="62"/>
      <c r="P85" s="44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65"/>
      <c r="AD85" s="65"/>
      <c r="AE85" s="46"/>
    </row>
    <row r="86" spans="1:33" ht="26.25" customHeight="1">
      <c r="A86" s="57"/>
      <c r="B86" s="58"/>
      <c r="C86" s="58"/>
      <c r="D86" s="60"/>
      <c r="E86" s="60"/>
      <c r="F86" s="60"/>
      <c r="G86" s="60"/>
      <c r="H86" s="60"/>
      <c r="I86" s="60"/>
      <c r="J86" s="60"/>
      <c r="K86" s="60"/>
      <c r="L86" s="60"/>
      <c r="M86" s="61"/>
      <c r="N86" s="43"/>
      <c r="O86" s="97" t="s">
        <v>75</v>
      </c>
      <c r="P86" s="63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411" t="s">
        <v>91</v>
      </c>
      <c r="AC86" s="411"/>
      <c r="AD86" s="98">
        <f>SUM(AD87:AD89)</f>
        <v>15200000</v>
      </c>
      <c r="AE86" s="99" t="s">
        <v>77</v>
      </c>
    </row>
    <row r="87" spans="1:33" ht="18" customHeight="1">
      <c r="A87" s="57"/>
      <c r="B87" s="58"/>
      <c r="C87" s="58"/>
      <c r="D87" s="60"/>
      <c r="E87" s="60"/>
      <c r="F87" s="60"/>
      <c r="G87" s="60"/>
      <c r="H87" s="60"/>
      <c r="I87" s="60"/>
      <c r="J87" s="60"/>
      <c r="K87" s="60"/>
      <c r="L87" s="60"/>
      <c r="M87" s="61"/>
      <c r="N87" s="43"/>
      <c r="O87" s="91" t="s">
        <v>416</v>
      </c>
      <c r="P87" s="63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92"/>
      <c r="AD87" s="92">
        <v>10000000</v>
      </c>
      <c r="AE87" s="71" t="s">
        <v>77</v>
      </c>
    </row>
    <row r="88" spans="1:33" ht="18" customHeight="1">
      <c r="A88" s="57"/>
      <c r="B88" s="58"/>
      <c r="C88" s="58"/>
      <c r="D88" s="60"/>
      <c r="E88" s="60"/>
      <c r="F88" s="60"/>
      <c r="G88" s="60"/>
      <c r="H88" s="60"/>
      <c r="I88" s="60"/>
      <c r="J88" s="60"/>
      <c r="K88" s="60"/>
      <c r="L88" s="60"/>
      <c r="M88" s="61"/>
      <c r="N88" s="43"/>
      <c r="O88" s="91" t="s">
        <v>406</v>
      </c>
      <c r="P88" s="259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92"/>
      <c r="AD88" s="92">
        <v>5000000</v>
      </c>
      <c r="AE88" s="71" t="s">
        <v>385</v>
      </c>
    </row>
    <row r="89" spans="1:33" ht="18" customHeight="1">
      <c r="A89" s="57"/>
      <c r="B89" s="58"/>
      <c r="C89" s="58"/>
      <c r="D89" s="60"/>
      <c r="E89" s="60"/>
      <c r="F89" s="60"/>
      <c r="G89" s="60"/>
      <c r="H89" s="60"/>
      <c r="I89" s="60"/>
      <c r="J89" s="60"/>
      <c r="K89" s="60"/>
      <c r="L89" s="60"/>
      <c r="M89" s="61"/>
      <c r="N89" s="43"/>
      <c r="O89" s="91" t="s">
        <v>584</v>
      </c>
      <c r="P89" s="355"/>
      <c r="Q89" s="354"/>
      <c r="R89" s="354"/>
      <c r="S89" s="354"/>
      <c r="T89" s="354"/>
      <c r="U89" s="354"/>
      <c r="V89" s="354"/>
      <c r="W89" s="354"/>
      <c r="X89" s="354"/>
      <c r="Y89" s="354"/>
      <c r="Z89" s="354"/>
      <c r="AA89" s="354"/>
      <c r="AB89" s="354"/>
      <c r="AC89" s="92"/>
      <c r="AD89" s="92">
        <v>200000</v>
      </c>
      <c r="AE89" s="71" t="s">
        <v>510</v>
      </c>
    </row>
    <row r="90" spans="1:33" ht="25.5" customHeight="1">
      <c r="A90" s="57"/>
      <c r="B90" s="58"/>
      <c r="C90" s="58"/>
      <c r="D90" s="60"/>
      <c r="E90" s="60"/>
      <c r="F90" s="60"/>
      <c r="G90" s="60"/>
      <c r="H90" s="60"/>
      <c r="I90" s="60"/>
      <c r="J90" s="60"/>
      <c r="K90" s="60"/>
      <c r="L90" s="60"/>
      <c r="M90" s="61"/>
      <c r="N90" s="43"/>
      <c r="O90" s="97" t="s">
        <v>152</v>
      </c>
      <c r="P90" s="63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411" t="s">
        <v>91</v>
      </c>
      <c r="AC90" s="411"/>
      <c r="AD90" s="98">
        <f>AD91</f>
        <v>56000000</v>
      </c>
      <c r="AE90" s="99" t="s">
        <v>77</v>
      </c>
    </row>
    <row r="91" spans="1:33" ht="21" customHeight="1">
      <c r="A91" s="57"/>
      <c r="B91" s="58"/>
      <c r="C91" s="58"/>
      <c r="D91" s="60"/>
      <c r="E91" s="60"/>
      <c r="F91" s="60"/>
      <c r="G91" s="60"/>
      <c r="H91" s="60"/>
      <c r="I91" s="60"/>
      <c r="J91" s="60"/>
      <c r="K91" s="60"/>
      <c r="L91" s="60"/>
      <c r="M91" s="61"/>
      <c r="N91" s="43"/>
      <c r="O91" s="91" t="s">
        <v>153</v>
      </c>
      <c r="P91" s="63" t="s">
        <v>154</v>
      </c>
      <c r="Q91" s="64"/>
      <c r="R91" s="64"/>
      <c r="S91" s="64"/>
      <c r="T91" s="64"/>
      <c r="U91" s="63"/>
      <c r="V91" s="64"/>
      <c r="W91" s="64"/>
      <c r="X91" s="64"/>
      <c r="Y91" s="64"/>
      <c r="Z91" s="64"/>
      <c r="AA91" s="64"/>
      <c r="AB91" s="64"/>
      <c r="AC91" s="92"/>
      <c r="AD91" s="92">
        <v>56000000</v>
      </c>
      <c r="AE91" s="71" t="s">
        <v>77</v>
      </c>
    </row>
    <row r="92" spans="1:33" s="12" customFormat="1" ht="19.5" customHeight="1">
      <c r="A92" s="72"/>
      <c r="B92" s="73"/>
      <c r="C92" s="58"/>
      <c r="D92" s="60"/>
      <c r="E92" s="60"/>
      <c r="F92" s="60"/>
      <c r="G92" s="60"/>
      <c r="H92" s="60"/>
      <c r="I92" s="60"/>
      <c r="J92" s="60"/>
      <c r="K92" s="60"/>
      <c r="L92" s="60"/>
      <c r="M92" s="61"/>
      <c r="N92" s="96"/>
      <c r="O92" s="97"/>
      <c r="P92" s="112"/>
      <c r="Q92" s="126"/>
      <c r="R92" s="126"/>
      <c r="S92" s="112"/>
      <c r="T92" s="112"/>
      <c r="U92" s="112"/>
      <c r="V92" s="112"/>
      <c r="W92" s="112"/>
      <c r="X92" s="113"/>
      <c r="Y92" s="113"/>
      <c r="Z92" s="113"/>
      <c r="AA92" s="113"/>
      <c r="AB92" s="113"/>
      <c r="AC92" s="113"/>
      <c r="AD92" s="112"/>
      <c r="AE92" s="99"/>
      <c r="AF92" s="6"/>
    </row>
    <row r="93" spans="1:33" ht="21" customHeight="1" thickBot="1">
      <c r="A93" s="47" t="s">
        <v>155</v>
      </c>
      <c r="B93" s="48" t="s">
        <v>13</v>
      </c>
      <c r="C93" s="48" t="s">
        <v>428</v>
      </c>
      <c r="D93" s="49">
        <v>353739</v>
      </c>
      <c r="E93" s="49">
        <f>SUM(F93:L93)</f>
        <v>353679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f>AD93/1000</f>
        <v>353679</v>
      </c>
      <c r="L93" s="49">
        <v>0</v>
      </c>
      <c r="M93" s="50">
        <f>E93-D93</f>
        <v>-60</v>
      </c>
      <c r="N93" s="51">
        <f>IF(D93=0,0,M93/D93)</f>
        <v>-1.6961658171702867E-4</v>
      </c>
      <c r="O93" s="52" t="s">
        <v>33</v>
      </c>
      <c r="P93" s="146"/>
      <c r="Q93" s="40"/>
      <c r="R93" s="40"/>
      <c r="S93" s="40"/>
      <c r="T93" s="40"/>
      <c r="U93" s="40"/>
      <c r="V93" s="40"/>
      <c r="W93" s="147" t="s">
        <v>84</v>
      </c>
      <c r="X93" s="147"/>
      <c r="Y93" s="147"/>
      <c r="Z93" s="147"/>
      <c r="AA93" s="147"/>
      <c r="AB93" s="147"/>
      <c r="AC93" s="148"/>
      <c r="AD93" s="148">
        <f>SUM(AD95,AD104,AD111,AD116,AD119,AD127,AD132,AD135)</f>
        <v>353679000</v>
      </c>
      <c r="AE93" s="149" t="s">
        <v>26</v>
      </c>
      <c r="AF93" s="24"/>
      <c r="AG93" s="25"/>
    </row>
    <row r="94" spans="1:33" ht="21" customHeight="1">
      <c r="A94" s="57"/>
      <c r="B94" s="58"/>
      <c r="C94" s="58" t="s">
        <v>429</v>
      </c>
      <c r="D94" s="60"/>
      <c r="E94" s="60"/>
      <c r="F94" s="60"/>
      <c r="G94" s="60"/>
      <c r="H94" s="60"/>
      <c r="I94" s="60"/>
      <c r="J94" s="60"/>
      <c r="K94" s="60"/>
      <c r="L94" s="60"/>
      <c r="M94" s="61"/>
      <c r="N94" s="38"/>
      <c r="O94" s="44"/>
      <c r="P94" s="44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65"/>
      <c r="AD94" s="65"/>
      <c r="AE94" s="46"/>
      <c r="AF94" s="24"/>
      <c r="AG94" s="25"/>
    </row>
    <row r="95" spans="1:33" ht="21" customHeight="1" thickBot="1">
      <c r="A95" s="57"/>
      <c r="B95" s="58"/>
      <c r="C95" s="58"/>
      <c r="D95" s="60"/>
      <c r="E95" s="60"/>
      <c r="F95" s="60"/>
      <c r="G95" s="60"/>
      <c r="H95" s="60"/>
      <c r="I95" s="60"/>
      <c r="J95" s="60"/>
      <c r="K95" s="60"/>
      <c r="L95" s="60"/>
      <c r="M95" s="61"/>
      <c r="N95" s="38"/>
      <c r="O95" s="133" t="s">
        <v>156</v>
      </c>
      <c r="P95" s="88"/>
      <c r="Q95" s="64"/>
      <c r="R95" s="64"/>
      <c r="S95" s="64"/>
      <c r="T95" s="64"/>
      <c r="U95" s="64"/>
      <c r="V95" s="64"/>
      <c r="W95" s="424" t="s">
        <v>157</v>
      </c>
      <c r="X95" s="424"/>
      <c r="Y95" s="424"/>
      <c r="Z95" s="424"/>
      <c r="AA95" s="424"/>
      <c r="AB95" s="424"/>
      <c r="AC95" s="424"/>
      <c r="AD95" s="136">
        <f>SUM(AD96:AD102)</f>
        <v>12259000</v>
      </c>
      <c r="AE95" s="137" t="s">
        <v>85</v>
      </c>
      <c r="AF95" s="24"/>
      <c r="AG95" s="25"/>
    </row>
    <row r="96" spans="1:33" ht="21" customHeight="1">
      <c r="A96" s="57"/>
      <c r="B96" s="58"/>
      <c r="C96" s="58"/>
      <c r="D96" s="60"/>
      <c r="E96" s="60"/>
      <c r="F96" s="60"/>
      <c r="G96" s="60"/>
      <c r="H96" s="60"/>
      <c r="I96" s="60"/>
      <c r="J96" s="60"/>
      <c r="K96" s="60"/>
      <c r="L96" s="60"/>
      <c r="M96" s="61"/>
      <c r="N96" s="38"/>
      <c r="O96" s="63" t="s">
        <v>158</v>
      </c>
      <c r="P96" s="63"/>
      <c r="Q96" s="64"/>
      <c r="R96" s="64"/>
      <c r="S96" s="64">
        <v>870000</v>
      </c>
      <c r="T96" s="64" t="s">
        <v>77</v>
      </c>
      <c r="U96" s="63" t="s">
        <v>86</v>
      </c>
      <c r="V96" s="64">
        <v>1</v>
      </c>
      <c r="W96" s="64" t="s">
        <v>106</v>
      </c>
      <c r="X96" s="63" t="s">
        <v>86</v>
      </c>
      <c r="Y96" s="64">
        <v>12</v>
      </c>
      <c r="Z96" s="64" t="s">
        <v>107</v>
      </c>
      <c r="AA96" s="64" t="s">
        <v>93</v>
      </c>
      <c r="AB96" s="64"/>
      <c r="AC96" s="92"/>
      <c r="AD96" s="92">
        <f>S96*V96*Y96</f>
        <v>10440000</v>
      </c>
      <c r="AE96" s="71" t="s">
        <v>77</v>
      </c>
      <c r="AF96" s="24"/>
      <c r="AG96" s="25"/>
    </row>
    <row r="97" spans="1:33" ht="21" customHeight="1">
      <c r="A97" s="57"/>
      <c r="B97" s="58"/>
      <c r="C97" s="58"/>
      <c r="D97" s="60"/>
      <c r="E97" s="60"/>
      <c r="F97" s="60"/>
      <c r="G97" s="60"/>
      <c r="H97" s="60"/>
      <c r="I97" s="60"/>
      <c r="J97" s="60"/>
      <c r="K97" s="60"/>
      <c r="L97" s="60"/>
      <c r="M97" s="61"/>
      <c r="N97" s="38"/>
      <c r="O97" s="63" t="s">
        <v>159</v>
      </c>
      <c r="P97" s="63"/>
      <c r="Q97" s="64"/>
      <c r="R97" s="64"/>
      <c r="S97" s="64">
        <f>AD96</f>
        <v>10440000</v>
      </c>
      <c r="T97" s="70" t="s">
        <v>85</v>
      </c>
      <c r="U97" s="100" t="s">
        <v>86</v>
      </c>
      <c r="V97" s="104">
        <v>0.09</v>
      </c>
      <c r="W97" s="70" t="s">
        <v>92</v>
      </c>
      <c r="X97" s="105">
        <v>2</v>
      </c>
      <c r="Y97" s="102"/>
      <c r="Z97" s="102"/>
      <c r="AA97" s="70" t="s">
        <v>89</v>
      </c>
      <c r="AB97" s="45"/>
      <c r="AC97" s="65"/>
      <c r="AD97" s="92">
        <f>ROUND(S97*V97/X97,-3)</f>
        <v>470000</v>
      </c>
      <c r="AE97" s="71" t="s">
        <v>77</v>
      </c>
      <c r="AF97" s="24"/>
      <c r="AG97" s="25"/>
    </row>
    <row r="98" spans="1:33" ht="21" customHeight="1">
      <c r="A98" s="57"/>
      <c r="B98" s="58"/>
      <c r="C98" s="58"/>
      <c r="D98" s="60"/>
      <c r="E98" s="60"/>
      <c r="F98" s="60"/>
      <c r="G98" s="60"/>
      <c r="H98" s="60"/>
      <c r="I98" s="60"/>
      <c r="J98" s="60"/>
      <c r="K98" s="60"/>
      <c r="L98" s="60"/>
      <c r="M98" s="61"/>
      <c r="N98" s="38"/>
      <c r="O98" s="63" t="s">
        <v>160</v>
      </c>
      <c r="P98" s="63"/>
      <c r="Q98" s="64"/>
      <c r="R98" s="64"/>
      <c r="S98" s="64">
        <f>AD96</f>
        <v>10440000</v>
      </c>
      <c r="T98" s="70" t="s">
        <v>85</v>
      </c>
      <c r="U98" s="100" t="s">
        <v>86</v>
      </c>
      <c r="V98" s="106">
        <v>5.6399999999999999E-2</v>
      </c>
      <c r="W98" s="70" t="s">
        <v>92</v>
      </c>
      <c r="X98" s="105">
        <v>2</v>
      </c>
      <c r="Y98" s="102"/>
      <c r="Z98" s="102"/>
      <c r="AA98" s="70" t="s">
        <v>89</v>
      </c>
      <c r="AB98" s="45"/>
      <c r="AC98" s="65"/>
      <c r="AD98" s="92">
        <f>ROUND(S98*V98/X98,-3)</f>
        <v>294000</v>
      </c>
      <c r="AE98" s="71" t="s">
        <v>77</v>
      </c>
    </row>
    <row r="99" spans="1:33" ht="21" customHeight="1">
      <c r="A99" s="57"/>
      <c r="B99" s="58"/>
      <c r="C99" s="58"/>
      <c r="D99" s="60"/>
      <c r="E99" s="60"/>
      <c r="F99" s="60"/>
      <c r="G99" s="60"/>
      <c r="H99" s="60"/>
      <c r="I99" s="60"/>
      <c r="J99" s="60"/>
      <c r="K99" s="60"/>
      <c r="L99" s="60"/>
      <c r="M99" s="61"/>
      <c r="N99" s="38"/>
      <c r="O99" s="63" t="s">
        <v>161</v>
      </c>
      <c r="P99" s="63"/>
      <c r="Q99" s="64"/>
      <c r="R99" s="64"/>
      <c r="S99" s="64">
        <f>AD98</f>
        <v>294000</v>
      </c>
      <c r="T99" s="70" t="s">
        <v>85</v>
      </c>
      <c r="U99" s="100" t="s">
        <v>86</v>
      </c>
      <c r="V99" s="106">
        <v>6.5500000000000003E-2</v>
      </c>
      <c r="W99" s="107"/>
      <c r="X99" s="108"/>
      <c r="Y99" s="109"/>
      <c r="Z99" s="109"/>
      <c r="AA99" s="70" t="s">
        <v>89</v>
      </c>
      <c r="AB99" s="64"/>
      <c r="AC99" s="92"/>
      <c r="AD99" s="92">
        <f>ROUND(S99*V99,-3)</f>
        <v>19000</v>
      </c>
      <c r="AE99" s="71" t="s">
        <v>77</v>
      </c>
    </row>
    <row r="100" spans="1:33" ht="21" customHeight="1">
      <c r="A100" s="57"/>
      <c r="B100" s="58"/>
      <c r="C100" s="58"/>
      <c r="D100" s="60"/>
      <c r="E100" s="60"/>
      <c r="F100" s="60"/>
      <c r="G100" s="60"/>
      <c r="H100" s="60"/>
      <c r="I100" s="60"/>
      <c r="J100" s="60"/>
      <c r="K100" s="60"/>
      <c r="L100" s="60"/>
      <c r="M100" s="61"/>
      <c r="N100" s="38"/>
      <c r="O100" s="63" t="s">
        <v>162</v>
      </c>
      <c r="P100" s="63"/>
      <c r="Q100" s="64"/>
      <c r="R100" s="64"/>
      <c r="S100" s="64">
        <f>AD96</f>
        <v>10440000</v>
      </c>
      <c r="T100" s="70" t="s">
        <v>85</v>
      </c>
      <c r="U100" s="100" t="s">
        <v>86</v>
      </c>
      <c r="V100" s="106">
        <v>8.0000000000000002E-3</v>
      </c>
      <c r="W100" s="100"/>
      <c r="X100" s="110"/>
      <c r="Y100" s="102"/>
      <c r="Z100" s="102"/>
      <c r="AA100" s="70" t="s">
        <v>89</v>
      </c>
      <c r="AB100" s="64"/>
      <c r="AC100" s="92"/>
      <c r="AD100" s="92">
        <f>ROUND(S100*V100,-3)</f>
        <v>84000</v>
      </c>
      <c r="AE100" s="71" t="s">
        <v>77</v>
      </c>
    </row>
    <row r="101" spans="1:33" ht="21" customHeight="1">
      <c r="A101" s="57"/>
      <c r="B101" s="58"/>
      <c r="C101" s="58"/>
      <c r="D101" s="60"/>
      <c r="E101" s="60"/>
      <c r="F101" s="60"/>
      <c r="G101" s="60"/>
      <c r="H101" s="60"/>
      <c r="I101" s="60"/>
      <c r="J101" s="60"/>
      <c r="K101" s="60"/>
      <c r="L101" s="60"/>
      <c r="M101" s="61"/>
      <c r="N101" s="38"/>
      <c r="O101" s="63" t="s">
        <v>163</v>
      </c>
      <c r="P101" s="63"/>
      <c r="Q101" s="64"/>
      <c r="R101" s="64"/>
      <c r="S101" s="64">
        <f>AD96</f>
        <v>10440000</v>
      </c>
      <c r="T101" s="70" t="s">
        <v>85</v>
      </c>
      <c r="U101" s="100" t="s">
        <v>86</v>
      </c>
      <c r="V101" s="106">
        <v>7.7999999999999996E-3</v>
      </c>
      <c r="W101" s="100"/>
      <c r="X101" s="110"/>
      <c r="Y101" s="102"/>
      <c r="Z101" s="102"/>
      <c r="AA101" s="70" t="s">
        <v>89</v>
      </c>
      <c r="AB101" s="64"/>
      <c r="AC101" s="92"/>
      <c r="AD101" s="92">
        <f>ROUNDUP(S101*V101,-3)</f>
        <v>82000</v>
      </c>
      <c r="AE101" s="71" t="s">
        <v>77</v>
      </c>
    </row>
    <row r="102" spans="1:33" ht="21" customHeight="1">
      <c r="A102" s="57"/>
      <c r="B102" s="58"/>
      <c r="C102" s="58"/>
      <c r="D102" s="60"/>
      <c r="E102" s="60"/>
      <c r="F102" s="60"/>
      <c r="G102" s="60"/>
      <c r="H102" s="60"/>
      <c r="I102" s="60"/>
      <c r="J102" s="60"/>
      <c r="K102" s="60"/>
      <c r="L102" s="60"/>
      <c r="M102" s="61"/>
      <c r="N102" s="38"/>
      <c r="O102" s="63" t="s">
        <v>164</v>
      </c>
      <c r="P102" s="63"/>
      <c r="Q102" s="64"/>
      <c r="R102" s="64"/>
      <c r="S102" s="64">
        <f>AD96</f>
        <v>10440000</v>
      </c>
      <c r="T102" s="70" t="s">
        <v>85</v>
      </c>
      <c r="U102" s="70" t="s">
        <v>92</v>
      </c>
      <c r="V102" s="64">
        <v>12</v>
      </c>
      <c r="W102" s="64" t="s">
        <v>107</v>
      </c>
      <c r="X102" s="64"/>
      <c r="Y102" s="64"/>
      <c r="Z102" s="64"/>
      <c r="AA102" s="64" t="s">
        <v>93</v>
      </c>
      <c r="AB102" s="64"/>
      <c r="AC102" s="92"/>
      <c r="AD102" s="92">
        <f>S102/V102</f>
        <v>870000</v>
      </c>
      <c r="AE102" s="71" t="s">
        <v>77</v>
      </c>
    </row>
    <row r="103" spans="1:33" ht="21" customHeight="1">
      <c r="A103" s="57"/>
      <c r="B103" s="58"/>
      <c r="C103" s="58"/>
      <c r="D103" s="60"/>
      <c r="E103" s="60"/>
      <c r="F103" s="60"/>
      <c r="G103" s="60"/>
      <c r="H103" s="60"/>
      <c r="I103" s="60"/>
      <c r="J103" s="60"/>
      <c r="K103" s="60"/>
      <c r="L103" s="60"/>
      <c r="M103" s="61"/>
      <c r="N103" s="38"/>
      <c r="O103" s="63"/>
      <c r="P103" s="63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92"/>
      <c r="AD103" s="92"/>
      <c r="AE103" s="71"/>
    </row>
    <row r="104" spans="1:33" ht="21" customHeight="1" thickBot="1">
      <c r="A104" s="57"/>
      <c r="B104" s="58"/>
      <c r="C104" s="58"/>
      <c r="D104" s="60"/>
      <c r="E104" s="60"/>
      <c r="F104" s="60"/>
      <c r="G104" s="60"/>
      <c r="H104" s="60"/>
      <c r="I104" s="60"/>
      <c r="J104" s="60"/>
      <c r="K104" s="60"/>
      <c r="L104" s="60"/>
      <c r="M104" s="61"/>
      <c r="N104" s="38"/>
      <c r="O104" s="133" t="s">
        <v>165</v>
      </c>
      <c r="P104" s="63"/>
      <c r="Q104" s="64"/>
      <c r="R104" s="64"/>
      <c r="S104" s="64"/>
      <c r="T104" s="64"/>
      <c r="U104" s="64"/>
      <c r="V104" s="64"/>
      <c r="W104" s="424" t="s">
        <v>166</v>
      </c>
      <c r="X104" s="424"/>
      <c r="Y104" s="424"/>
      <c r="Z104" s="424"/>
      <c r="AA104" s="424"/>
      <c r="AB104" s="424"/>
      <c r="AC104" s="424"/>
      <c r="AD104" s="136">
        <f>SUM(AD105:AD109)</f>
        <v>6840000</v>
      </c>
      <c r="AE104" s="137" t="s">
        <v>85</v>
      </c>
    </row>
    <row r="105" spans="1:33" ht="21" customHeight="1">
      <c r="A105" s="57"/>
      <c r="B105" s="58"/>
      <c r="C105" s="58"/>
      <c r="D105" s="60"/>
      <c r="E105" s="60"/>
      <c r="F105" s="60"/>
      <c r="G105" s="60"/>
      <c r="H105" s="60"/>
      <c r="I105" s="60"/>
      <c r="J105" s="60"/>
      <c r="K105" s="60"/>
      <c r="L105" s="60"/>
      <c r="M105" s="61"/>
      <c r="N105" s="38"/>
      <c r="O105" s="63" t="s">
        <v>167</v>
      </c>
      <c r="P105" s="63"/>
      <c r="Q105" s="64"/>
      <c r="R105" s="64"/>
      <c r="S105" s="64">
        <v>150000</v>
      </c>
      <c r="T105" s="64" t="s">
        <v>77</v>
      </c>
      <c r="U105" s="100" t="s">
        <v>86</v>
      </c>
      <c r="V105" s="64">
        <v>1</v>
      </c>
      <c r="W105" s="64" t="s">
        <v>106</v>
      </c>
      <c r="X105" s="100" t="s">
        <v>86</v>
      </c>
      <c r="Y105" s="64">
        <v>12</v>
      </c>
      <c r="Z105" s="64" t="s">
        <v>107</v>
      </c>
      <c r="AA105" s="64" t="s">
        <v>93</v>
      </c>
      <c r="AB105" s="64"/>
      <c r="AC105" s="92"/>
      <c r="AD105" s="92">
        <f t="shared" ref="AD105:AD109" si="3">S105*V105*Y105</f>
        <v>1800000</v>
      </c>
      <c r="AE105" s="71" t="s">
        <v>77</v>
      </c>
    </row>
    <row r="106" spans="1:33" ht="21" customHeight="1">
      <c r="A106" s="57"/>
      <c r="B106" s="58"/>
      <c r="C106" s="58"/>
      <c r="D106" s="60"/>
      <c r="E106" s="60"/>
      <c r="F106" s="60"/>
      <c r="G106" s="60"/>
      <c r="H106" s="60"/>
      <c r="I106" s="60"/>
      <c r="J106" s="60"/>
      <c r="K106" s="60"/>
      <c r="L106" s="60"/>
      <c r="M106" s="61"/>
      <c r="N106" s="38"/>
      <c r="O106" s="63" t="s">
        <v>168</v>
      </c>
      <c r="P106" s="63"/>
      <c r="Q106" s="64"/>
      <c r="R106" s="64"/>
      <c r="S106" s="64">
        <v>100000</v>
      </c>
      <c r="T106" s="64" t="s">
        <v>77</v>
      </c>
      <c r="U106" s="100" t="s">
        <v>86</v>
      </c>
      <c r="V106" s="64">
        <v>1</v>
      </c>
      <c r="W106" s="64" t="s">
        <v>106</v>
      </c>
      <c r="X106" s="100" t="s">
        <v>86</v>
      </c>
      <c r="Y106" s="64">
        <v>12</v>
      </c>
      <c r="Z106" s="64" t="s">
        <v>107</v>
      </c>
      <c r="AA106" s="64" t="s">
        <v>93</v>
      </c>
      <c r="AB106" s="64"/>
      <c r="AC106" s="92"/>
      <c r="AD106" s="92">
        <f t="shared" si="3"/>
        <v>1200000</v>
      </c>
      <c r="AE106" s="71" t="s">
        <v>77</v>
      </c>
    </row>
    <row r="107" spans="1:33" ht="21" customHeight="1">
      <c r="A107" s="57"/>
      <c r="B107" s="58"/>
      <c r="C107" s="58"/>
      <c r="D107" s="60"/>
      <c r="E107" s="60"/>
      <c r="F107" s="60"/>
      <c r="G107" s="60"/>
      <c r="H107" s="60"/>
      <c r="I107" s="60"/>
      <c r="J107" s="60"/>
      <c r="K107" s="60"/>
      <c r="L107" s="60"/>
      <c r="M107" s="61"/>
      <c r="N107" s="38"/>
      <c r="O107" s="269" t="s">
        <v>394</v>
      </c>
      <c r="P107" s="63"/>
      <c r="Q107" s="64"/>
      <c r="R107" s="64"/>
      <c r="S107" s="64">
        <v>150000</v>
      </c>
      <c r="T107" s="64" t="s">
        <v>77</v>
      </c>
      <c r="U107" s="100" t="s">
        <v>86</v>
      </c>
      <c r="V107" s="64">
        <v>1</v>
      </c>
      <c r="W107" s="64" t="s">
        <v>106</v>
      </c>
      <c r="X107" s="100" t="s">
        <v>86</v>
      </c>
      <c r="Y107" s="64">
        <v>12</v>
      </c>
      <c r="Z107" s="64" t="s">
        <v>30</v>
      </c>
      <c r="AA107" s="64" t="s">
        <v>93</v>
      </c>
      <c r="AB107" s="64"/>
      <c r="AC107" s="92"/>
      <c r="AD107" s="92">
        <f t="shared" si="3"/>
        <v>1800000</v>
      </c>
      <c r="AE107" s="71" t="s">
        <v>77</v>
      </c>
    </row>
    <row r="108" spans="1:33" ht="21" customHeight="1">
      <c r="A108" s="57"/>
      <c r="B108" s="58"/>
      <c r="C108" s="58"/>
      <c r="D108" s="60"/>
      <c r="E108" s="60"/>
      <c r="F108" s="60"/>
      <c r="G108" s="60"/>
      <c r="H108" s="60"/>
      <c r="I108" s="60"/>
      <c r="J108" s="60"/>
      <c r="K108" s="60"/>
      <c r="L108" s="60"/>
      <c r="M108" s="61"/>
      <c r="N108" s="38"/>
      <c r="O108" s="63" t="s">
        <v>169</v>
      </c>
      <c r="P108" s="63"/>
      <c r="Q108" s="64"/>
      <c r="R108" s="64"/>
      <c r="S108" s="64">
        <v>70000</v>
      </c>
      <c r="T108" s="64" t="s">
        <v>77</v>
      </c>
      <c r="U108" s="100" t="s">
        <v>86</v>
      </c>
      <c r="V108" s="64">
        <v>1</v>
      </c>
      <c r="W108" s="64" t="s">
        <v>106</v>
      </c>
      <c r="X108" s="100" t="s">
        <v>86</v>
      </c>
      <c r="Y108" s="64">
        <v>12</v>
      </c>
      <c r="Z108" s="64" t="s">
        <v>30</v>
      </c>
      <c r="AA108" s="64" t="s">
        <v>93</v>
      </c>
      <c r="AB108" s="64"/>
      <c r="AC108" s="92"/>
      <c r="AD108" s="92">
        <f t="shared" si="3"/>
        <v>840000</v>
      </c>
      <c r="AE108" s="71" t="s">
        <v>77</v>
      </c>
    </row>
    <row r="109" spans="1:33" ht="21" customHeight="1">
      <c r="A109" s="57"/>
      <c r="B109" s="58"/>
      <c r="C109" s="58"/>
      <c r="D109" s="60"/>
      <c r="E109" s="60"/>
      <c r="F109" s="60"/>
      <c r="G109" s="60"/>
      <c r="H109" s="60"/>
      <c r="I109" s="60"/>
      <c r="J109" s="60"/>
      <c r="K109" s="60"/>
      <c r="L109" s="60"/>
      <c r="M109" s="61"/>
      <c r="N109" s="38"/>
      <c r="O109" s="63" t="s">
        <v>170</v>
      </c>
      <c r="P109" s="63"/>
      <c r="Q109" s="64"/>
      <c r="R109" s="64"/>
      <c r="S109" s="64">
        <v>50000</v>
      </c>
      <c r="T109" s="64" t="s">
        <v>77</v>
      </c>
      <c r="U109" s="100" t="s">
        <v>86</v>
      </c>
      <c r="V109" s="64">
        <v>2</v>
      </c>
      <c r="W109" s="64" t="s">
        <v>106</v>
      </c>
      <c r="X109" s="100" t="s">
        <v>86</v>
      </c>
      <c r="Y109" s="64">
        <v>12</v>
      </c>
      <c r="Z109" s="64" t="s">
        <v>30</v>
      </c>
      <c r="AA109" s="64" t="s">
        <v>93</v>
      </c>
      <c r="AB109" s="64"/>
      <c r="AC109" s="92"/>
      <c r="AD109" s="92">
        <f t="shared" si="3"/>
        <v>1200000</v>
      </c>
      <c r="AE109" s="71" t="s">
        <v>77</v>
      </c>
    </row>
    <row r="110" spans="1:33" ht="21" customHeight="1">
      <c r="A110" s="57"/>
      <c r="B110" s="58"/>
      <c r="C110" s="58"/>
      <c r="D110" s="60"/>
      <c r="E110" s="60"/>
      <c r="F110" s="60"/>
      <c r="G110" s="60"/>
      <c r="H110" s="60"/>
      <c r="I110" s="60"/>
      <c r="J110" s="60"/>
      <c r="K110" s="60"/>
      <c r="L110" s="60"/>
      <c r="M110" s="61"/>
      <c r="N110" s="38"/>
      <c r="O110" s="236"/>
      <c r="P110" s="236"/>
      <c r="Q110" s="235"/>
      <c r="R110" s="235"/>
      <c r="S110" s="235"/>
      <c r="T110" s="235"/>
      <c r="U110" s="100"/>
      <c r="V110" s="235"/>
      <c r="W110" s="235"/>
      <c r="X110" s="100"/>
      <c r="Y110" s="235"/>
      <c r="Z110" s="235"/>
      <c r="AA110" s="235"/>
      <c r="AB110" s="235"/>
      <c r="AC110" s="92"/>
      <c r="AD110" s="92"/>
      <c r="AE110" s="71"/>
    </row>
    <row r="111" spans="1:33" ht="21" customHeight="1" thickBot="1">
      <c r="A111" s="57"/>
      <c r="B111" s="58"/>
      <c r="C111" s="58"/>
      <c r="D111" s="60"/>
      <c r="E111" s="60"/>
      <c r="F111" s="60"/>
      <c r="G111" s="60"/>
      <c r="H111" s="60"/>
      <c r="I111" s="60"/>
      <c r="J111" s="60"/>
      <c r="K111" s="60"/>
      <c r="L111" s="60"/>
      <c r="M111" s="61"/>
      <c r="N111" s="38"/>
      <c r="O111" s="133" t="s">
        <v>603</v>
      </c>
      <c r="P111" s="88"/>
      <c r="Q111" s="64"/>
      <c r="R111" s="64"/>
      <c r="S111" s="64"/>
      <c r="T111" s="64"/>
      <c r="U111" s="64"/>
      <c r="V111" s="64"/>
      <c r="W111" s="424" t="s">
        <v>171</v>
      </c>
      <c r="X111" s="424"/>
      <c r="Y111" s="424"/>
      <c r="Z111" s="424"/>
      <c r="AA111" s="424"/>
      <c r="AB111" s="424"/>
      <c r="AC111" s="424"/>
      <c r="AD111" s="136">
        <f>SUM(AD112:AD114)</f>
        <v>2100000</v>
      </c>
      <c r="AE111" s="137" t="s">
        <v>85</v>
      </c>
    </row>
    <row r="112" spans="1:33" ht="21" customHeight="1">
      <c r="A112" s="57"/>
      <c r="B112" s="58"/>
      <c r="C112" s="58"/>
      <c r="D112" s="60"/>
      <c r="E112" s="60"/>
      <c r="F112" s="60"/>
      <c r="G112" s="60"/>
      <c r="H112" s="60"/>
      <c r="I112" s="60"/>
      <c r="J112" s="60"/>
      <c r="K112" s="60"/>
      <c r="L112" s="60"/>
      <c r="M112" s="61"/>
      <c r="N112" s="38"/>
      <c r="O112" s="63" t="s">
        <v>172</v>
      </c>
      <c r="P112" s="63"/>
      <c r="Q112" s="64"/>
      <c r="R112" s="64"/>
      <c r="S112" s="64">
        <v>100000</v>
      </c>
      <c r="T112" s="64" t="s">
        <v>77</v>
      </c>
      <c r="U112" s="100" t="s">
        <v>86</v>
      </c>
      <c r="V112" s="64">
        <v>1</v>
      </c>
      <c r="W112" s="64" t="s">
        <v>106</v>
      </c>
      <c r="X112" s="100" t="s">
        <v>86</v>
      </c>
      <c r="Y112" s="64">
        <v>12</v>
      </c>
      <c r="Z112" s="64" t="s">
        <v>30</v>
      </c>
      <c r="AA112" s="64" t="s">
        <v>93</v>
      </c>
      <c r="AB112" s="64"/>
      <c r="AC112" s="92"/>
      <c r="AD112" s="92">
        <f>S112*V112*Y112</f>
        <v>1200000</v>
      </c>
      <c r="AE112" s="71" t="s">
        <v>77</v>
      </c>
    </row>
    <row r="113" spans="1:32" ht="21" customHeight="1">
      <c r="A113" s="57"/>
      <c r="B113" s="58"/>
      <c r="C113" s="58"/>
      <c r="D113" s="60"/>
      <c r="E113" s="60"/>
      <c r="F113" s="60"/>
      <c r="G113" s="60"/>
      <c r="H113" s="60"/>
      <c r="I113" s="60"/>
      <c r="J113" s="60"/>
      <c r="K113" s="60"/>
      <c r="L113" s="60"/>
      <c r="M113" s="61"/>
      <c r="N113" s="38"/>
      <c r="O113" s="63" t="s">
        <v>173</v>
      </c>
      <c r="P113" s="63"/>
      <c r="Q113" s="64"/>
      <c r="R113" s="64"/>
      <c r="S113" s="64">
        <v>300000</v>
      </c>
      <c r="T113" s="64" t="s">
        <v>85</v>
      </c>
      <c r="U113" s="100" t="s">
        <v>86</v>
      </c>
      <c r="V113" s="64">
        <v>2</v>
      </c>
      <c r="W113" s="64" t="s">
        <v>174</v>
      </c>
      <c r="X113" s="64"/>
      <c r="Y113" s="64"/>
      <c r="Z113" s="64"/>
      <c r="AA113" s="64" t="s">
        <v>93</v>
      </c>
      <c r="AB113" s="64"/>
      <c r="AC113" s="92"/>
      <c r="AD113" s="92">
        <f>S113*V113</f>
        <v>600000</v>
      </c>
      <c r="AE113" s="71" t="s">
        <v>85</v>
      </c>
    </row>
    <row r="114" spans="1:32" ht="21" customHeight="1">
      <c r="A114" s="57"/>
      <c r="B114" s="58"/>
      <c r="C114" s="58"/>
      <c r="D114" s="60"/>
      <c r="E114" s="60"/>
      <c r="F114" s="60"/>
      <c r="G114" s="60"/>
      <c r="H114" s="60"/>
      <c r="I114" s="60"/>
      <c r="J114" s="60"/>
      <c r="K114" s="60"/>
      <c r="L114" s="60"/>
      <c r="M114" s="61"/>
      <c r="N114" s="38"/>
      <c r="O114" s="91" t="s">
        <v>511</v>
      </c>
      <c r="P114" s="63"/>
      <c r="Q114" s="63"/>
      <c r="R114" s="63"/>
      <c r="S114" s="64"/>
      <c r="T114" s="101"/>
      <c r="U114" s="101"/>
      <c r="V114" s="101"/>
      <c r="W114" s="64"/>
      <c r="X114" s="64"/>
      <c r="Y114" s="101"/>
      <c r="Z114" s="101"/>
      <c r="AA114" s="101"/>
      <c r="AB114" s="101"/>
      <c r="AC114" s="101"/>
      <c r="AD114" s="64">
        <v>300000</v>
      </c>
      <c r="AE114" s="150" t="s">
        <v>85</v>
      </c>
    </row>
    <row r="115" spans="1:32" ht="21" customHeight="1">
      <c r="A115" s="57"/>
      <c r="B115" s="58"/>
      <c r="C115" s="58"/>
      <c r="D115" s="60"/>
      <c r="E115" s="60"/>
      <c r="F115" s="60"/>
      <c r="G115" s="60"/>
      <c r="H115" s="60"/>
      <c r="I115" s="60"/>
      <c r="J115" s="60"/>
      <c r="K115" s="60"/>
      <c r="L115" s="60"/>
      <c r="M115" s="61"/>
      <c r="N115" s="38"/>
      <c r="O115" s="63"/>
      <c r="P115" s="63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92"/>
      <c r="AD115" s="92"/>
      <c r="AE115" s="71"/>
    </row>
    <row r="116" spans="1:32" s="4" customFormat="1" ht="21" customHeight="1" thickBot="1">
      <c r="A116" s="57"/>
      <c r="B116" s="58"/>
      <c r="C116" s="58"/>
      <c r="D116" s="60"/>
      <c r="E116" s="60"/>
      <c r="F116" s="60"/>
      <c r="G116" s="60"/>
      <c r="H116" s="60"/>
      <c r="I116" s="60"/>
      <c r="J116" s="60"/>
      <c r="K116" s="60"/>
      <c r="L116" s="60"/>
      <c r="M116" s="61"/>
      <c r="N116" s="96"/>
      <c r="O116" s="133" t="s">
        <v>604</v>
      </c>
      <c r="P116" s="88"/>
      <c r="Q116" s="64"/>
      <c r="R116" s="64"/>
      <c r="S116" s="64"/>
      <c r="T116" s="64"/>
      <c r="U116" s="64"/>
      <c r="V116" s="424" t="s">
        <v>508</v>
      </c>
      <c r="W116" s="424"/>
      <c r="X116" s="424"/>
      <c r="Y116" s="424"/>
      <c r="Z116" s="424"/>
      <c r="AA116" s="424"/>
      <c r="AB116" s="424"/>
      <c r="AC116" s="424"/>
      <c r="AD116" s="136">
        <f>SUM(AD117:AD117)</f>
        <v>300000000</v>
      </c>
      <c r="AE116" s="137" t="s">
        <v>85</v>
      </c>
      <c r="AF116" s="7"/>
    </row>
    <row r="117" spans="1:32" s="4" customFormat="1" ht="21" customHeight="1">
      <c r="A117" s="57"/>
      <c r="B117" s="58"/>
      <c r="C117" s="58"/>
      <c r="D117" s="60"/>
      <c r="E117" s="60"/>
      <c r="F117" s="60"/>
      <c r="G117" s="60"/>
      <c r="H117" s="60"/>
      <c r="I117" s="60"/>
      <c r="J117" s="60"/>
      <c r="K117" s="60"/>
      <c r="L117" s="60"/>
      <c r="M117" s="61"/>
      <c r="N117" s="96"/>
      <c r="O117" s="91" t="s">
        <v>509</v>
      </c>
      <c r="P117" s="63"/>
      <c r="Q117" s="64"/>
      <c r="R117" s="64"/>
      <c r="S117" s="64"/>
      <c r="T117" s="64"/>
      <c r="U117" s="63"/>
      <c r="V117" s="64"/>
      <c r="W117" s="64"/>
      <c r="X117" s="64"/>
      <c r="Y117" s="64"/>
      <c r="Z117" s="64"/>
      <c r="AA117" s="64"/>
      <c r="AB117" s="64"/>
      <c r="AC117" s="92"/>
      <c r="AD117" s="92">
        <v>300000000</v>
      </c>
      <c r="AE117" s="71" t="s">
        <v>77</v>
      </c>
      <c r="AF117" s="7"/>
    </row>
    <row r="118" spans="1:32" s="4" customFormat="1" ht="21" customHeight="1">
      <c r="A118" s="57"/>
      <c r="B118" s="58"/>
      <c r="C118" s="58"/>
      <c r="D118" s="60"/>
      <c r="E118" s="60"/>
      <c r="F118" s="60"/>
      <c r="G118" s="60"/>
      <c r="H118" s="60"/>
      <c r="I118" s="60"/>
      <c r="J118" s="60"/>
      <c r="K118" s="60"/>
      <c r="L118" s="60"/>
      <c r="M118" s="61"/>
      <c r="N118" s="96"/>
      <c r="O118" s="91"/>
      <c r="P118" s="63"/>
      <c r="Q118" s="64"/>
      <c r="R118" s="64"/>
      <c r="S118" s="64"/>
      <c r="T118" s="64"/>
      <c r="U118" s="63"/>
      <c r="V118" s="64"/>
      <c r="W118" s="64"/>
      <c r="X118" s="64"/>
      <c r="Y118" s="64"/>
      <c r="Z118" s="64"/>
      <c r="AA118" s="64"/>
      <c r="AB118" s="64"/>
      <c r="AC118" s="92"/>
      <c r="AD118" s="92"/>
      <c r="AE118" s="71"/>
      <c r="AF118" s="7"/>
    </row>
    <row r="119" spans="1:32" s="4" customFormat="1" ht="21" customHeight="1" thickBot="1">
      <c r="A119" s="57"/>
      <c r="B119" s="58"/>
      <c r="C119" s="58"/>
      <c r="D119" s="60"/>
      <c r="E119" s="60"/>
      <c r="F119" s="60"/>
      <c r="G119" s="60"/>
      <c r="H119" s="60"/>
      <c r="I119" s="60"/>
      <c r="J119" s="60"/>
      <c r="K119" s="60"/>
      <c r="L119" s="60"/>
      <c r="M119" s="61"/>
      <c r="N119" s="96"/>
      <c r="O119" s="133" t="s">
        <v>605</v>
      </c>
      <c r="P119" s="88"/>
      <c r="Q119" s="64"/>
      <c r="R119" s="64"/>
      <c r="S119" s="63"/>
      <c r="T119" s="63"/>
      <c r="U119" s="63"/>
      <c r="V119" s="63"/>
      <c r="W119" s="424" t="s">
        <v>181</v>
      </c>
      <c r="X119" s="424"/>
      <c r="Y119" s="424"/>
      <c r="Z119" s="424"/>
      <c r="AA119" s="424"/>
      <c r="AB119" s="424"/>
      <c r="AC119" s="424"/>
      <c r="AD119" s="136">
        <f>SUM(AD120:AD125)</f>
        <v>9660000</v>
      </c>
      <c r="AE119" s="137" t="s">
        <v>85</v>
      </c>
      <c r="AF119" s="7"/>
    </row>
    <row r="120" spans="1:32" s="4" customFormat="1" ht="21" customHeight="1">
      <c r="A120" s="57"/>
      <c r="B120" s="58"/>
      <c r="C120" s="58"/>
      <c r="D120" s="60"/>
      <c r="E120" s="60"/>
      <c r="F120" s="60"/>
      <c r="G120" s="60"/>
      <c r="H120" s="60"/>
      <c r="I120" s="60"/>
      <c r="J120" s="60"/>
      <c r="K120" s="60"/>
      <c r="L120" s="60"/>
      <c r="M120" s="61"/>
      <c r="N120" s="96"/>
      <c r="O120" s="91" t="s">
        <v>182</v>
      </c>
      <c r="P120" s="63"/>
      <c r="Q120" s="63"/>
      <c r="R120" s="63"/>
      <c r="S120" s="64">
        <v>300000</v>
      </c>
      <c r="T120" s="101" t="s">
        <v>77</v>
      </c>
      <c r="U120" s="100" t="s">
        <v>86</v>
      </c>
      <c r="V120" s="101">
        <v>2</v>
      </c>
      <c r="W120" s="64" t="s">
        <v>183</v>
      </c>
      <c r="X120" s="64"/>
      <c r="Y120" s="101"/>
      <c r="Z120" s="101"/>
      <c r="AA120" s="101" t="s">
        <v>93</v>
      </c>
      <c r="AB120" s="101"/>
      <c r="AC120" s="101"/>
      <c r="AD120" s="64">
        <f>S120*V120</f>
        <v>600000</v>
      </c>
      <c r="AE120" s="150" t="s">
        <v>26</v>
      </c>
      <c r="AF120" s="7"/>
    </row>
    <row r="121" spans="1:32" s="4" customFormat="1" ht="21" customHeight="1">
      <c r="A121" s="57"/>
      <c r="B121" s="58"/>
      <c r="C121" s="58"/>
      <c r="D121" s="60"/>
      <c r="E121" s="60"/>
      <c r="F121" s="60"/>
      <c r="G121" s="60"/>
      <c r="H121" s="60"/>
      <c r="I121" s="60"/>
      <c r="J121" s="60"/>
      <c r="K121" s="60"/>
      <c r="L121" s="60"/>
      <c r="M121" s="61"/>
      <c r="N121" s="96"/>
      <c r="O121" s="63" t="s">
        <v>184</v>
      </c>
      <c r="P121" s="63"/>
      <c r="Q121" s="63"/>
      <c r="R121" s="63"/>
      <c r="S121" s="64"/>
      <c r="T121" s="64"/>
      <c r="U121" s="63"/>
      <c r="V121" s="64"/>
      <c r="W121" s="64"/>
      <c r="X121" s="64"/>
      <c r="Y121" s="101"/>
      <c r="Z121" s="101"/>
      <c r="AA121" s="101"/>
      <c r="AB121" s="101"/>
      <c r="AC121" s="101"/>
      <c r="AD121" s="64">
        <v>400000</v>
      </c>
      <c r="AE121" s="150" t="s">
        <v>26</v>
      </c>
      <c r="AF121" s="7"/>
    </row>
    <row r="122" spans="1:32" s="4" customFormat="1" ht="21" customHeight="1">
      <c r="A122" s="57"/>
      <c r="B122" s="58"/>
      <c r="C122" s="58"/>
      <c r="D122" s="60"/>
      <c r="E122" s="60"/>
      <c r="F122" s="60"/>
      <c r="G122" s="60"/>
      <c r="H122" s="60"/>
      <c r="I122" s="60"/>
      <c r="J122" s="60"/>
      <c r="K122" s="60"/>
      <c r="L122" s="60"/>
      <c r="M122" s="61"/>
      <c r="N122" s="96"/>
      <c r="O122" s="63" t="s">
        <v>185</v>
      </c>
      <c r="P122" s="63"/>
      <c r="Q122" s="63"/>
      <c r="R122" s="63"/>
      <c r="S122" s="64"/>
      <c r="T122" s="101"/>
      <c r="U122" s="101"/>
      <c r="V122" s="101"/>
      <c r="W122" s="64"/>
      <c r="X122" s="64"/>
      <c r="Y122" s="101"/>
      <c r="Z122" s="101"/>
      <c r="AA122" s="101"/>
      <c r="AB122" s="101"/>
      <c r="AC122" s="101"/>
      <c r="AD122" s="64">
        <v>1000000</v>
      </c>
      <c r="AE122" s="150" t="s">
        <v>26</v>
      </c>
      <c r="AF122" s="7"/>
    </row>
    <row r="123" spans="1:32" s="4" customFormat="1" ht="21" customHeight="1">
      <c r="A123" s="57"/>
      <c r="B123" s="58"/>
      <c r="C123" s="58"/>
      <c r="D123" s="60"/>
      <c r="E123" s="60"/>
      <c r="F123" s="60"/>
      <c r="G123" s="60"/>
      <c r="H123" s="60"/>
      <c r="I123" s="60"/>
      <c r="J123" s="60"/>
      <c r="K123" s="60"/>
      <c r="L123" s="60"/>
      <c r="M123" s="61"/>
      <c r="N123" s="96"/>
      <c r="O123" s="355" t="s">
        <v>555</v>
      </c>
      <c r="P123" s="355"/>
      <c r="Q123" s="355"/>
      <c r="R123" s="355"/>
      <c r="S123" s="354"/>
      <c r="T123" s="101"/>
      <c r="U123" s="101"/>
      <c r="V123" s="101"/>
      <c r="W123" s="354"/>
      <c r="X123" s="354"/>
      <c r="Y123" s="101"/>
      <c r="Z123" s="101"/>
      <c r="AA123" s="101"/>
      <c r="AB123" s="101"/>
      <c r="AC123" s="101"/>
      <c r="AD123" s="354">
        <v>6000000</v>
      </c>
      <c r="AE123" s="150" t="s">
        <v>510</v>
      </c>
      <c r="AF123" s="7"/>
    </row>
    <row r="124" spans="1:32" s="4" customFormat="1" ht="21" customHeight="1">
      <c r="A124" s="57"/>
      <c r="B124" s="58"/>
      <c r="C124" s="58"/>
      <c r="D124" s="60"/>
      <c r="E124" s="60"/>
      <c r="F124" s="60"/>
      <c r="G124" s="60"/>
      <c r="H124" s="60"/>
      <c r="I124" s="60"/>
      <c r="J124" s="60"/>
      <c r="K124" s="60"/>
      <c r="L124" s="60"/>
      <c r="M124" s="61"/>
      <c r="N124" s="96"/>
      <c r="O124" s="63" t="s">
        <v>186</v>
      </c>
      <c r="P124" s="63"/>
      <c r="Q124" s="63"/>
      <c r="R124" s="63"/>
      <c r="S124" s="64">
        <v>20000</v>
      </c>
      <c r="T124" s="101" t="s">
        <v>77</v>
      </c>
      <c r="U124" s="100" t="s">
        <v>86</v>
      </c>
      <c r="V124" s="101">
        <v>33</v>
      </c>
      <c r="W124" s="64" t="s">
        <v>106</v>
      </c>
      <c r="X124" s="101"/>
      <c r="Y124" s="101"/>
      <c r="Z124" s="101"/>
      <c r="AA124" s="151" t="s">
        <v>93</v>
      </c>
      <c r="AB124" s="101"/>
      <c r="AC124" s="101"/>
      <c r="AD124" s="64">
        <f>S124*V124</f>
        <v>660000</v>
      </c>
      <c r="AE124" s="150" t="s">
        <v>77</v>
      </c>
      <c r="AF124" s="7"/>
    </row>
    <row r="125" spans="1:32" s="4" customFormat="1" ht="21" customHeight="1">
      <c r="A125" s="57"/>
      <c r="B125" s="58"/>
      <c r="C125" s="58"/>
      <c r="D125" s="60"/>
      <c r="E125" s="60"/>
      <c r="F125" s="60"/>
      <c r="G125" s="60"/>
      <c r="H125" s="60"/>
      <c r="I125" s="60"/>
      <c r="J125" s="60"/>
      <c r="K125" s="60"/>
      <c r="L125" s="60"/>
      <c r="M125" s="61"/>
      <c r="N125" s="96"/>
      <c r="O125" s="275" t="s">
        <v>176</v>
      </c>
      <c r="P125" s="275"/>
      <c r="Q125" s="275"/>
      <c r="R125" s="275"/>
      <c r="S125" s="274"/>
      <c r="T125" s="101"/>
      <c r="U125" s="101"/>
      <c r="V125" s="101"/>
      <c r="W125" s="274"/>
      <c r="X125" s="101"/>
      <c r="Y125" s="101"/>
      <c r="Z125" s="101"/>
      <c r="AA125" s="151"/>
      <c r="AB125" s="101"/>
      <c r="AC125" s="101"/>
      <c r="AD125" s="274">
        <v>1000000</v>
      </c>
      <c r="AE125" s="150" t="s">
        <v>62</v>
      </c>
      <c r="AF125" s="7"/>
    </row>
    <row r="126" spans="1:32" s="4" customFormat="1" ht="21" customHeight="1">
      <c r="A126" s="57"/>
      <c r="B126" s="58"/>
      <c r="C126" s="58"/>
      <c r="D126" s="60"/>
      <c r="E126" s="60"/>
      <c r="F126" s="60"/>
      <c r="G126" s="60"/>
      <c r="H126" s="60"/>
      <c r="I126" s="60"/>
      <c r="J126" s="60"/>
      <c r="K126" s="60"/>
      <c r="L126" s="60"/>
      <c r="M126" s="61"/>
      <c r="N126" s="96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152"/>
      <c r="AF126" s="7"/>
    </row>
    <row r="127" spans="1:32" s="4" customFormat="1" ht="21" customHeight="1" thickBot="1">
      <c r="A127" s="57"/>
      <c r="B127" s="58"/>
      <c r="C127" s="58"/>
      <c r="D127" s="60"/>
      <c r="E127" s="60"/>
      <c r="F127" s="60"/>
      <c r="G127" s="60"/>
      <c r="H127" s="60"/>
      <c r="I127" s="60"/>
      <c r="J127" s="60"/>
      <c r="K127" s="60"/>
      <c r="L127" s="60"/>
      <c r="M127" s="61"/>
      <c r="N127" s="96"/>
      <c r="O127" s="133" t="s">
        <v>606</v>
      </c>
      <c r="P127" s="88"/>
      <c r="Q127" s="64"/>
      <c r="R127" s="64"/>
      <c r="S127" s="64"/>
      <c r="T127" s="64"/>
      <c r="U127" s="64"/>
      <c r="V127" s="63"/>
      <c r="W127" s="63"/>
      <c r="X127" s="63"/>
      <c r="Y127" s="135" t="s">
        <v>187</v>
      </c>
      <c r="Z127" s="88"/>
      <c r="AA127" s="88"/>
      <c r="AB127" s="135"/>
      <c r="AC127" s="135"/>
      <c r="AD127" s="136">
        <f>SUM(AD128:AD130)</f>
        <v>2520000</v>
      </c>
      <c r="AE127" s="137" t="s">
        <v>85</v>
      </c>
      <c r="AF127" s="7"/>
    </row>
    <row r="128" spans="1:32" s="4" customFormat="1" ht="21" customHeight="1">
      <c r="A128" s="57"/>
      <c r="B128" s="58"/>
      <c r="C128" s="58"/>
      <c r="D128" s="60"/>
      <c r="E128" s="60"/>
      <c r="F128" s="60"/>
      <c r="G128" s="60"/>
      <c r="H128" s="60"/>
      <c r="I128" s="60"/>
      <c r="J128" s="60"/>
      <c r="K128" s="60"/>
      <c r="L128" s="60"/>
      <c r="M128" s="61"/>
      <c r="N128" s="96"/>
      <c r="O128" s="91" t="s">
        <v>188</v>
      </c>
      <c r="P128" s="63"/>
      <c r="Q128" s="64"/>
      <c r="R128" s="64"/>
      <c r="S128" s="64">
        <v>100000</v>
      </c>
      <c r="T128" s="64" t="s">
        <v>77</v>
      </c>
      <c r="U128" s="100" t="s">
        <v>86</v>
      </c>
      <c r="V128" s="64">
        <v>1</v>
      </c>
      <c r="W128" s="64" t="s">
        <v>110</v>
      </c>
      <c r="X128" s="100" t="s">
        <v>86</v>
      </c>
      <c r="Y128" s="64">
        <v>12</v>
      </c>
      <c r="Z128" s="64" t="s">
        <v>30</v>
      </c>
      <c r="AA128" s="64" t="s">
        <v>93</v>
      </c>
      <c r="AB128" s="64"/>
      <c r="AC128" s="92"/>
      <c r="AD128" s="92">
        <f>S128*V128*Y128</f>
        <v>1200000</v>
      </c>
      <c r="AE128" s="71" t="s">
        <v>77</v>
      </c>
      <c r="AF128" s="7"/>
    </row>
    <row r="129" spans="1:32" s="4" customFormat="1" ht="21" customHeight="1">
      <c r="A129" s="57"/>
      <c r="B129" s="58"/>
      <c r="C129" s="58"/>
      <c r="D129" s="60"/>
      <c r="E129" s="60"/>
      <c r="F129" s="60"/>
      <c r="G129" s="60"/>
      <c r="H129" s="60"/>
      <c r="I129" s="60"/>
      <c r="J129" s="60"/>
      <c r="K129" s="60"/>
      <c r="L129" s="60"/>
      <c r="M129" s="61"/>
      <c r="N129" s="96"/>
      <c r="O129" s="91" t="s">
        <v>189</v>
      </c>
      <c r="P129" s="63"/>
      <c r="Q129" s="64"/>
      <c r="R129" s="64"/>
      <c r="S129" s="64">
        <v>50000</v>
      </c>
      <c r="T129" s="64" t="s">
        <v>77</v>
      </c>
      <c r="U129" s="100" t="s">
        <v>86</v>
      </c>
      <c r="V129" s="64">
        <v>1</v>
      </c>
      <c r="W129" s="64" t="s">
        <v>106</v>
      </c>
      <c r="X129" s="100" t="s">
        <v>86</v>
      </c>
      <c r="Y129" s="64">
        <v>12</v>
      </c>
      <c r="Z129" s="64" t="s">
        <v>30</v>
      </c>
      <c r="AA129" s="64" t="s">
        <v>93</v>
      </c>
      <c r="AB129" s="64"/>
      <c r="AC129" s="92"/>
      <c r="AD129" s="92">
        <f>S129*V129*Y129</f>
        <v>600000</v>
      </c>
      <c r="AE129" s="71" t="s">
        <v>77</v>
      </c>
      <c r="AF129" s="7"/>
    </row>
    <row r="130" spans="1:32" s="4" customFormat="1" ht="21" customHeight="1">
      <c r="A130" s="57"/>
      <c r="B130" s="58"/>
      <c r="C130" s="58"/>
      <c r="D130" s="60"/>
      <c r="E130" s="60"/>
      <c r="F130" s="60"/>
      <c r="G130" s="60"/>
      <c r="H130" s="60"/>
      <c r="I130" s="60"/>
      <c r="J130" s="60"/>
      <c r="K130" s="60"/>
      <c r="L130" s="60"/>
      <c r="M130" s="61"/>
      <c r="N130" s="96"/>
      <c r="O130" s="91" t="s">
        <v>190</v>
      </c>
      <c r="P130" s="63"/>
      <c r="Q130" s="64"/>
      <c r="R130" s="64"/>
      <c r="S130" s="64">
        <v>30000</v>
      </c>
      <c r="T130" s="64" t="s">
        <v>77</v>
      </c>
      <c r="U130" s="100" t="s">
        <v>86</v>
      </c>
      <c r="V130" s="64">
        <v>6</v>
      </c>
      <c r="W130" s="64" t="s">
        <v>106</v>
      </c>
      <c r="X130" s="100" t="s">
        <v>86</v>
      </c>
      <c r="Y130" s="64">
        <v>4</v>
      </c>
      <c r="Z130" s="64" t="s">
        <v>30</v>
      </c>
      <c r="AA130" s="64" t="s">
        <v>93</v>
      </c>
      <c r="AB130" s="64"/>
      <c r="AC130" s="92"/>
      <c r="AD130" s="92">
        <f>S130*V130*Y130</f>
        <v>720000</v>
      </c>
      <c r="AE130" s="71" t="s">
        <v>77</v>
      </c>
      <c r="AF130" s="7"/>
    </row>
    <row r="131" spans="1:32" s="4" customFormat="1" ht="21" customHeight="1">
      <c r="A131" s="57"/>
      <c r="B131" s="58"/>
      <c r="C131" s="58"/>
      <c r="D131" s="60"/>
      <c r="E131" s="60"/>
      <c r="F131" s="60"/>
      <c r="G131" s="60"/>
      <c r="H131" s="60"/>
      <c r="I131" s="60"/>
      <c r="J131" s="60"/>
      <c r="K131" s="60"/>
      <c r="L131" s="60"/>
      <c r="M131" s="61"/>
      <c r="N131" s="96"/>
      <c r="O131" s="91"/>
      <c r="P131" s="63"/>
      <c r="Q131" s="64"/>
      <c r="R131" s="64"/>
      <c r="S131" s="64"/>
      <c r="T131" s="64"/>
      <c r="U131" s="63"/>
      <c r="V131" s="64"/>
      <c r="W131" s="64"/>
      <c r="X131" s="64"/>
      <c r="Y131" s="64"/>
      <c r="Z131" s="64"/>
      <c r="AA131" s="64"/>
      <c r="AB131" s="64"/>
      <c r="AC131" s="92"/>
      <c r="AD131" s="92"/>
      <c r="AE131" s="71"/>
      <c r="AF131" s="7"/>
    </row>
    <row r="132" spans="1:32" s="4" customFormat="1" ht="21" customHeight="1" thickBot="1">
      <c r="A132" s="57"/>
      <c r="B132" s="58"/>
      <c r="C132" s="58"/>
      <c r="D132" s="60"/>
      <c r="E132" s="60"/>
      <c r="F132" s="60"/>
      <c r="G132" s="60"/>
      <c r="H132" s="60"/>
      <c r="I132" s="60"/>
      <c r="J132" s="60"/>
      <c r="K132" s="60"/>
      <c r="L132" s="60"/>
      <c r="M132" s="61"/>
      <c r="N132" s="96"/>
      <c r="O132" s="133" t="s">
        <v>607</v>
      </c>
      <c r="P132" s="134"/>
      <c r="Q132" s="44"/>
      <c r="R132" s="44"/>
      <c r="S132" s="44"/>
      <c r="T132" s="44"/>
      <c r="U132" s="44"/>
      <c r="V132" s="44"/>
      <c r="W132" s="44"/>
      <c r="X132" s="44"/>
      <c r="Y132" s="134" t="s">
        <v>191</v>
      </c>
      <c r="Z132" s="134"/>
      <c r="AA132" s="134"/>
      <c r="AB132" s="134"/>
      <c r="AC132" s="134"/>
      <c r="AD132" s="153">
        <f>AD133</f>
        <v>300000</v>
      </c>
      <c r="AE132" s="137" t="s">
        <v>77</v>
      </c>
      <c r="AF132" s="7"/>
    </row>
    <row r="133" spans="1:32" s="4" customFormat="1" ht="21" customHeight="1">
      <c r="A133" s="57"/>
      <c r="B133" s="58"/>
      <c r="C133" s="58"/>
      <c r="D133" s="60"/>
      <c r="E133" s="60"/>
      <c r="F133" s="60"/>
      <c r="G133" s="60"/>
      <c r="H133" s="60"/>
      <c r="I133" s="60"/>
      <c r="J133" s="60"/>
      <c r="K133" s="60"/>
      <c r="L133" s="60"/>
      <c r="M133" s="61"/>
      <c r="N133" s="96"/>
      <c r="O133" s="63" t="s">
        <v>192</v>
      </c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154">
        <v>300000</v>
      </c>
      <c r="AE133" s="71" t="s">
        <v>77</v>
      </c>
      <c r="AF133" s="7"/>
    </row>
    <row r="134" spans="1:32" s="4" customFormat="1" ht="21" customHeight="1">
      <c r="A134" s="57"/>
      <c r="B134" s="58"/>
      <c r="C134" s="58"/>
      <c r="D134" s="60"/>
      <c r="E134" s="60"/>
      <c r="F134" s="60"/>
      <c r="G134" s="60"/>
      <c r="H134" s="60"/>
      <c r="I134" s="60"/>
      <c r="J134" s="60"/>
      <c r="K134" s="60"/>
      <c r="L134" s="60"/>
      <c r="M134" s="61"/>
      <c r="N134" s="96"/>
      <c r="O134" s="361"/>
      <c r="P134" s="361"/>
      <c r="Q134" s="361"/>
      <c r="R134" s="361"/>
      <c r="S134" s="361"/>
      <c r="T134" s="361"/>
      <c r="U134" s="361"/>
      <c r="V134" s="361"/>
      <c r="W134" s="361"/>
      <c r="X134" s="361"/>
      <c r="Y134" s="361"/>
      <c r="Z134" s="361"/>
      <c r="AA134" s="361"/>
      <c r="AB134" s="361"/>
      <c r="AC134" s="361"/>
      <c r="AD134" s="154"/>
      <c r="AE134" s="71"/>
      <c r="AF134" s="7"/>
    </row>
    <row r="135" spans="1:32" s="4" customFormat="1" ht="21" customHeight="1" thickBot="1">
      <c r="A135" s="57"/>
      <c r="B135" s="58"/>
      <c r="C135" s="58"/>
      <c r="D135" s="60"/>
      <c r="E135" s="60"/>
      <c r="F135" s="60"/>
      <c r="G135" s="60"/>
      <c r="H135" s="60"/>
      <c r="I135" s="60"/>
      <c r="J135" s="60"/>
      <c r="K135" s="60"/>
      <c r="L135" s="60"/>
      <c r="M135" s="61"/>
      <c r="N135" s="96"/>
      <c r="O135" s="133" t="s">
        <v>621</v>
      </c>
      <c r="P135" s="134"/>
      <c r="Q135" s="353"/>
      <c r="R135" s="353"/>
      <c r="S135" s="353"/>
      <c r="T135" s="353"/>
      <c r="U135" s="353"/>
      <c r="V135" s="353"/>
      <c r="W135" s="353"/>
      <c r="X135" s="353"/>
      <c r="Y135" s="134" t="s">
        <v>191</v>
      </c>
      <c r="Z135" s="134"/>
      <c r="AA135" s="134"/>
      <c r="AB135" s="134"/>
      <c r="AC135" s="134"/>
      <c r="AD135" s="153">
        <f>AD136</f>
        <v>20000000</v>
      </c>
      <c r="AE135" s="137" t="s">
        <v>62</v>
      </c>
      <c r="AF135" s="7"/>
    </row>
    <row r="136" spans="1:32" s="4" customFormat="1" ht="21" customHeight="1">
      <c r="A136" s="57"/>
      <c r="B136" s="58"/>
      <c r="C136" s="58"/>
      <c r="D136" s="60"/>
      <c r="E136" s="60"/>
      <c r="F136" s="60"/>
      <c r="G136" s="60"/>
      <c r="H136" s="60"/>
      <c r="I136" s="60"/>
      <c r="J136" s="60"/>
      <c r="K136" s="60"/>
      <c r="L136" s="60"/>
      <c r="M136" s="61"/>
      <c r="N136" s="96"/>
      <c r="O136" s="361" t="s">
        <v>620</v>
      </c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361" t="s">
        <v>622</v>
      </c>
      <c r="AC136" s="63"/>
      <c r="AD136" s="154">
        <v>20000000</v>
      </c>
      <c r="AE136" s="71" t="s">
        <v>623</v>
      </c>
      <c r="AF136" s="7"/>
    </row>
    <row r="137" spans="1:32" ht="21" customHeight="1">
      <c r="A137" s="47" t="s">
        <v>14</v>
      </c>
      <c r="B137" s="48" t="s">
        <v>14</v>
      </c>
      <c r="C137" s="48" t="s">
        <v>193</v>
      </c>
      <c r="D137" s="49">
        <v>67435</v>
      </c>
      <c r="E137" s="49">
        <f>SUM(F137:L137)</f>
        <v>67434</v>
      </c>
      <c r="F137" s="49">
        <v>8835</v>
      </c>
      <c r="G137" s="49">
        <v>1233</v>
      </c>
      <c r="H137" s="49">
        <v>41</v>
      </c>
      <c r="I137" s="49">
        <f>ROUND(SUM(AD153:AD154),-3)/1000</f>
        <v>32148</v>
      </c>
      <c r="J137" s="49">
        <f>ROUND(SUM(AD150:AD151),-3)/1000</f>
        <v>16622</v>
      </c>
      <c r="K137" s="49">
        <v>0</v>
      </c>
      <c r="L137" s="49">
        <f>ROUND(SUM(AD156:AD157),-3)/1000</f>
        <v>8555</v>
      </c>
      <c r="M137" s="50">
        <f>E137-D137</f>
        <v>-1</v>
      </c>
      <c r="N137" s="51">
        <f>IF(D137=0,0,M137/D137)</f>
        <v>-1.4829094683769556E-5</v>
      </c>
      <c r="O137" s="155" t="s">
        <v>34</v>
      </c>
      <c r="P137" s="76"/>
      <c r="Q137" s="54"/>
      <c r="R137" s="54"/>
      <c r="S137" s="54"/>
      <c r="T137" s="54"/>
      <c r="U137" s="54"/>
      <c r="V137" s="54"/>
      <c r="W137" s="54" t="s">
        <v>424</v>
      </c>
      <c r="X137" s="54"/>
      <c r="Y137" s="54"/>
      <c r="Z137" s="54"/>
      <c r="AA137" s="54"/>
      <c r="AB137" s="54"/>
      <c r="AC137" s="55"/>
      <c r="AD137" s="55">
        <f>ROUNDDOWN(SUM(AD140:AD157),-3)</f>
        <v>67434000</v>
      </c>
      <c r="AE137" s="56" t="s">
        <v>26</v>
      </c>
    </row>
    <row r="138" spans="1:32" ht="21" customHeight="1">
      <c r="A138" s="57"/>
      <c r="B138" s="58"/>
      <c r="C138" s="58" t="s">
        <v>423</v>
      </c>
      <c r="D138" s="60"/>
      <c r="E138" s="60"/>
      <c r="F138" s="60"/>
      <c r="G138" s="60"/>
      <c r="H138" s="60"/>
      <c r="I138" s="60"/>
      <c r="J138" s="60"/>
      <c r="K138" s="60"/>
      <c r="L138" s="60"/>
      <c r="M138" s="61"/>
      <c r="N138" s="43"/>
      <c r="O138" s="296"/>
      <c r="P138" s="39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297"/>
      <c r="AD138" s="297"/>
      <c r="AE138" s="41"/>
    </row>
    <row r="139" spans="1:32" ht="21" customHeight="1">
      <c r="A139" s="57"/>
      <c r="B139" s="58"/>
      <c r="C139" s="58"/>
      <c r="D139" s="60"/>
      <c r="E139" s="60"/>
      <c r="F139" s="60"/>
      <c r="G139" s="60"/>
      <c r="H139" s="60"/>
      <c r="I139" s="60"/>
      <c r="J139" s="60"/>
      <c r="K139" s="60"/>
      <c r="L139" s="60"/>
      <c r="M139" s="61"/>
      <c r="N139" s="96"/>
      <c r="O139" s="91" t="s">
        <v>312</v>
      </c>
      <c r="P139" s="233"/>
      <c r="Q139" s="232"/>
      <c r="R139" s="232"/>
      <c r="S139" s="232"/>
      <c r="T139" s="232"/>
      <c r="U139" s="232"/>
      <c r="V139" s="232"/>
      <c r="W139" s="67"/>
      <c r="X139" s="67"/>
      <c r="Y139" s="67"/>
      <c r="Z139" s="232"/>
      <c r="AA139" s="232"/>
      <c r="AB139" s="232"/>
      <c r="AC139" s="92"/>
      <c r="AD139" s="92"/>
      <c r="AE139" s="71"/>
    </row>
    <row r="140" spans="1:32" ht="21" customHeight="1">
      <c r="A140" s="57"/>
      <c r="B140" s="58"/>
      <c r="C140" s="58"/>
      <c r="D140" s="60"/>
      <c r="E140" s="60"/>
      <c r="F140" s="60"/>
      <c r="G140" s="60"/>
      <c r="H140" s="60"/>
      <c r="I140" s="60"/>
      <c r="J140" s="60"/>
      <c r="K140" s="60"/>
      <c r="L140" s="60"/>
      <c r="M140" s="61"/>
      <c r="N140" s="96"/>
      <c r="O140" s="91" t="s">
        <v>314</v>
      </c>
      <c r="P140" s="233"/>
      <c r="Q140" s="232"/>
      <c r="R140" s="232"/>
      <c r="S140" s="232"/>
      <c r="T140" s="232"/>
      <c r="U140" s="232"/>
      <c r="V140" s="232"/>
      <c r="W140" s="67"/>
      <c r="X140" s="67"/>
      <c r="Y140" s="67"/>
      <c r="Z140" s="232"/>
      <c r="AA140" s="232"/>
      <c r="AB140" s="232"/>
      <c r="AC140" s="92"/>
      <c r="AD140" s="92">
        <v>8745220</v>
      </c>
      <c r="AE140" s="71" t="s">
        <v>77</v>
      </c>
    </row>
    <row r="141" spans="1:32" ht="21" customHeight="1">
      <c r="A141" s="57"/>
      <c r="B141" s="58"/>
      <c r="C141" s="58"/>
      <c r="D141" s="60"/>
      <c r="E141" s="60"/>
      <c r="F141" s="60"/>
      <c r="G141" s="60"/>
      <c r="H141" s="60"/>
      <c r="I141" s="60"/>
      <c r="J141" s="60"/>
      <c r="K141" s="60"/>
      <c r="L141" s="60"/>
      <c r="M141" s="61"/>
      <c r="N141" s="96"/>
      <c r="O141" s="91" t="s">
        <v>486</v>
      </c>
      <c r="P141" s="341"/>
      <c r="Q141" s="340"/>
      <c r="R141" s="340"/>
      <c r="S141" s="340"/>
      <c r="T141" s="340"/>
      <c r="U141" s="340"/>
      <c r="V141" s="340"/>
      <c r="W141" s="67"/>
      <c r="X141" s="67"/>
      <c r="Y141" s="67"/>
      <c r="Z141" s="340"/>
      <c r="AA141" s="340"/>
      <c r="AB141" s="340"/>
      <c r="AC141" s="92"/>
      <c r="AD141" s="92">
        <v>89437</v>
      </c>
      <c r="AE141" s="71" t="s">
        <v>448</v>
      </c>
    </row>
    <row r="142" spans="1:32" ht="21" customHeight="1">
      <c r="A142" s="57"/>
      <c r="B142" s="58"/>
      <c r="C142" s="58"/>
      <c r="D142" s="60"/>
      <c r="E142" s="60"/>
      <c r="F142" s="60"/>
      <c r="G142" s="60"/>
      <c r="H142" s="60"/>
      <c r="I142" s="60"/>
      <c r="J142" s="60"/>
      <c r="K142" s="60"/>
      <c r="L142" s="60"/>
      <c r="M142" s="61"/>
      <c r="N142" s="96"/>
      <c r="O142" s="91" t="s">
        <v>313</v>
      </c>
      <c r="P142" s="233"/>
      <c r="Q142" s="232"/>
      <c r="R142" s="232"/>
      <c r="S142" s="232"/>
      <c r="T142" s="232"/>
      <c r="U142" s="232"/>
      <c r="V142" s="232"/>
      <c r="W142" s="67"/>
      <c r="X142" s="67"/>
      <c r="Y142" s="67"/>
      <c r="Z142" s="232"/>
      <c r="AA142" s="232"/>
      <c r="AB142" s="232"/>
      <c r="AC142" s="92"/>
      <c r="AD142" s="92">
        <v>40000</v>
      </c>
      <c r="AE142" s="71" t="s">
        <v>77</v>
      </c>
    </row>
    <row r="143" spans="1:32" ht="21" customHeight="1">
      <c r="A143" s="57"/>
      <c r="B143" s="58"/>
      <c r="C143" s="58"/>
      <c r="D143" s="60"/>
      <c r="E143" s="60"/>
      <c r="F143" s="60"/>
      <c r="G143" s="60"/>
      <c r="H143" s="60"/>
      <c r="I143" s="60"/>
      <c r="J143" s="60"/>
      <c r="K143" s="60"/>
      <c r="L143" s="60"/>
      <c r="M143" s="61"/>
      <c r="N143" s="96"/>
      <c r="O143" s="91" t="s">
        <v>487</v>
      </c>
      <c r="P143" s="341"/>
      <c r="Q143" s="340"/>
      <c r="R143" s="340"/>
      <c r="S143" s="340"/>
      <c r="T143" s="340"/>
      <c r="U143" s="340"/>
      <c r="V143" s="340"/>
      <c r="W143" s="67"/>
      <c r="X143" s="67"/>
      <c r="Y143" s="67"/>
      <c r="Z143" s="340"/>
      <c r="AA143" s="340"/>
      <c r="AB143" s="340"/>
      <c r="AC143" s="92"/>
      <c r="AD143" s="92">
        <v>643</v>
      </c>
      <c r="AE143" s="71" t="s">
        <v>448</v>
      </c>
    </row>
    <row r="144" spans="1:32" ht="21" customHeight="1">
      <c r="A144" s="57"/>
      <c r="B144" s="58"/>
      <c r="C144" s="58"/>
      <c r="D144" s="60"/>
      <c r="E144" s="60"/>
      <c r="F144" s="60"/>
      <c r="G144" s="60"/>
      <c r="H144" s="60"/>
      <c r="I144" s="60"/>
      <c r="J144" s="60"/>
      <c r="K144" s="60"/>
      <c r="L144" s="60"/>
      <c r="M144" s="61"/>
      <c r="N144" s="96"/>
      <c r="O144" s="91" t="s">
        <v>315</v>
      </c>
      <c r="P144" s="233"/>
      <c r="Q144" s="232"/>
      <c r="R144" s="232"/>
      <c r="S144" s="232"/>
      <c r="T144" s="232"/>
      <c r="U144" s="232"/>
      <c r="V144" s="232"/>
      <c r="W144" s="67"/>
      <c r="X144" s="67"/>
      <c r="Y144" s="67"/>
      <c r="Z144" s="232"/>
      <c r="AA144" s="232"/>
      <c r="AB144" s="232"/>
      <c r="AC144" s="92"/>
      <c r="AD144" s="92">
        <v>726170</v>
      </c>
      <c r="AE144" s="71" t="s">
        <v>77</v>
      </c>
    </row>
    <row r="145" spans="1:31" ht="21" customHeight="1">
      <c r="A145" s="57"/>
      <c r="B145" s="58"/>
      <c r="C145" s="58"/>
      <c r="D145" s="60"/>
      <c r="E145" s="60"/>
      <c r="F145" s="60"/>
      <c r="G145" s="60"/>
      <c r="H145" s="60"/>
      <c r="I145" s="60"/>
      <c r="J145" s="60"/>
      <c r="K145" s="60"/>
      <c r="L145" s="60"/>
      <c r="M145" s="61"/>
      <c r="N145" s="96"/>
      <c r="O145" s="91" t="s">
        <v>488</v>
      </c>
      <c r="P145" s="233"/>
      <c r="Q145" s="232"/>
      <c r="R145" s="232"/>
      <c r="S145" s="232"/>
      <c r="T145" s="232"/>
      <c r="U145" s="232"/>
      <c r="V145" s="232"/>
      <c r="W145" s="67"/>
      <c r="X145" s="67"/>
      <c r="Y145" s="67"/>
      <c r="Z145" s="232"/>
      <c r="AA145" s="232"/>
      <c r="AB145" s="232"/>
      <c r="AC145" s="92"/>
      <c r="AD145" s="92">
        <v>3953</v>
      </c>
      <c r="AE145" s="71" t="s">
        <v>77</v>
      </c>
    </row>
    <row r="146" spans="1:31" ht="21" customHeight="1">
      <c r="A146" s="57"/>
      <c r="B146" s="58"/>
      <c r="C146" s="58"/>
      <c r="D146" s="60"/>
      <c r="E146" s="60"/>
      <c r="F146" s="60"/>
      <c r="G146" s="60"/>
      <c r="H146" s="60"/>
      <c r="I146" s="60"/>
      <c r="J146" s="60"/>
      <c r="K146" s="60"/>
      <c r="L146" s="60"/>
      <c r="M146" s="61"/>
      <c r="N146" s="96"/>
      <c r="O146" s="91" t="s">
        <v>441</v>
      </c>
      <c r="P146" s="233"/>
      <c r="Q146" s="232"/>
      <c r="R146" s="232"/>
      <c r="S146" s="232"/>
      <c r="T146" s="232"/>
      <c r="U146" s="232"/>
      <c r="V146" s="232"/>
      <c r="W146" s="67"/>
      <c r="X146" s="67"/>
      <c r="Y146" s="67"/>
      <c r="Z146" s="232"/>
      <c r="AA146" s="232"/>
      <c r="AB146" s="232"/>
      <c r="AC146" s="92"/>
      <c r="AD146" s="92"/>
      <c r="AE146" s="71"/>
    </row>
    <row r="147" spans="1:31" ht="21" customHeight="1">
      <c r="A147" s="57"/>
      <c r="B147" s="58"/>
      <c r="C147" s="58"/>
      <c r="D147" s="60"/>
      <c r="E147" s="60"/>
      <c r="F147" s="60"/>
      <c r="G147" s="60"/>
      <c r="H147" s="60"/>
      <c r="I147" s="60"/>
      <c r="J147" s="60"/>
      <c r="K147" s="60"/>
      <c r="L147" s="60"/>
      <c r="M147" s="61"/>
      <c r="N147" s="96"/>
      <c r="O147" s="91" t="s">
        <v>316</v>
      </c>
      <c r="P147" s="233"/>
      <c r="Q147" s="232"/>
      <c r="R147" s="232"/>
      <c r="S147" s="232"/>
      <c r="T147" s="232"/>
      <c r="U147" s="232"/>
      <c r="V147" s="232"/>
      <c r="W147" s="67"/>
      <c r="X147" s="67"/>
      <c r="Y147" s="67"/>
      <c r="Z147" s="232"/>
      <c r="AA147" s="232"/>
      <c r="AB147" s="232"/>
      <c r="AC147" s="92"/>
      <c r="AD147" s="92">
        <v>499750</v>
      </c>
      <c r="AE147" s="71" t="s">
        <v>77</v>
      </c>
    </row>
    <row r="148" spans="1:31" ht="21" customHeight="1">
      <c r="A148" s="57"/>
      <c r="B148" s="58"/>
      <c r="C148" s="58"/>
      <c r="D148" s="60"/>
      <c r="E148" s="60"/>
      <c r="F148" s="60"/>
      <c r="G148" s="60"/>
      <c r="H148" s="60"/>
      <c r="I148" s="60"/>
      <c r="J148" s="60"/>
      <c r="K148" s="60"/>
      <c r="L148" s="60"/>
      <c r="M148" s="61"/>
      <c r="N148" s="96"/>
      <c r="O148" s="91" t="s">
        <v>317</v>
      </c>
      <c r="P148" s="233"/>
      <c r="Q148" s="232"/>
      <c r="R148" s="232"/>
      <c r="S148" s="232"/>
      <c r="T148" s="232"/>
      <c r="U148" s="232"/>
      <c r="V148" s="232"/>
      <c r="W148" s="67"/>
      <c r="X148" s="67"/>
      <c r="Y148" s="67"/>
      <c r="Z148" s="232"/>
      <c r="AA148" s="232"/>
      <c r="AB148" s="232"/>
      <c r="AC148" s="92"/>
      <c r="AD148" s="92">
        <v>3684</v>
      </c>
      <c r="AE148" s="71" t="s">
        <v>77</v>
      </c>
    </row>
    <row r="149" spans="1:31" ht="21" customHeight="1">
      <c r="A149" s="57"/>
      <c r="B149" s="58"/>
      <c r="C149" s="58"/>
      <c r="D149" s="60"/>
      <c r="E149" s="60"/>
      <c r="F149" s="60"/>
      <c r="G149" s="60"/>
      <c r="H149" s="60"/>
      <c r="I149" s="60"/>
      <c r="J149" s="60"/>
      <c r="K149" s="60"/>
      <c r="L149" s="60"/>
      <c r="M149" s="61"/>
      <c r="N149" s="96"/>
      <c r="O149" s="91" t="s">
        <v>322</v>
      </c>
      <c r="P149" s="233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71"/>
    </row>
    <row r="150" spans="1:31" ht="21" customHeight="1">
      <c r="A150" s="57"/>
      <c r="B150" s="58"/>
      <c r="C150" s="58"/>
      <c r="D150" s="60"/>
      <c r="E150" s="60"/>
      <c r="F150" s="60"/>
      <c r="G150" s="60"/>
      <c r="H150" s="60"/>
      <c r="I150" s="60"/>
      <c r="J150" s="60"/>
      <c r="K150" s="60"/>
      <c r="L150" s="60"/>
      <c r="M150" s="61"/>
      <c r="N150" s="96"/>
      <c r="O150" s="91" t="s">
        <v>320</v>
      </c>
      <c r="P150" s="233"/>
      <c r="Q150" s="232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>
        <v>16610308</v>
      </c>
      <c r="AE150" s="71" t="s">
        <v>77</v>
      </c>
    </row>
    <row r="151" spans="1:31" ht="21" customHeight="1">
      <c r="A151" s="57"/>
      <c r="B151" s="58"/>
      <c r="C151" s="58"/>
      <c r="D151" s="60"/>
      <c r="E151" s="60"/>
      <c r="F151" s="60"/>
      <c r="G151" s="60"/>
      <c r="H151" s="60"/>
      <c r="I151" s="60"/>
      <c r="J151" s="60"/>
      <c r="K151" s="60"/>
      <c r="L151" s="60"/>
      <c r="M151" s="61"/>
      <c r="N151" s="96"/>
      <c r="O151" s="91" t="s">
        <v>319</v>
      </c>
      <c r="P151" s="233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>
        <v>12042</v>
      </c>
      <c r="AE151" s="71" t="s">
        <v>77</v>
      </c>
    </row>
    <row r="152" spans="1:31" ht="21" customHeight="1">
      <c r="A152" s="57"/>
      <c r="B152" s="58"/>
      <c r="C152" s="58"/>
      <c r="D152" s="60"/>
      <c r="E152" s="60"/>
      <c r="F152" s="60"/>
      <c r="G152" s="60"/>
      <c r="H152" s="60"/>
      <c r="I152" s="60"/>
      <c r="J152" s="60"/>
      <c r="K152" s="60"/>
      <c r="L152" s="60"/>
      <c r="M152" s="61"/>
      <c r="N152" s="96"/>
      <c r="O152" s="91" t="s">
        <v>411</v>
      </c>
      <c r="P152" s="233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71"/>
    </row>
    <row r="153" spans="1:31" ht="21" customHeight="1">
      <c r="A153" s="57"/>
      <c r="B153" s="58"/>
      <c r="C153" s="58"/>
      <c r="D153" s="60"/>
      <c r="E153" s="60"/>
      <c r="F153" s="60"/>
      <c r="G153" s="60"/>
      <c r="H153" s="60"/>
      <c r="I153" s="60"/>
      <c r="J153" s="60"/>
      <c r="K153" s="60"/>
      <c r="L153" s="60"/>
      <c r="M153" s="61"/>
      <c r="N153" s="96"/>
      <c r="O153" s="91" t="s">
        <v>321</v>
      </c>
      <c r="P153" s="233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>
        <v>32126239</v>
      </c>
      <c r="AE153" s="71" t="s">
        <v>77</v>
      </c>
    </row>
    <row r="154" spans="1:31" ht="21" customHeight="1">
      <c r="A154" s="57"/>
      <c r="B154" s="58"/>
      <c r="C154" s="58"/>
      <c r="D154" s="60"/>
      <c r="E154" s="60"/>
      <c r="F154" s="60"/>
      <c r="G154" s="60"/>
      <c r="H154" s="60"/>
      <c r="I154" s="60"/>
      <c r="J154" s="60"/>
      <c r="K154" s="60"/>
      <c r="L154" s="60"/>
      <c r="M154" s="61"/>
      <c r="N154" s="96"/>
      <c r="O154" s="91" t="s">
        <v>319</v>
      </c>
      <c r="P154" s="233"/>
      <c r="Q154" s="232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32"/>
      <c r="AC154" s="92"/>
      <c r="AD154" s="92">
        <v>22205</v>
      </c>
      <c r="AE154" s="71" t="s">
        <v>77</v>
      </c>
    </row>
    <row r="155" spans="1:31" ht="21" customHeight="1">
      <c r="A155" s="57"/>
      <c r="B155" s="58"/>
      <c r="C155" s="58"/>
      <c r="D155" s="60"/>
      <c r="E155" s="60"/>
      <c r="F155" s="60"/>
      <c r="G155" s="60"/>
      <c r="H155" s="60"/>
      <c r="I155" s="60"/>
      <c r="J155" s="60"/>
      <c r="K155" s="60"/>
      <c r="L155" s="60"/>
      <c r="M155" s="61"/>
      <c r="N155" s="96"/>
      <c r="O155" s="91" t="s">
        <v>412</v>
      </c>
      <c r="P155" s="233"/>
      <c r="Q155" s="232"/>
      <c r="R155" s="232"/>
      <c r="S155" s="232"/>
      <c r="T155" s="232"/>
      <c r="U155" s="232"/>
      <c r="V155" s="232"/>
      <c r="W155" s="67"/>
      <c r="X155" s="67"/>
      <c r="Y155" s="67"/>
      <c r="Z155" s="232"/>
      <c r="AA155" s="232"/>
      <c r="AB155" s="232"/>
      <c r="AC155" s="92"/>
      <c r="AD155" s="92"/>
      <c r="AE155" s="71"/>
    </row>
    <row r="156" spans="1:31" ht="21" customHeight="1">
      <c r="A156" s="57"/>
      <c r="B156" s="58"/>
      <c r="C156" s="58"/>
      <c r="D156" s="60"/>
      <c r="E156" s="60"/>
      <c r="F156" s="60"/>
      <c r="G156" s="60"/>
      <c r="H156" s="60"/>
      <c r="I156" s="60"/>
      <c r="J156" s="60"/>
      <c r="K156" s="60"/>
      <c r="L156" s="60"/>
      <c r="M156" s="61"/>
      <c r="N156" s="96"/>
      <c r="O156" s="91" t="s">
        <v>318</v>
      </c>
      <c r="P156" s="233"/>
      <c r="Q156" s="232"/>
      <c r="R156" s="232"/>
      <c r="S156" s="232"/>
      <c r="T156" s="232"/>
      <c r="U156" s="232"/>
      <c r="V156" s="232"/>
      <c r="W156" s="67"/>
      <c r="X156" s="67"/>
      <c r="Y156" s="67"/>
      <c r="Z156" s="232"/>
      <c r="AA156" s="232"/>
      <c r="AB156" s="232"/>
      <c r="AC156" s="92"/>
      <c r="AD156" s="92">
        <v>8547655</v>
      </c>
      <c r="AE156" s="71" t="s">
        <v>77</v>
      </c>
    </row>
    <row r="157" spans="1:31" ht="21" customHeight="1">
      <c r="A157" s="57"/>
      <c r="B157" s="58"/>
      <c r="C157" s="58"/>
      <c r="D157" s="60"/>
      <c r="E157" s="60"/>
      <c r="F157" s="60"/>
      <c r="G157" s="60"/>
      <c r="H157" s="60"/>
      <c r="I157" s="60"/>
      <c r="J157" s="60"/>
      <c r="K157" s="60"/>
      <c r="L157" s="60"/>
      <c r="M157" s="61"/>
      <c r="N157" s="96"/>
      <c r="O157" s="91" t="s">
        <v>319</v>
      </c>
      <c r="P157" s="233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>
        <v>7414</v>
      </c>
      <c r="AE157" s="71" t="s">
        <v>77</v>
      </c>
    </row>
    <row r="158" spans="1:31" ht="21" customHeight="1">
      <c r="A158" s="57"/>
      <c r="B158" s="58"/>
      <c r="C158" s="48" t="s">
        <v>194</v>
      </c>
      <c r="D158" s="49">
        <v>0</v>
      </c>
      <c r="E158" s="49">
        <f>SUM(F158:L158)</f>
        <v>0</v>
      </c>
      <c r="F158" s="49">
        <v>0</v>
      </c>
      <c r="G158" s="49">
        <v>0</v>
      </c>
      <c r="H158" s="49">
        <v>0</v>
      </c>
      <c r="I158" s="49">
        <v>0</v>
      </c>
      <c r="J158" s="49">
        <v>0</v>
      </c>
      <c r="K158" s="49">
        <v>0</v>
      </c>
      <c r="L158" s="49">
        <v>0</v>
      </c>
      <c r="M158" s="50">
        <f>E158-D158</f>
        <v>0</v>
      </c>
      <c r="N158" s="51">
        <f>IF(D158=0,0,M158/D158)</f>
        <v>0</v>
      </c>
      <c r="O158" s="155" t="s">
        <v>425</v>
      </c>
      <c r="P158" s="76"/>
      <c r="Q158" s="54"/>
      <c r="R158" s="54"/>
      <c r="S158" s="54"/>
      <c r="T158" s="54"/>
      <c r="U158" s="54"/>
      <c r="V158" s="54"/>
      <c r="W158" s="54" t="s">
        <v>424</v>
      </c>
      <c r="X158" s="54"/>
      <c r="Y158" s="54"/>
      <c r="Z158" s="54"/>
      <c r="AA158" s="54"/>
      <c r="AB158" s="54"/>
      <c r="AC158" s="55"/>
      <c r="AD158" s="55">
        <v>0</v>
      </c>
      <c r="AE158" s="56" t="s">
        <v>26</v>
      </c>
    </row>
    <row r="159" spans="1:31" ht="21" customHeight="1">
      <c r="A159" s="72"/>
      <c r="B159" s="58"/>
      <c r="C159" s="58" t="s">
        <v>195</v>
      </c>
      <c r="D159" s="60"/>
      <c r="E159" s="60"/>
      <c r="F159" s="60"/>
      <c r="G159" s="60"/>
      <c r="H159" s="60"/>
      <c r="I159" s="60"/>
      <c r="J159" s="60"/>
      <c r="K159" s="60"/>
      <c r="L159" s="60"/>
      <c r="M159" s="61"/>
      <c r="N159" s="96"/>
      <c r="O159" s="62"/>
      <c r="P159" s="44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65"/>
      <c r="AD159" s="65"/>
      <c r="AE159" s="46"/>
    </row>
    <row r="160" spans="1:31" ht="21" customHeight="1">
      <c r="A160" s="57" t="s">
        <v>196</v>
      </c>
      <c r="B160" s="128" t="s">
        <v>16</v>
      </c>
      <c r="C160" s="128" t="s">
        <v>197</v>
      </c>
      <c r="D160" s="49">
        <f>SUM(D161,D163,D165)</f>
        <v>31400</v>
      </c>
      <c r="E160" s="49">
        <f>SUM(E161,E163,E165)</f>
        <v>31400</v>
      </c>
      <c r="F160" s="49">
        <f t="shared" ref="F160:L160" si="4">SUM(F161,F163,F165)</f>
        <v>100</v>
      </c>
      <c r="G160" s="49">
        <f t="shared" si="4"/>
        <v>20</v>
      </c>
      <c r="H160" s="49">
        <f t="shared" si="4"/>
        <v>20</v>
      </c>
      <c r="I160" s="49">
        <f t="shared" si="4"/>
        <v>20</v>
      </c>
      <c r="J160" s="49">
        <f t="shared" si="4"/>
        <v>20</v>
      </c>
      <c r="K160" s="49">
        <f t="shared" si="4"/>
        <v>10</v>
      </c>
      <c r="L160" s="49">
        <f t="shared" si="4"/>
        <v>31210</v>
      </c>
      <c r="M160" s="50">
        <f>E160-D160</f>
        <v>0</v>
      </c>
      <c r="N160" s="51">
        <f>IF(D160=0,0,M160/D160)</f>
        <v>0</v>
      </c>
      <c r="O160" s="74" t="s">
        <v>198</v>
      </c>
      <c r="P160" s="76"/>
      <c r="Q160" s="54"/>
      <c r="R160" s="54"/>
      <c r="S160" s="54"/>
      <c r="T160" s="54"/>
      <c r="U160" s="54"/>
      <c r="V160" s="54"/>
      <c r="W160" s="54" t="s">
        <v>424</v>
      </c>
      <c r="X160" s="54"/>
      <c r="Y160" s="54"/>
      <c r="Z160" s="54"/>
      <c r="AA160" s="54"/>
      <c r="AB160" s="54"/>
      <c r="AC160" s="55"/>
      <c r="AD160" s="55">
        <f>AD161+AD163+AD165</f>
        <v>31400000</v>
      </c>
      <c r="AE160" s="56" t="s">
        <v>26</v>
      </c>
    </row>
    <row r="161" spans="1:32" ht="21" customHeight="1">
      <c r="A161" s="57"/>
      <c r="B161" s="159"/>
      <c r="C161" s="128" t="s">
        <v>433</v>
      </c>
      <c r="D161" s="49">
        <v>0</v>
      </c>
      <c r="E161" s="49">
        <f>SUM(F161:L161)</f>
        <v>0</v>
      </c>
      <c r="F161" s="49">
        <v>0</v>
      </c>
      <c r="G161" s="49">
        <v>0</v>
      </c>
      <c r="H161" s="49">
        <v>0</v>
      </c>
      <c r="I161" s="49">
        <v>0</v>
      </c>
      <c r="J161" s="49">
        <v>0</v>
      </c>
      <c r="K161" s="49">
        <v>0</v>
      </c>
      <c r="L161" s="49">
        <v>0</v>
      </c>
      <c r="M161" s="50">
        <f>E161-D161</f>
        <v>0</v>
      </c>
      <c r="N161" s="51"/>
      <c r="O161" s="160" t="s">
        <v>200</v>
      </c>
      <c r="P161" s="156"/>
      <c r="Q161" s="131"/>
      <c r="R161" s="131"/>
      <c r="S161" s="131"/>
      <c r="T161" s="131"/>
      <c r="U161" s="131"/>
      <c r="V161" s="131"/>
      <c r="W161" s="282" t="s">
        <v>426</v>
      </c>
      <c r="X161" s="131"/>
      <c r="Y161" s="131"/>
      <c r="Z161" s="131"/>
      <c r="AA161" s="131"/>
      <c r="AB161" s="131"/>
      <c r="AC161" s="157"/>
      <c r="AD161" s="157">
        <v>0</v>
      </c>
      <c r="AE161" s="158" t="s">
        <v>199</v>
      </c>
    </row>
    <row r="162" spans="1:32" s="12" customFormat="1" ht="19.5" customHeight="1">
      <c r="A162" s="77"/>
      <c r="B162" s="161"/>
      <c r="C162" s="73" t="s">
        <v>201</v>
      </c>
      <c r="D162" s="85"/>
      <c r="E162" s="85"/>
      <c r="F162" s="85"/>
      <c r="G162" s="85"/>
      <c r="H162" s="85"/>
      <c r="I162" s="85"/>
      <c r="J162" s="85"/>
      <c r="K162" s="85"/>
      <c r="L162" s="85"/>
      <c r="M162" s="86"/>
      <c r="N162" s="125"/>
      <c r="O162" s="97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99"/>
      <c r="AF162" s="6"/>
    </row>
    <row r="163" spans="1:32" ht="21" customHeight="1">
      <c r="A163" s="57"/>
      <c r="B163" s="58"/>
      <c r="C163" s="58" t="s">
        <v>431</v>
      </c>
      <c r="D163" s="60">
        <v>200</v>
      </c>
      <c r="E163" s="49">
        <f>SUM(F163:L163)</f>
        <v>200</v>
      </c>
      <c r="F163" s="49">
        <v>100</v>
      </c>
      <c r="G163" s="49">
        <v>20</v>
      </c>
      <c r="H163" s="49">
        <v>20</v>
      </c>
      <c r="I163" s="49">
        <v>20</v>
      </c>
      <c r="J163" s="49">
        <v>20</v>
      </c>
      <c r="K163" s="49">
        <v>10</v>
      </c>
      <c r="L163" s="49">
        <v>10</v>
      </c>
      <c r="M163" s="61">
        <f>E163-D163</f>
        <v>0</v>
      </c>
      <c r="N163" s="51">
        <f>IF(D163=0,0,M163/D163)</f>
        <v>0</v>
      </c>
      <c r="O163" s="162" t="s">
        <v>202</v>
      </c>
      <c r="P163" s="44"/>
      <c r="Q163" s="45"/>
      <c r="R163" s="45"/>
      <c r="S163" s="45"/>
      <c r="T163" s="45"/>
      <c r="U163" s="45"/>
      <c r="V163" s="45"/>
      <c r="W163" s="285" t="s">
        <v>426</v>
      </c>
      <c r="X163" s="45"/>
      <c r="Y163" s="45"/>
      <c r="Z163" s="45"/>
      <c r="AA163" s="45"/>
      <c r="AB163" s="45"/>
      <c r="AC163" s="65"/>
      <c r="AD163" s="65">
        <v>200000</v>
      </c>
      <c r="AE163" s="46" t="s">
        <v>26</v>
      </c>
    </row>
    <row r="164" spans="1:32" s="12" customFormat="1" ht="19.5" customHeight="1">
      <c r="A164" s="77"/>
      <c r="B164" s="132"/>
      <c r="C164" s="58" t="s">
        <v>432</v>
      </c>
      <c r="D164" s="60"/>
      <c r="E164" s="60"/>
      <c r="F164" s="60"/>
      <c r="G164" s="60"/>
      <c r="H164" s="60"/>
      <c r="I164" s="60"/>
      <c r="J164" s="60"/>
      <c r="K164" s="60"/>
      <c r="L164" s="60"/>
      <c r="M164" s="61"/>
      <c r="N164" s="43"/>
      <c r="O164" s="97"/>
      <c r="P164" s="112"/>
      <c r="Q164" s="112"/>
      <c r="R164" s="112"/>
      <c r="S164" s="112"/>
      <c r="T164" s="112"/>
      <c r="U164" s="112"/>
      <c r="V164" s="112"/>
      <c r="W164" s="425"/>
      <c r="X164" s="425"/>
      <c r="Y164" s="112"/>
      <c r="Z164" s="112"/>
      <c r="AA164" s="112"/>
      <c r="AB164" s="112"/>
      <c r="AC164" s="112"/>
      <c r="AD164" s="163"/>
      <c r="AE164" s="46" t="s">
        <v>26</v>
      </c>
      <c r="AF164" s="6"/>
    </row>
    <row r="165" spans="1:32" ht="21" customHeight="1">
      <c r="A165" s="57"/>
      <c r="B165" s="58"/>
      <c r="C165" s="48" t="s">
        <v>430</v>
      </c>
      <c r="D165" s="49">
        <v>31200</v>
      </c>
      <c r="E165" s="49">
        <f>SUM(F165:L165)</f>
        <v>31200</v>
      </c>
      <c r="F165" s="49">
        <v>0</v>
      </c>
      <c r="G165" s="49">
        <v>0</v>
      </c>
      <c r="H165" s="49">
        <v>0</v>
      </c>
      <c r="I165" s="49">
        <v>0</v>
      </c>
      <c r="J165" s="49">
        <v>0</v>
      </c>
      <c r="K165" s="49">
        <v>0</v>
      </c>
      <c r="L165" s="49">
        <f>AD165/1000</f>
        <v>31200</v>
      </c>
      <c r="M165" s="50">
        <f>E165-D165</f>
        <v>0</v>
      </c>
      <c r="N165" s="51">
        <f>IF(D165=0,0,M165/D165)</f>
        <v>0</v>
      </c>
      <c r="O165" s="162" t="s">
        <v>35</v>
      </c>
      <c r="P165" s="156"/>
      <c r="Q165" s="45"/>
      <c r="R165" s="45"/>
      <c r="S165" s="45"/>
      <c r="T165" s="45"/>
      <c r="U165" s="45"/>
      <c r="V165" s="45"/>
      <c r="W165" s="282" t="s">
        <v>426</v>
      </c>
      <c r="X165" s="131"/>
      <c r="Y165" s="131"/>
      <c r="Z165" s="131"/>
      <c r="AA165" s="131"/>
      <c r="AB165" s="131"/>
      <c r="AC165" s="157"/>
      <c r="AD165" s="157">
        <f>SUM(AD166:AD170)</f>
        <v>31200000</v>
      </c>
      <c r="AE165" s="158" t="s">
        <v>26</v>
      </c>
    </row>
    <row r="166" spans="1:32" s="12" customFormat="1" ht="19.5" customHeight="1">
      <c r="A166" s="77"/>
      <c r="B166" s="132"/>
      <c r="C166" s="58" t="s">
        <v>16</v>
      </c>
      <c r="D166" s="60"/>
      <c r="E166" s="60"/>
      <c r="F166" s="60"/>
      <c r="G166" s="60"/>
      <c r="H166" s="60"/>
      <c r="I166" s="60"/>
      <c r="J166" s="60"/>
      <c r="K166" s="60"/>
      <c r="L166" s="60"/>
      <c r="M166" s="61"/>
      <c r="N166" s="43"/>
      <c r="O166" s="91" t="s">
        <v>204</v>
      </c>
      <c r="P166" s="64"/>
      <c r="Q166" s="64"/>
      <c r="R166" s="64"/>
      <c r="S166" s="64">
        <v>50000</v>
      </c>
      <c r="T166" s="64" t="s">
        <v>203</v>
      </c>
      <c r="U166" s="63" t="s">
        <v>205</v>
      </c>
      <c r="V166" s="64">
        <v>31</v>
      </c>
      <c r="W166" s="63" t="s">
        <v>206</v>
      </c>
      <c r="X166" s="63" t="s">
        <v>205</v>
      </c>
      <c r="Y166" s="64">
        <v>12</v>
      </c>
      <c r="Z166" s="64" t="s">
        <v>207</v>
      </c>
      <c r="AA166" s="70" t="s">
        <v>208</v>
      </c>
      <c r="AB166" s="70"/>
      <c r="AC166" s="63"/>
      <c r="AD166" s="64">
        <f>ROUND(S166*V166*Y166,-3)</f>
        <v>18600000</v>
      </c>
      <c r="AE166" s="71" t="s">
        <v>203</v>
      </c>
      <c r="AF166" s="6"/>
    </row>
    <row r="167" spans="1:32" s="12" customFormat="1" ht="19.5" customHeight="1">
      <c r="A167" s="77"/>
      <c r="B167" s="132"/>
      <c r="C167" s="58"/>
      <c r="D167" s="60"/>
      <c r="E167" s="60"/>
      <c r="F167" s="60"/>
      <c r="G167" s="60"/>
      <c r="H167" s="60"/>
      <c r="I167" s="60"/>
      <c r="J167" s="60"/>
      <c r="K167" s="60"/>
      <c r="L167" s="60"/>
      <c r="M167" s="61"/>
      <c r="N167" s="43"/>
      <c r="O167" s="91" t="s">
        <v>209</v>
      </c>
      <c r="P167" s="64"/>
      <c r="Q167" s="64"/>
      <c r="R167" s="64"/>
      <c r="S167" s="64">
        <v>50000</v>
      </c>
      <c r="T167" s="64" t="s">
        <v>203</v>
      </c>
      <c r="U167" s="63" t="s">
        <v>205</v>
      </c>
      <c r="V167" s="268">
        <v>12</v>
      </c>
      <c r="W167" s="269" t="s">
        <v>61</v>
      </c>
      <c r="X167" s="269" t="s">
        <v>63</v>
      </c>
      <c r="Y167" s="268">
        <v>12</v>
      </c>
      <c r="Z167" s="271" t="s">
        <v>407</v>
      </c>
      <c r="AA167" s="266" t="s">
        <v>58</v>
      </c>
      <c r="AB167" s="70"/>
      <c r="AC167" s="63"/>
      <c r="AD167" s="268">
        <f>ROUND(S167*V167*Y167,-3)</f>
        <v>7200000</v>
      </c>
      <c r="AE167" s="71" t="s">
        <v>203</v>
      </c>
      <c r="AF167" s="6"/>
    </row>
    <row r="168" spans="1:32" s="12" customFormat="1" ht="19.5" customHeight="1">
      <c r="A168" s="77"/>
      <c r="B168" s="132"/>
      <c r="C168" s="58"/>
      <c r="D168" s="60"/>
      <c r="E168" s="60"/>
      <c r="F168" s="60"/>
      <c r="G168" s="60"/>
      <c r="H168" s="60"/>
      <c r="I168" s="60"/>
      <c r="J168" s="60"/>
      <c r="K168" s="60"/>
      <c r="L168" s="60"/>
      <c r="M168" s="61"/>
      <c r="N168" s="43"/>
      <c r="O168" s="91" t="s">
        <v>210</v>
      </c>
      <c r="P168" s="64"/>
      <c r="Q168" s="64"/>
      <c r="R168" s="64"/>
      <c r="S168" s="64">
        <v>150000</v>
      </c>
      <c r="T168" s="64" t="s">
        <v>203</v>
      </c>
      <c r="U168" s="63" t="s">
        <v>205</v>
      </c>
      <c r="V168" s="64">
        <v>12</v>
      </c>
      <c r="W168" s="63" t="s">
        <v>207</v>
      </c>
      <c r="X168" s="63"/>
      <c r="Y168" s="64"/>
      <c r="Z168" s="64"/>
      <c r="AA168" s="70" t="s">
        <v>208</v>
      </c>
      <c r="AB168" s="70"/>
      <c r="AC168" s="63"/>
      <c r="AD168" s="64">
        <f>S168*V168</f>
        <v>1800000</v>
      </c>
      <c r="AE168" s="71" t="s">
        <v>203</v>
      </c>
      <c r="AF168" s="6"/>
    </row>
    <row r="169" spans="1:32" s="12" customFormat="1" ht="19.5" customHeight="1">
      <c r="A169" s="77"/>
      <c r="B169" s="132"/>
      <c r="C169" s="58"/>
      <c r="D169" s="60"/>
      <c r="E169" s="60"/>
      <c r="F169" s="60"/>
      <c r="G169" s="60"/>
      <c r="H169" s="60"/>
      <c r="I169" s="60"/>
      <c r="J169" s="60"/>
      <c r="K169" s="60"/>
      <c r="L169" s="60"/>
      <c r="M169" s="61"/>
      <c r="N169" s="43"/>
      <c r="O169" s="91" t="s">
        <v>211</v>
      </c>
      <c r="P169" s="64"/>
      <c r="Q169" s="64"/>
      <c r="R169" s="64"/>
      <c r="S169" s="64">
        <v>70000</v>
      </c>
      <c r="T169" s="64" t="s">
        <v>203</v>
      </c>
      <c r="U169" s="63" t="s">
        <v>205</v>
      </c>
      <c r="V169" s="64">
        <v>20</v>
      </c>
      <c r="W169" s="63" t="s">
        <v>206</v>
      </c>
      <c r="X169" s="63" t="s">
        <v>205</v>
      </c>
      <c r="Y169" s="64"/>
      <c r="Z169" s="64"/>
      <c r="AA169" s="70" t="s">
        <v>208</v>
      </c>
      <c r="AB169" s="70"/>
      <c r="AC169" s="63"/>
      <c r="AD169" s="64">
        <f>ROUND(S169*V169,-3)</f>
        <v>1400000</v>
      </c>
      <c r="AE169" s="71" t="s">
        <v>203</v>
      </c>
      <c r="AF169" s="6"/>
    </row>
    <row r="170" spans="1:32" s="12" customFormat="1" ht="19.5" customHeight="1">
      <c r="A170" s="77"/>
      <c r="B170" s="132"/>
      <c r="C170" s="58"/>
      <c r="D170" s="60"/>
      <c r="E170" s="60"/>
      <c r="F170" s="60"/>
      <c r="G170" s="60"/>
      <c r="H170" s="60"/>
      <c r="I170" s="60"/>
      <c r="J170" s="60"/>
      <c r="K170" s="60"/>
      <c r="L170" s="60"/>
      <c r="M170" s="61"/>
      <c r="N170" s="43"/>
      <c r="O170" s="91" t="s">
        <v>409</v>
      </c>
      <c r="P170" s="274"/>
      <c r="Q170" s="274"/>
      <c r="R170" s="274"/>
      <c r="S170" s="274"/>
      <c r="T170" s="274"/>
      <c r="U170" s="275"/>
      <c r="V170" s="274"/>
      <c r="W170" s="275"/>
      <c r="X170" s="275"/>
      <c r="Y170" s="274"/>
      <c r="Z170" s="274"/>
      <c r="AA170" s="273"/>
      <c r="AB170" s="273"/>
      <c r="AC170" s="275"/>
      <c r="AD170" s="274">
        <v>2200000</v>
      </c>
      <c r="AE170" s="71" t="s">
        <v>408</v>
      </c>
      <c r="AF170" s="6"/>
    </row>
    <row r="171" spans="1:32" s="12" customFormat="1" ht="19.5" customHeight="1" thickBot="1">
      <c r="A171" s="164"/>
      <c r="B171" s="165"/>
      <c r="C171" s="166"/>
      <c r="D171" s="167"/>
      <c r="E171" s="167"/>
      <c r="F171" s="167"/>
      <c r="G171" s="167"/>
      <c r="H171" s="167"/>
      <c r="I171" s="167"/>
      <c r="J171" s="167"/>
      <c r="K171" s="167"/>
      <c r="L171" s="167"/>
      <c r="M171" s="168"/>
      <c r="N171" s="169"/>
      <c r="O171" s="87"/>
      <c r="P171" s="89"/>
      <c r="Q171" s="89"/>
      <c r="R171" s="89"/>
      <c r="S171" s="89"/>
      <c r="T171" s="89"/>
      <c r="U171" s="88"/>
      <c r="V171" s="89"/>
      <c r="W171" s="88"/>
      <c r="X171" s="88"/>
      <c r="Y171" s="89"/>
      <c r="Z171" s="89"/>
      <c r="AA171" s="170"/>
      <c r="AB171" s="170"/>
      <c r="AC171" s="88"/>
      <c r="AD171" s="89"/>
      <c r="AE171" s="90"/>
      <c r="AF171" s="6"/>
    </row>
    <row r="182" spans="32:32" ht="19.5" customHeight="1">
      <c r="AF182" s="6" t="s">
        <v>73</v>
      </c>
    </row>
  </sheetData>
  <mergeCells count="27">
    <mergeCell ref="AB12:AC12"/>
    <mergeCell ref="M2:N2"/>
    <mergeCell ref="O2:AE3"/>
    <mergeCell ref="AB86:AC86"/>
    <mergeCell ref="AB90:AC90"/>
    <mergeCell ref="W119:AC119"/>
    <mergeCell ref="W164:X164"/>
    <mergeCell ref="W95:AC95"/>
    <mergeCell ref="V116:AC116"/>
    <mergeCell ref="W104:AC104"/>
    <mergeCell ref="W111:AC111"/>
    <mergeCell ref="A1:C1"/>
    <mergeCell ref="AB57:AC57"/>
    <mergeCell ref="AB58:AC58"/>
    <mergeCell ref="AB60:AC60"/>
    <mergeCell ref="AB63:AC63"/>
    <mergeCell ref="AB55:AC55"/>
    <mergeCell ref="AB13:AC13"/>
    <mergeCell ref="AB14:AC14"/>
    <mergeCell ref="AB56:AC56"/>
    <mergeCell ref="AB51:AC51"/>
    <mergeCell ref="A2:C2"/>
    <mergeCell ref="D2:D3"/>
    <mergeCell ref="E2:L2"/>
    <mergeCell ref="A4:C4"/>
    <mergeCell ref="B7:C7"/>
    <mergeCell ref="AB53:AC53"/>
  </mergeCells>
  <phoneticPr fontId="4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24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13.77734375" defaultRowHeight="21" customHeight="1"/>
  <cols>
    <col min="1" max="1" width="5.88671875" style="23" bestFit="1" customWidth="1"/>
    <col min="2" max="2" width="7.109375" style="23" bestFit="1" customWidth="1"/>
    <col min="3" max="3" width="8.5546875" style="23" bestFit="1" customWidth="1"/>
    <col min="4" max="6" width="9.33203125" style="19" bestFit="1" customWidth="1"/>
    <col min="7" max="7" width="8.109375" style="19" customWidth="1"/>
    <col min="8" max="8" width="8.21875" style="19" customWidth="1"/>
    <col min="9" max="9" width="8.109375" style="19" customWidth="1"/>
    <col min="10" max="10" width="8.21875" style="19" customWidth="1"/>
    <col min="11" max="11" width="8.109375" style="19" customWidth="1"/>
    <col min="12" max="12" width="7.21875" style="19" customWidth="1"/>
    <col min="13" max="13" width="6.5546875" style="19" customWidth="1"/>
    <col min="14" max="14" width="6.33203125" style="344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9.6640625" style="5" customWidth="1"/>
    <col min="20" max="20" width="1.77734375" style="5" customWidth="1"/>
    <col min="21" max="21" width="3" style="5" customWidth="1"/>
    <col min="22" max="22" width="5.44140625" style="5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332031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2" customFormat="1" ht="21" customHeight="1" thickBot="1">
      <c r="A1" s="409" t="s">
        <v>402</v>
      </c>
      <c r="B1" s="409"/>
      <c r="C1" s="409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24"/>
      <c r="O1" s="88"/>
      <c r="P1" s="88"/>
      <c r="Q1" s="88"/>
      <c r="R1" s="88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1"/>
    </row>
    <row r="2" spans="1:32" s="3" customFormat="1" ht="21" customHeight="1">
      <c r="A2" s="412" t="s">
        <v>23</v>
      </c>
      <c r="B2" s="413"/>
      <c r="C2" s="413"/>
      <c r="D2" s="416" t="s">
        <v>640</v>
      </c>
      <c r="E2" s="416" t="s">
        <v>641</v>
      </c>
      <c r="F2" s="417"/>
      <c r="G2" s="417"/>
      <c r="H2" s="417"/>
      <c r="I2" s="417"/>
      <c r="J2" s="417"/>
      <c r="K2" s="417"/>
      <c r="L2" s="418"/>
      <c r="M2" s="426" t="s">
        <v>24</v>
      </c>
      <c r="N2" s="426"/>
      <c r="O2" s="451" t="s">
        <v>59</v>
      </c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3"/>
    </row>
    <row r="3" spans="1:32" s="3" customFormat="1" ht="27" customHeight="1" thickBot="1">
      <c r="A3" s="26" t="s">
        <v>1</v>
      </c>
      <c r="B3" s="27" t="s">
        <v>2</v>
      </c>
      <c r="C3" s="27" t="s">
        <v>3</v>
      </c>
      <c r="D3" s="448"/>
      <c r="E3" s="299" t="s">
        <v>435</v>
      </c>
      <c r="F3" s="350" t="s">
        <v>616</v>
      </c>
      <c r="G3" s="350" t="s">
        <v>617</v>
      </c>
      <c r="H3" s="299" t="s">
        <v>421</v>
      </c>
      <c r="I3" s="299" t="s">
        <v>69</v>
      </c>
      <c r="J3" s="299" t="s">
        <v>418</v>
      </c>
      <c r="K3" s="299" t="s">
        <v>422</v>
      </c>
      <c r="L3" s="299" t="s">
        <v>70</v>
      </c>
      <c r="M3" s="298" t="s">
        <v>436</v>
      </c>
      <c r="N3" s="172" t="s">
        <v>4</v>
      </c>
      <c r="O3" s="454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6"/>
    </row>
    <row r="4" spans="1:32" s="12" customFormat="1" ht="21" customHeight="1">
      <c r="A4" s="446" t="s">
        <v>36</v>
      </c>
      <c r="B4" s="447"/>
      <c r="C4" s="447"/>
      <c r="D4" s="317">
        <f t="shared" ref="D4:L4" si="0">SUM(D5,D177,D198,D305,D316,D320)</f>
        <v>1972552</v>
      </c>
      <c r="E4" s="317">
        <f>SUM(E5,E177,E198,E305,E316,E320)</f>
        <v>1955397</v>
      </c>
      <c r="F4" s="317">
        <f t="shared" si="0"/>
        <v>1176844</v>
      </c>
      <c r="G4" s="317">
        <f t="shared" si="0"/>
        <v>186271</v>
      </c>
      <c r="H4" s="317">
        <f t="shared" si="0"/>
        <v>21818</v>
      </c>
      <c r="I4" s="317">
        <f t="shared" si="0"/>
        <v>103368</v>
      </c>
      <c r="J4" s="317">
        <f t="shared" si="0"/>
        <v>73642</v>
      </c>
      <c r="K4" s="317">
        <f t="shared" si="0"/>
        <v>353689</v>
      </c>
      <c r="L4" s="317">
        <f t="shared" si="0"/>
        <v>39765</v>
      </c>
      <c r="M4" s="316">
        <f>E4-D4</f>
        <v>-17155</v>
      </c>
      <c r="N4" s="318">
        <f>IF(D4=0,0,M4/D4)</f>
        <v>-8.6968556468980281E-3</v>
      </c>
      <c r="O4" s="319" t="s">
        <v>525</v>
      </c>
      <c r="P4" s="320"/>
      <c r="Q4" s="320"/>
      <c r="R4" s="320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>
        <f>SUM(AD5,AD177,AD198,AD305,AD316,AD320)</f>
        <v>1955397000</v>
      </c>
      <c r="AE4" s="322" t="s">
        <v>26</v>
      </c>
      <c r="AF4" s="2"/>
    </row>
    <row r="5" spans="1:32" s="12" customFormat="1" ht="21" customHeight="1">
      <c r="A5" s="178" t="s">
        <v>6</v>
      </c>
      <c r="B5" s="444" t="s">
        <v>7</v>
      </c>
      <c r="C5" s="445"/>
      <c r="D5" s="314">
        <f>SUM(D6,D100,D110)</f>
        <v>1337129</v>
      </c>
      <c r="E5" s="314">
        <f>SUM(E6,E100,E110)</f>
        <v>1331415</v>
      </c>
      <c r="F5" s="314">
        <f t="shared" ref="F5:L5" si="1">SUM(F6,F100,F110)</f>
        <v>1079922</v>
      </c>
      <c r="G5" s="314">
        <f t="shared" si="1"/>
        <v>166528</v>
      </c>
      <c r="H5" s="314">
        <f t="shared" si="1"/>
        <v>0</v>
      </c>
      <c r="I5" s="314">
        <f t="shared" si="1"/>
        <v>39451</v>
      </c>
      <c r="J5" s="314">
        <f t="shared" si="1"/>
        <v>0</v>
      </c>
      <c r="K5" s="314">
        <f t="shared" si="1"/>
        <v>33679</v>
      </c>
      <c r="L5" s="314">
        <f t="shared" si="1"/>
        <v>11835</v>
      </c>
      <c r="M5" s="173">
        <f>E5-D5</f>
        <v>-5714</v>
      </c>
      <c r="N5" s="323">
        <f>IF(D5=0,0,M5/D5)</f>
        <v>-4.2733348839192027E-3</v>
      </c>
      <c r="O5" s="353" t="s">
        <v>524</v>
      </c>
      <c r="P5" s="305"/>
      <c r="Q5" s="305"/>
      <c r="R5" s="305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>
        <f>SUM(AD6,AD100,AD110)</f>
        <v>1331415000</v>
      </c>
      <c r="AE5" s="46" t="s">
        <v>26</v>
      </c>
      <c r="AF5" s="2"/>
    </row>
    <row r="6" spans="1:32" s="12" customFormat="1" ht="21" customHeight="1">
      <c r="A6" s="57"/>
      <c r="B6" s="48" t="s">
        <v>8</v>
      </c>
      <c r="C6" s="326" t="s">
        <v>5</v>
      </c>
      <c r="D6" s="325">
        <f>SUM(D7,D16,D22,D44,D56,D83)</f>
        <v>1259461</v>
      </c>
      <c r="E6" s="325">
        <f>SUM(E7,E16,E22,E44,E56,E83)</f>
        <v>1254437</v>
      </c>
      <c r="F6" s="325">
        <f t="shared" ref="F6:L6" si="2">SUM(F7,F16,F22,F44,F56,F83)</f>
        <v>1036072</v>
      </c>
      <c r="G6" s="325">
        <f t="shared" si="2"/>
        <v>162428</v>
      </c>
      <c r="H6" s="325">
        <f t="shared" si="2"/>
        <v>0</v>
      </c>
      <c r="I6" s="325">
        <f t="shared" si="2"/>
        <v>22473</v>
      </c>
      <c r="J6" s="325">
        <f t="shared" si="2"/>
        <v>0</v>
      </c>
      <c r="K6" s="325">
        <f t="shared" si="2"/>
        <v>28199</v>
      </c>
      <c r="L6" s="325">
        <f t="shared" si="2"/>
        <v>5265</v>
      </c>
      <c r="M6" s="328">
        <f>E6-D6</f>
        <v>-5024</v>
      </c>
      <c r="N6" s="329">
        <f>IF(D6=0,0,M6/D6)</f>
        <v>-3.9890079962777731E-3</v>
      </c>
      <c r="O6" s="330" t="s">
        <v>523</v>
      </c>
      <c r="P6" s="330"/>
      <c r="Q6" s="330"/>
      <c r="R6" s="330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>
        <f>SUM(AD7,AD16,AD22,AD44,AD56,AD83)</f>
        <v>1254437000</v>
      </c>
      <c r="AE6" s="332" t="s">
        <v>26</v>
      </c>
      <c r="AF6" s="2"/>
    </row>
    <row r="7" spans="1:32" s="12" customFormat="1" ht="21" customHeight="1">
      <c r="A7" s="57"/>
      <c r="B7" s="58"/>
      <c r="C7" s="48" t="s">
        <v>37</v>
      </c>
      <c r="D7" s="309">
        <v>716196</v>
      </c>
      <c r="E7" s="180">
        <f>ROUND(AD7/1000,0)</f>
        <v>701250</v>
      </c>
      <c r="F7" s="180">
        <f>기본급/1000</f>
        <v>651654</v>
      </c>
      <c r="G7" s="180">
        <f>기본급7종/1000</f>
        <v>39156</v>
      </c>
      <c r="H7" s="180">
        <v>0</v>
      </c>
      <c r="I7" s="180">
        <v>0</v>
      </c>
      <c r="J7" s="180">
        <v>0</v>
      </c>
      <c r="K7" s="180">
        <f>기본급법인/1000</f>
        <v>10440</v>
      </c>
      <c r="L7" s="180">
        <v>0</v>
      </c>
      <c r="M7" s="179">
        <f>E7-D7</f>
        <v>-14946</v>
      </c>
      <c r="N7" s="187">
        <f>IF(D7=0,0,M7/D7)</f>
        <v>-2.0868589045456829E-2</v>
      </c>
      <c r="O7" s="182" t="s">
        <v>213</v>
      </c>
      <c r="P7" s="182"/>
      <c r="Q7" s="305"/>
      <c r="R7" s="305"/>
      <c r="S7" s="305"/>
      <c r="T7" s="304"/>
      <c r="U7" s="304"/>
      <c r="V7" s="304"/>
      <c r="W7" s="163" t="s">
        <v>437</v>
      </c>
      <c r="X7" s="163"/>
      <c r="Y7" s="163"/>
      <c r="Z7" s="163"/>
      <c r="AA7" s="163"/>
      <c r="AB7" s="163"/>
      <c r="AC7" s="184"/>
      <c r="AD7" s="184">
        <f>SUM(기본급,기본급7종,기본급법인)</f>
        <v>701250000</v>
      </c>
      <c r="AE7" s="185" t="s">
        <v>62</v>
      </c>
      <c r="AF7" s="1"/>
    </row>
    <row r="8" spans="1:32" s="12" customFormat="1" ht="21" customHeight="1">
      <c r="A8" s="57"/>
      <c r="B8" s="58"/>
      <c r="C8" s="58"/>
      <c r="D8" s="307"/>
      <c r="E8" s="174"/>
      <c r="F8" s="174"/>
      <c r="G8" s="174"/>
      <c r="H8" s="174"/>
      <c r="I8" s="174"/>
      <c r="J8" s="174"/>
      <c r="K8" s="174"/>
      <c r="L8" s="174"/>
      <c r="M8" s="174"/>
      <c r="N8" s="96"/>
      <c r="O8" s="305"/>
      <c r="P8" s="44"/>
      <c r="Q8" s="44"/>
      <c r="R8" s="44"/>
      <c r="S8" s="44"/>
      <c r="T8" s="45"/>
      <c r="U8" s="45"/>
      <c r="V8" s="45"/>
      <c r="W8" s="45"/>
      <c r="X8" s="45"/>
      <c r="Y8" s="45"/>
      <c r="Z8" s="45"/>
      <c r="AA8" s="45"/>
      <c r="AB8" s="45"/>
      <c r="AC8" s="65"/>
      <c r="AD8" s="65"/>
      <c r="AE8" s="46"/>
      <c r="AF8" s="2"/>
    </row>
    <row r="9" spans="1:32" s="12" customFormat="1" ht="21" customHeight="1">
      <c r="A9" s="57"/>
      <c r="B9" s="58"/>
      <c r="C9" s="58"/>
      <c r="D9" s="307"/>
      <c r="E9" s="174"/>
      <c r="F9" s="174"/>
      <c r="G9" s="174"/>
      <c r="H9" s="174"/>
      <c r="I9" s="174"/>
      <c r="J9" s="174"/>
      <c r="K9" s="174"/>
      <c r="L9" s="174"/>
      <c r="M9" s="174"/>
      <c r="N9" s="96"/>
      <c r="O9" s="377" t="s">
        <v>629</v>
      </c>
      <c r="P9" s="209"/>
      <c r="Q9" s="209"/>
      <c r="R9" s="209"/>
      <c r="S9" s="63"/>
      <c r="T9" s="64"/>
      <c r="U9" s="64"/>
      <c r="V9" s="64"/>
      <c r="W9" s="112" t="s">
        <v>215</v>
      </c>
      <c r="X9" s="112"/>
      <c r="Y9" s="112"/>
      <c r="Z9" s="112"/>
      <c r="AA9" s="112"/>
      <c r="AB9" s="112"/>
      <c r="AC9" s="98"/>
      <c r="AD9" s="98">
        <v>651654000</v>
      </c>
      <c r="AE9" s="99" t="s">
        <v>214</v>
      </c>
      <c r="AF9" s="2"/>
    </row>
    <row r="10" spans="1:32" s="12" customFormat="1" ht="21" customHeight="1">
      <c r="A10" s="57"/>
      <c r="B10" s="58"/>
      <c r="C10" s="58"/>
      <c r="D10" s="307"/>
      <c r="E10" s="174"/>
      <c r="F10" s="174"/>
      <c r="G10" s="174"/>
      <c r="H10" s="174"/>
      <c r="I10" s="174"/>
      <c r="J10" s="174"/>
      <c r="K10" s="174"/>
      <c r="L10" s="174"/>
      <c r="M10" s="174"/>
      <c r="N10" s="96"/>
      <c r="O10" s="306"/>
      <c r="P10" s="186"/>
      <c r="Q10" s="186"/>
      <c r="R10" s="186"/>
      <c r="S10" s="64"/>
      <c r="T10" s="68"/>
      <c r="U10" s="64"/>
      <c r="V10" s="64"/>
      <c r="W10" s="68"/>
      <c r="X10" s="64"/>
      <c r="Y10" s="64"/>
      <c r="Z10" s="64"/>
      <c r="AA10" s="64"/>
      <c r="AB10" s="64"/>
      <c r="AC10" s="64"/>
      <c r="AD10" s="64"/>
      <c r="AE10" s="71"/>
      <c r="AF10" s="1"/>
    </row>
    <row r="11" spans="1:32" s="12" customFormat="1" ht="21" customHeight="1">
      <c r="A11" s="57"/>
      <c r="B11" s="58"/>
      <c r="C11" s="58"/>
      <c r="D11" s="307"/>
      <c r="E11" s="174"/>
      <c r="F11" s="174"/>
      <c r="G11" s="174"/>
      <c r="H11" s="174"/>
      <c r="I11" s="174"/>
      <c r="J11" s="174"/>
      <c r="K11" s="174"/>
      <c r="L11" s="174"/>
      <c r="M11" s="174"/>
      <c r="N11" s="96"/>
      <c r="O11" s="301" t="s">
        <v>276</v>
      </c>
      <c r="P11" s="209"/>
      <c r="Q11" s="209"/>
      <c r="R11" s="209"/>
      <c r="S11" s="63"/>
      <c r="T11" s="64"/>
      <c r="U11" s="64"/>
      <c r="V11" s="64"/>
      <c r="W11" s="112" t="s">
        <v>215</v>
      </c>
      <c r="X11" s="112"/>
      <c r="Y11" s="112"/>
      <c r="Z11" s="112"/>
      <c r="AA11" s="112"/>
      <c r="AB11" s="112"/>
      <c r="AC11" s="98"/>
      <c r="AD11" s="98">
        <v>39156000</v>
      </c>
      <c r="AE11" s="99" t="s">
        <v>214</v>
      </c>
      <c r="AF11" s="1"/>
    </row>
    <row r="12" spans="1:32" s="12" customFormat="1" ht="21" customHeight="1">
      <c r="A12" s="57"/>
      <c r="B12" s="58"/>
      <c r="C12" s="58"/>
      <c r="D12" s="307"/>
      <c r="E12" s="174"/>
      <c r="F12" s="174"/>
      <c r="G12" s="174"/>
      <c r="H12" s="174"/>
      <c r="I12" s="174"/>
      <c r="J12" s="174"/>
      <c r="K12" s="174"/>
      <c r="L12" s="174"/>
      <c r="M12" s="174"/>
      <c r="N12" s="96"/>
      <c r="O12" s="306"/>
      <c r="P12" s="186"/>
      <c r="Q12" s="186"/>
      <c r="R12" s="186"/>
      <c r="S12" s="64"/>
      <c r="T12" s="68"/>
      <c r="U12" s="64"/>
      <c r="V12" s="64"/>
      <c r="W12" s="68"/>
      <c r="X12" s="64"/>
      <c r="Y12" s="64"/>
      <c r="Z12" s="64"/>
      <c r="AA12" s="64"/>
      <c r="AB12" s="64"/>
      <c r="AC12" s="64"/>
      <c r="AD12" s="64"/>
      <c r="AE12" s="71"/>
      <c r="AF12" s="1"/>
    </row>
    <row r="13" spans="1:32" s="12" customFormat="1" ht="21" customHeight="1">
      <c r="A13" s="57"/>
      <c r="B13" s="58"/>
      <c r="C13" s="58"/>
      <c r="D13" s="307"/>
      <c r="E13" s="174"/>
      <c r="F13" s="174"/>
      <c r="G13" s="174"/>
      <c r="H13" s="174"/>
      <c r="I13" s="174"/>
      <c r="J13" s="174"/>
      <c r="K13" s="174"/>
      <c r="L13" s="174"/>
      <c r="M13" s="174"/>
      <c r="N13" s="96"/>
      <c r="O13" s="301" t="s">
        <v>277</v>
      </c>
      <c r="P13" s="209"/>
      <c r="Q13" s="209"/>
      <c r="R13" s="209"/>
      <c r="S13" s="63"/>
      <c r="T13" s="64"/>
      <c r="U13" s="64"/>
      <c r="V13" s="64"/>
      <c r="W13" s="112" t="s">
        <v>215</v>
      </c>
      <c r="X13" s="112"/>
      <c r="Y13" s="112"/>
      <c r="Z13" s="112"/>
      <c r="AA13" s="112"/>
      <c r="AB13" s="112"/>
      <c r="AC13" s="98"/>
      <c r="AD13" s="98">
        <v>10440000</v>
      </c>
      <c r="AE13" s="99" t="s">
        <v>214</v>
      </c>
      <c r="AF13" s="1"/>
    </row>
    <row r="14" spans="1:32" s="12" customFormat="1" ht="21" customHeight="1">
      <c r="A14" s="57"/>
      <c r="B14" s="58"/>
      <c r="C14" s="58"/>
      <c r="D14" s="307"/>
      <c r="E14" s="174"/>
      <c r="F14" s="174"/>
      <c r="G14" s="174"/>
      <c r="H14" s="174"/>
      <c r="I14" s="174"/>
      <c r="J14" s="174"/>
      <c r="K14" s="174"/>
      <c r="L14" s="174"/>
      <c r="M14" s="174"/>
      <c r="N14" s="96"/>
      <c r="O14" s="63"/>
      <c r="P14" s="63"/>
      <c r="Q14" s="63"/>
      <c r="R14" s="63"/>
      <c r="S14" s="63"/>
      <c r="T14" s="64"/>
      <c r="U14" s="64"/>
      <c r="V14" s="64"/>
      <c r="W14" s="64"/>
      <c r="X14" s="64"/>
      <c r="Y14" s="64"/>
      <c r="Z14" s="64"/>
      <c r="AA14" s="64"/>
      <c r="AB14" s="64"/>
      <c r="AC14" s="92"/>
      <c r="AD14" s="92"/>
      <c r="AE14" s="71"/>
      <c r="AF14" s="1"/>
    </row>
    <row r="15" spans="1:32" s="12" customFormat="1" ht="21" customHeight="1">
      <c r="A15" s="57"/>
      <c r="B15" s="58"/>
      <c r="C15" s="58"/>
      <c r="D15" s="307"/>
      <c r="E15" s="174"/>
      <c r="F15" s="174"/>
      <c r="G15" s="174"/>
      <c r="H15" s="174"/>
      <c r="I15" s="174"/>
      <c r="J15" s="174"/>
      <c r="K15" s="174"/>
      <c r="L15" s="174"/>
      <c r="M15" s="174"/>
      <c r="N15" s="96"/>
      <c r="O15" s="63"/>
      <c r="P15" s="63"/>
      <c r="Q15" s="63"/>
      <c r="R15" s="63"/>
      <c r="S15" s="63"/>
      <c r="T15" s="64"/>
      <c r="U15" s="64"/>
      <c r="V15" s="300"/>
      <c r="W15" s="300"/>
      <c r="X15" s="300"/>
      <c r="Y15" s="300"/>
      <c r="Z15" s="300"/>
      <c r="AA15" s="300"/>
      <c r="AB15" s="300"/>
      <c r="AC15" s="98"/>
      <c r="AD15" s="98"/>
      <c r="AE15" s="99"/>
      <c r="AF15" s="1"/>
    </row>
    <row r="16" spans="1:32" s="12" customFormat="1" ht="21" customHeight="1">
      <c r="A16" s="57"/>
      <c r="B16" s="58"/>
      <c r="C16" s="48" t="s">
        <v>212</v>
      </c>
      <c r="D16" s="309">
        <f>AD16/1000</f>
        <v>10800</v>
      </c>
      <c r="E16" s="180">
        <f>ROUND(AD16/1000,0)</f>
        <v>10800</v>
      </c>
      <c r="F16" s="180">
        <v>0</v>
      </c>
      <c r="G16" s="180">
        <f>AD16/1000</f>
        <v>10800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79">
        <f>D16-E16</f>
        <v>0</v>
      </c>
      <c r="N16" s="187">
        <f>IF(D16=0,0,M16/D16)</f>
        <v>0</v>
      </c>
      <c r="O16" s="160" t="s">
        <v>216</v>
      </c>
      <c r="P16" s="330"/>
      <c r="Q16" s="156"/>
      <c r="R16" s="156"/>
      <c r="S16" s="156"/>
      <c r="T16" s="131"/>
      <c r="U16" s="131"/>
      <c r="V16" s="304"/>
      <c r="W16" s="163" t="s">
        <v>437</v>
      </c>
      <c r="X16" s="163"/>
      <c r="Y16" s="163"/>
      <c r="Z16" s="163"/>
      <c r="AA16" s="163"/>
      <c r="AB16" s="163"/>
      <c r="AC16" s="184"/>
      <c r="AD16" s="184">
        <f>SUM(AD18,AD20)</f>
        <v>10800000</v>
      </c>
      <c r="AE16" s="185" t="s">
        <v>62</v>
      </c>
      <c r="AF16" s="1"/>
    </row>
    <row r="17" spans="1:32" s="12" customFormat="1" ht="21" customHeight="1">
      <c r="A17" s="57"/>
      <c r="B17" s="58"/>
      <c r="C17" s="58"/>
      <c r="D17" s="307"/>
      <c r="E17" s="174"/>
      <c r="F17" s="174"/>
      <c r="G17" s="174"/>
      <c r="H17" s="174"/>
      <c r="I17" s="174"/>
      <c r="J17" s="174"/>
      <c r="K17" s="174"/>
      <c r="L17" s="174"/>
      <c r="M17" s="174"/>
      <c r="N17" s="96"/>
      <c r="O17" s="305"/>
      <c r="P17" s="44"/>
      <c r="Q17" s="44"/>
      <c r="R17" s="44"/>
      <c r="S17" s="44"/>
      <c r="T17" s="45"/>
      <c r="U17" s="45"/>
      <c r="V17" s="45"/>
      <c r="W17" s="45"/>
      <c r="X17" s="45"/>
      <c r="Y17" s="45"/>
      <c r="Z17" s="45"/>
      <c r="AA17" s="45"/>
      <c r="AB17" s="45"/>
      <c r="AC17" s="65"/>
      <c r="AD17" s="65"/>
      <c r="AE17" s="46"/>
      <c r="AF17" s="1"/>
    </row>
    <row r="18" spans="1:32" s="12" customFormat="1" ht="21" customHeight="1">
      <c r="A18" s="57"/>
      <c r="B18" s="58"/>
      <c r="C18" s="58"/>
      <c r="D18" s="307"/>
      <c r="E18" s="174"/>
      <c r="F18" s="174"/>
      <c r="G18" s="174"/>
      <c r="H18" s="174"/>
      <c r="I18" s="174"/>
      <c r="J18" s="174"/>
      <c r="K18" s="174"/>
      <c r="L18" s="174"/>
      <c r="M18" s="174"/>
      <c r="N18" s="96"/>
      <c r="O18" s="301" t="s">
        <v>278</v>
      </c>
      <c r="P18" s="113"/>
      <c r="Q18" s="63"/>
      <c r="R18" s="63"/>
      <c r="S18" s="196">
        <v>45000</v>
      </c>
      <c r="T18" s="196" t="s">
        <v>62</v>
      </c>
      <c r="U18" s="197" t="s">
        <v>63</v>
      </c>
      <c r="V18" s="196">
        <v>1</v>
      </c>
      <c r="W18" s="196" t="s">
        <v>61</v>
      </c>
      <c r="X18" s="197" t="s">
        <v>63</v>
      </c>
      <c r="Y18" s="69">
        <v>120</v>
      </c>
      <c r="Z18" s="138" t="s">
        <v>280</v>
      </c>
      <c r="AA18" s="138" t="s">
        <v>58</v>
      </c>
      <c r="AB18" s="64"/>
      <c r="AC18" s="92"/>
      <c r="AD18" s="196">
        <f>S18*V18*Y18</f>
        <v>5400000</v>
      </c>
      <c r="AE18" s="71" t="s">
        <v>214</v>
      </c>
      <c r="AF18" s="1"/>
    </row>
    <row r="19" spans="1:32" s="12" customFormat="1" ht="21" customHeight="1">
      <c r="A19" s="57"/>
      <c r="B19" s="58"/>
      <c r="C19" s="58"/>
      <c r="D19" s="307"/>
      <c r="E19" s="174"/>
      <c r="F19" s="174"/>
      <c r="G19" s="174"/>
      <c r="H19" s="174"/>
      <c r="I19" s="174"/>
      <c r="J19" s="174"/>
      <c r="K19" s="174"/>
      <c r="L19" s="174"/>
      <c r="M19" s="174"/>
      <c r="N19" s="96"/>
      <c r="O19" s="63"/>
      <c r="P19" s="63"/>
      <c r="Q19" s="63"/>
      <c r="R19" s="63"/>
      <c r="S19" s="64"/>
      <c r="T19" s="64"/>
      <c r="U19" s="63"/>
      <c r="V19" s="64"/>
      <c r="W19" s="64"/>
      <c r="X19" s="63"/>
      <c r="Y19" s="145"/>
      <c r="Z19" s="64"/>
      <c r="AA19" s="64"/>
      <c r="AB19" s="64"/>
      <c r="AC19" s="92"/>
      <c r="AD19" s="64"/>
      <c r="AE19" s="71"/>
      <c r="AF19" s="1"/>
    </row>
    <row r="20" spans="1:32" s="12" customFormat="1" ht="21" customHeight="1">
      <c r="A20" s="57"/>
      <c r="B20" s="58"/>
      <c r="C20" s="58"/>
      <c r="D20" s="307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209" t="s">
        <v>279</v>
      </c>
      <c r="P20" s="209"/>
      <c r="Q20" s="197"/>
      <c r="R20" s="197"/>
      <c r="S20" s="64">
        <v>60000</v>
      </c>
      <c r="T20" s="64" t="s">
        <v>214</v>
      </c>
      <c r="U20" s="63" t="s">
        <v>218</v>
      </c>
      <c r="V20" s="64">
        <v>1</v>
      </c>
      <c r="W20" s="64" t="s">
        <v>220</v>
      </c>
      <c r="X20" s="63" t="s">
        <v>218</v>
      </c>
      <c r="Y20" s="69">
        <v>90</v>
      </c>
      <c r="Z20" s="138" t="s">
        <v>280</v>
      </c>
      <c r="AA20" s="70" t="s">
        <v>221</v>
      </c>
      <c r="AB20" s="64"/>
      <c r="AC20" s="92"/>
      <c r="AD20" s="64">
        <f>S20*V20*Y20</f>
        <v>5400000</v>
      </c>
      <c r="AE20" s="71" t="s">
        <v>214</v>
      </c>
      <c r="AF20" s="1"/>
    </row>
    <row r="21" spans="1:32" s="12" customFormat="1" ht="21" customHeight="1">
      <c r="A21" s="57"/>
      <c r="B21" s="58"/>
      <c r="C21" s="58"/>
      <c r="D21" s="307"/>
      <c r="E21" s="174"/>
      <c r="F21" s="174"/>
      <c r="G21" s="174"/>
      <c r="H21" s="174"/>
      <c r="I21" s="174"/>
      <c r="J21" s="174"/>
      <c r="K21" s="174"/>
      <c r="L21" s="174"/>
      <c r="M21" s="174"/>
      <c r="N21" s="96"/>
      <c r="O21" s="63"/>
      <c r="P21" s="63"/>
      <c r="Q21" s="63"/>
      <c r="R21" s="63"/>
      <c r="S21" s="64"/>
      <c r="T21" s="64"/>
      <c r="U21" s="63"/>
      <c r="V21" s="64"/>
      <c r="W21" s="64"/>
      <c r="X21" s="63"/>
      <c r="Y21" s="145"/>
      <c r="Z21" s="64"/>
      <c r="AA21" s="64"/>
      <c r="AB21" s="64"/>
      <c r="AC21" s="92"/>
      <c r="AD21" s="64"/>
      <c r="AE21" s="71"/>
      <c r="AF21" s="1"/>
    </row>
    <row r="22" spans="1:32" s="12" customFormat="1" ht="21" customHeight="1">
      <c r="A22" s="57"/>
      <c r="B22" s="58"/>
      <c r="C22" s="48" t="s">
        <v>38</v>
      </c>
      <c r="D22" s="309">
        <v>330942</v>
      </c>
      <c r="E22" s="180">
        <f>ROUND(AD22/1000,0)</f>
        <v>340870</v>
      </c>
      <c r="F22" s="180">
        <f>SUM(AD24,AD28,AD32)/1000</f>
        <v>230725</v>
      </c>
      <c r="G22" s="180">
        <f>SUM(AD25,AD29,AD33,AD35)/1000</f>
        <v>103305</v>
      </c>
      <c r="H22" s="180">
        <v>0</v>
      </c>
      <c r="I22" s="180">
        <v>0</v>
      </c>
      <c r="J22" s="180">
        <v>0</v>
      </c>
      <c r="K22" s="180">
        <f>AD37/1000</f>
        <v>6840</v>
      </c>
      <c r="L22" s="180">
        <v>0</v>
      </c>
      <c r="M22" s="179">
        <f>E22-D22</f>
        <v>9928</v>
      </c>
      <c r="N22" s="187">
        <f>IF(D22=0,0,M22/D22)</f>
        <v>2.9999214363846234E-2</v>
      </c>
      <c r="O22" s="160" t="s">
        <v>39</v>
      </c>
      <c r="P22" s="330"/>
      <c r="Q22" s="156"/>
      <c r="R22" s="156"/>
      <c r="S22" s="156"/>
      <c r="T22" s="131"/>
      <c r="U22" s="131"/>
      <c r="V22" s="131"/>
      <c r="W22" s="331" t="s">
        <v>437</v>
      </c>
      <c r="X22" s="331"/>
      <c r="Y22" s="331"/>
      <c r="Z22" s="331"/>
      <c r="AA22" s="331"/>
      <c r="AB22" s="331"/>
      <c r="AC22" s="333"/>
      <c r="AD22" s="333">
        <f>SUM(명절휴가비,가족수당,연장근로수당,AD35,AD37)</f>
        <v>340870000</v>
      </c>
      <c r="AE22" s="332" t="s">
        <v>62</v>
      </c>
      <c r="AF22" s="1"/>
    </row>
    <row r="23" spans="1:32" s="12" customFormat="1" ht="21" customHeight="1">
      <c r="A23" s="57"/>
      <c r="B23" s="58"/>
      <c r="C23" s="58"/>
      <c r="D23" s="307"/>
      <c r="E23" s="174"/>
      <c r="F23" s="174"/>
      <c r="G23" s="174"/>
      <c r="H23" s="174"/>
      <c r="I23" s="174"/>
      <c r="J23" s="174"/>
      <c r="K23" s="174"/>
      <c r="L23" s="174"/>
      <c r="M23" s="174"/>
      <c r="N23" s="96"/>
      <c r="O23" s="301" t="s">
        <v>396</v>
      </c>
      <c r="P23" s="197"/>
      <c r="Q23" s="197"/>
      <c r="R23" s="197"/>
      <c r="S23" s="197"/>
      <c r="T23" s="196"/>
      <c r="U23" s="196"/>
      <c r="V23" s="196"/>
      <c r="W23" s="208" t="s">
        <v>90</v>
      </c>
      <c r="X23" s="208"/>
      <c r="Y23" s="208"/>
      <c r="Z23" s="208"/>
      <c r="AA23" s="208"/>
      <c r="AB23" s="208"/>
      <c r="AC23" s="98" t="s">
        <v>222</v>
      </c>
      <c r="AD23" s="98">
        <f>ROUND(SUM(AD24:AD25),-3)</f>
        <v>57366000</v>
      </c>
      <c r="AE23" s="99" t="s">
        <v>62</v>
      </c>
      <c r="AF23" s="18"/>
    </row>
    <row r="24" spans="1:32" s="12" customFormat="1" ht="21" customHeight="1">
      <c r="A24" s="57"/>
      <c r="B24" s="58"/>
      <c r="C24" s="58"/>
      <c r="D24" s="307"/>
      <c r="E24" s="174"/>
      <c r="F24" s="174"/>
      <c r="G24" s="174"/>
      <c r="H24" s="174"/>
      <c r="I24" s="174"/>
      <c r="J24" s="174"/>
      <c r="K24" s="174"/>
      <c r="L24" s="174"/>
      <c r="M24" s="174"/>
      <c r="N24" s="96"/>
      <c r="O24" s="376" t="s">
        <v>630</v>
      </c>
      <c r="P24" s="197"/>
      <c r="Q24" s="197"/>
      <c r="R24" s="197"/>
      <c r="S24" s="197"/>
      <c r="T24" s="196"/>
      <c r="U24" s="196"/>
      <c r="V24" s="196"/>
      <c r="W24" s="196"/>
      <c r="X24" s="196"/>
      <c r="Y24" s="196"/>
      <c r="Z24" s="196"/>
      <c r="AA24" s="196"/>
      <c r="AB24" s="196"/>
      <c r="AC24" s="92"/>
      <c r="AD24" s="92">
        <v>54125000</v>
      </c>
      <c r="AE24" s="71" t="s">
        <v>77</v>
      </c>
      <c r="AF24" s="18"/>
    </row>
    <row r="25" spans="1:32" s="12" customFormat="1" ht="21" customHeight="1">
      <c r="A25" s="57"/>
      <c r="B25" s="58"/>
      <c r="C25" s="58"/>
      <c r="D25" s="307"/>
      <c r="E25" s="174"/>
      <c r="F25" s="174"/>
      <c r="G25" s="174"/>
      <c r="H25" s="174"/>
      <c r="I25" s="174"/>
      <c r="J25" s="174"/>
      <c r="K25" s="174"/>
      <c r="L25" s="174"/>
      <c r="M25" s="174"/>
      <c r="N25" s="96"/>
      <c r="O25" s="303" t="s">
        <v>281</v>
      </c>
      <c r="P25" s="197"/>
      <c r="Q25" s="197"/>
      <c r="R25" s="197"/>
      <c r="S25" s="197"/>
      <c r="T25" s="196"/>
      <c r="U25" s="196"/>
      <c r="V25" s="196"/>
      <c r="W25" s="196"/>
      <c r="X25" s="196"/>
      <c r="Y25" s="196"/>
      <c r="Z25" s="196"/>
      <c r="AA25" s="196"/>
      <c r="AB25" s="196"/>
      <c r="AC25" s="92"/>
      <c r="AD25" s="92">
        <v>3241000</v>
      </c>
      <c r="AE25" s="71" t="s">
        <v>77</v>
      </c>
      <c r="AF25" s="18"/>
    </row>
    <row r="26" spans="1:32" s="12" customFormat="1" ht="21" customHeight="1">
      <c r="A26" s="57"/>
      <c r="B26" s="58"/>
      <c r="C26" s="58"/>
      <c r="D26" s="307"/>
      <c r="E26" s="174"/>
      <c r="F26" s="174"/>
      <c r="G26" s="174"/>
      <c r="H26" s="174"/>
      <c r="I26" s="174"/>
      <c r="J26" s="174"/>
      <c r="K26" s="174"/>
      <c r="L26" s="174"/>
      <c r="M26" s="174"/>
      <c r="N26" s="96"/>
      <c r="O26" s="303"/>
      <c r="P26" s="197"/>
      <c r="Q26" s="197"/>
      <c r="R26" s="197"/>
      <c r="S26" s="197"/>
      <c r="T26" s="196"/>
      <c r="U26" s="196"/>
      <c r="V26" s="196"/>
      <c r="W26" s="196"/>
      <c r="X26" s="196"/>
      <c r="Y26" s="196"/>
      <c r="Z26" s="196"/>
      <c r="AA26" s="196"/>
      <c r="AB26" s="196"/>
      <c r="AC26" s="92"/>
      <c r="AD26" s="92"/>
      <c r="AE26" s="71"/>
      <c r="AF26" s="18"/>
    </row>
    <row r="27" spans="1:32" s="12" customFormat="1" ht="21" customHeight="1">
      <c r="A27" s="57"/>
      <c r="B27" s="58"/>
      <c r="C27" s="58"/>
      <c r="D27" s="307"/>
      <c r="E27" s="174"/>
      <c r="F27" s="174"/>
      <c r="G27" s="174"/>
      <c r="H27" s="174"/>
      <c r="I27" s="174"/>
      <c r="J27" s="174"/>
      <c r="K27" s="174"/>
      <c r="L27" s="174"/>
      <c r="M27" s="174"/>
      <c r="N27" s="96"/>
      <c r="O27" s="301" t="s">
        <v>397</v>
      </c>
      <c r="P27" s="197"/>
      <c r="Q27" s="197"/>
      <c r="R27" s="197"/>
      <c r="S27" s="197"/>
      <c r="T27" s="196"/>
      <c r="U27" s="196"/>
      <c r="V27" s="196"/>
      <c r="W27" s="208" t="s">
        <v>90</v>
      </c>
      <c r="X27" s="208"/>
      <c r="Y27" s="208"/>
      <c r="Z27" s="208"/>
      <c r="AA27" s="208"/>
      <c r="AB27" s="208"/>
      <c r="AC27" s="98" t="s">
        <v>222</v>
      </c>
      <c r="AD27" s="98">
        <f>SUM(AD28:AD29)</f>
        <v>11520000</v>
      </c>
      <c r="AE27" s="99" t="s">
        <v>62</v>
      </c>
      <c r="AF27" s="18"/>
    </row>
    <row r="28" spans="1:32" s="12" customFormat="1" ht="21" customHeight="1">
      <c r="A28" s="57"/>
      <c r="B28" s="58"/>
      <c r="C28" s="58"/>
      <c r="D28" s="307"/>
      <c r="E28" s="174"/>
      <c r="F28" s="174"/>
      <c r="G28" s="174"/>
      <c r="H28" s="174"/>
      <c r="I28" s="174"/>
      <c r="J28" s="174"/>
      <c r="K28" s="174"/>
      <c r="L28" s="174"/>
      <c r="M28" s="174"/>
      <c r="N28" s="96"/>
      <c r="O28" s="303" t="s">
        <v>339</v>
      </c>
      <c r="P28" s="197"/>
      <c r="Q28" s="197"/>
      <c r="R28" s="197"/>
      <c r="S28" s="197"/>
      <c r="T28" s="196"/>
      <c r="U28" s="196"/>
      <c r="V28" s="196"/>
      <c r="W28" s="196"/>
      <c r="X28" s="196"/>
      <c r="Y28" s="196"/>
      <c r="Z28" s="196"/>
      <c r="AA28" s="196"/>
      <c r="AB28" s="196"/>
      <c r="AC28" s="92"/>
      <c r="AD28" s="92">
        <v>10320000</v>
      </c>
      <c r="AE28" s="71" t="s">
        <v>77</v>
      </c>
      <c r="AF28" s="18"/>
    </row>
    <row r="29" spans="1:32" s="12" customFormat="1" ht="21" customHeight="1">
      <c r="A29" s="57"/>
      <c r="B29" s="58"/>
      <c r="C29" s="58"/>
      <c r="D29" s="307"/>
      <c r="E29" s="174"/>
      <c r="F29" s="174"/>
      <c r="G29" s="174"/>
      <c r="H29" s="174"/>
      <c r="I29" s="174"/>
      <c r="J29" s="174"/>
      <c r="K29" s="174"/>
      <c r="L29" s="174"/>
      <c r="M29" s="174"/>
      <c r="N29" s="96"/>
      <c r="O29" s="303" t="s">
        <v>281</v>
      </c>
      <c r="P29" s="197"/>
      <c r="Q29" s="197"/>
      <c r="R29" s="197"/>
      <c r="S29" s="197"/>
      <c r="T29" s="196"/>
      <c r="U29" s="196"/>
      <c r="V29" s="196"/>
      <c r="W29" s="196"/>
      <c r="X29" s="196"/>
      <c r="Y29" s="196"/>
      <c r="Z29" s="196"/>
      <c r="AA29" s="196"/>
      <c r="AB29" s="196"/>
      <c r="AC29" s="92"/>
      <c r="AD29" s="92">
        <v>1200000</v>
      </c>
      <c r="AE29" s="71" t="s">
        <v>77</v>
      </c>
      <c r="AF29" s="18"/>
    </row>
    <row r="30" spans="1:32" s="12" customFormat="1" ht="21" customHeight="1">
      <c r="A30" s="57"/>
      <c r="B30" s="58"/>
      <c r="C30" s="58"/>
      <c r="D30" s="307"/>
      <c r="E30" s="174"/>
      <c r="F30" s="174"/>
      <c r="G30" s="174"/>
      <c r="H30" s="174"/>
      <c r="I30" s="174"/>
      <c r="J30" s="174"/>
      <c r="K30" s="174"/>
      <c r="L30" s="174"/>
      <c r="M30" s="174"/>
      <c r="N30" s="96"/>
      <c r="O30" s="303"/>
      <c r="P30" s="197"/>
      <c r="Q30" s="197"/>
      <c r="R30" s="197"/>
      <c r="S30" s="197"/>
      <c r="T30" s="196"/>
      <c r="U30" s="196"/>
      <c r="V30" s="196"/>
      <c r="W30" s="196"/>
      <c r="X30" s="196"/>
      <c r="Y30" s="196"/>
      <c r="Z30" s="196"/>
      <c r="AA30" s="196"/>
      <c r="AB30" s="196"/>
      <c r="AC30" s="92"/>
      <c r="AD30" s="92"/>
      <c r="AE30" s="71"/>
      <c r="AF30" s="18"/>
    </row>
    <row r="31" spans="1:32" s="12" customFormat="1" ht="21" customHeight="1">
      <c r="A31" s="57"/>
      <c r="B31" s="58"/>
      <c r="C31" s="58"/>
      <c r="D31" s="307"/>
      <c r="E31" s="174"/>
      <c r="F31" s="174"/>
      <c r="G31" s="174"/>
      <c r="H31" s="174"/>
      <c r="I31" s="174"/>
      <c r="J31" s="174"/>
      <c r="K31" s="174"/>
      <c r="L31" s="174"/>
      <c r="M31" s="174"/>
      <c r="N31" s="96"/>
      <c r="O31" s="301" t="s">
        <v>398</v>
      </c>
      <c r="P31" s="197"/>
      <c r="Q31" s="197"/>
      <c r="R31" s="197"/>
      <c r="S31" s="197"/>
      <c r="T31" s="196"/>
      <c r="U31" s="196"/>
      <c r="V31" s="196"/>
      <c r="W31" s="208" t="s">
        <v>90</v>
      </c>
      <c r="X31" s="208"/>
      <c r="Y31" s="208"/>
      <c r="Z31" s="208"/>
      <c r="AA31" s="208"/>
      <c r="AB31" s="208"/>
      <c r="AC31" s="98" t="s">
        <v>222</v>
      </c>
      <c r="AD31" s="98">
        <f>ROUND(SUM(AD32:AD33),-3)</f>
        <v>175294000</v>
      </c>
      <c r="AE31" s="99" t="s">
        <v>62</v>
      </c>
      <c r="AF31" s="18"/>
    </row>
    <row r="32" spans="1:32" s="12" customFormat="1" ht="21" customHeight="1">
      <c r="A32" s="57"/>
      <c r="B32" s="58"/>
      <c r="C32" s="58"/>
      <c r="D32" s="307"/>
      <c r="E32" s="174"/>
      <c r="F32" s="174"/>
      <c r="G32" s="174"/>
      <c r="H32" s="174"/>
      <c r="I32" s="174"/>
      <c r="J32" s="174"/>
      <c r="K32" s="174"/>
      <c r="L32" s="174"/>
      <c r="M32" s="174"/>
      <c r="N32" s="96"/>
      <c r="O32" s="303" t="s">
        <v>339</v>
      </c>
      <c r="P32" s="197"/>
      <c r="Q32" s="197"/>
      <c r="R32" s="197"/>
      <c r="S32" s="197"/>
      <c r="T32" s="196"/>
      <c r="U32" s="196"/>
      <c r="V32" s="196"/>
      <c r="W32" s="196"/>
      <c r="X32" s="196"/>
      <c r="Y32" s="196"/>
      <c r="Z32" s="196"/>
      <c r="AA32" s="196"/>
      <c r="AB32" s="196"/>
      <c r="AC32" s="92"/>
      <c r="AD32" s="92">
        <v>166280000</v>
      </c>
      <c r="AE32" s="71" t="s">
        <v>77</v>
      </c>
      <c r="AF32" s="18"/>
    </row>
    <row r="33" spans="1:32" s="12" customFormat="1" ht="21" customHeight="1">
      <c r="A33" s="57"/>
      <c r="B33" s="58"/>
      <c r="C33" s="58"/>
      <c r="D33" s="307"/>
      <c r="E33" s="174"/>
      <c r="F33" s="174"/>
      <c r="G33" s="174"/>
      <c r="H33" s="174"/>
      <c r="I33" s="174"/>
      <c r="J33" s="174"/>
      <c r="K33" s="174"/>
      <c r="L33" s="174"/>
      <c r="M33" s="174"/>
      <c r="N33" s="96"/>
      <c r="O33" s="303" t="s">
        <v>281</v>
      </c>
      <c r="P33" s="197"/>
      <c r="Q33" s="197"/>
      <c r="R33" s="197"/>
      <c r="S33" s="197"/>
      <c r="T33" s="196"/>
      <c r="U33" s="196"/>
      <c r="V33" s="196"/>
      <c r="W33" s="196"/>
      <c r="X33" s="196"/>
      <c r="Y33" s="196"/>
      <c r="Z33" s="196"/>
      <c r="AA33" s="196"/>
      <c r="AB33" s="196"/>
      <c r="AC33" s="92"/>
      <c r="AD33" s="92">
        <v>9014000</v>
      </c>
      <c r="AE33" s="71" t="s">
        <v>77</v>
      </c>
      <c r="AF33" s="18"/>
    </row>
    <row r="34" spans="1:32" s="12" customFormat="1" ht="21" customHeight="1">
      <c r="A34" s="57"/>
      <c r="B34" s="58"/>
      <c r="C34" s="58"/>
      <c r="D34" s="307"/>
      <c r="E34" s="174"/>
      <c r="F34" s="174"/>
      <c r="G34" s="174"/>
      <c r="H34" s="174"/>
      <c r="I34" s="174"/>
      <c r="J34" s="174"/>
      <c r="K34" s="174"/>
      <c r="L34" s="174"/>
      <c r="M34" s="174"/>
      <c r="N34" s="96"/>
      <c r="O34" s="303"/>
      <c r="P34" s="63"/>
      <c r="Q34" s="63"/>
      <c r="R34" s="63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92"/>
      <c r="AD34" s="92"/>
      <c r="AE34" s="71"/>
      <c r="AF34" s="18"/>
    </row>
    <row r="35" spans="1:32" s="12" customFormat="1" ht="21" customHeight="1">
      <c r="A35" s="57"/>
      <c r="B35" s="58"/>
      <c r="C35" s="58"/>
      <c r="D35" s="307"/>
      <c r="E35" s="174"/>
      <c r="F35" s="174"/>
      <c r="G35" s="174"/>
      <c r="H35" s="174"/>
      <c r="I35" s="174"/>
      <c r="J35" s="174"/>
      <c r="K35" s="174"/>
      <c r="L35" s="174"/>
      <c r="M35" s="174"/>
      <c r="N35" s="96"/>
      <c r="O35" s="377" t="s">
        <v>631</v>
      </c>
      <c r="P35" s="63"/>
      <c r="Q35" s="63"/>
      <c r="R35" s="63"/>
      <c r="S35" s="63"/>
      <c r="T35" s="64"/>
      <c r="U35" s="64"/>
      <c r="V35" s="64"/>
      <c r="W35" s="112" t="s">
        <v>223</v>
      </c>
      <c r="X35" s="112"/>
      <c r="Y35" s="112"/>
      <c r="Z35" s="112"/>
      <c r="AA35" s="112"/>
      <c r="AB35" s="112"/>
      <c r="AC35" s="98" t="s">
        <v>225</v>
      </c>
      <c r="AD35" s="98">
        <v>89850000</v>
      </c>
      <c r="AE35" s="99" t="s">
        <v>224</v>
      </c>
      <c r="AF35" s="18"/>
    </row>
    <row r="36" spans="1:32" s="12" customFormat="1" ht="21" customHeight="1">
      <c r="A36" s="57"/>
      <c r="B36" s="58"/>
      <c r="C36" s="58"/>
      <c r="D36" s="307"/>
      <c r="E36" s="174"/>
      <c r="F36" s="174"/>
      <c r="G36" s="174"/>
      <c r="H36" s="174"/>
      <c r="I36" s="174"/>
      <c r="J36" s="174"/>
      <c r="K36" s="174"/>
      <c r="L36" s="174"/>
      <c r="M36" s="174"/>
      <c r="N36" s="96"/>
      <c r="O36" s="303"/>
      <c r="P36" s="269"/>
      <c r="Q36" s="269"/>
      <c r="R36" s="269"/>
      <c r="S36" s="269"/>
      <c r="T36" s="268"/>
      <c r="U36" s="268"/>
      <c r="V36" s="268"/>
      <c r="W36" s="268"/>
      <c r="X36" s="268"/>
      <c r="Y36" s="268"/>
      <c r="Z36" s="268"/>
      <c r="AA36" s="268"/>
      <c r="AB36" s="268"/>
      <c r="AC36" s="92"/>
      <c r="AD36" s="92"/>
      <c r="AE36" s="71"/>
      <c r="AF36" s="18"/>
    </row>
    <row r="37" spans="1:32" s="12" customFormat="1" ht="21" customHeight="1">
      <c r="A37" s="57"/>
      <c r="B37" s="58"/>
      <c r="C37" s="58"/>
      <c r="D37" s="307"/>
      <c r="E37" s="174"/>
      <c r="F37" s="174"/>
      <c r="G37" s="174"/>
      <c r="H37" s="174"/>
      <c r="I37" s="174"/>
      <c r="J37" s="174"/>
      <c r="K37" s="174"/>
      <c r="L37" s="174"/>
      <c r="M37" s="174"/>
      <c r="N37" s="96"/>
      <c r="O37" s="301" t="s">
        <v>400</v>
      </c>
      <c r="P37" s="269"/>
      <c r="Q37" s="269"/>
      <c r="R37" s="269"/>
      <c r="S37" s="269"/>
      <c r="T37" s="268"/>
      <c r="U37" s="268"/>
      <c r="V37" s="268"/>
      <c r="W37" s="267" t="s">
        <v>90</v>
      </c>
      <c r="X37" s="267"/>
      <c r="Y37" s="267"/>
      <c r="Z37" s="267"/>
      <c r="AA37" s="267"/>
      <c r="AB37" s="267"/>
      <c r="AC37" s="98" t="s">
        <v>67</v>
      </c>
      <c r="AD37" s="98">
        <f>SUM(AD38:AD42)</f>
        <v>6840000</v>
      </c>
      <c r="AE37" s="99" t="s">
        <v>62</v>
      </c>
      <c r="AF37" s="18"/>
    </row>
    <row r="38" spans="1:32" s="12" customFormat="1" ht="21" customHeight="1">
      <c r="A38" s="57"/>
      <c r="B38" s="58"/>
      <c r="C38" s="58"/>
      <c r="D38" s="307"/>
      <c r="E38" s="174"/>
      <c r="F38" s="174"/>
      <c r="G38" s="174"/>
      <c r="H38" s="174"/>
      <c r="I38" s="174"/>
      <c r="J38" s="174"/>
      <c r="K38" s="174"/>
      <c r="L38" s="174"/>
      <c r="M38" s="174"/>
      <c r="N38" s="96"/>
      <c r="O38" s="449" t="s">
        <v>399</v>
      </c>
      <c r="P38" s="450"/>
      <c r="Q38" s="268"/>
      <c r="R38" s="268"/>
      <c r="S38" s="268">
        <v>150000</v>
      </c>
      <c r="T38" s="268" t="s">
        <v>62</v>
      </c>
      <c r="U38" s="269" t="s">
        <v>63</v>
      </c>
      <c r="V38" s="268">
        <v>1</v>
      </c>
      <c r="W38" s="268" t="s">
        <v>61</v>
      </c>
      <c r="X38" s="269" t="s">
        <v>63</v>
      </c>
      <c r="Y38" s="69">
        <v>12</v>
      </c>
      <c r="Z38" s="266" t="s">
        <v>30</v>
      </c>
      <c r="AA38" s="266" t="s">
        <v>58</v>
      </c>
      <c r="AB38" s="266"/>
      <c r="AC38" s="269"/>
      <c r="AD38" s="268">
        <f t="shared" ref="AD38:AD42" si="3">S38*V38*Y38</f>
        <v>1800000</v>
      </c>
      <c r="AE38" s="71" t="s">
        <v>62</v>
      </c>
      <c r="AF38" s="18"/>
    </row>
    <row r="39" spans="1:32" s="12" customFormat="1" ht="21" customHeight="1">
      <c r="A39" s="57"/>
      <c r="B39" s="58"/>
      <c r="C39" s="58"/>
      <c r="D39" s="307"/>
      <c r="E39" s="174"/>
      <c r="F39" s="174"/>
      <c r="G39" s="174"/>
      <c r="H39" s="174"/>
      <c r="I39" s="174"/>
      <c r="J39" s="174"/>
      <c r="K39" s="174"/>
      <c r="L39" s="174"/>
      <c r="M39" s="174"/>
      <c r="N39" s="96"/>
      <c r="O39" s="449" t="s">
        <v>231</v>
      </c>
      <c r="P39" s="450"/>
      <c r="Q39" s="268"/>
      <c r="R39" s="268"/>
      <c r="S39" s="268">
        <v>100000</v>
      </c>
      <c r="T39" s="268" t="s">
        <v>62</v>
      </c>
      <c r="U39" s="269" t="s">
        <v>63</v>
      </c>
      <c r="V39" s="268">
        <v>1</v>
      </c>
      <c r="W39" s="268" t="s">
        <v>61</v>
      </c>
      <c r="X39" s="269" t="s">
        <v>63</v>
      </c>
      <c r="Y39" s="69">
        <v>12</v>
      </c>
      <c r="Z39" s="266" t="s">
        <v>0</v>
      </c>
      <c r="AA39" s="266" t="s">
        <v>58</v>
      </c>
      <c r="AB39" s="266"/>
      <c r="AC39" s="269"/>
      <c r="AD39" s="268">
        <f t="shared" si="3"/>
        <v>1200000</v>
      </c>
      <c r="AE39" s="71" t="s">
        <v>62</v>
      </c>
      <c r="AF39" s="18"/>
    </row>
    <row r="40" spans="1:32" s="12" customFormat="1" ht="21" customHeight="1">
      <c r="A40" s="57"/>
      <c r="B40" s="58"/>
      <c r="C40" s="58"/>
      <c r="D40" s="307"/>
      <c r="E40" s="174"/>
      <c r="F40" s="174"/>
      <c r="G40" s="174"/>
      <c r="H40" s="174"/>
      <c r="I40" s="174"/>
      <c r="J40" s="174"/>
      <c r="K40" s="174"/>
      <c r="L40" s="174"/>
      <c r="M40" s="174"/>
      <c r="N40" s="96"/>
      <c r="O40" s="449" t="s">
        <v>233</v>
      </c>
      <c r="P40" s="450"/>
      <c r="Q40" s="268"/>
      <c r="R40" s="268"/>
      <c r="S40" s="268">
        <v>150000</v>
      </c>
      <c r="T40" s="268" t="s">
        <v>62</v>
      </c>
      <c r="U40" s="269" t="s">
        <v>63</v>
      </c>
      <c r="V40" s="268">
        <v>1</v>
      </c>
      <c r="W40" s="268" t="s">
        <v>61</v>
      </c>
      <c r="X40" s="269" t="s">
        <v>63</v>
      </c>
      <c r="Y40" s="69">
        <v>12</v>
      </c>
      <c r="Z40" s="266" t="s">
        <v>0</v>
      </c>
      <c r="AA40" s="266" t="s">
        <v>58</v>
      </c>
      <c r="AB40" s="266"/>
      <c r="AC40" s="269"/>
      <c r="AD40" s="268">
        <f t="shared" si="3"/>
        <v>1800000</v>
      </c>
      <c r="AE40" s="71" t="s">
        <v>62</v>
      </c>
      <c r="AF40" s="18"/>
    </row>
    <row r="41" spans="1:32" s="12" customFormat="1" ht="21" customHeight="1">
      <c r="A41" s="57"/>
      <c r="B41" s="58"/>
      <c r="C41" s="58"/>
      <c r="D41" s="307"/>
      <c r="E41" s="174"/>
      <c r="F41" s="174"/>
      <c r="G41" s="174"/>
      <c r="H41" s="174"/>
      <c r="I41" s="174"/>
      <c r="J41" s="174"/>
      <c r="K41" s="174"/>
      <c r="L41" s="174"/>
      <c r="M41" s="174"/>
      <c r="N41" s="96"/>
      <c r="O41" s="449" t="s">
        <v>234</v>
      </c>
      <c r="P41" s="450"/>
      <c r="Q41" s="268"/>
      <c r="R41" s="268"/>
      <c r="S41" s="268">
        <v>70000</v>
      </c>
      <c r="T41" s="268" t="s">
        <v>62</v>
      </c>
      <c r="U41" s="269" t="s">
        <v>63</v>
      </c>
      <c r="V41" s="268">
        <v>1</v>
      </c>
      <c r="W41" s="268" t="s">
        <v>61</v>
      </c>
      <c r="X41" s="269" t="s">
        <v>63</v>
      </c>
      <c r="Y41" s="69">
        <v>12</v>
      </c>
      <c r="Z41" s="266" t="s">
        <v>0</v>
      </c>
      <c r="AA41" s="266" t="s">
        <v>58</v>
      </c>
      <c r="AB41" s="266"/>
      <c r="AC41" s="269"/>
      <c r="AD41" s="268">
        <f t="shared" si="3"/>
        <v>840000</v>
      </c>
      <c r="AE41" s="71" t="s">
        <v>62</v>
      </c>
      <c r="AF41" s="18"/>
    </row>
    <row r="42" spans="1:32" s="12" customFormat="1" ht="21" customHeight="1">
      <c r="A42" s="57"/>
      <c r="B42" s="58"/>
      <c r="C42" s="58"/>
      <c r="D42" s="307"/>
      <c r="E42" s="174"/>
      <c r="F42" s="174"/>
      <c r="G42" s="174"/>
      <c r="H42" s="174"/>
      <c r="I42" s="174"/>
      <c r="J42" s="174"/>
      <c r="K42" s="174"/>
      <c r="L42" s="174"/>
      <c r="M42" s="174"/>
      <c r="N42" s="96"/>
      <c r="O42" s="449" t="s">
        <v>235</v>
      </c>
      <c r="P42" s="450"/>
      <c r="Q42" s="270"/>
      <c r="R42" s="270"/>
      <c r="S42" s="268">
        <v>50000</v>
      </c>
      <c r="T42" s="268" t="s">
        <v>62</v>
      </c>
      <c r="U42" s="269" t="s">
        <v>63</v>
      </c>
      <c r="V42" s="268">
        <v>2</v>
      </c>
      <c r="W42" s="268" t="s">
        <v>61</v>
      </c>
      <c r="X42" s="269" t="s">
        <v>63</v>
      </c>
      <c r="Y42" s="69">
        <v>12</v>
      </c>
      <c r="Z42" s="266" t="s">
        <v>0</v>
      </c>
      <c r="AA42" s="266" t="s">
        <v>58</v>
      </c>
      <c r="AB42" s="266"/>
      <c r="AC42" s="269"/>
      <c r="AD42" s="268">
        <f t="shared" si="3"/>
        <v>1200000</v>
      </c>
      <c r="AE42" s="71" t="s">
        <v>62</v>
      </c>
      <c r="AF42" s="18"/>
    </row>
    <row r="43" spans="1:32" s="12" customFormat="1" ht="21" customHeight="1">
      <c r="A43" s="57"/>
      <c r="B43" s="58"/>
      <c r="C43" s="58"/>
      <c r="D43" s="307"/>
      <c r="E43" s="174"/>
      <c r="F43" s="174"/>
      <c r="G43" s="174"/>
      <c r="H43" s="174"/>
      <c r="I43" s="174"/>
      <c r="J43" s="174"/>
      <c r="K43" s="174"/>
      <c r="L43" s="174"/>
      <c r="M43" s="174"/>
      <c r="N43" s="96"/>
      <c r="O43" s="303"/>
      <c r="P43" s="63"/>
      <c r="Q43" s="63"/>
      <c r="R43" s="63"/>
      <c r="S43" s="64"/>
      <c r="T43" s="68"/>
      <c r="U43" s="190"/>
      <c r="V43" s="68"/>
      <c r="W43" s="188"/>
      <c r="X43" s="188"/>
      <c r="Y43" s="64"/>
      <c r="Z43" s="64"/>
      <c r="AA43" s="64"/>
      <c r="AB43" s="64"/>
      <c r="AC43" s="64"/>
      <c r="AD43" s="64"/>
      <c r="AE43" s="71"/>
      <c r="AF43" s="18"/>
    </row>
    <row r="44" spans="1:32" s="12" customFormat="1" ht="21" customHeight="1">
      <c r="A44" s="57"/>
      <c r="B44" s="58"/>
      <c r="C44" s="48" t="s">
        <v>9</v>
      </c>
      <c r="D44" s="309">
        <v>96691</v>
      </c>
      <c r="E44" s="180">
        <f>ROUND(AD44/1000,0)</f>
        <v>96274</v>
      </c>
      <c r="F44" s="180">
        <f>AD45/1000</f>
        <v>73531</v>
      </c>
      <c r="G44" s="180">
        <f>AD47/1000</f>
        <v>4385</v>
      </c>
      <c r="H44" s="180">
        <v>0</v>
      </c>
      <c r="I44" s="180">
        <f>AD52/1000</f>
        <v>17488</v>
      </c>
      <c r="J44" s="180">
        <v>0</v>
      </c>
      <c r="K44" s="180">
        <f>AD49/1000</f>
        <v>870</v>
      </c>
      <c r="L44" s="180">
        <v>0</v>
      </c>
      <c r="M44" s="179">
        <f>E44-D44</f>
        <v>-417</v>
      </c>
      <c r="N44" s="187">
        <f>IF(D44=0,0,M44/D44)</f>
        <v>-4.312707490872987E-3</v>
      </c>
      <c r="O44" s="160" t="s">
        <v>40</v>
      </c>
      <c r="P44" s="330"/>
      <c r="Q44" s="302"/>
      <c r="R44" s="156"/>
      <c r="S44" s="156"/>
      <c r="T44" s="131"/>
      <c r="U44" s="131"/>
      <c r="V44" s="131"/>
      <c r="W44" s="292" t="s">
        <v>90</v>
      </c>
      <c r="X44" s="292"/>
      <c r="Y44" s="292"/>
      <c r="Z44" s="292"/>
      <c r="AA44" s="292"/>
      <c r="AB44" s="292"/>
      <c r="AC44" s="293" t="s">
        <v>67</v>
      </c>
      <c r="AD44" s="293">
        <f>SUM(AD45,AD47,AD49,AD52)</f>
        <v>96274000</v>
      </c>
      <c r="AE44" s="294" t="s">
        <v>62</v>
      </c>
      <c r="AF44" s="2"/>
    </row>
    <row r="45" spans="1:32" s="12" customFormat="1" ht="21" customHeight="1">
      <c r="A45" s="57"/>
      <c r="B45" s="58"/>
      <c r="C45" s="58"/>
      <c r="D45" s="310"/>
      <c r="E45" s="174"/>
      <c r="F45" s="174"/>
      <c r="G45" s="174"/>
      <c r="H45" s="174"/>
      <c r="I45" s="174"/>
      <c r="J45" s="174"/>
      <c r="K45" s="174"/>
      <c r="L45" s="174"/>
      <c r="M45" s="181"/>
      <c r="N45" s="96"/>
      <c r="O45" s="377" t="s">
        <v>632</v>
      </c>
      <c r="P45" s="63"/>
      <c r="Q45" s="63"/>
      <c r="R45" s="63"/>
      <c r="S45" s="63"/>
      <c r="T45" s="64"/>
      <c r="U45" s="64"/>
      <c r="V45" s="64"/>
      <c r="W45" s="112" t="s">
        <v>223</v>
      </c>
      <c r="X45" s="112"/>
      <c r="Y45" s="112"/>
      <c r="Z45" s="112"/>
      <c r="AA45" s="112"/>
      <c r="AB45" s="112"/>
      <c r="AC45" s="98"/>
      <c r="AD45" s="98">
        <f>ROUNDUP(AD46,-3)</f>
        <v>73531000</v>
      </c>
      <c r="AE45" s="99" t="s">
        <v>224</v>
      </c>
      <c r="AF45" s="2"/>
    </row>
    <row r="46" spans="1:32" s="12" customFormat="1" ht="21" customHeight="1">
      <c r="A46" s="57"/>
      <c r="B46" s="58"/>
      <c r="C46" s="58"/>
      <c r="D46" s="310"/>
      <c r="E46" s="174"/>
      <c r="F46" s="174"/>
      <c r="G46" s="174"/>
      <c r="H46" s="174"/>
      <c r="I46" s="174"/>
      <c r="J46" s="174"/>
      <c r="K46" s="174"/>
      <c r="L46" s="174"/>
      <c r="M46" s="181"/>
      <c r="N46" s="96"/>
      <c r="O46" s="303"/>
      <c r="P46" s="63"/>
      <c r="Q46" s="63"/>
      <c r="R46" s="63"/>
      <c r="S46" s="235">
        <v>882377850</v>
      </c>
      <c r="T46" s="138" t="s">
        <v>62</v>
      </c>
      <c r="U46" s="138" t="s">
        <v>92</v>
      </c>
      <c r="V46" s="103">
        <v>12</v>
      </c>
      <c r="W46" s="100" t="s">
        <v>0</v>
      </c>
      <c r="X46" s="196"/>
      <c r="Y46" s="196"/>
      <c r="Z46" s="196"/>
      <c r="AA46" s="196" t="s">
        <v>93</v>
      </c>
      <c r="AB46" s="64"/>
      <c r="AC46" s="92"/>
      <c r="AD46" s="92">
        <f>ROUND(S46/V46,-3)</f>
        <v>73531000</v>
      </c>
      <c r="AE46" s="71" t="s">
        <v>77</v>
      </c>
      <c r="AF46" s="2"/>
    </row>
    <row r="47" spans="1:32" s="12" customFormat="1" ht="21" customHeight="1">
      <c r="A47" s="57"/>
      <c r="B47" s="58"/>
      <c r="C47" s="58"/>
      <c r="D47" s="310"/>
      <c r="E47" s="174"/>
      <c r="F47" s="174"/>
      <c r="G47" s="174"/>
      <c r="H47" s="174"/>
      <c r="I47" s="174"/>
      <c r="J47" s="174"/>
      <c r="K47" s="174"/>
      <c r="L47" s="174"/>
      <c r="M47" s="181"/>
      <c r="N47" s="96"/>
      <c r="O47" s="301" t="s">
        <v>282</v>
      </c>
      <c r="P47" s="63"/>
      <c r="Q47" s="63"/>
      <c r="R47" s="63"/>
      <c r="S47" s="63"/>
      <c r="T47" s="64"/>
      <c r="U47" s="64"/>
      <c r="V47" s="64"/>
      <c r="W47" s="112" t="s">
        <v>223</v>
      </c>
      <c r="X47" s="112"/>
      <c r="Y47" s="112"/>
      <c r="Z47" s="112"/>
      <c r="AA47" s="112"/>
      <c r="AB47" s="112"/>
      <c r="AC47" s="98" t="s">
        <v>225</v>
      </c>
      <c r="AD47" s="98">
        <f>ROUNDUP(AD48,-3)</f>
        <v>4385000</v>
      </c>
      <c r="AE47" s="99" t="s">
        <v>224</v>
      </c>
      <c r="AF47" s="2"/>
    </row>
    <row r="48" spans="1:32" s="12" customFormat="1" ht="21" customHeight="1">
      <c r="A48" s="57"/>
      <c r="B48" s="58"/>
      <c r="C48" s="58"/>
      <c r="D48" s="310"/>
      <c r="E48" s="174"/>
      <c r="F48" s="174"/>
      <c r="G48" s="174"/>
      <c r="H48" s="174"/>
      <c r="I48" s="174"/>
      <c r="J48" s="174"/>
      <c r="K48" s="174"/>
      <c r="L48" s="174"/>
      <c r="M48" s="181"/>
      <c r="N48" s="96"/>
      <c r="O48" s="303"/>
      <c r="P48" s="63"/>
      <c r="Q48" s="63"/>
      <c r="R48" s="63"/>
      <c r="S48" s="196">
        <v>52610500</v>
      </c>
      <c r="T48" s="138" t="s">
        <v>62</v>
      </c>
      <c r="U48" s="138" t="s">
        <v>92</v>
      </c>
      <c r="V48" s="103">
        <v>12</v>
      </c>
      <c r="W48" s="100" t="s">
        <v>0</v>
      </c>
      <c r="X48" s="196"/>
      <c r="Y48" s="196"/>
      <c r="Z48" s="196"/>
      <c r="AA48" s="196" t="s">
        <v>93</v>
      </c>
      <c r="AB48" s="196"/>
      <c r="AC48" s="92"/>
      <c r="AD48" s="92">
        <f>ROUNDUP(S48/V48,-3)</f>
        <v>4385000</v>
      </c>
      <c r="AE48" s="71" t="s">
        <v>77</v>
      </c>
      <c r="AF48" s="2"/>
    </row>
    <row r="49" spans="1:32" s="12" customFormat="1" ht="21" customHeight="1">
      <c r="A49" s="57"/>
      <c r="B49" s="58"/>
      <c r="C49" s="58"/>
      <c r="D49" s="310"/>
      <c r="E49" s="174"/>
      <c r="F49" s="174"/>
      <c r="G49" s="174"/>
      <c r="H49" s="174"/>
      <c r="I49" s="174"/>
      <c r="J49" s="174"/>
      <c r="K49" s="174"/>
      <c r="L49" s="174"/>
      <c r="M49" s="181"/>
      <c r="N49" s="96"/>
      <c r="O49" s="301" t="s">
        <v>401</v>
      </c>
      <c r="P49" s="63"/>
      <c r="Q49" s="63"/>
      <c r="R49" s="63"/>
      <c r="S49" s="63"/>
      <c r="T49" s="64"/>
      <c r="U49" s="64"/>
      <c r="V49" s="64"/>
      <c r="W49" s="112" t="s">
        <v>223</v>
      </c>
      <c r="X49" s="112"/>
      <c r="Y49" s="112"/>
      <c r="Z49" s="112"/>
      <c r="AA49" s="112"/>
      <c r="AB49" s="112"/>
      <c r="AC49" s="98" t="s">
        <v>225</v>
      </c>
      <c r="AD49" s="98">
        <f>AD50</f>
        <v>870000</v>
      </c>
      <c r="AE49" s="99" t="s">
        <v>224</v>
      </c>
      <c r="AF49" s="2"/>
    </row>
    <row r="50" spans="1:32" s="12" customFormat="1" ht="21" customHeight="1">
      <c r="A50" s="57"/>
      <c r="B50" s="58"/>
      <c r="C50" s="58"/>
      <c r="D50" s="310"/>
      <c r="E50" s="174"/>
      <c r="F50" s="174"/>
      <c r="G50" s="174"/>
      <c r="H50" s="174"/>
      <c r="I50" s="174"/>
      <c r="J50" s="174"/>
      <c r="K50" s="174"/>
      <c r="L50" s="174"/>
      <c r="M50" s="181"/>
      <c r="N50" s="96"/>
      <c r="O50" s="303" t="s">
        <v>340</v>
      </c>
      <c r="P50" s="63"/>
      <c r="Q50" s="63"/>
      <c r="R50" s="63"/>
      <c r="S50" s="196">
        <v>10440000</v>
      </c>
      <c r="T50" s="138" t="s">
        <v>62</v>
      </c>
      <c r="U50" s="138" t="s">
        <v>92</v>
      </c>
      <c r="V50" s="103">
        <v>12</v>
      </c>
      <c r="W50" s="100" t="s">
        <v>0</v>
      </c>
      <c r="X50" s="196"/>
      <c r="Y50" s="196"/>
      <c r="Z50" s="196"/>
      <c r="AA50" s="196" t="s">
        <v>93</v>
      </c>
      <c r="AB50" s="196"/>
      <c r="AC50" s="92"/>
      <c r="AD50" s="92">
        <f>S50/V50</f>
        <v>870000</v>
      </c>
      <c r="AE50" s="71" t="s">
        <v>77</v>
      </c>
      <c r="AF50" s="2"/>
    </row>
    <row r="51" spans="1:32" s="12" customFormat="1" ht="21" customHeight="1">
      <c r="A51" s="57"/>
      <c r="B51" s="58"/>
      <c r="C51" s="58"/>
      <c r="D51" s="310"/>
      <c r="E51" s="174"/>
      <c r="F51" s="174"/>
      <c r="G51" s="174"/>
      <c r="H51" s="174"/>
      <c r="I51" s="174"/>
      <c r="J51" s="174"/>
      <c r="K51" s="174"/>
      <c r="L51" s="174"/>
      <c r="M51" s="181"/>
      <c r="N51" s="96"/>
      <c r="O51" s="355"/>
      <c r="P51" s="355"/>
      <c r="Q51" s="355"/>
      <c r="R51" s="355"/>
      <c r="S51" s="354"/>
      <c r="T51" s="349"/>
      <c r="U51" s="349"/>
      <c r="V51" s="103"/>
      <c r="W51" s="100"/>
      <c r="X51" s="354"/>
      <c r="Y51" s="354"/>
      <c r="Z51" s="354"/>
      <c r="AA51" s="354"/>
      <c r="AB51" s="354"/>
      <c r="AC51" s="92"/>
      <c r="AD51" s="92"/>
      <c r="AE51" s="71"/>
      <c r="AF51" s="2"/>
    </row>
    <row r="52" spans="1:32" s="12" customFormat="1" ht="21" customHeight="1">
      <c r="A52" s="57"/>
      <c r="B52" s="58"/>
      <c r="C52" s="58"/>
      <c r="D52" s="310"/>
      <c r="E52" s="174"/>
      <c r="F52" s="174"/>
      <c r="G52" s="174"/>
      <c r="H52" s="174"/>
      <c r="I52" s="174"/>
      <c r="J52" s="174"/>
      <c r="K52" s="174"/>
      <c r="L52" s="174"/>
      <c r="M52" s="181"/>
      <c r="N52" s="96"/>
      <c r="O52" s="357" t="s">
        <v>600</v>
      </c>
      <c r="P52" s="355"/>
      <c r="Q52" s="355"/>
      <c r="R52" s="355"/>
      <c r="S52" s="355"/>
      <c r="T52" s="354"/>
      <c r="U52" s="354"/>
      <c r="V52" s="354"/>
      <c r="W52" s="356" t="s">
        <v>90</v>
      </c>
      <c r="X52" s="356"/>
      <c r="Y52" s="356"/>
      <c r="Z52" s="356"/>
      <c r="AA52" s="356"/>
      <c r="AB52" s="356"/>
      <c r="AC52" s="98" t="s">
        <v>67</v>
      </c>
      <c r="AD52" s="98">
        <f>ROUND(SUM(AD53:AD54),-3)</f>
        <v>17488000</v>
      </c>
      <c r="AE52" s="99" t="s">
        <v>62</v>
      </c>
      <c r="AF52" s="2"/>
    </row>
    <row r="53" spans="1:32" s="12" customFormat="1" ht="21" customHeight="1">
      <c r="A53" s="57"/>
      <c r="B53" s="58"/>
      <c r="C53" s="58"/>
      <c r="D53" s="310"/>
      <c r="E53" s="174"/>
      <c r="F53" s="174"/>
      <c r="G53" s="174"/>
      <c r="H53" s="174"/>
      <c r="I53" s="174"/>
      <c r="J53" s="174"/>
      <c r="K53" s="174"/>
      <c r="L53" s="174"/>
      <c r="M53" s="181"/>
      <c r="N53" s="96"/>
      <c r="O53" s="355" t="s">
        <v>601</v>
      </c>
      <c r="P53" s="239"/>
      <c r="Q53" s="239"/>
      <c r="R53" s="239"/>
      <c r="S53" s="238">
        <f>AD35</f>
        <v>89850000</v>
      </c>
      <c r="T53" s="237" t="s">
        <v>62</v>
      </c>
      <c r="U53" s="237" t="s">
        <v>92</v>
      </c>
      <c r="V53" s="103">
        <v>12</v>
      </c>
      <c r="W53" s="100" t="s">
        <v>0</v>
      </c>
      <c r="X53" s="238"/>
      <c r="Y53" s="238"/>
      <c r="Z53" s="238"/>
      <c r="AA53" s="238" t="s">
        <v>58</v>
      </c>
      <c r="AB53" s="238"/>
      <c r="AC53" s="92"/>
      <c r="AD53" s="92">
        <f>ROUNDUP(S53/V53,-3)</f>
        <v>7488000</v>
      </c>
      <c r="AE53" s="71" t="s">
        <v>62</v>
      </c>
      <c r="AF53" s="2"/>
    </row>
    <row r="54" spans="1:32" s="12" customFormat="1" ht="21" customHeight="1">
      <c r="A54" s="57"/>
      <c r="B54" s="58"/>
      <c r="C54" s="58"/>
      <c r="D54" s="310"/>
      <c r="E54" s="174"/>
      <c r="F54" s="174"/>
      <c r="G54" s="174"/>
      <c r="H54" s="174"/>
      <c r="I54" s="174"/>
      <c r="J54" s="174"/>
      <c r="K54" s="174"/>
      <c r="L54" s="174"/>
      <c r="M54" s="181"/>
      <c r="N54" s="96"/>
      <c r="O54" s="355" t="s">
        <v>602</v>
      </c>
      <c r="P54" s="269"/>
      <c r="Q54" s="269"/>
      <c r="R54" s="269"/>
      <c r="S54" s="268"/>
      <c r="T54" s="266"/>
      <c r="U54" s="266"/>
      <c r="V54" s="103"/>
      <c r="W54" s="100"/>
      <c r="X54" s="268"/>
      <c r="Y54" s="268"/>
      <c r="Z54" s="268"/>
      <c r="AA54" s="268"/>
      <c r="AB54" s="268"/>
      <c r="AC54" s="92"/>
      <c r="AD54" s="92">
        <v>10000000</v>
      </c>
      <c r="AE54" s="71" t="s">
        <v>62</v>
      </c>
      <c r="AF54" s="2"/>
    </row>
    <row r="55" spans="1:32" s="12" customFormat="1" ht="21" customHeight="1">
      <c r="A55" s="57"/>
      <c r="B55" s="58"/>
      <c r="C55" s="58"/>
      <c r="D55" s="311"/>
      <c r="E55" s="174"/>
      <c r="F55" s="174"/>
      <c r="G55" s="174"/>
      <c r="H55" s="174"/>
      <c r="I55" s="174"/>
      <c r="J55" s="174"/>
      <c r="K55" s="174"/>
      <c r="L55" s="174"/>
      <c r="M55" s="181"/>
      <c r="N55" s="96"/>
      <c r="O55" s="44"/>
      <c r="P55" s="44"/>
      <c r="Q55" s="44"/>
      <c r="R55" s="44"/>
      <c r="S55" s="44"/>
      <c r="T55" s="45"/>
      <c r="U55" s="45"/>
      <c r="V55" s="45"/>
      <c r="W55" s="45"/>
      <c r="X55" s="45"/>
      <c r="Y55" s="45"/>
      <c r="Z55" s="45"/>
      <c r="AA55" s="45"/>
      <c r="AB55" s="45"/>
      <c r="AC55" s="65"/>
      <c r="AD55" s="65"/>
      <c r="AE55" s="46"/>
      <c r="AF55" s="2"/>
    </row>
    <row r="56" spans="1:32" s="12" customFormat="1" ht="21" customHeight="1">
      <c r="A56" s="57"/>
      <c r="B56" s="58"/>
      <c r="C56" s="191" t="s">
        <v>226</v>
      </c>
      <c r="D56" s="309">
        <v>85692</v>
      </c>
      <c r="E56" s="180">
        <f>ROUND(AD56/1000,0)</f>
        <v>85893</v>
      </c>
      <c r="F56" s="180">
        <f>ROUNDUP(SUM(AD59,AD64,AD69,AD74,AD79),-3)/1000</f>
        <v>80162</v>
      </c>
      <c r="G56" s="180">
        <f>ROUNDUP(SUM(AD60,AD65,AD70,AD75,AD80),-3)/1000</f>
        <v>4782</v>
      </c>
      <c r="H56" s="180">
        <v>0</v>
      </c>
      <c r="I56" s="180">
        <v>0</v>
      </c>
      <c r="J56" s="180">
        <v>0</v>
      </c>
      <c r="K56" s="180">
        <f>ROUNDUP(SUM(AD61,AD66,AD71,AD76,AD81),-3)/1000</f>
        <v>949</v>
      </c>
      <c r="L56" s="180">
        <v>0</v>
      </c>
      <c r="M56" s="192">
        <f>E56-D56</f>
        <v>201</v>
      </c>
      <c r="N56" s="187">
        <f>IF(D56=0,0,M56/D56)</f>
        <v>2.3456098585632264E-3</v>
      </c>
      <c r="O56" s="160" t="s">
        <v>41</v>
      </c>
      <c r="P56" s="330"/>
      <c r="Q56" s="156"/>
      <c r="R56" s="156"/>
      <c r="S56" s="156"/>
      <c r="T56" s="131"/>
      <c r="U56" s="131"/>
      <c r="V56" s="131"/>
      <c r="W56" s="331" t="s">
        <v>437</v>
      </c>
      <c r="X56" s="331"/>
      <c r="Y56" s="331"/>
      <c r="Z56" s="331"/>
      <c r="AA56" s="331"/>
      <c r="AB56" s="331"/>
      <c r="AC56" s="333"/>
      <c r="AD56" s="333">
        <f>SUM(AD58,AD63,AD68,AD73,AD78)</f>
        <v>85893000</v>
      </c>
      <c r="AE56" s="332" t="s">
        <v>26</v>
      </c>
    </row>
    <row r="57" spans="1:32" s="12" customFormat="1" ht="21" customHeight="1">
      <c r="A57" s="57"/>
      <c r="B57" s="58"/>
      <c r="C57" s="58" t="s">
        <v>438</v>
      </c>
      <c r="D57" s="307"/>
      <c r="E57" s="174"/>
      <c r="F57" s="174"/>
      <c r="G57" s="174"/>
      <c r="H57" s="174"/>
      <c r="I57" s="174"/>
      <c r="J57" s="174"/>
      <c r="K57" s="174"/>
      <c r="L57" s="174"/>
      <c r="M57" s="174"/>
      <c r="N57" s="96"/>
      <c r="O57" s="305"/>
      <c r="P57" s="44"/>
      <c r="Q57" s="44"/>
      <c r="R57" s="44"/>
      <c r="S57" s="44"/>
      <c r="T57" s="45"/>
      <c r="U57" s="45"/>
      <c r="V57" s="45"/>
      <c r="W57" s="45"/>
      <c r="X57" s="45"/>
      <c r="Y57" s="45"/>
      <c r="Z57" s="45"/>
      <c r="AA57" s="45"/>
      <c r="AB57" s="45"/>
      <c r="AC57" s="65"/>
      <c r="AD57" s="65"/>
      <c r="AE57" s="46"/>
      <c r="AF57" s="2"/>
    </row>
    <row r="58" spans="1:32" s="12" customFormat="1" ht="21" customHeight="1">
      <c r="A58" s="57"/>
      <c r="B58" s="58"/>
      <c r="C58" s="58"/>
      <c r="D58" s="307"/>
      <c r="E58" s="174"/>
      <c r="F58" s="174"/>
      <c r="G58" s="174"/>
      <c r="H58" s="174"/>
      <c r="I58" s="174"/>
      <c r="J58" s="174"/>
      <c r="K58" s="174"/>
      <c r="L58" s="174"/>
      <c r="M58" s="174"/>
      <c r="N58" s="96"/>
      <c r="O58" s="301" t="s">
        <v>283</v>
      </c>
      <c r="P58" s="63"/>
      <c r="Q58" s="63"/>
      <c r="R58" s="63"/>
      <c r="S58" s="63"/>
      <c r="T58" s="64"/>
      <c r="U58" s="64"/>
      <c r="V58" s="64"/>
      <c r="W58" s="112" t="s">
        <v>223</v>
      </c>
      <c r="X58" s="112"/>
      <c r="Y58" s="112"/>
      <c r="Z58" s="112"/>
      <c r="AA58" s="112"/>
      <c r="AB58" s="112"/>
      <c r="AC58" s="98"/>
      <c r="AD58" s="98">
        <f>ROUNDUP(SUM(AD59:AD61),-3)</f>
        <v>42545000</v>
      </c>
      <c r="AE58" s="99" t="s">
        <v>224</v>
      </c>
      <c r="AF58" s="2"/>
    </row>
    <row r="59" spans="1:32" s="12" customFormat="1" ht="21" customHeight="1">
      <c r="A59" s="57"/>
      <c r="B59" s="58"/>
      <c r="C59" s="58"/>
      <c r="D59" s="307"/>
      <c r="E59" s="174"/>
      <c r="F59" s="174"/>
      <c r="G59" s="174"/>
      <c r="H59" s="174"/>
      <c r="I59" s="174"/>
      <c r="J59" s="174"/>
      <c r="K59" s="174"/>
      <c r="L59" s="174"/>
      <c r="M59" s="174"/>
      <c r="N59" s="96"/>
      <c r="O59" s="376" t="s">
        <v>630</v>
      </c>
      <c r="P59" s="197"/>
      <c r="Q59" s="197"/>
      <c r="R59" s="197"/>
      <c r="S59" s="354">
        <f>S46</f>
        <v>882377850</v>
      </c>
      <c r="T59" s="349" t="s">
        <v>62</v>
      </c>
      <c r="U59" s="100" t="s">
        <v>63</v>
      </c>
      <c r="V59" s="104">
        <v>0.09</v>
      </c>
      <c r="W59" s="349" t="s">
        <v>92</v>
      </c>
      <c r="X59" s="105">
        <v>2</v>
      </c>
      <c r="Y59" s="102"/>
      <c r="Z59" s="102"/>
      <c r="AA59" s="349" t="s">
        <v>58</v>
      </c>
      <c r="AB59" s="196"/>
      <c r="AC59" s="92"/>
      <c r="AD59" s="92">
        <f>ROUND(S59*V59/X59,-3)</f>
        <v>39707000</v>
      </c>
      <c r="AE59" s="71" t="s">
        <v>77</v>
      </c>
      <c r="AF59" s="2"/>
    </row>
    <row r="60" spans="1:32" s="12" customFormat="1" ht="21" customHeight="1">
      <c r="A60" s="57"/>
      <c r="B60" s="58"/>
      <c r="C60" s="58"/>
      <c r="D60" s="307"/>
      <c r="E60" s="174"/>
      <c r="F60" s="174"/>
      <c r="G60" s="174"/>
      <c r="H60" s="174"/>
      <c r="I60" s="174"/>
      <c r="J60" s="174"/>
      <c r="K60" s="174"/>
      <c r="L60" s="174"/>
      <c r="M60" s="174"/>
      <c r="N60" s="96"/>
      <c r="O60" s="303" t="s">
        <v>288</v>
      </c>
      <c r="P60" s="197"/>
      <c r="Q60" s="197"/>
      <c r="R60" s="197"/>
      <c r="S60" s="354">
        <f>S48</f>
        <v>52610500</v>
      </c>
      <c r="T60" s="349" t="s">
        <v>62</v>
      </c>
      <c r="U60" s="100" t="s">
        <v>63</v>
      </c>
      <c r="V60" s="104">
        <v>0.09</v>
      </c>
      <c r="W60" s="349" t="s">
        <v>92</v>
      </c>
      <c r="X60" s="105">
        <v>2</v>
      </c>
      <c r="Y60" s="102"/>
      <c r="Z60" s="102"/>
      <c r="AA60" s="349" t="s">
        <v>58</v>
      </c>
      <c r="AB60" s="196"/>
      <c r="AC60" s="92"/>
      <c r="AD60" s="92">
        <f>ROUNDUP(S60*V60/X60,-3)</f>
        <v>2368000</v>
      </c>
      <c r="AE60" s="71" t="s">
        <v>77</v>
      </c>
      <c r="AF60" s="2"/>
    </row>
    <row r="61" spans="1:32" s="12" customFormat="1" ht="21" customHeight="1">
      <c r="A61" s="57"/>
      <c r="B61" s="58"/>
      <c r="C61" s="58"/>
      <c r="D61" s="307"/>
      <c r="E61" s="174"/>
      <c r="F61" s="174"/>
      <c r="G61" s="174"/>
      <c r="H61" s="174"/>
      <c r="I61" s="174"/>
      <c r="J61" s="174"/>
      <c r="K61" s="174"/>
      <c r="L61" s="174"/>
      <c r="M61" s="174"/>
      <c r="N61" s="96"/>
      <c r="O61" s="303" t="s">
        <v>289</v>
      </c>
      <c r="P61" s="197"/>
      <c r="Q61" s="197"/>
      <c r="R61" s="197"/>
      <c r="S61" s="354">
        <v>10440000</v>
      </c>
      <c r="T61" s="349" t="s">
        <v>62</v>
      </c>
      <c r="U61" s="100" t="s">
        <v>63</v>
      </c>
      <c r="V61" s="104">
        <v>0.09</v>
      </c>
      <c r="W61" s="349" t="s">
        <v>92</v>
      </c>
      <c r="X61" s="105">
        <v>2</v>
      </c>
      <c r="Y61" s="102"/>
      <c r="Z61" s="102"/>
      <c r="AA61" s="349" t="s">
        <v>58</v>
      </c>
      <c r="AB61" s="196"/>
      <c r="AC61" s="92"/>
      <c r="AD61" s="92">
        <f t="shared" ref="AD61" si="4">ROUND(S61*V61/X61,-3)</f>
        <v>470000</v>
      </c>
      <c r="AE61" s="71" t="s">
        <v>77</v>
      </c>
      <c r="AF61" s="2"/>
    </row>
    <row r="62" spans="1:32" s="12" customFormat="1" ht="21" customHeight="1">
      <c r="A62" s="57"/>
      <c r="B62" s="58"/>
      <c r="C62" s="58"/>
      <c r="D62" s="307"/>
      <c r="E62" s="174"/>
      <c r="F62" s="174"/>
      <c r="G62" s="174"/>
      <c r="H62" s="174"/>
      <c r="I62" s="174"/>
      <c r="J62" s="174"/>
      <c r="K62" s="174"/>
      <c r="L62" s="174"/>
      <c r="M62" s="174"/>
      <c r="N62" s="96"/>
      <c r="O62" s="303"/>
      <c r="P62" s="63"/>
      <c r="Q62" s="63"/>
      <c r="R62" s="63"/>
      <c r="S62" s="63"/>
      <c r="T62" s="64"/>
      <c r="U62" s="64"/>
      <c r="V62" s="64"/>
      <c r="W62" s="64"/>
      <c r="X62" s="64"/>
      <c r="Y62" s="64"/>
      <c r="Z62" s="64"/>
      <c r="AA62" s="64"/>
      <c r="AB62" s="64"/>
      <c r="AC62" s="92"/>
      <c r="AD62" s="92"/>
      <c r="AE62" s="71"/>
      <c r="AF62" s="2"/>
    </row>
    <row r="63" spans="1:32" s="12" customFormat="1" ht="21" customHeight="1">
      <c r="A63" s="57"/>
      <c r="B63" s="58"/>
      <c r="C63" s="58"/>
      <c r="D63" s="307"/>
      <c r="E63" s="174"/>
      <c r="F63" s="174"/>
      <c r="G63" s="174"/>
      <c r="H63" s="174"/>
      <c r="I63" s="174"/>
      <c r="J63" s="174"/>
      <c r="K63" s="174"/>
      <c r="L63" s="174"/>
      <c r="M63" s="174"/>
      <c r="N63" s="96"/>
      <c r="O63" s="301" t="s">
        <v>284</v>
      </c>
      <c r="P63" s="63"/>
      <c r="Q63" s="63"/>
      <c r="R63" s="63"/>
      <c r="S63" s="63"/>
      <c r="T63" s="64"/>
      <c r="U63" s="64"/>
      <c r="V63" s="64"/>
      <c r="W63" s="112" t="s">
        <v>223</v>
      </c>
      <c r="X63" s="112"/>
      <c r="Y63" s="112"/>
      <c r="Z63" s="112"/>
      <c r="AA63" s="112"/>
      <c r="AB63" s="112"/>
      <c r="AC63" s="98" t="s">
        <v>225</v>
      </c>
      <c r="AD63" s="98">
        <f>ROUNDUP(SUM(AD64:AD66),-3)</f>
        <v>26661000</v>
      </c>
      <c r="AE63" s="99" t="s">
        <v>224</v>
      </c>
      <c r="AF63" s="2"/>
    </row>
    <row r="64" spans="1:32" s="12" customFormat="1" ht="21" customHeight="1">
      <c r="A64" s="57"/>
      <c r="B64" s="58"/>
      <c r="C64" s="58"/>
      <c r="D64" s="307"/>
      <c r="E64" s="174"/>
      <c r="F64" s="174"/>
      <c r="G64" s="174"/>
      <c r="H64" s="174"/>
      <c r="I64" s="174"/>
      <c r="J64" s="174"/>
      <c r="K64" s="174"/>
      <c r="L64" s="174"/>
      <c r="M64" s="174"/>
      <c r="N64" s="96"/>
      <c r="O64" s="376" t="s">
        <v>630</v>
      </c>
      <c r="P64" s="197"/>
      <c r="Q64" s="197"/>
      <c r="R64" s="197"/>
      <c r="S64" s="354">
        <f>S59</f>
        <v>882377850</v>
      </c>
      <c r="T64" s="349" t="s">
        <v>62</v>
      </c>
      <c r="U64" s="100" t="s">
        <v>63</v>
      </c>
      <c r="V64" s="106">
        <v>5.6399999999999999E-2</v>
      </c>
      <c r="W64" s="349" t="s">
        <v>92</v>
      </c>
      <c r="X64" s="362">
        <v>2</v>
      </c>
      <c r="Y64" s="102"/>
      <c r="Z64" s="102"/>
      <c r="AA64" s="349" t="s">
        <v>58</v>
      </c>
      <c r="AB64" s="354"/>
      <c r="AC64" s="92"/>
      <c r="AD64" s="92">
        <f>ROUND(S64*V64/X64,-3)</f>
        <v>24883000</v>
      </c>
      <c r="AE64" s="71" t="s">
        <v>77</v>
      </c>
      <c r="AF64" s="2"/>
    </row>
    <row r="65" spans="1:32" s="12" customFormat="1" ht="21" customHeight="1">
      <c r="A65" s="57"/>
      <c r="B65" s="58"/>
      <c r="C65" s="58"/>
      <c r="D65" s="307"/>
      <c r="E65" s="174"/>
      <c r="F65" s="174"/>
      <c r="G65" s="174"/>
      <c r="H65" s="174"/>
      <c r="I65" s="174"/>
      <c r="J65" s="174"/>
      <c r="K65" s="174"/>
      <c r="L65" s="174"/>
      <c r="M65" s="174"/>
      <c r="N65" s="96"/>
      <c r="O65" s="303" t="s">
        <v>288</v>
      </c>
      <c r="P65" s="197"/>
      <c r="Q65" s="197"/>
      <c r="R65" s="197"/>
      <c r="S65" s="354">
        <f>S60</f>
        <v>52610500</v>
      </c>
      <c r="T65" s="196" t="s">
        <v>26</v>
      </c>
      <c r="U65" s="349" t="s">
        <v>27</v>
      </c>
      <c r="V65" s="106">
        <v>5.6399999999999999E-2</v>
      </c>
      <c r="W65" s="196" t="s">
        <v>514</v>
      </c>
      <c r="X65" s="349">
        <v>2</v>
      </c>
      <c r="Y65" s="196"/>
      <c r="Z65" s="196"/>
      <c r="AA65" s="196" t="s">
        <v>28</v>
      </c>
      <c r="AB65" s="196"/>
      <c r="AC65" s="92"/>
      <c r="AD65" s="92">
        <f t="shared" ref="AD65:AD66" si="5">ROUND(S65*V65/X65,-3)</f>
        <v>1484000</v>
      </c>
      <c r="AE65" s="71" t="s">
        <v>77</v>
      </c>
      <c r="AF65" s="2"/>
    </row>
    <row r="66" spans="1:32" s="12" customFormat="1" ht="21" customHeight="1">
      <c r="A66" s="57"/>
      <c r="B66" s="58"/>
      <c r="C66" s="58"/>
      <c r="D66" s="307"/>
      <c r="E66" s="174"/>
      <c r="F66" s="174"/>
      <c r="G66" s="174"/>
      <c r="H66" s="174"/>
      <c r="I66" s="174"/>
      <c r="J66" s="174"/>
      <c r="K66" s="174"/>
      <c r="L66" s="174"/>
      <c r="M66" s="174"/>
      <c r="N66" s="96"/>
      <c r="O66" s="303" t="s">
        <v>289</v>
      </c>
      <c r="P66" s="197"/>
      <c r="Q66" s="197"/>
      <c r="R66" s="197"/>
      <c r="S66" s="354">
        <v>10440000</v>
      </c>
      <c r="T66" s="196" t="s">
        <v>26</v>
      </c>
      <c r="U66" s="349" t="s">
        <v>27</v>
      </c>
      <c r="V66" s="106">
        <v>5.6399999999999999E-2</v>
      </c>
      <c r="W66" s="196" t="s">
        <v>514</v>
      </c>
      <c r="X66" s="349">
        <v>2</v>
      </c>
      <c r="Y66" s="196"/>
      <c r="Z66" s="196"/>
      <c r="AA66" s="196" t="s">
        <v>28</v>
      </c>
      <c r="AB66" s="196"/>
      <c r="AC66" s="92"/>
      <c r="AD66" s="92">
        <f t="shared" si="5"/>
        <v>294000</v>
      </c>
      <c r="AE66" s="71" t="s">
        <v>77</v>
      </c>
      <c r="AF66" s="2"/>
    </row>
    <row r="67" spans="1:32" s="12" customFormat="1" ht="21" customHeight="1">
      <c r="A67" s="57"/>
      <c r="B67" s="58"/>
      <c r="C67" s="58"/>
      <c r="D67" s="307"/>
      <c r="E67" s="174"/>
      <c r="F67" s="174"/>
      <c r="G67" s="174"/>
      <c r="H67" s="174"/>
      <c r="I67" s="174"/>
      <c r="J67" s="174"/>
      <c r="K67" s="174"/>
      <c r="L67" s="174"/>
      <c r="M67" s="174"/>
      <c r="N67" s="96"/>
      <c r="O67" s="303"/>
      <c r="P67" s="63"/>
      <c r="Q67" s="63"/>
      <c r="R67" s="63"/>
      <c r="S67" s="63"/>
      <c r="T67" s="64"/>
      <c r="U67" s="64"/>
      <c r="V67" s="64"/>
      <c r="W67" s="64"/>
      <c r="X67" s="64"/>
      <c r="Y67" s="64"/>
      <c r="Z67" s="64"/>
      <c r="AA67" s="64"/>
      <c r="AB67" s="64"/>
      <c r="AC67" s="92"/>
      <c r="AD67" s="92"/>
      <c r="AE67" s="71"/>
      <c r="AF67" s="2"/>
    </row>
    <row r="68" spans="1:32" s="12" customFormat="1" ht="21" customHeight="1">
      <c r="A68" s="57"/>
      <c r="B68" s="58"/>
      <c r="C68" s="58"/>
      <c r="D68" s="307"/>
      <c r="E68" s="174"/>
      <c r="F68" s="174"/>
      <c r="G68" s="174"/>
      <c r="H68" s="174"/>
      <c r="I68" s="174"/>
      <c r="J68" s="174"/>
      <c r="K68" s="174"/>
      <c r="L68" s="174"/>
      <c r="M68" s="174"/>
      <c r="N68" s="96"/>
      <c r="O68" s="301" t="s">
        <v>285</v>
      </c>
      <c r="P68" s="63"/>
      <c r="Q68" s="63"/>
      <c r="R68" s="63"/>
      <c r="S68" s="63"/>
      <c r="T68" s="64"/>
      <c r="U68" s="64"/>
      <c r="V68" s="64"/>
      <c r="W68" s="112" t="s">
        <v>223</v>
      </c>
      <c r="X68" s="112"/>
      <c r="Y68" s="112"/>
      <c r="Z68" s="112"/>
      <c r="AA68" s="112"/>
      <c r="AB68" s="112"/>
      <c r="AC68" s="98" t="s">
        <v>225</v>
      </c>
      <c r="AD68" s="98">
        <f>ROUNDUP(SUM(AD69:AD71),-3)</f>
        <v>1747000</v>
      </c>
      <c r="AE68" s="99" t="s">
        <v>224</v>
      </c>
      <c r="AF68" s="2"/>
    </row>
    <row r="69" spans="1:32" s="12" customFormat="1" ht="21" customHeight="1">
      <c r="A69" s="57"/>
      <c r="B69" s="58"/>
      <c r="C69" s="58"/>
      <c r="D69" s="307"/>
      <c r="E69" s="174"/>
      <c r="F69" s="174"/>
      <c r="G69" s="174"/>
      <c r="H69" s="174"/>
      <c r="I69" s="174"/>
      <c r="J69" s="174"/>
      <c r="K69" s="174"/>
      <c r="L69" s="174"/>
      <c r="M69" s="174"/>
      <c r="N69" s="96"/>
      <c r="O69" s="376" t="s">
        <v>630</v>
      </c>
      <c r="P69" s="197"/>
      <c r="Q69" s="197"/>
      <c r="R69" s="197"/>
      <c r="S69" s="363">
        <f>AD64</f>
        <v>24883000</v>
      </c>
      <c r="T69" s="349" t="s">
        <v>62</v>
      </c>
      <c r="U69" s="100" t="s">
        <v>63</v>
      </c>
      <c r="V69" s="106">
        <v>6.5500000000000003E-2</v>
      </c>
      <c r="W69" s="107"/>
      <c r="X69" s="108"/>
      <c r="Y69" s="109"/>
      <c r="Z69" s="109"/>
      <c r="AA69" s="349" t="s">
        <v>58</v>
      </c>
      <c r="AB69" s="354"/>
      <c r="AC69" s="92"/>
      <c r="AD69" s="92">
        <f>ROUND(S69*V69,-3)</f>
        <v>1630000</v>
      </c>
      <c r="AE69" s="71" t="s">
        <v>77</v>
      </c>
      <c r="AF69" s="2"/>
    </row>
    <row r="70" spans="1:32" s="12" customFormat="1" ht="21" customHeight="1">
      <c r="A70" s="57"/>
      <c r="B70" s="58"/>
      <c r="C70" s="58"/>
      <c r="D70" s="307"/>
      <c r="E70" s="174"/>
      <c r="F70" s="174"/>
      <c r="G70" s="174"/>
      <c r="H70" s="174"/>
      <c r="I70" s="174"/>
      <c r="J70" s="174"/>
      <c r="K70" s="174"/>
      <c r="L70" s="174"/>
      <c r="M70" s="174"/>
      <c r="N70" s="96"/>
      <c r="O70" s="303" t="s">
        <v>288</v>
      </c>
      <c r="P70" s="197"/>
      <c r="Q70" s="197"/>
      <c r="R70" s="197"/>
      <c r="S70" s="363">
        <f>AD65</f>
        <v>1484000</v>
      </c>
      <c r="T70" s="349" t="s">
        <v>62</v>
      </c>
      <c r="U70" s="100" t="s">
        <v>63</v>
      </c>
      <c r="V70" s="106">
        <v>6.5500000000000003E-2</v>
      </c>
      <c r="W70" s="107"/>
      <c r="X70" s="108"/>
      <c r="Y70" s="109"/>
      <c r="Z70" s="109"/>
      <c r="AA70" s="349" t="s">
        <v>58</v>
      </c>
      <c r="AB70" s="354"/>
      <c r="AC70" s="92"/>
      <c r="AD70" s="92">
        <f>ROUNDUP(S70*V70,-3)</f>
        <v>98000</v>
      </c>
      <c r="AE70" s="71" t="s">
        <v>77</v>
      </c>
      <c r="AF70" s="2"/>
    </row>
    <row r="71" spans="1:32" s="12" customFormat="1" ht="21" customHeight="1">
      <c r="A71" s="57"/>
      <c r="B71" s="58"/>
      <c r="C71" s="58"/>
      <c r="D71" s="307"/>
      <c r="E71" s="174"/>
      <c r="F71" s="174"/>
      <c r="G71" s="174"/>
      <c r="H71" s="174"/>
      <c r="I71" s="174"/>
      <c r="J71" s="174"/>
      <c r="K71" s="174"/>
      <c r="L71" s="174"/>
      <c r="M71" s="174"/>
      <c r="N71" s="96"/>
      <c r="O71" s="303" t="s">
        <v>289</v>
      </c>
      <c r="P71" s="197"/>
      <c r="Q71" s="197"/>
      <c r="R71" s="197"/>
      <c r="S71" s="363">
        <f>AD66</f>
        <v>294000</v>
      </c>
      <c r="T71" s="349" t="s">
        <v>62</v>
      </c>
      <c r="U71" s="100" t="s">
        <v>63</v>
      </c>
      <c r="V71" s="106">
        <v>6.5500000000000003E-2</v>
      </c>
      <c r="W71" s="107"/>
      <c r="X71" s="108"/>
      <c r="Y71" s="109"/>
      <c r="Z71" s="109"/>
      <c r="AA71" s="349" t="s">
        <v>58</v>
      </c>
      <c r="AB71" s="354"/>
      <c r="AC71" s="92"/>
      <c r="AD71" s="92">
        <f>ROUND(S71*V71,-3)</f>
        <v>19000</v>
      </c>
      <c r="AE71" s="71" t="s">
        <v>77</v>
      </c>
      <c r="AF71" s="2"/>
    </row>
    <row r="72" spans="1:32" s="12" customFormat="1" ht="21" customHeight="1">
      <c r="A72" s="57"/>
      <c r="B72" s="58"/>
      <c r="C72" s="58"/>
      <c r="D72" s="307"/>
      <c r="E72" s="174"/>
      <c r="F72" s="174"/>
      <c r="G72" s="174"/>
      <c r="H72" s="174"/>
      <c r="I72" s="174"/>
      <c r="J72" s="174"/>
      <c r="K72" s="174"/>
      <c r="L72" s="174"/>
      <c r="M72" s="174"/>
      <c r="N72" s="96"/>
      <c r="O72" s="303"/>
      <c r="P72" s="63"/>
      <c r="Q72" s="63"/>
      <c r="R72" s="63"/>
      <c r="S72" s="63"/>
      <c r="T72" s="64"/>
      <c r="U72" s="64"/>
      <c r="V72" s="64"/>
      <c r="W72" s="64"/>
      <c r="X72" s="64"/>
      <c r="Y72" s="64"/>
      <c r="Z72" s="64"/>
      <c r="AA72" s="64"/>
      <c r="AB72" s="64"/>
      <c r="AC72" s="92"/>
      <c r="AD72" s="92"/>
      <c r="AE72" s="71"/>
      <c r="AF72" s="2"/>
    </row>
    <row r="73" spans="1:32" s="12" customFormat="1" ht="21" customHeight="1">
      <c r="A73" s="57"/>
      <c r="B73" s="58"/>
      <c r="C73" s="58"/>
      <c r="D73" s="307"/>
      <c r="E73" s="174"/>
      <c r="F73" s="174"/>
      <c r="G73" s="174"/>
      <c r="H73" s="174"/>
      <c r="I73" s="174"/>
      <c r="J73" s="174"/>
      <c r="K73" s="174"/>
      <c r="L73" s="174"/>
      <c r="M73" s="174"/>
      <c r="N73" s="96"/>
      <c r="O73" s="301" t="s">
        <v>286</v>
      </c>
      <c r="P73" s="197"/>
      <c r="Q73" s="197"/>
      <c r="R73" s="197"/>
      <c r="S73" s="63"/>
      <c r="T73" s="64"/>
      <c r="U73" s="64"/>
      <c r="V73" s="64"/>
      <c r="W73" s="112" t="s">
        <v>223</v>
      </c>
      <c r="X73" s="112"/>
      <c r="Y73" s="112"/>
      <c r="Z73" s="112"/>
      <c r="AA73" s="112"/>
      <c r="AB73" s="112"/>
      <c r="AC73" s="98" t="s">
        <v>225</v>
      </c>
      <c r="AD73" s="98">
        <f>ROUNDUP(SUM(AD74:AD76),-3)</f>
        <v>7564000</v>
      </c>
      <c r="AE73" s="99" t="s">
        <v>224</v>
      </c>
      <c r="AF73" s="2"/>
    </row>
    <row r="74" spans="1:32" s="12" customFormat="1" ht="21" customHeight="1">
      <c r="A74" s="57"/>
      <c r="B74" s="58"/>
      <c r="C74" s="58"/>
      <c r="D74" s="307"/>
      <c r="E74" s="174"/>
      <c r="F74" s="174"/>
      <c r="G74" s="174"/>
      <c r="H74" s="174"/>
      <c r="I74" s="174"/>
      <c r="J74" s="174"/>
      <c r="K74" s="174"/>
      <c r="L74" s="174"/>
      <c r="M74" s="174"/>
      <c r="N74" s="96"/>
      <c r="O74" s="376" t="s">
        <v>630</v>
      </c>
      <c r="P74" s="197"/>
      <c r="Q74" s="197"/>
      <c r="R74" s="197"/>
      <c r="S74" s="354">
        <f>S64</f>
        <v>882377850</v>
      </c>
      <c r="T74" s="349" t="s">
        <v>62</v>
      </c>
      <c r="U74" s="100" t="s">
        <v>63</v>
      </c>
      <c r="V74" s="106">
        <v>8.0000000000000002E-3</v>
      </c>
      <c r="W74" s="100"/>
      <c r="X74" s="110"/>
      <c r="Y74" s="102"/>
      <c r="Z74" s="102"/>
      <c r="AA74" s="349" t="s">
        <v>58</v>
      </c>
      <c r="AB74" s="354"/>
      <c r="AC74" s="92"/>
      <c r="AD74" s="92">
        <f>ROUND(S74*V74,-3)</f>
        <v>7059000</v>
      </c>
      <c r="AE74" s="71" t="s">
        <v>77</v>
      </c>
      <c r="AF74" s="2"/>
    </row>
    <row r="75" spans="1:32" s="12" customFormat="1" ht="21" customHeight="1">
      <c r="A75" s="57"/>
      <c r="B75" s="58"/>
      <c r="C75" s="58"/>
      <c r="D75" s="307"/>
      <c r="E75" s="174"/>
      <c r="F75" s="174"/>
      <c r="G75" s="174"/>
      <c r="H75" s="174"/>
      <c r="I75" s="174"/>
      <c r="J75" s="174"/>
      <c r="K75" s="174"/>
      <c r="L75" s="174"/>
      <c r="M75" s="174"/>
      <c r="N75" s="96"/>
      <c r="O75" s="303" t="s">
        <v>288</v>
      </c>
      <c r="P75" s="197"/>
      <c r="Q75" s="197"/>
      <c r="R75" s="197"/>
      <c r="S75" s="354">
        <f>S65</f>
        <v>52610500</v>
      </c>
      <c r="T75" s="349" t="s">
        <v>62</v>
      </c>
      <c r="U75" s="100" t="s">
        <v>63</v>
      </c>
      <c r="V75" s="106">
        <v>8.0000000000000002E-3</v>
      </c>
      <c r="W75" s="100"/>
      <c r="X75" s="110"/>
      <c r="Y75" s="102"/>
      <c r="Z75" s="102"/>
      <c r="AA75" s="349" t="s">
        <v>58</v>
      </c>
      <c r="AB75" s="354"/>
      <c r="AC75" s="92"/>
      <c r="AD75" s="92">
        <f>ROUND(S75*V75,-3)</f>
        <v>421000</v>
      </c>
      <c r="AE75" s="71" t="s">
        <v>77</v>
      </c>
      <c r="AF75" s="2"/>
    </row>
    <row r="76" spans="1:32" s="12" customFormat="1" ht="21" customHeight="1">
      <c r="A76" s="57"/>
      <c r="B76" s="58"/>
      <c r="C76" s="58"/>
      <c r="D76" s="307"/>
      <c r="E76" s="174"/>
      <c r="F76" s="174"/>
      <c r="G76" s="174"/>
      <c r="H76" s="174"/>
      <c r="I76" s="174"/>
      <c r="J76" s="174"/>
      <c r="K76" s="174"/>
      <c r="L76" s="174"/>
      <c r="M76" s="174"/>
      <c r="N76" s="96"/>
      <c r="O76" s="303" t="s">
        <v>289</v>
      </c>
      <c r="P76" s="197"/>
      <c r="Q76" s="197"/>
      <c r="R76" s="197"/>
      <c r="S76" s="354">
        <v>10440000</v>
      </c>
      <c r="T76" s="349" t="s">
        <v>62</v>
      </c>
      <c r="U76" s="100" t="s">
        <v>63</v>
      </c>
      <c r="V76" s="106">
        <v>8.0000000000000002E-3</v>
      </c>
      <c r="W76" s="100"/>
      <c r="X76" s="110"/>
      <c r="Y76" s="102"/>
      <c r="Z76" s="102"/>
      <c r="AA76" s="349" t="s">
        <v>58</v>
      </c>
      <c r="AB76" s="354"/>
      <c r="AC76" s="92"/>
      <c r="AD76" s="92">
        <f>ROUND(S76*V76,-3)</f>
        <v>84000</v>
      </c>
      <c r="AE76" s="71" t="s">
        <v>77</v>
      </c>
      <c r="AF76" s="2"/>
    </row>
    <row r="77" spans="1:32" s="12" customFormat="1" ht="21" customHeight="1">
      <c r="A77" s="57"/>
      <c r="B77" s="58"/>
      <c r="C77" s="58"/>
      <c r="D77" s="307"/>
      <c r="E77" s="174"/>
      <c r="F77" s="174"/>
      <c r="G77" s="174"/>
      <c r="H77" s="174"/>
      <c r="I77" s="174"/>
      <c r="J77" s="174"/>
      <c r="K77" s="174"/>
      <c r="L77" s="174"/>
      <c r="M77" s="174"/>
      <c r="N77" s="96"/>
      <c r="O77" s="63"/>
      <c r="P77" s="63"/>
      <c r="Q77" s="63"/>
      <c r="R77" s="63"/>
      <c r="S77" s="63"/>
      <c r="T77" s="64"/>
      <c r="U77" s="64"/>
      <c r="V77" s="64"/>
      <c r="W77" s="64"/>
      <c r="X77" s="64"/>
      <c r="Y77" s="64"/>
      <c r="Z77" s="64"/>
      <c r="AA77" s="64"/>
      <c r="AB77" s="64"/>
      <c r="AC77" s="92"/>
      <c r="AD77" s="92"/>
      <c r="AE77" s="71"/>
      <c r="AF77" s="2"/>
    </row>
    <row r="78" spans="1:32" s="12" customFormat="1" ht="21" customHeight="1">
      <c r="A78" s="57"/>
      <c r="B78" s="58"/>
      <c r="C78" s="58"/>
      <c r="D78" s="307"/>
      <c r="E78" s="174"/>
      <c r="F78" s="174"/>
      <c r="G78" s="174"/>
      <c r="H78" s="174"/>
      <c r="I78" s="174"/>
      <c r="J78" s="174"/>
      <c r="K78" s="174"/>
      <c r="L78" s="174"/>
      <c r="M78" s="174"/>
      <c r="N78" s="96"/>
      <c r="O78" s="301" t="s">
        <v>287</v>
      </c>
      <c r="P78" s="197"/>
      <c r="Q78" s="197"/>
      <c r="R78" s="197"/>
      <c r="S78" s="63"/>
      <c r="T78" s="64"/>
      <c r="U78" s="64"/>
      <c r="V78" s="64"/>
      <c r="W78" s="112" t="s">
        <v>223</v>
      </c>
      <c r="X78" s="112"/>
      <c r="Y78" s="112"/>
      <c r="Z78" s="112"/>
      <c r="AA78" s="112"/>
      <c r="AB78" s="112"/>
      <c r="AC78" s="98" t="s">
        <v>225</v>
      </c>
      <c r="AD78" s="98">
        <f>ROUNDUP(SUM(AD79:AD81),-3)</f>
        <v>7376000</v>
      </c>
      <c r="AE78" s="99" t="s">
        <v>224</v>
      </c>
      <c r="AF78" s="2"/>
    </row>
    <row r="79" spans="1:32" s="12" customFormat="1" ht="21" customHeight="1">
      <c r="A79" s="57"/>
      <c r="B79" s="58"/>
      <c r="C79" s="58"/>
      <c r="D79" s="307"/>
      <c r="E79" s="174"/>
      <c r="F79" s="174"/>
      <c r="G79" s="174"/>
      <c r="H79" s="174"/>
      <c r="I79" s="174"/>
      <c r="J79" s="174"/>
      <c r="K79" s="174"/>
      <c r="L79" s="174"/>
      <c r="M79" s="174"/>
      <c r="N79" s="96"/>
      <c r="O79" s="355" t="s">
        <v>515</v>
      </c>
      <c r="P79" s="197"/>
      <c r="Q79" s="197"/>
      <c r="R79" s="197"/>
      <c r="S79" s="354">
        <f>S74</f>
        <v>882377850</v>
      </c>
      <c r="T79" s="349" t="s">
        <v>62</v>
      </c>
      <c r="U79" s="100" t="s">
        <v>63</v>
      </c>
      <c r="V79" s="106">
        <v>7.7999999999999996E-3</v>
      </c>
      <c r="W79" s="100"/>
      <c r="X79" s="110"/>
      <c r="Y79" s="102"/>
      <c r="Z79" s="102"/>
      <c r="AA79" s="349" t="s">
        <v>58</v>
      </c>
      <c r="AB79" s="354"/>
      <c r="AC79" s="92"/>
      <c r="AD79" s="92">
        <f>ROUND(S79*V79,-3)</f>
        <v>6883000</v>
      </c>
      <c r="AE79" s="71" t="s">
        <v>77</v>
      </c>
      <c r="AF79" s="2"/>
    </row>
    <row r="80" spans="1:32" s="12" customFormat="1" ht="21" customHeight="1">
      <c r="A80" s="57"/>
      <c r="B80" s="58"/>
      <c r="C80" s="58"/>
      <c r="D80" s="307"/>
      <c r="E80" s="174"/>
      <c r="F80" s="174"/>
      <c r="G80" s="174"/>
      <c r="H80" s="174"/>
      <c r="I80" s="174"/>
      <c r="J80" s="174"/>
      <c r="K80" s="174"/>
      <c r="L80" s="174"/>
      <c r="M80" s="174"/>
      <c r="N80" s="96"/>
      <c r="O80" s="303" t="s">
        <v>288</v>
      </c>
      <c r="P80" s="197"/>
      <c r="Q80" s="197"/>
      <c r="R80" s="197"/>
      <c r="S80" s="354">
        <f>S75</f>
        <v>52610500</v>
      </c>
      <c r="T80" s="349" t="s">
        <v>62</v>
      </c>
      <c r="U80" s="100" t="s">
        <v>63</v>
      </c>
      <c r="V80" s="106">
        <v>7.7999999999999996E-3</v>
      </c>
      <c r="W80" s="100"/>
      <c r="X80" s="110"/>
      <c r="Y80" s="102"/>
      <c r="Z80" s="102"/>
      <c r="AA80" s="349" t="s">
        <v>58</v>
      </c>
      <c r="AB80" s="354"/>
      <c r="AC80" s="92"/>
      <c r="AD80" s="92">
        <f>ROUNDUP(S80*V80,-3)</f>
        <v>411000</v>
      </c>
      <c r="AE80" s="71" t="s">
        <v>77</v>
      </c>
      <c r="AF80" s="2"/>
    </row>
    <row r="81" spans="1:32" s="12" customFormat="1" ht="21" customHeight="1">
      <c r="A81" s="57"/>
      <c r="B81" s="58"/>
      <c r="C81" s="58"/>
      <c r="D81" s="307"/>
      <c r="E81" s="174"/>
      <c r="F81" s="174"/>
      <c r="G81" s="174"/>
      <c r="H81" s="174"/>
      <c r="I81" s="174"/>
      <c r="J81" s="174"/>
      <c r="K81" s="174"/>
      <c r="L81" s="174"/>
      <c r="M81" s="174"/>
      <c r="N81" s="96"/>
      <c r="O81" s="303" t="s">
        <v>289</v>
      </c>
      <c r="P81" s="197"/>
      <c r="Q81" s="197"/>
      <c r="R81" s="197"/>
      <c r="S81" s="354">
        <v>10440000</v>
      </c>
      <c r="T81" s="349" t="s">
        <v>62</v>
      </c>
      <c r="U81" s="100" t="s">
        <v>63</v>
      </c>
      <c r="V81" s="106">
        <v>7.7999999999999996E-3</v>
      </c>
      <c r="W81" s="100"/>
      <c r="X81" s="110"/>
      <c r="Y81" s="102"/>
      <c r="Z81" s="102"/>
      <c r="AA81" s="349" t="s">
        <v>58</v>
      </c>
      <c r="AB81" s="354"/>
      <c r="AC81" s="92"/>
      <c r="AD81" s="92">
        <f>ROUNDUP(S81*V81,-3)</f>
        <v>82000</v>
      </c>
      <c r="AE81" s="71" t="s">
        <v>77</v>
      </c>
      <c r="AF81" s="2"/>
    </row>
    <row r="82" spans="1:32" s="12" customFormat="1" ht="21" customHeight="1">
      <c r="A82" s="57"/>
      <c r="B82" s="58"/>
      <c r="C82" s="58"/>
      <c r="D82" s="307"/>
      <c r="E82" s="174"/>
      <c r="F82" s="174"/>
      <c r="G82" s="174"/>
      <c r="H82" s="174"/>
      <c r="I82" s="174"/>
      <c r="J82" s="174"/>
      <c r="K82" s="174"/>
      <c r="L82" s="174"/>
      <c r="M82" s="174"/>
      <c r="N82" s="96"/>
      <c r="O82" s="303"/>
      <c r="P82" s="63"/>
      <c r="Q82" s="63"/>
      <c r="R82" s="63"/>
      <c r="S82" s="63"/>
      <c r="T82" s="64"/>
      <c r="U82" s="64"/>
      <c r="V82" s="64"/>
      <c r="W82" s="64"/>
      <c r="X82" s="64"/>
      <c r="Y82" s="64"/>
      <c r="Z82" s="64"/>
      <c r="AA82" s="64"/>
      <c r="AB82" s="64"/>
      <c r="AC82" s="92"/>
      <c r="AD82" s="92"/>
      <c r="AE82" s="71"/>
      <c r="AF82" s="2"/>
    </row>
    <row r="83" spans="1:32" s="12" customFormat="1" ht="21" customHeight="1">
      <c r="A83" s="57"/>
      <c r="B83" s="58"/>
      <c r="C83" s="48" t="s">
        <v>227</v>
      </c>
      <c r="D83" s="309">
        <v>19140</v>
      </c>
      <c r="E83" s="180">
        <f>ROUND(AD83/1000,0)</f>
        <v>19350</v>
      </c>
      <c r="F83" s="180">
        <v>0</v>
      </c>
      <c r="G83" s="180">
        <v>0</v>
      </c>
      <c r="H83" s="180">
        <v>0</v>
      </c>
      <c r="I83" s="180">
        <v>4985</v>
      </c>
      <c r="J83" s="180">
        <v>0</v>
      </c>
      <c r="K83" s="180">
        <f>SUM(AD85:AD86,AD88:AD90)/1000</f>
        <v>9100</v>
      </c>
      <c r="L83" s="180">
        <v>5265</v>
      </c>
      <c r="M83" s="179">
        <f>E83-D83</f>
        <v>210</v>
      </c>
      <c r="N83" s="187">
        <f>IF(D83=0,0,M83/D83)</f>
        <v>1.0971786833855799E-2</v>
      </c>
      <c r="O83" s="160" t="s">
        <v>228</v>
      </c>
      <c r="P83" s="330"/>
      <c r="Q83" s="156"/>
      <c r="R83" s="156"/>
      <c r="S83" s="156"/>
      <c r="T83" s="131"/>
      <c r="U83" s="131"/>
      <c r="V83" s="131"/>
      <c r="W83" s="331" t="s">
        <v>437</v>
      </c>
      <c r="X83" s="331"/>
      <c r="Y83" s="331"/>
      <c r="Z83" s="331"/>
      <c r="AA83" s="331"/>
      <c r="AB83" s="331"/>
      <c r="AC83" s="333"/>
      <c r="AD83" s="333">
        <f>SUM(AD84:AD98)</f>
        <v>19350000</v>
      </c>
      <c r="AE83" s="332" t="s">
        <v>26</v>
      </c>
      <c r="AF83" s="22"/>
    </row>
    <row r="84" spans="1:32" s="12" customFormat="1" ht="21" customHeight="1">
      <c r="A84" s="57"/>
      <c r="B84" s="58"/>
      <c r="C84" s="58" t="s">
        <v>440</v>
      </c>
      <c r="D84" s="307"/>
      <c r="E84" s="174"/>
      <c r="F84" s="174"/>
      <c r="G84" s="174"/>
      <c r="H84" s="174"/>
      <c r="I84" s="174"/>
      <c r="J84" s="174"/>
      <c r="K84" s="174"/>
      <c r="L84" s="174"/>
      <c r="M84" s="174"/>
      <c r="N84" s="96"/>
      <c r="O84" s="233" t="s">
        <v>323</v>
      </c>
      <c r="P84" s="197"/>
      <c r="Q84" s="196"/>
      <c r="R84" s="196"/>
      <c r="S84" s="196">
        <v>20000</v>
      </c>
      <c r="T84" s="196" t="s">
        <v>77</v>
      </c>
      <c r="U84" s="100" t="s">
        <v>63</v>
      </c>
      <c r="V84" s="196">
        <v>33</v>
      </c>
      <c r="W84" s="196" t="s">
        <v>106</v>
      </c>
      <c r="X84" s="196"/>
      <c r="Y84" s="196"/>
      <c r="Z84" s="196"/>
      <c r="AA84" s="196" t="s">
        <v>93</v>
      </c>
      <c r="AB84" s="354" t="s">
        <v>516</v>
      </c>
      <c r="AC84" s="92"/>
      <c r="AD84" s="92">
        <f>S84*V84</f>
        <v>660000</v>
      </c>
      <c r="AE84" s="71" t="s">
        <v>62</v>
      </c>
      <c r="AF84" s="2"/>
    </row>
    <row r="85" spans="1:32" s="12" customFormat="1" ht="21" customHeight="1">
      <c r="A85" s="57"/>
      <c r="B85" s="58"/>
      <c r="C85" s="58"/>
      <c r="D85" s="307"/>
      <c r="E85" s="174"/>
      <c r="F85" s="174"/>
      <c r="G85" s="174"/>
      <c r="H85" s="174"/>
      <c r="I85" s="174"/>
      <c r="J85" s="174"/>
      <c r="K85" s="174"/>
      <c r="L85" s="174"/>
      <c r="M85" s="174"/>
      <c r="N85" s="96"/>
      <c r="O85" s="197" t="s">
        <v>172</v>
      </c>
      <c r="P85" s="197"/>
      <c r="Q85" s="196"/>
      <c r="R85" s="196"/>
      <c r="S85" s="196">
        <v>100000</v>
      </c>
      <c r="T85" s="196" t="s">
        <v>77</v>
      </c>
      <c r="U85" s="100" t="s">
        <v>63</v>
      </c>
      <c r="V85" s="196">
        <v>1</v>
      </c>
      <c r="W85" s="196" t="s">
        <v>106</v>
      </c>
      <c r="X85" s="100" t="s">
        <v>63</v>
      </c>
      <c r="Y85" s="196">
        <v>12</v>
      </c>
      <c r="Z85" s="196" t="s">
        <v>30</v>
      </c>
      <c r="AA85" s="196" t="s">
        <v>93</v>
      </c>
      <c r="AB85" s="196" t="s">
        <v>229</v>
      </c>
      <c r="AC85" s="92"/>
      <c r="AD85" s="92">
        <f>S85*V85*Y85</f>
        <v>1200000</v>
      </c>
      <c r="AE85" s="71" t="s">
        <v>77</v>
      </c>
      <c r="AF85" s="2"/>
    </row>
    <row r="86" spans="1:32" s="12" customFormat="1" ht="21" customHeight="1">
      <c r="A86" s="57"/>
      <c r="B86" s="58"/>
      <c r="C86" s="58"/>
      <c r="D86" s="307"/>
      <c r="E86" s="174"/>
      <c r="F86" s="174"/>
      <c r="G86" s="174"/>
      <c r="H86" s="174"/>
      <c r="I86" s="174"/>
      <c r="J86" s="174"/>
      <c r="K86" s="174"/>
      <c r="L86" s="174"/>
      <c r="M86" s="174"/>
      <c r="N86" s="96"/>
      <c r="O86" s="197" t="s">
        <v>173</v>
      </c>
      <c r="P86" s="197"/>
      <c r="Q86" s="196"/>
      <c r="R86" s="196"/>
      <c r="S86" s="196">
        <v>300000</v>
      </c>
      <c r="T86" s="196" t="s">
        <v>62</v>
      </c>
      <c r="U86" s="100" t="s">
        <v>63</v>
      </c>
      <c r="V86" s="196">
        <v>2</v>
      </c>
      <c r="W86" s="196" t="s">
        <v>174</v>
      </c>
      <c r="X86" s="196"/>
      <c r="Y86" s="196"/>
      <c r="Z86" s="196"/>
      <c r="AA86" s="196" t="s">
        <v>93</v>
      </c>
      <c r="AB86" s="196" t="s">
        <v>229</v>
      </c>
      <c r="AC86" s="92"/>
      <c r="AD86" s="92">
        <f>S86*V86</f>
        <v>600000</v>
      </c>
      <c r="AE86" s="71" t="s">
        <v>62</v>
      </c>
      <c r="AF86" s="2"/>
    </row>
    <row r="87" spans="1:32" s="12" customFormat="1" ht="21" customHeight="1">
      <c r="A87" s="57"/>
      <c r="B87" s="58"/>
      <c r="C87" s="58"/>
      <c r="D87" s="307"/>
      <c r="E87" s="174"/>
      <c r="F87" s="174"/>
      <c r="G87" s="174"/>
      <c r="H87" s="174"/>
      <c r="I87" s="174"/>
      <c r="J87" s="174"/>
      <c r="K87" s="174"/>
      <c r="L87" s="174"/>
      <c r="M87" s="174"/>
      <c r="N87" s="96"/>
      <c r="O87" s="303" t="s">
        <v>403</v>
      </c>
      <c r="P87" s="197"/>
      <c r="Q87" s="197"/>
      <c r="R87" s="197"/>
      <c r="S87" s="196">
        <v>15000</v>
      </c>
      <c r="T87" s="196" t="s">
        <v>77</v>
      </c>
      <c r="U87" s="100" t="s">
        <v>63</v>
      </c>
      <c r="V87" s="196">
        <v>33</v>
      </c>
      <c r="W87" s="196" t="s">
        <v>106</v>
      </c>
      <c r="X87" s="100" t="s">
        <v>63</v>
      </c>
      <c r="Y87" s="196">
        <v>4</v>
      </c>
      <c r="Z87" s="196" t="s">
        <v>110</v>
      </c>
      <c r="AA87" s="196" t="s">
        <v>93</v>
      </c>
      <c r="AB87" s="354" t="s">
        <v>492</v>
      </c>
      <c r="AC87" s="101"/>
      <c r="AD87" s="196">
        <f>S87*V87*Y87</f>
        <v>1980000</v>
      </c>
      <c r="AE87" s="150" t="s">
        <v>26</v>
      </c>
      <c r="AF87" s="2"/>
    </row>
    <row r="88" spans="1:32" s="12" customFormat="1" ht="21" customHeight="1">
      <c r="A88" s="57"/>
      <c r="B88" s="58"/>
      <c r="C88" s="58"/>
      <c r="D88" s="307"/>
      <c r="E88" s="174"/>
      <c r="F88" s="174"/>
      <c r="G88" s="174"/>
      <c r="H88" s="174"/>
      <c r="I88" s="174"/>
      <c r="J88" s="174"/>
      <c r="K88" s="174"/>
      <c r="L88" s="174"/>
      <c r="M88" s="174"/>
      <c r="N88" s="96"/>
      <c r="O88" s="303" t="s">
        <v>175</v>
      </c>
      <c r="P88" s="197"/>
      <c r="Q88" s="197"/>
      <c r="R88" s="197"/>
      <c r="S88" s="196"/>
      <c r="T88" s="101"/>
      <c r="U88" s="101"/>
      <c r="V88" s="101"/>
      <c r="W88" s="196"/>
      <c r="X88" s="196"/>
      <c r="Y88" s="101"/>
      <c r="Z88" s="101"/>
      <c r="AA88" s="101"/>
      <c r="AB88" s="101" t="s">
        <v>229</v>
      </c>
      <c r="AC88" s="101"/>
      <c r="AD88" s="196">
        <v>300000</v>
      </c>
      <c r="AE88" s="150" t="s">
        <v>62</v>
      </c>
      <c r="AF88" s="2"/>
    </row>
    <row r="89" spans="1:32" s="12" customFormat="1" ht="21" customHeight="1">
      <c r="A89" s="57"/>
      <c r="B89" s="58"/>
      <c r="C89" s="58"/>
      <c r="D89" s="307"/>
      <c r="E89" s="174"/>
      <c r="F89" s="174"/>
      <c r="G89" s="174"/>
      <c r="H89" s="174"/>
      <c r="I89" s="174"/>
      <c r="J89" s="174"/>
      <c r="K89" s="174"/>
      <c r="L89" s="174"/>
      <c r="M89" s="174"/>
      <c r="N89" s="96"/>
      <c r="O89" s="355" t="s">
        <v>555</v>
      </c>
      <c r="P89" s="355"/>
      <c r="Q89" s="355"/>
      <c r="R89" s="355"/>
      <c r="S89" s="354"/>
      <c r="T89" s="101"/>
      <c r="U89" s="101"/>
      <c r="V89" s="101"/>
      <c r="W89" s="354"/>
      <c r="X89" s="354"/>
      <c r="Y89" s="101"/>
      <c r="Z89" s="101"/>
      <c r="AA89" s="101"/>
      <c r="AB89" s="101" t="s">
        <v>553</v>
      </c>
      <c r="AC89" s="101"/>
      <c r="AD89" s="354">
        <v>6000000</v>
      </c>
      <c r="AE89" s="150" t="s">
        <v>510</v>
      </c>
      <c r="AF89" s="2"/>
    </row>
    <row r="90" spans="1:32" s="12" customFormat="1" ht="21" customHeight="1">
      <c r="A90" s="57"/>
      <c r="B90" s="58"/>
      <c r="C90" s="58"/>
      <c r="D90" s="307"/>
      <c r="E90" s="174"/>
      <c r="F90" s="174"/>
      <c r="G90" s="174"/>
      <c r="H90" s="174"/>
      <c r="I90" s="174"/>
      <c r="J90" s="174"/>
      <c r="K90" s="174"/>
      <c r="L90" s="174"/>
      <c r="M90" s="174"/>
      <c r="N90" s="96"/>
      <c r="O90" s="272" t="s">
        <v>404</v>
      </c>
      <c r="P90" s="197"/>
      <c r="Q90" s="197"/>
      <c r="R90" s="197"/>
      <c r="S90" s="196"/>
      <c r="T90" s="101"/>
      <c r="U90" s="101"/>
      <c r="V90" s="101"/>
      <c r="W90" s="196"/>
      <c r="X90" s="101"/>
      <c r="Y90" s="101"/>
      <c r="Z90" s="101"/>
      <c r="AA90" s="151"/>
      <c r="AB90" s="101" t="s">
        <v>229</v>
      </c>
      <c r="AC90" s="101"/>
      <c r="AD90" s="196">
        <v>1000000</v>
      </c>
      <c r="AE90" s="150" t="s">
        <v>62</v>
      </c>
      <c r="AF90" s="2"/>
    </row>
    <row r="91" spans="1:32" s="12" customFormat="1" ht="21" customHeight="1">
      <c r="A91" s="57"/>
      <c r="B91" s="58"/>
      <c r="C91" s="58"/>
      <c r="D91" s="307"/>
      <c r="E91" s="174"/>
      <c r="F91" s="174"/>
      <c r="G91" s="174"/>
      <c r="H91" s="174"/>
      <c r="I91" s="174"/>
      <c r="J91" s="174"/>
      <c r="K91" s="174"/>
      <c r="L91" s="174"/>
      <c r="M91" s="174"/>
      <c r="N91" s="96"/>
      <c r="O91" s="197" t="s">
        <v>177</v>
      </c>
      <c r="P91" s="197"/>
      <c r="Q91" s="197"/>
      <c r="R91" s="197"/>
      <c r="S91" s="196"/>
      <c r="T91" s="101"/>
      <c r="U91" s="101"/>
      <c r="V91" s="101"/>
      <c r="W91" s="196"/>
      <c r="X91" s="101"/>
      <c r="Y91" s="101"/>
      <c r="Z91" s="101"/>
      <c r="AA91" s="151"/>
      <c r="AB91" s="101" t="s">
        <v>492</v>
      </c>
      <c r="AC91" s="101"/>
      <c r="AD91" s="196">
        <v>3000000</v>
      </c>
      <c r="AE91" s="150" t="s">
        <v>77</v>
      </c>
      <c r="AF91" s="2"/>
    </row>
    <row r="92" spans="1:32" s="12" customFormat="1" ht="21" customHeight="1">
      <c r="A92" s="57"/>
      <c r="B92" s="58"/>
      <c r="C92" s="58"/>
      <c r="D92" s="307"/>
      <c r="E92" s="174"/>
      <c r="F92" s="174"/>
      <c r="G92" s="174"/>
      <c r="H92" s="174"/>
      <c r="I92" s="174"/>
      <c r="J92" s="174"/>
      <c r="K92" s="174"/>
      <c r="L92" s="174"/>
      <c r="M92" s="174"/>
      <c r="N92" s="96"/>
      <c r="O92" s="197" t="s">
        <v>178</v>
      </c>
      <c r="P92" s="197"/>
      <c r="Q92" s="197"/>
      <c r="R92" s="197"/>
      <c r="S92" s="196">
        <v>5500</v>
      </c>
      <c r="T92" s="101" t="s">
        <v>77</v>
      </c>
      <c r="U92" s="100" t="s">
        <v>63</v>
      </c>
      <c r="V92" s="101">
        <v>36</v>
      </c>
      <c r="W92" s="196" t="s">
        <v>106</v>
      </c>
      <c r="X92" s="101"/>
      <c r="Y92" s="101"/>
      <c r="Z92" s="101"/>
      <c r="AA92" s="151" t="s">
        <v>93</v>
      </c>
      <c r="AB92" s="101" t="s">
        <v>492</v>
      </c>
      <c r="AC92" s="101"/>
      <c r="AD92" s="196">
        <f>S92*V92</f>
        <v>198000</v>
      </c>
      <c r="AE92" s="150" t="s">
        <v>77</v>
      </c>
      <c r="AF92" s="2"/>
    </row>
    <row r="93" spans="1:32" s="12" customFormat="1" ht="21" customHeight="1">
      <c r="A93" s="57"/>
      <c r="B93" s="58"/>
      <c r="C93" s="58"/>
      <c r="D93" s="307"/>
      <c r="E93" s="174"/>
      <c r="F93" s="174"/>
      <c r="G93" s="174"/>
      <c r="H93" s="174"/>
      <c r="I93" s="174"/>
      <c r="J93" s="174"/>
      <c r="K93" s="174"/>
      <c r="L93" s="174"/>
      <c r="M93" s="174"/>
      <c r="N93" s="96"/>
      <c r="O93" s="197" t="s">
        <v>179</v>
      </c>
      <c r="P93" s="197"/>
      <c r="Q93" s="197"/>
      <c r="R93" s="197"/>
      <c r="S93" s="196"/>
      <c r="T93" s="101"/>
      <c r="U93" s="100"/>
      <c r="V93" s="101"/>
      <c r="W93" s="196"/>
      <c r="X93" s="101"/>
      <c r="Y93" s="101"/>
      <c r="Z93" s="101"/>
      <c r="AA93" s="151"/>
      <c r="AB93" s="101" t="s">
        <v>492</v>
      </c>
      <c r="AC93" s="101"/>
      <c r="AD93" s="196">
        <v>2532000</v>
      </c>
      <c r="AE93" s="150" t="s">
        <v>77</v>
      </c>
      <c r="AF93" s="2"/>
    </row>
    <row r="94" spans="1:32" s="12" customFormat="1" ht="21" customHeight="1">
      <c r="A94" s="57"/>
      <c r="B94" s="58"/>
      <c r="C94" s="58"/>
      <c r="D94" s="307"/>
      <c r="E94" s="174"/>
      <c r="F94" s="174"/>
      <c r="G94" s="174"/>
      <c r="H94" s="174"/>
      <c r="I94" s="174"/>
      <c r="J94" s="174"/>
      <c r="K94" s="174"/>
      <c r="L94" s="174"/>
      <c r="M94" s="174"/>
      <c r="N94" s="96"/>
      <c r="O94" s="197" t="s">
        <v>180</v>
      </c>
      <c r="P94" s="197"/>
      <c r="Q94" s="197"/>
      <c r="R94" s="197"/>
      <c r="S94" s="196">
        <v>10000</v>
      </c>
      <c r="T94" s="101" t="s">
        <v>77</v>
      </c>
      <c r="U94" s="100" t="s">
        <v>63</v>
      </c>
      <c r="V94" s="101">
        <v>10</v>
      </c>
      <c r="W94" s="196" t="s">
        <v>106</v>
      </c>
      <c r="X94" s="100" t="s">
        <v>63</v>
      </c>
      <c r="Y94" s="101">
        <v>4</v>
      </c>
      <c r="Z94" s="101" t="s">
        <v>110</v>
      </c>
      <c r="AA94" s="151" t="s">
        <v>93</v>
      </c>
      <c r="AB94" s="101" t="s">
        <v>492</v>
      </c>
      <c r="AC94" s="101"/>
      <c r="AD94" s="196">
        <f>S94*V94*Y94</f>
        <v>400000</v>
      </c>
      <c r="AE94" s="150" t="s">
        <v>77</v>
      </c>
      <c r="AF94" s="2"/>
    </row>
    <row r="95" spans="1:32" s="12" customFormat="1" ht="21" customHeight="1">
      <c r="A95" s="57"/>
      <c r="B95" s="58"/>
      <c r="C95" s="58"/>
      <c r="D95" s="307"/>
      <c r="E95" s="174"/>
      <c r="F95" s="174"/>
      <c r="G95" s="174"/>
      <c r="H95" s="174"/>
      <c r="I95" s="174"/>
      <c r="J95" s="174"/>
      <c r="K95" s="174"/>
      <c r="L95" s="174"/>
      <c r="M95" s="174"/>
      <c r="N95" s="96"/>
      <c r="O95" s="355" t="s">
        <v>517</v>
      </c>
      <c r="P95" s="197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354" t="s">
        <v>492</v>
      </c>
      <c r="AC95" s="92"/>
      <c r="AD95" s="92">
        <v>600000</v>
      </c>
      <c r="AE95" s="71" t="s">
        <v>77</v>
      </c>
      <c r="AF95" s="2"/>
    </row>
    <row r="96" spans="1:32" s="12" customFormat="1" ht="21" customHeight="1">
      <c r="A96" s="57"/>
      <c r="B96" s="58"/>
      <c r="C96" s="58"/>
      <c r="D96" s="307"/>
      <c r="E96" s="174"/>
      <c r="F96" s="174"/>
      <c r="G96" s="174"/>
      <c r="H96" s="174"/>
      <c r="I96" s="174"/>
      <c r="J96" s="174"/>
      <c r="K96" s="174"/>
      <c r="L96" s="174"/>
      <c r="M96" s="174"/>
      <c r="N96" s="96"/>
      <c r="O96" s="303" t="s">
        <v>413</v>
      </c>
      <c r="P96" s="233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354" t="s">
        <v>492</v>
      </c>
      <c r="AC96" s="92"/>
      <c r="AD96" s="92">
        <v>200000</v>
      </c>
      <c r="AE96" s="71" t="s">
        <v>77</v>
      </c>
      <c r="AF96" s="2"/>
    </row>
    <row r="97" spans="1:34" s="12" customFormat="1" ht="21" customHeight="1">
      <c r="A97" s="57"/>
      <c r="B97" s="58"/>
      <c r="C97" s="58"/>
      <c r="D97" s="307"/>
      <c r="E97" s="174"/>
      <c r="F97" s="174"/>
      <c r="G97" s="174"/>
      <c r="H97" s="174"/>
      <c r="I97" s="174"/>
      <c r="J97" s="174"/>
      <c r="K97" s="174"/>
      <c r="L97" s="174"/>
      <c r="M97" s="174"/>
      <c r="N97" s="96"/>
      <c r="O97" s="303" t="s">
        <v>414</v>
      </c>
      <c r="P97" s="197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354" t="s">
        <v>492</v>
      </c>
      <c r="AC97" s="92"/>
      <c r="AD97" s="92">
        <v>20000</v>
      </c>
      <c r="AE97" s="71" t="s">
        <v>77</v>
      </c>
      <c r="AF97" s="2"/>
    </row>
    <row r="98" spans="1:34" s="12" customFormat="1" ht="21" customHeight="1">
      <c r="A98" s="57"/>
      <c r="B98" s="58"/>
      <c r="C98" s="58"/>
      <c r="D98" s="307"/>
      <c r="E98" s="174"/>
      <c r="F98" s="174"/>
      <c r="G98" s="174"/>
      <c r="H98" s="174"/>
      <c r="I98" s="174"/>
      <c r="J98" s="174"/>
      <c r="K98" s="174"/>
      <c r="L98" s="174"/>
      <c r="M98" s="174"/>
      <c r="N98" s="96"/>
      <c r="O98" s="303" t="s">
        <v>415</v>
      </c>
      <c r="P98" s="197"/>
      <c r="Q98" s="196"/>
      <c r="R98" s="196"/>
      <c r="S98" s="196">
        <v>20000</v>
      </c>
      <c r="T98" s="101" t="s">
        <v>77</v>
      </c>
      <c r="U98" s="100" t="s">
        <v>63</v>
      </c>
      <c r="V98" s="101">
        <v>33</v>
      </c>
      <c r="W98" s="196" t="s">
        <v>106</v>
      </c>
      <c r="X98" s="100" t="s">
        <v>63</v>
      </c>
      <c r="Y98" s="101">
        <v>1</v>
      </c>
      <c r="Z98" s="101" t="s">
        <v>110</v>
      </c>
      <c r="AA98" s="151" t="s">
        <v>93</v>
      </c>
      <c r="AB98" s="101" t="s">
        <v>516</v>
      </c>
      <c r="AC98" s="101"/>
      <c r="AD98" s="196">
        <f>S98*V98*Y98</f>
        <v>660000</v>
      </c>
      <c r="AE98" s="150" t="s">
        <v>77</v>
      </c>
      <c r="AF98" s="2"/>
    </row>
    <row r="99" spans="1:34" s="12" customFormat="1" ht="21" customHeight="1">
      <c r="A99" s="57"/>
      <c r="B99" s="73"/>
      <c r="C99" s="73"/>
      <c r="D99" s="308"/>
      <c r="E99" s="177"/>
      <c r="F99" s="177"/>
      <c r="G99" s="177"/>
      <c r="H99" s="177"/>
      <c r="I99" s="177"/>
      <c r="J99" s="177"/>
      <c r="K99" s="177"/>
      <c r="L99" s="177"/>
      <c r="M99" s="177"/>
      <c r="N99" s="125"/>
      <c r="O99" s="301"/>
      <c r="P99" s="113"/>
      <c r="Q99" s="113"/>
      <c r="R99" s="113"/>
      <c r="S99" s="112"/>
      <c r="T99" s="127"/>
      <c r="U99" s="127"/>
      <c r="V99" s="127"/>
      <c r="W99" s="112"/>
      <c r="X99" s="127"/>
      <c r="Y99" s="127"/>
      <c r="Z99" s="127"/>
      <c r="AA99" s="112"/>
      <c r="AB99" s="127"/>
      <c r="AC99" s="127"/>
      <c r="AD99" s="112"/>
      <c r="AE99" s="193"/>
      <c r="AF99" s="2"/>
    </row>
    <row r="100" spans="1:34" s="12" customFormat="1" ht="21" customHeight="1">
      <c r="A100" s="57"/>
      <c r="B100" s="58" t="s">
        <v>439</v>
      </c>
      <c r="C100" s="58" t="s">
        <v>5</v>
      </c>
      <c r="D100" s="174">
        <f>SUM(D101,D104,D106)</f>
        <v>2420</v>
      </c>
      <c r="E100" s="174">
        <f>SUM(E101,E104,E106)</f>
        <v>2420</v>
      </c>
      <c r="F100" s="174">
        <f t="shared" ref="F100:L100" si="6">SUM(F101,F104,F106)</f>
        <v>50</v>
      </c>
      <c r="G100" s="174">
        <f t="shared" si="6"/>
        <v>0</v>
      </c>
      <c r="H100" s="174">
        <f t="shared" si="6"/>
        <v>0</v>
      </c>
      <c r="I100" s="174">
        <f t="shared" si="6"/>
        <v>0</v>
      </c>
      <c r="J100" s="174">
        <f t="shared" si="6"/>
        <v>0</v>
      </c>
      <c r="K100" s="174">
        <f t="shared" si="6"/>
        <v>2220</v>
      </c>
      <c r="L100" s="174">
        <f t="shared" si="6"/>
        <v>150</v>
      </c>
      <c r="M100" s="174">
        <f>E100-D100</f>
        <v>0</v>
      </c>
      <c r="N100" s="96">
        <f>IF(D100=0,0,M100/D100)</f>
        <v>0</v>
      </c>
      <c r="O100" s="353" t="s">
        <v>519</v>
      </c>
      <c r="P100" s="44"/>
      <c r="Q100" s="44"/>
      <c r="R100" s="44"/>
      <c r="S100" s="45"/>
      <c r="T100" s="45"/>
      <c r="U100" s="45"/>
      <c r="V100" s="45"/>
      <c r="W100" s="358"/>
      <c r="X100" s="358"/>
      <c r="Y100" s="358"/>
      <c r="Z100" s="358"/>
      <c r="AA100" s="358"/>
      <c r="AB100" s="358"/>
      <c r="AC100" s="157"/>
      <c r="AD100" s="157">
        <f>SUM(AD101,AD104,AD106)</f>
        <v>2420000</v>
      </c>
      <c r="AE100" s="158" t="s">
        <v>26</v>
      </c>
      <c r="AF100" s="5"/>
    </row>
    <row r="101" spans="1:34" s="12" customFormat="1" ht="21" customHeight="1">
      <c r="A101" s="57"/>
      <c r="B101" s="58" t="s">
        <v>518</v>
      </c>
      <c r="C101" s="48" t="s">
        <v>10</v>
      </c>
      <c r="D101" s="309">
        <v>1200</v>
      </c>
      <c r="E101" s="179">
        <f>AD101/1000</f>
        <v>1200</v>
      </c>
      <c r="F101" s="179">
        <v>0</v>
      </c>
      <c r="G101" s="179">
        <v>0</v>
      </c>
      <c r="H101" s="179">
        <v>0</v>
      </c>
      <c r="I101" s="179">
        <v>0</v>
      </c>
      <c r="J101" s="179">
        <v>0</v>
      </c>
      <c r="K101" s="179">
        <f>AD101/1000</f>
        <v>1200</v>
      </c>
      <c r="L101" s="179">
        <v>0</v>
      </c>
      <c r="M101" s="179">
        <f>E101-D101</f>
        <v>0</v>
      </c>
      <c r="N101" s="187">
        <f>IF(D101=0,0,M101/D101)</f>
        <v>0</v>
      </c>
      <c r="O101" s="160" t="s">
        <v>42</v>
      </c>
      <c r="P101" s="295"/>
      <c r="Q101" s="313"/>
      <c r="R101" s="313"/>
      <c r="S101" s="313"/>
      <c r="T101" s="130"/>
      <c r="U101" s="130"/>
      <c r="V101" s="130"/>
      <c r="W101" s="130"/>
      <c r="X101" s="130"/>
      <c r="Y101" s="331" t="s">
        <v>521</v>
      </c>
      <c r="Z101" s="331"/>
      <c r="AA101" s="331"/>
      <c r="AB101" s="331"/>
      <c r="AC101" s="333"/>
      <c r="AD101" s="333">
        <f>AD102</f>
        <v>1200000</v>
      </c>
      <c r="AE101" s="332" t="s">
        <v>26</v>
      </c>
    </row>
    <row r="102" spans="1:34" s="12" customFormat="1" ht="21" customHeight="1">
      <c r="A102" s="57"/>
      <c r="B102" s="58"/>
      <c r="C102" s="58"/>
      <c r="D102" s="307"/>
      <c r="E102" s="174"/>
      <c r="F102" s="174"/>
      <c r="G102" s="174"/>
      <c r="H102" s="174"/>
      <c r="I102" s="174"/>
      <c r="J102" s="174"/>
      <c r="K102" s="174"/>
      <c r="L102" s="174"/>
      <c r="M102" s="174"/>
      <c r="N102" s="96"/>
      <c r="O102" s="355" t="s">
        <v>522</v>
      </c>
      <c r="P102" s="63"/>
      <c r="Q102" s="63"/>
      <c r="R102" s="63"/>
      <c r="S102" s="64"/>
      <c r="T102" s="68"/>
      <c r="U102" s="68"/>
      <c r="V102" s="64"/>
      <c r="W102" s="63"/>
      <c r="X102" s="64"/>
      <c r="Y102" s="64"/>
      <c r="Z102" s="64"/>
      <c r="AA102" s="64"/>
      <c r="AB102" s="64" t="s">
        <v>230</v>
      </c>
      <c r="AC102" s="64"/>
      <c r="AD102" s="64">
        <v>1200000</v>
      </c>
      <c r="AE102" s="71" t="s">
        <v>214</v>
      </c>
      <c r="AF102" s="2"/>
    </row>
    <row r="103" spans="1:34" s="12" customFormat="1" ht="21" customHeight="1">
      <c r="A103" s="57"/>
      <c r="B103" s="58"/>
      <c r="C103" s="73"/>
      <c r="D103" s="308"/>
      <c r="E103" s="177"/>
      <c r="F103" s="177"/>
      <c r="G103" s="177"/>
      <c r="H103" s="177"/>
      <c r="I103" s="177"/>
      <c r="J103" s="177"/>
      <c r="K103" s="177"/>
      <c r="L103" s="177"/>
      <c r="M103" s="177"/>
      <c r="N103" s="125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93"/>
      <c r="AF103" s="1"/>
    </row>
    <row r="104" spans="1:34" s="12" customFormat="1" ht="21" customHeight="1">
      <c r="A104" s="57"/>
      <c r="B104" s="58"/>
      <c r="C104" s="58" t="s">
        <v>11</v>
      </c>
      <c r="D104" s="307">
        <v>0</v>
      </c>
      <c r="E104" s="174">
        <f>AD104/1000</f>
        <v>0</v>
      </c>
      <c r="F104" s="174">
        <v>0</v>
      </c>
      <c r="G104" s="174">
        <v>0</v>
      </c>
      <c r="H104" s="174">
        <v>0</v>
      </c>
      <c r="I104" s="174">
        <v>0</v>
      </c>
      <c r="J104" s="174">
        <v>0</v>
      </c>
      <c r="K104" s="174">
        <v>0</v>
      </c>
      <c r="L104" s="174">
        <v>0</v>
      </c>
      <c r="M104" s="174">
        <f>E104-D104</f>
        <v>0</v>
      </c>
      <c r="N104" s="96">
        <f>IF(D104=0,0,M104/D104)</f>
        <v>0</v>
      </c>
      <c r="O104" s="160" t="s">
        <v>520</v>
      </c>
      <c r="P104" s="330"/>
      <c r="Q104" s="44"/>
      <c r="R104" s="44"/>
      <c r="S104" s="44"/>
      <c r="T104" s="45"/>
      <c r="U104" s="45"/>
      <c r="V104" s="45"/>
      <c r="W104" s="45"/>
      <c r="X104" s="45"/>
      <c r="Y104" s="331" t="s">
        <v>521</v>
      </c>
      <c r="Z104" s="331"/>
      <c r="AA104" s="331"/>
      <c r="AB104" s="331"/>
      <c r="AC104" s="333"/>
      <c r="AD104" s="333">
        <v>0</v>
      </c>
      <c r="AE104" s="332" t="s">
        <v>26</v>
      </c>
      <c r="AF104" s="1"/>
    </row>
    <row r="105" spans="1:34" s="12" customFormat="1" ht="21" customHeight="1">
      <c r="A105" s="57"/>
      <c r="B105" s="58"/>
      <c r="C105" s="73"/>
      <c r="D105" s="308"/>
      <c r="E105" s="177"/>
      <c r="F105" s="177"/>
      <c r="G105" s="177"/>
      <c r="H105" s="177"/>
      <c r="I105" s="177"/>
      <c r="J105" s="177"/>
      <c r="K105" s="177"/>
      <c r="L105" s="177"/>
      <c r="M105" s="177"/>
      <c r="N105" s="125"/>
      <c r="O105" s="301"/>
      <c r="P105" s="113"/>
      <c r="Q105" s="113"/>
      <c r="R105" s="113"/>
      <c r="S105" s="112"/>
      <c r="T105" s="126"/>
      <c r="U105" s="126"/>
      <c r="V105" s="112"/>
      <c r="W105" s="113"/>
      <c r="X105" s="112"/>
      <c r="Y105" s="112"/>
      <c r="Z105" s="112"/>
      <c r="AA105" s="112"/>
      <c r="AB105" s="112"/>
      <c r="AC105" s="112"/>
      <c r="AD105" s="112"/>
      <c r="AE105" s="99"/>
      <c r="AF105" s="1"/>
    </row>
    <row r="106" spans="1:34" s="12" customFormat="1" ht="21" customHeight="1">
      <c r="A106" s="57"/>
      <c r="B106" s="58"/>
      <c r="C106" s="58" t="s">
        <v>236</v>
      </c>
      <c r="D106" s="307">
        <v>1220</v>
      </c>
      <c r="E106" s="174">
        <f>AD106/1000</f>
        <v>1220</v>
      </c>
      <c r="F106" s="174">
        <v>50</v>
      </c>
      <c r="G106" s="174">
        <v>0</v>
      </c>
      <c r="H106" s="174">
        <v>0</v>
      </c>
      <c r="I106" s="174">
        <v>0</v>
      </c>
      <c r="J106" s="174">
        <v>0</v>
      </c>
      <c r="K106" s="179">
        <f>AD106/1000-200</f>
        <v>1020</v>
      </c>
      <c r="L106" s="174">
        <v>150</v>
      </c>
      <c r="M106" s="174">
        <f>E106-D106</f>
        <v>0</v>
      </c>
      <c r="N106" s="96">
        <f>IF(D106=0,0,M106/D106)</f>
        <v>0</v>
      </c>
      <c r="O106" s="182" t="s">
        <v>43</v>
      </c>
      <c r="P106" s="44"/>
      <c r="Q106" s="44"/>
      <c r="R106" s="44"/>
      <c r="S106" s="44"/>
      <c r="T106" s="45"/>
      <c r="U106" s="45"/>
      <c r="V106" s="45"/>
      <c r="W106" s="45"/>
      <c r="X106" s="45"/>
      <c r="Y106" s="331" t="s">
        <v>521</v>
      </c>
      <c r="Z106" s="331"/>
      <c r="AA106" s="331"/>
      <c r="AB106" s="331"/>
      <c r="AC106" s="333"/>
      <c r="AD106" s="333">
        <f>SUM(AD107,AD108)</f>
        <v>1220000</v>
      </c>
      <c r="AE106" s="332" t="s">
        <v>26</v>
      </c>
      <c r="AF106" s="1"/>
    </row>
    <row r="107" spans="1:34" s="15" customFormat="1" ht="21" customHeight="1">
      <c r="A107" s="57"/>
      <c r="B107" s="58"/>
      <c r="C107" s="58"/>
      <c r="D107" s="307"/>
      <c r="E107" s="174"/>
      <c r="F107" s="174"/>
      <c r="G107" s="174"/>
      <c r="H107" s="174"/>
      <c r="I107" s="174"/>
      <c r="J107" s="174"/>
      <c r="K107" s="174"/>
      <c r="L107" s="174"/>
      <c r="M107" s="174"/>
      <c r="N107" s="96"/>
      <c r="O107" s="63" t="s">
        <v>237</v>
      </c>
      <c r="P107" s="63"/>
      <c r="Q107" s="63"/>
      <c r="R107" s="63"/>
      <c r="S107" s="64"/>
      <c r="T107" s="68"/>
      <c r="U107" s="68"/>
      <c r="V107" s="64"/>
      <c r="W107" s="63"/>
      <c r="X107" s="64"/>
      <c r="Y107" s="64"/>
      <c r="Z107" s="64"/>
      <c r="AA107" s="64"/>
      <c r="AB107" s="64"/>
      <c r="AC107" s="64"/>
      <c r="AD107" s="64">
        <v>500000</v>
      </c>
      <c r="AE107" s="71" t="s">
        <v>26</v>
      </c>
      <c r="AF107" s="4"/>
    </row>
    <row r="108" spans="1:34" s="15" customFormat="1" ht="21" customHeight="1">
      <c r="A108" s="57"/>
      <c r="B108" s="58"/>
      <c r="C108" s="58"/>
      <c r="D108" s="307"/>
      <c r="E108" s="174"/>
      <c r="F108" s="174"/>
      <c r="G108" s="174"/>
      <c r="H108" s="174"/>
      <c r="I108" s="174"/>
      <c r="J108" s="174"/>
      <c r="K108" s="174"/>
      <c r="L108" s="174"/>
      <c r="M108" s="174"/>
      <c r="N108" s="96"/>
      <c r="O108" s="197" t="s">
        <v>291</v>
      </c>
      <c r="P108" s="197"/>
      <c r="Q108" s="197"/>
      <c r="R108" s="197"/>
      <c r="S108" s="196">
        <v>30000</v>
      </c>
      <c r="T108" s="196" t="s">
        <v>62</v>
      </c>
      <c r="U108" s="197" t="s">
        <v>63</v>
      </c>
      <c r="V108" s="196">
        <v>6</v>
      </c>
      <c r="W108" s="196" t="s">
        <v>61</v>
      </c>
      <c r="X108" s="197" t="s">
        <v>63</v>
      </c>
      <c r="Y108" s="69">
        <v>4</v>
      </c>
      <c r="Z108" s="138" t="s">
        <v>0</v>
      </c>
      <c r="AA108" s="138" t="s">
        <v>58</v>
      </c>
      <c r="AB108" s="138" t="s">
        <v>229</v>
      </c>
      <c r="AC108" s="197"/>
      <c r="AD108" s="196">
        <f>S108*V108*Y108</f>
        <v>720000</v>
      </c>
      <c r="AE108" s="71" t="s">
        <v>62</v>
      </c>
      <c r="AF108" s="4"/>
    </row>
    <row r="109" spans="1:34" s="15" customFormat="1" ht="21" customHeight="1">
      <c r="A109" s="57"/>
      <c r="B109" s="58"/>
      <c r="C109" s="58"/>
      <c r="D109" s="307"/>
      <c r="E109" s="174"/>
      <c r="F109" s="174"/>
      <c r="G109" s="174"/>
      <c r="H109" s="174"/>
      <c r="I109" s="174"/>
      <c r="J109" s="174"/>
      <c r="K109" s="174"/>
      <c r="L109" s="174"/>
      <c r="M109" s="174"/>
      <c r="N109" s="96"/>
      <c r="O109" s="63"/>
      <c r="P109" s="63"/>
      <c r="Q109" s="63"/>
      <c r="R109" s="63"/>
      <c r="S109" s="64"/>
      <c r="T109" s="68"/>
      <c r="U109" s="68"/>
      <c r="V109" s="64"/>
      <c r="W109" s="63"/>
      <c r="X109" s="64"/>
      <c r="Y109" s="64"/>
      <c r="Z109" s="64"/>
      <c r="AA109" s="64"/>
      <c r="AB109" s="64"/>
      <c r="AC109" s="64"/>
      <c r="AD109" s="64"/>
      <c r="AE109" s="71"/>
      <c r="AF109" s="4"/>
    </row>
    <row r="110" spans="1:34" s="12" customFormat="1" ht="21" customHeight="1">
      <c r="A110" s="57"/>
      <c r="B110" s="48" t="s">
        <v>12</v>
      </c>
      <c r="C110" s="326" t="s">
        <v>5</v>
      </c>
      <c r="D110" s="328">
        <f>SUM(D111,D114,D132,D140,D154,D159)</f>
        <v>75248</v>
      </c>
      <c r="E110" s="328">
        <f>SUM(E111,E114,E132,E140,E154,E159)</f>
        <v>74558</v>
      </c>
      <c r="F110" s="328">
        <f t="shared" ref="F110:L110" si="7">SUM(F111,F114,F132,F140,F154,F159)</f>
        <v>43800</v>
      </c>
      <c r="G110" s="328">
        <f t="shared" si="7"/>
        <v>4100</v>
      </c>
      <c r="H110" s="328">
        <f t="shared" si="7"/>
        <v>0</v>
      </c>
      <c r="I110" s="328">
        <f t="shared" si="7"/>
        <v>16978</v>
      </c>
      <c r="J110" s="328">
        <f t="shared" si="7"/>
        <v>0</v>
      </c>
      <c r="K110" s="328">
        <f t="shared" si="7"/>
        <v>3260</v>
      </c>
      <c r="L110" s="328">
        <f t="shared" si="7"/>
        <v>6420</v>
      </c>
      <c r="M110" s="328">
        <f>E110-D110</f>
        <v>-690</v>
      </c>
      <c r="N110" s="329">
        <f>IF(D110=0,0,M110/D110)</f>
        <v>-9.1696789283436109E-3</v>
      </c>
      <c r="O110" s="330" t="s">
        <v>526</v>
      </c>
      <c r="P110" s="330"/>
      <c r="Q110" s="330"/>
      <c r="R110" s="330"/>
      <c r="S110" s="331"/>
      <c r="T110" s="364"/>
      <c r="U110" s="331"/>
      <c r="V110" s="441"/>
      <c r="W110" s="442"/>
      <c r="X110" s="331"/>
      <c r="Y110" s="331"/>
      <c r="Z110" s="331"/>
      <c r="AA110" s="331"/>
      <c r="AB110" s="331"/>
      <c r="AC110" s="331"/>
      <c r="AD110" s="331">
        <f>SUM(AD111,AD114,AD132,AD140,AD154,AD159)</f>
        <v>74558000</v>
      </c>
      <c r="AE110" s="332" t="s">
        <v>26</v>
      </c>
      <c r="AF110" s="1"/>
    </row>
    <row r="111" spans="1:34" s="12" customFormat="1" ht="21" customHeight="1">
      <c r="A111" s="57"/>
      <c r="B111" s="58"/>
      <c r="C111" s="58" t="s">
        <v>238</v>
      </c>
      <c r="D111" s="307">
        <v>2760</v>
      </c>
      <c r="E111" s="174">
        <f>AD111/1000</f>
        <v>2580</v>
      </c>
      <c r="F111" s="174">
        <v>0</v>
      </c>
      <c r="G111" s="174">
        <v>0</v>
      </c>
      <c r="H111" s="174">
        <v>0</v>
      </c>
      <c r="I111" s="174">
        <v>620</v>
      </c>
      <c r="J111" s="174">
        <v>0</v>
      </c>
      <c r="K111" s="174">
        <v>600</v>
      </c>
      <c r="L111" s="174">
        <v>1360</v>
      </c>
      <c r="M111" s="174">
        <f>E111-D111</f>
        <v>-180</v>
      </c>
      <c r="N111" s="96">
        <f>IF(D111=0,0,M111/D111)</f>
        <v>-6.5217391304347824E-2</v>
      </c>
      <c r="O111" s="182" t="s">
        <v>45</v>
      </c>
      <c r="P111" s="44"/>
      <c r="Q111" s="44"/>
      <c r="R111" s="44"/>
      <c r="S111" s="44"/>
      <c r="T111" s="45"/>
      <c r="U111" s="45"/>
      <c r="V111" s="45"/>
      <c r="W111" s="45"/>
      <c r="X111" s="45"/>
      <c r="Y111" s="352" t="s">
        <v>521</v>
      </c>
      <c r="Z111" s="45"/>
      <c r="AA111" s="45"/>
      <c r="AB111" s="45"/>
      <c r="AC111" s="65"/>
      <c r="AD111" s="65">
        <f>SUM(AD112:AD113)</f>
        <v>2580000</v>
      </c>
      <c r="AE111" s="46" t="s">
        <v>26</v>
      </c>
      <c r="AF111" s="21"/>
      <c r="AG111" s="20"/>
      <c r="AH111" s="20"/>
    </row>
    <row r="112" spans="1:34" s="12" customFormat="1" ht="21" customHeight="1">
      <c r="A112" s="57"/>
      <c r="B112" s="58"/>
      <c r="C112" s="58"/>
      <c r="D112" s="307"/>
      <c r="E112" s="174"/>
      <c r="F112" s="174"/>
      <c r="G112" s="174"/>
      <c r="H112" s="174"/>
      <c r="I112" s="174"/>
      <c r="J112" s="174"/>
      <c r="K112" s="174"/>
      <c r="L112" s="174"/>
      <c r="M112" s="174"/>
      <c r="N112" s="96"/>
      <c r="O112" s="355" t="s">
        <v>527</v>
      </c>
      <c r="P112" s="63"/>
      <c r="Q112" s="63"/>
      <c r="R112" s="63"/>
      <c r="S112" s="354">
        <v>50000</v>
      </c>
      <c r="T112" s="354" t="s">
        <v>62</v>
      </c>
      <c r="U112" s="100" t="s">
        <v>63</v>
      </c>
      <c r="V112" s="354">
        <v>1</v>
      </c>
      <c r="W112" s="354" t="s">
        <v>61</v>
      </c>
      <c r="X112" s="100" t="s">
        <v>63</v>
      </c>
      <c r="Y112" s="354">
        <v>12</v>
      </c>
      <c r="Z112" s="354" t="s">
        <v>30</v>
      </c>
      <c r="AA112" s="354" t="s">
        <v>58</v>
      </c>
      <c r="AB112" s="354" t="s">
        <v>528</v>
      </c>
      <c r="AC112" s="92"/>
      <c r="AD112" s="92">
        <f>S112*V112*Y112</f>
        <v>600000</v>
      </c>
      <c r="AE112" s="71" t="s">
        <v>26</v>
      </c>
      <c r="AF112" s="2"/>
    </row>
    <row r="113" spans="1:32" s="12" customFormat="1" ht="21" customHeight="1">
      <c r="A113" s="57"/>
      <c r="B113" s="58"/>
      <c r="C113" s="58"/>
      <c r="D113" s="307"/>
      <c r="E113" s="174"/>
      <c r="F113" s="174"/>
      <c r="G113" s="174"/>
      <c r="H113" s="174"/>
      <c r="I113" s="174"/>
      <c r="J113" s="174"/>
      <c r="K113" s="174"/>
      <c r="L113" s="174"/>
      <c r="M113" s="174"/>
      <c r="N113" s="96"/>
      <c r="O113" s="355" t="s">
        <v>529</v>
      </c>
      <c r="P113" s="63"/>
      <c r="Q113" s="63"/>
      <c r="R113" s="63"/>
      <c r="S113" s="64">
        <v>20000</v>
      </c>
      <c r="T113" s="68" t="s">
        <v>26</v>
      </c>
      <c r="U113" s="68" t="s">
        <v>27</v>
      </c>
      <c r="V113" s="64">
        <v>33</v>
      </c>
      <c r="W113" s="68" t="s">
        <v>530</v>
      </c>
      <c r="X113" s="64" t="s">
        <v>27</v>
      </c>
      <c r="Y113" s="64">
        <v>3</v>
      </c>
      <c r="Z113" s="354" t="s">
        <v>531</v>
      </c>
      <c r="AA113" s="64" t="s">
        <v>28</v>
      </c>
      <c r="AB113" s="354"/>
      <c r="AC113" s="64"/>
      <c r="AD113" s="64">
        <f>S113*V113*Y113</f>
        <v>1980000</v>
      </c>
      <c r="AE113" s="71" t="s">
        <v>77</v>
      </c>
      <c r="AF113" s="2"/>
    </row>
    <row r="114" spans="1:32" s="12" customFormat="1" ht="21" customHeight="1">
      <c r="A114" s="57"/>
      <c r="B114" s="58"/>
      <c r="C114" s="48" t="s">
        <v>46</v>
      </c>
      <c r="D114" s="309">
        <v>16300</v>
      </c>
      <c r="E114" s="179">
        <f>ROUND(AD114/1000,0)</f>
        <v>16300</v>
      </c>
      <c r="F114" s="179">
        <v>11600</v>
      </c>
      <c r="G114" s="179">
        <v>0</v>
      </c>
      <c r="H114" s="179">
        <v>0</v>
      </c>
      <c r="I114" s="179">
        <v>3700</v>
      </c>
      <c r="J114" s="179">
        <v>0</v>
      </c>
      <c r="K114" s="179">
        <v>0</v>
      </c>
      <c r="L114" s="179">
        <v>1000</v>
      </c>
      <c r="M114" s="179">
        <f>E114-D114</f>
        <v>0</v>
      </c>
      <c r="N114" s="187">
        <f>IF(D114=0,0,M114/D114)</f>
        <v>0</v>
      </c>
      <c r="O114" s="160" t="s">
        <v>47</v>
      </c>
      <c r="P114" s="156"/>
      <c r="Q114" s="156"/>
      <c r="R114" s="156"/>
      <c r="S114" s="156"/>
      <c r="T114" s="131"/>
      <c r="U114" s="131"/>
      <c r="V114" s="131"/>
      <c r="W114" s="131"/>
      <c r="X114" s="131"/>
      <c r="Y114" s="331" t="s">
        <v>29</v>
      </c>
      <c r="Z114" s="331"/>
      <c r="AA114" s="331"/>
      <c r="AB114" s="331"/>
      <c r="AC114" s="333"/>
      <c r="AD114" s="333">
        <f>SUM(AD115:AD128)</f>
        <v>16300000</v>
      </c>
      <c r="AE114" s="332" t="s">
        <v>26</v>
      </c>
      <c r="AF114" s="1"/>
    </row>
    <row r="115" spans="1:32" s="12" customFormat="1" ht="21" customHeight="1">
      <c r="A115" s="57"/>
      <c r="B115" s="58"/>
      <c r="C115" s="58" t="s">
        <v>559</v>
      </c>
      <c r="D115" s="307"/>
      <c r="E115" s="174"/>
      <c r="F115" s="174"/>
      <c r="G115" s="174"/>
      <c r="H115" s="174"/>
      <c r="I115" s="174"/>
      <c r="J115" s="174"/>
      <c r="K115" s="174"/>
      <c r="L115" s="174"/>
      <c r="M115" s="174"/>
      <c r="N115" s="96"/>
      <c r="O115" s="313" t="s">
        <v>292</v>
      </c>
      <c r="P115" s="63"/>
      <c r="Q115" s="63"/>
      <c r="R115" s="63"/>
      <c r="S115" s="64"/>
      <c r="T115" s="68"/>
      <c r="U115" s="64"/>
      <c r="V115" s="437"/>
      <c r="W115" s="438"/>
      <c r="X115" s="64"/>
      <c r="Y115" s="130"/>
      <c r="Z115" s="130"/>
      <c r="AA115" s="130"/>
      <c r="AB115" s="130"/>
      <c r="AC115" s="130"/>
      <c r="AD115" s="130">
        <v>1000000</v>
      </c>
      <c r="AE115" s="189" t="s">
        <v>26</v>
      </c>
      <c r="AF115" s="1"/>
    </row>
    <row r="116" spans="1:32" s="12" customFormat="1" ht="21" customHeight="1">
      <c r="A116" s="57"/>
      <c r="B116" s="58"/>
      <c r="C116" s="58"/>
      <c r="D116" s="307"/>
      <c r="E116" s="174"/>
      <c r="F116" s="174"/>
      <c r="G116" s="174"/>
      <c r="H116" s="174"/>
      <c r="I116" s="174"/>
      <c r="J116" s="174"/>
      <c r="K116" s="174"/>
      <c r="L116" s="174"/>
      <c r="M116" s="174"/>
      <c r="N116" s="96"/>
      <c r="O116" s="355" t="s">
        <v>532</v>
      </c>
      <c r="P116" s="63"/>
      <c r="Q116" s="63"/>
      <c r="R116" s="63"/>
      <c r="S116" s="64"/>
      <c r="T116" s="68"/>
      <c r="U116" s="68"/>
      <c r="V116" s="64"/>
      <c r="W116" s="63"/>
      <c r="X116" s="64"/>
      <c r="Y116" s="64"/>
      <c r="Z116" s="64"/>
      <c r="AA116" s="64"/>
      <c r="AB116" s="64"/>
      <c r="AC116" s="64"/>
      <c r="AD116" s="64">
        <v>700000</v>
      </c>
      <c r="AE116" s="71" t="s">
        <v>26</v>
      </c>
      <c r="AF116" s="21"/>
    </row>
    <row r="117" spans="1:32" s="12" customFormat="1" ht="21" customHeight="1">
      <c r="A117" s="57"/>
      <c r="B117" s="58"/>
      <c r="C117" s="58"/>
      <c r="D117" s="307"/>
      <c r="E117" s="174"/>
      <c r="F117" s="174"/>
      <c r="G117" s="174"/>
      <c r="H117" s="174"/>
      <c r="I117" s="174"/>
      <c r="J117" s="174"/>
      <c r="K117" s="174"/>
      <c r="L117" s="174"/>
      <c r="M117" s="174"/>
      <c r="N117" s="96"/>
      <c r="O117" s="355" t="s">
        <v>533</v>
      </c>
      <c r="P117" s="63"/>
      <c r="Q117" s="63"/>
      <c r="R117" s="63"/>
      <c r="S117" s="64"/>
      <c r="T117" s="68"/>
      <c r="U117" s="68"/>
      <c r="V117" s="64"/>
      <c r="W117" s="63"/>
      <c r="X117" s="64"/>
      <c r="Y117" s="64"/>
      <c r="Z117" s="64"/>
      <c r="AA117" s="64"/>
      <c r="AB117" s="64"/>
      <c r="AC117" s="64"/>
      <c r="AD117" s="64">
        <v>1200000</v>
      </c>
      <c r="AE117" s="71" t="s">
        <v>26</v>
      </c>
      <c r="AF117" s="21"/>
    </row>
    <row r="118" spans="1:32" s="12" customFormat="1" ht="21" customHeight="1">
      <c r="A118" s="57"/>
      <c r="B118" s="58"/>
      <c r="C118" s="58"/>
      <c r="D118" s="307"/>
      <c r="E118" s="174"/>
      <c r="F118" s="174"/>
      <c r="G118" s="174"/>
      <c r="H118" s="174"/>
      <c r="I118" s="174"/>
      <c r="J118" s="174"/>
      <c r="K118" s="174"/>
      <c r="L118" s="174"/>
      <c r="M118" s="174"/>
      <c r="N118" s="96"/>
      <c r="O118" s="355" t="s">
        <v>534</v>
      </c>
      <c r="P118" s="197"/>
      <c r="Q118" s="197"/>
      <c r="R118" s="197"/>
      <c r="S118" s="196"/>
      <c r="T118" s="68"/>
      <c r="U118" s="68"/>
      <c r="V118" s="196"/>
      <c r="W118" s="197"/>
      <c r="X118" s="196"/>
      <c r="Y118" s="196"/>
      <c r="Z118" s="196"/>
      <c r="AA118" s="196"/>
      <c r="AB118" s="263"/>
      <c r="AC118" s="196"/>
      <c r="AD118" s="196">
        <v>1000000</v>
      </c>
      <c r="AE118" s="71" t="s">
        <v>77</v>
      </c>
      <c r="AF118" s="21"/>
    </row>
    <row r="119" spans="1:32" s="12" customFormat="1" ht="21" customHeight="1">
      <c r="A119" s="57"/>
      <c r="B119" s="58"/>
      <c r="C119" s="58"/>
      <c r="D119" s="307"/>
      <c r="E119" s="174"/>
      <c r="F119" s="174"/>
      <c r="G119" s="174"/>
      <c r="H119" s="174"/>
      <c r="I119" s="174"/>
      <c r="J119" s="174"/>
      <c r="K119" s="174"/>
      <c r="L119" s="174"/>
      <c r="M119" s="174"/>
      <c r="N119" s="96"/>
      <c r="O119" s="355" t="s">
        <v>535</v>
      </c>
      <c r="P119" s="63"/>
      <c r="Q119" s="63"/>
      <c r="R119" s="63"/>
      <c r="S119" s="64"/>
      <c r="T119" s="68"/>
      <c r="U119" s="68"/>
      <c r="V119" s="64"/>
      <c r="W119" s="63"/>
      <c r="X119" s="64"/>
      <c r="Y119" s="64"/>
      <c r="Z119" s="64"/>
      <c r="AA119" s="64"/>
      <c r="AB119" s="64"/>
      <c r="AC119" s="64"/>
      <c r="AD119" s="64">
        <v>2600000</v>
      </c>
      <c r="AE119" s="71" t="s">
        <v>26</v>
      </c>
      <c r="AF119" s="21"/>
    </row>
    <row r="120" spans="1:32" s="12" customFormat="1" ht="21" customHeight="1">
      <c r="A120" s="57"/>
      <c r="B120" s="58"/>
      <c r="C120" s="58"/>
      <c r="D120" s="307"/>
      <c r="E120" s="174"/>
      <c r="F120" s="174"/>
      <c r="G120" s="174"/>
      <c r="H120" s="174"/>
      <c r="I120" s="174"/>
      <c r="J120" s="174"/>
      <c r="K120" s="174"/>
      <c r="L120" s="174"/>
      <c r="M120" s="174"/>
      <c r="N120" s="96"/>
      <c r="O120" s="355" t="s">
        <v>536</v>
      </c>
      <c r="P120" s="63"/>
      <c r="Q120" s="63"/>
      <c r="R120" s="63"/>
      <c r="S120" s="64"/>
      <c r="T120" s="68"/>
      <c r="U120" s="68"/>
      <c r="V120" s="64"/>
      <c r="W120" s="63"/>
      <c r="X120" s="64"/>
      <c r="Y120" s="64"/>
      <c r="Z120" s="64"/>
      <c r="AA120" s="64"/>
      <c r="AB120" s="64"/>
      <c r="AC120" s="64"/>
      <c r="AD120" s="64">
        <v>450000</v>
      </c>
      <c r="AE120" s="71" t="s">
        <v>26</v>
      </c>
      <c r="AF120" s="21"/>
    </row>
    <row r="121" spans="1:32" s="12" customFormat="1" ht="21" customHeight="1">
      <c r="A121" s="57"/>
      <c r="B121" s="58"/>
      <c r="C121" s="58"/>
      <c r="D121" s="307"/>
      <c r="E121" s="174"/>
      <c r="F121" s="174"/>
      <c r="G121" s="174"/>
      <c r="H121" s="174"/>
      <c r="I121" s="174"/>
      <c r="J121" s="174"/>
      <c r="K121" s="174"/>
      <c r="L121" s="174"/>
      <c r="M121" s="174"/>
      <c r="N121" s="96"/>
      <c r="O121" s="355" t="s">
        <v>537</v>
      </c>
      <c r="P121" s="197"/>
      <c r="Q121" s="197"/>
      <c r="R121" s="197"/>
      <c r="S121" s="196"/>
      <c r="T121" s="68"/>
      <c r="U121" s="68"/>
      <c r="V121" s="196"/>
      <c r="W121" s="197"/>
      <c r="X121" s="196"/>
      <c r="Y121" s="196"/>
      <c r="Z121" s="196"/>
      <c r="AA121" s="196"/>
      <c r="AB121" s="196"/>
      <c r="AC121" s="196"/>
      <c r="AD121" s="196">
        <v>1200000</v>
      </c>
      <c r="AE121" s="71" t="s">
        <v>77</v>
      </c>
      <c r="AF121" s="21"/>
    </row>
    <row r="122" spans="1:32" s="12" customFormat="1" ht="21" customHeight="1">
      <c r="A122" s="57"/>
      <c r="B122" s="58"/>
      <c r="C122" s="58"/>
      <c r="D122" s="307"/>
      <c r="E122" s="174"/>
      <c r="F122" s="174"/>
      <c r="G122" s="174"/>
      <c r="H122" s="174"/>
      <c r="I122" s="174"/>
      <c r="J122" s="174"/>
      <c r="K122" s="174"/>
      <c r="L122" s="174"/>
      <c r="M122" s="174"/>
      <c r="N122" s="96"/>
      <c r="O122" s="355" t="s">
        <v>538</v>
      </c>
      <c r="P122" s="197"/>
      <c r="Q122" s="197"/>
      <c r="R122" s="197"/>
      <c r="S122" s="196"/>
      <c r="T122" s="68"/>
      <c r="U122" s="68"/>
      <c r="V122" s="196"/>
      <c r="W122" s="197"/>
      <c r="X122" s="196"/>
      <c r="Y122" s="196"/>
      <c r="Z122" s="196"/>
      <c r="AA122" s="196"/>
      <c r="AB122" s="196"/>
      <c r="AC122" s="196"/>
      <c r="AD122" s="196">
        <v>850000</v>
      </c>
      <c r="AE122" s="71" t="s">
        <v>77</v>
      </c>
      <c r="AF122" s="21"/>
    </row>
    <row r="123" spans="1:32" s="12" customFormat="1" ht="21" customHeight="1">
      <c r="A123" s="57"/>
      <c r="B123" s="58"/>
      <c r="C123" s="58"/>
      <c r="D123" s="307"/>
      <c r="E123" s="174"/>
      <c r="F123" s="174"/>
      <c r="G123" s="174"/>
      <c r="H123" s="174"/>
      <c r="I123" s="174"/>
      <c r="J123" s="174"/>
      <c r="K123" s="174"/>
      <c r="L123" s="174"/>
      <c r="M123" s="174"/>
      <c r="N123" s="96"/>
      <c r="O123" s="355" t="s">
        <v>539</v>
      </c>
      <c r="P123" s="197"/>
      <c r="Q123" s="197"/>
      <c r="R123" s="197"/>
      <c r="S123" s="196"/>
      <c r="T123" s="68"/>
      <c r="U123" s="68"/>
      <c r="V123" s="196"/>
      <c r="W123" s="197"/>
      <c r="X123" s="196"/>
      <c r="Y123" s="196"/>
      <c r="Z123" s="196"/>
      <c r="AA123" s="196"/>
      <c r="AB123" s="196"/>
      <c r="AC123" s="196"/>
      <c r="AD123" s="196">
        <v>960000</v>
      </c>
      <c r="AE123" s="71" t="s">
        <v>77</v>
      </c>
      <c r="AF123" s="21"/>
    </row>
    <row r="124" spans="1:32" s="12" customFormat="1" ht="21" customHeight="1">
      <c r="A124" s="57"/>
      <c r="B124" s="58"/>
      <c r="C124" s="58"/>
      <c r="D124" s="307"/>
      <c r="E124" s="174"/>
      <c r="F124" s="174"/>
      <c r="G124" s="174"/>
      <c r="H124" s="174"/>
      <c r="I124" s="174"/>
      <c r="J124" s="174"/>
      <c r="K124" s="174"/>
      <c r="L124" s="174"/>
      <c r="M124" s="174"/>
      <c r="N124" s="96"/>
      <c r="O124" s="355" t="s">
        <v>540</v>
      </c>
      <c r="P124" s="63"/>
      <c r="Q124" s="63"/>
      <c r="R124" s="63"/>
      <c r="S124" s="64"/>
      <c r="T124" s="68"/>
      <c r="U124" s="68"/>
      <c r="V124" s="64"/>
      <c r="W124" s="63"/>
      <c r="X124" s="64"/>
      <c r="Y124" s="64"/>
      <c r="Z124" s="64"/>
      <c r="AA124" s="64"/>
      <c r="AB124" s="232"/>
      <c r="AC124" s="64"/>
      <c r="AD124" s="64">
        <v>1500000</v>
      </c>
      <c r="AE124" s="71" t="s">
        <v>217</v>
      </c>
      <c r="AF124" s="21"/>
    </row>
    <row r="125" spans="1:32" s="12" customFormat="1" ht="21" customHeight="1">
      <c r="A125" s="57"/>
      <c r="B125" s="58"/>
      <c r="C125" s="58"/>
      <c r="D125" s="307"/>
      <c r="E125" s="174"/>
      <c r="F125" s="174"/>
      <c r="G125" s="174"/>
      <c r="H125" s="174"/>
      <c r="I125" s="174"/>
      <c r="J125" s="174"/>
      <c r="K125" s="174"/>
      <c r="L125" s="174"/>
      <c r="M125" s="174"/>
      <c r="N125" s="96"/>
      <c r="O125" s="355" t="s">
        <v>541</v>
      </c>
      <c r="P125" s="262"/>
      <c r="Q125" s="262"/>
      <c r="R125" s="262"/>
      <c r="S125" s="199">
        <v>250000</v>
      </c>
      <c r="T125" s="200" t="s">
        <v>62</v>
      </c>
      <c r="U125" s="200" t="s">
        <v>27</v>
      </c>
      <c r="V125" s="199">
        <v>12</v>
      </c>
      <c r="W125" s="198" t="s">
        <v>30</v>
      </c>
      <c r="X125" s="199" t="s">
        <v>28</v>
      </c>
      <c r="Y125" s="199"/>
      <c r="Z125" s="199"/>
      <c r="AA125" s="199"/>
      <c r="AB125" s="199"/>
      <c r="AC125" s="199"/>
      <c r="AD125" s="199">
        <f>S125*V125</f>
        <v>3000000</v>
      </c>
      <c r="AE125" s="71" t="s">
        <v>387</v>
      </c>
      <c r="AF125" s="21"/>
    </row>
    <row r="126" spans="1:32" s="12" customFormat="1" ht="21" customHeight="1">
      <c r="A126" s="57"/>
      <c r="B126" s="58"/>
      <c r="C126" s="58"/>
      <c r="D126" s="307"/>
      <c r="E126" s="174"/>
      <c r="F126" s="174"/>
      <c r="G126" s="174"/>
      <c r="H126" s="174"/>
      <c r="I126" s="174"/>
      <c r="J126" s="174"/>
      <c r="K126" s="174"/>
      <c r="L126" s="174"/>
      <c r="M126" s="174"/>
      <c r="N126" s="96"/>
      <c r="O126" s="355" t="s">
        <v>542</v>
      </c>
      <c r="P126" s="355"/>
      <c r="Q126" s="355"/>
      <c r="R126" s="355"/>
      <c r="S126" s="199"/>
      <c r="T126" s="200"/>
      <c r="U126" s="200"/>
      <c r="V126" s="199"/>
      <c r="W126" s="198"/>
      <c r="X126" s="199"/>
      <c r="Y126" s="199"/>
      <c r="Z126" s="199"/>
      <c r="AA126" s="199"/>
      <c r="AB126" s="199"/>
      <c r="AC126" s="199"/>
      <c r="AD126" s="199">
        <v>200000</v>
      </c>
      <c r="AE126" s="71" t="s">
        <v>510</v>
      </c>
      <c r="AF126" s="21"/>
    </row>
    <row r="127" spans="1:32" s="12" customFormat="1" ht="21" customHeight="1">
      <c r="A127" s="57"/>
      <c r="B127" s="58"/>
      <c r="C127" s="58"/>
      <c r="D127" s="307"/>
      <c r="E127" s="174"/>
      <c r="F127" s="174"/>
      <c r="G127" s="174"/>
      <c r="H127" s="174"/>
      <c r="I127" s="174"/>
      <c r="J127" s="174"/>
      <c r="K127" s="174"/>
      <c r="L127" s="174"/>
      <c r="M127" s="174"/>
      <c r="N127" s="96"/>
      <c r="O127" s="355" t="s">
        <v>543</v>
      </c>
      <c r="P127" s="63"/>
      <c r="Q127" s="63"/>
      <c r="R127" s="63"/>
      <c r="S127" s="64"/>
      <c r="T127" s="68"/>
      <c r="U127" s="64"/>
      <c r="V127" s="437"/>
      <c r="W127" s="438"/>
      <c r="X127" s="64"/>
      <c r="Y127" s="64"/>
      <c r="Z127" s="64"/>
      <c r="AA127" s="64"/>
      <c r="AB127" s="232"/>
      <c r="AC127" s="64"/>
      <c r="AD127" s="64">
        <v>700000</v>
      </c>
      <c r="AE127" s="71" t="s">
        <v>26</v>
      </c>
      <c r="AF127" s="1"/>
    </row>
    <row r="128" spans="1:32" s="12" customFormat="1" ht="21" customHeight="1">
      <c r="A128" s="57"/>
      <c r="B128" s="58"/>
      <c r="C128" s="58"/>
      <c r="D128" s="307"/>
      <c r="E128" s="174"/>
      <c r="F128" s="174"/>
      <c r="G128" s="174"/>
      <c r="H128" s="174"/>
      <c r="I128" s="174"/>
      <c r="J128" s="174"/>
      <c r="K128" s="174"/>
      <c r="L128" s="174"/>
      <c r="M128" s="174"/>
      <c r="N128" s="96"/>
      <c r="O128" s="355" t="s">
        <v>544</v>
      </c>
      <c r="P128" s="63"/>
      <c r="Q128" s="63"/>
      <c r="R128" s="63"/>
      <c r="S128" s="64"/>
      <c r="T128" s="68"/>
      <c r="U128" s="64"/>
      <c r="V128" s="64"/>
      <c r="W128" s="63"/>
      <c r="X128" s="64"/>
      <c r="Y128" s="64"/>
      <c r="Z128" s="64"/>
      <c r="AA128" s="64"/>
      <c r="AB128" s="64"/>
      <c r="AC128" s="64"/>
      <c r="AD128" s="64">
        <f>SUM(AD129:AD131)</f>
        <v>940000</v>
      </c>
      <c r="AE128" s="71" t="s">
        <v>217</v>
      </c>
      <c r="AF128" s="1"/>
    </row>
    <row r="129" spans="1:32" s="12" customFormat="1" ht="21" customHeight="1">
      <c r="A129" s="57"/>
      <c r="B129" s="58"/>
      <c r="C129" s="58"/>
      <c r="D129" s="307"/>
      <c r="E129" s="174"/>
      <c r="F129" s="174"/>
      <c r="G129" s="174"/>
      <c r="H129" s="174"/>
      <c r="I129" s="174"/>
      <c r="J129" s="174"/>
      <c r="K129" s="174"/>
      <c r="L129" s="174"/>
      <c r="M129" s="174"/>
      <c r="N129" s="96"/>
      <c r="O129" s="198" t="s">
        <v>240</v>
      </c>
      <c r="P129" s="198"/>
      <c r="Q129" s="198"/>
      <c r="R129" s="198"/>
      <c r="S129" s="199">
        <v>55000</v>
      </c>
      <c r="T129" s="200" t="s">
        <v>214</v>
      </c>
      <c r="U129" s="200" t="s">
        <v>27</v>
      </c>
      <c r="V129" s="199">
        <v>12</v>
      </c>
      <c r="W129" s="198" t="s">
        <v>30</v>
      </c>
      <c r="X129" s="199" t="s">
        <v>28</v>
      </c>
      <c r="Y129" s="199"/>
      <c r="Z129" s="199"/>
      <c r="AA129" s="199"/>
      <c r="AB129" s="199"/>
      <c r="AC129" s="199"/>
      <c r="AD129" s="199">
        <f>S129*V129</f>
        <v>660000</v>
      </c>
      <c r="AE129" s="201" t="s">
        <v>217</v>
      </c>
      <c r="AF129" s="1"/>
    </row>
    <row r="130" spans="1:32" s="12" customFormat="1" ht="21" customHeight="1">
      <c r="A130" s="57"/>
      <c r="B130" s="58"/>
      <c r="C130" s="58"/>
      <c r="D130" s="307"/>
      <c r="E130" s="174"/>
      <c r="F130" s="174"/>
      <c r="G130" s="174"/>
      <c r="H130" s="174"/>
      <c r="I130" s="174"/>
      <c r="J130" s="174"/>
      <c r="K130" s="174"/>
      <c r="L130" s="174"/>
      <c r="M130" s="174"/>
      <c r="N130" s="96"/>
      <c r="O130" s="198" t="s">
        <v>241</v>
      </c>
      <c r="P130" s="198"/>
      <c r="Q130" s="198"/>
      <c r="R130" s="198"/>
      <c r="S130" s="199">
        <v>15000</v>
      </c>
      <c r="T130" s="200" t="s">
        <v>214</v>
      </c>
      <c r="U130" s="200" t="s">
        <v>27</v>
      </c>
      <c r="V130" s="199">
        <v>12</v>
      </c>
      <c r="W130" s="198" t="s">
        <v>30</v>
      </c>
      <c r="X130" s="199" t="s">
        <v>28</v>
      </c>
      <c r="Y130" s="199"/>
      <c r="Z130" s="199"/>
      <c r="AA130" s="199"/>
      <c r="AB130" s="199"/>
      <c r="AC130" s="199"/>
      <c r="AD130" s="199">
        <f>S130*V130</f>
        <v>180000</v>
      </c>
      <c r="AE130" s="201" t="s">
        <v>217</v>
      </c>
      <c r="AF130" s="1"/>
    </row>
    <row r="131" spans="1:32" s="12" customFormat="1" ht="21" customHeight="1">
      <c r="A131" s="57"/>
      <c r="B131" s="58"/>
      <c r="C131" s="73"/>
      <c r="D131" s="308"/>
      <c r="E131" s="177"/>
      <c r="F131" s="177"/>
      <c r="G131" s="177"/>
      <c r="H131" s="177"/>
      <c r="I131" s="177"/>
      <c r="J131" s="177"/>
      <c r="K131" s="177"/>
      <c r="L131" s="177"/>
      <c r="M131" s="177"/>
      <c r="N131" s="125"/>
      <c r="O131" s="202" t="s">
        <v>242</v>
      </c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3">
        <v>100000</v>
      </c>
      <c r="AE131" s="204" t="s">
        <v>217</v>
      </c>
      <c r="AF131" s="1"/>
    </row>
    <row r="132" spans="1:32" s="12" customFormat="1" ht="21" customHeight="1">
      <c r="A132" s="57"/>
      <c r="B132" s="58"/>
      <c r="C132" s="58" t="s">
        <v>44</v>
      </c>
      <c r="D132" s="307">
        <v>25940</v>
      </c>
      <c r="E132" s="174">
        <f>ROUND(AD132/1000,0)</f>
        <v>26090</v>
      </c>
      <c r="F132" s="174">
        <v>22200</v>
      </c>
      <c r="G132" s="174">
        <v>0</v>
      </c>
      <c r="H132" s="174">
        <v>0</v>
      </c>
      <c r="I132" s="174">
        <v>3890</v>
      </c>
      <c r="J132" s="174">
        <v>0</v>
      </c>
      <c r="K132" s="174">
        <v>0</v>
      </c>
      <c r="L132" s="174">
        <v>0</v>
      </c>
      <c r="M132" s="174">
        <f>E132-D132</f>
        <v>150</v>
      </c>
      <c r="N132" s="96">
        <f>IF(D132=0,0,M132/D132)</f>
        <v>5.782575173477255E-3</v>
      </c>
      <c r="O132" s="182" t="s">
        <v>48</v>
      </c>
      <c r="P132" s="44"/>
      <c r="Q132" s="44"/>
      <c r="R132" s="44"/>
      <c r="S132" s="44"/>
      <c r="T132" s="45"/>
      <c r="U132" s="45"/>
      <c r="V132" s="45"/>
      <c r="W132" s="45"/>
      <c r="X132" s="45"/>
      <c r="Y132" s="331" t="s">
        <v>521</v>
      </c>
      <c r="Z132" s="331"/>
      <c r="AA132" s="331"/>
      <c r="AB132" s="331"/>
      <c r="AC132" s="333"/>
      <c r="AD132" s="333">
        <f>SUM(AD133:AD138)</f>
        <v>26090000</v>
      </c>
      <c r="AE132" s="332" t="s">
        <v>26</v>
      </c>
      <c r="AF132" s="1"/>
    </row>
    <row r="133" spans="1:32" s="12" customFormat="1" ht="21" customHeight="1">
      <c r="A133" s="57"/>
      <c r="B133" s="58"/>
      <c r="C133" s="58"/>
      <c r="D133" s="307"/>
      <c r="E133" s="174"/>
      <c r="F133" s="174"/>
      <c r="G133" s="174"/>
      <c r="H133" s="174"/>
      <c r="I133" s="174"/>
      <c r="J133" s="174"/>
      <c r="K133" s="174"/>
      <c r="L133" s="174"/>
      <c r="M133" s="174"/>
      <c r="N133" s="96"/>
      <c r="O133" s="313" t="s">
        <v>243</v>
      </c>
      <c r="P133" s="63"/>
      <c r="Q133" s="63"/>
      <c r="R133" s="63"/>
      <c r="S133" s="199">
        <v>100000</v>
      </c>
      <c r="T133" s="200" t="s">
        <v>26</v>
      </c>
      <c r="U133" s="200" t="s">
        <v>27</v>
      </c>
      <c r="V133" s="199">
        <v>12</v>
      </c>
      <c r="W133" s="198" t="s">
        <v>30</v>
      </c>
      <c r="X133" s="199" t="s">
        <v>28</v>
      </c>
      <c r="Y133" s="64"/>
      <c r="Z133" s="64"/>
      <c r="AA133" s="196"/>
      <c r="AB133" s="64"/>
      <c r="AC133" s="64"/>
      <c r="AD133" s="64">
        <f>S133*V133</f>
        <v>1200000</v>
      </c>
      <c r="AE133" s="71" t="s">
        <v>26</v>
      </c>
      <c r="AF133" s="1"/>
    </row>
    <row r="134" spans="1:32" s="12" customFormat="1" ht="21" customHeight="1">
      <c r="A134" s="57"/>
      <c r="B134" s="58"/>
      <c r="C134" s="58"/>
      <c r="D134" s="307"/>
      <c r="E134" s="174"/>
      <c r="F134" s="174"/>
      <c r="G134" s="174"/>
      <c r="H134" s="174"/>
      <c r="I134" s="174"/>
      <c r="J134" s="174"/>
      <c r="K134" s="174"/>
      <c r="L134" s="174"/>
      <c r="M134" s="174"/>
      <c r="N134" s="96"/>
      <c r="O134" s="303" t="s">
        <v>388</v>
      </c>
      <c r="P134" s="262"/>
      <c r="Q134" s="262"/>
      <c r="R134" s="262"/>
      <c r="S134" s="354">
        <v>35000</v>
      </c>
      <c r="T134" s="68" t="s">
        <v>62</v>
      </c>
      <c r="U134" s="68" t="s">
        <v>27</v>
      </c>
      <c r="V134" s="354">
        <v>12</v>
      </c>
      <c r="W134" s="355" t="s">
        <v>0</v>
      </c>
      <c r="X134" s="354" t="s">
        <v>28</v>
      </c>
      <c r="Y134" s="354"/>
      <c r="Z134" s="354"/>
      <c r="AA134" s="354"/>
      <c r="AB134" s="354"/>
      <c r="AC134" s="354"/>
      <c r="AD134" s="354">
        <f>S134*V134</f>
        <v>420000</v>
      </c>
      <c r="AE134" s="71" t="s">
        <v>387</v>
      </c>
      <c r="AF134" s="1"/>
    </row>
    <row r="135" spans="1:32" s="12" customFormat="1" ht="21" customHeight="1">
      <c r="A135" s="57"/>
      <c r="B135" s="58"/>
      <c r="C135" s="58"/>
      <c r="D135" s="307"/>
      <c r="E135" s="174"/>
      <c r="F135" s="174"/>
      <c r="G135" s="174"/>
      <c r="H135" s="174"/>
      <c r="I135" s="174"/>
      <c r="J135" s="174"/>
      <c r="K135" s="174"/>
      <c r="L135" s="174"/>
      <c r="M135" s="174"/>
      <c r="N135" s="96"/>
      <c r="O135" s="303" t="s">
        <v>244</v>
      </c>
      <c r="P135" s="63"/>
      <c r="Q135" s="63"/>
      <c r="R135" s="63"/>
      <c r="S135" s="354">
        <v>1100000</v>
      </c>
      <c r="T135" s="68" t="s">
        <v>62</v>
      </c>
      <c r="U135" s="68" t="s">
        <v>27</v>
      </c>
      <c r="V135" s="354">
        <v>12</v>
      </c>
      <c r="W135" s="355" t="s">
        <v>0</v>
      </c>
      <c r="X135" s="354" t="s">
        <v>28</v>
      </c>
      <c r="Y135" s="354"/>
      <c r="Z135" s="354"/>
      <c r="AA135" s="354"/>
      <c r="AB135" s="354"/>
      <c r="AC135" s="354"/>
      <c r="AD135" s="354">
        <f>S135*V135</f>
        <v>13200000</v>
      </c>
      <c r="AE135" s="71" t="s">
        <v>26</v>
      </c>
      <c r="AF135" s="1"/>
    </row>
    <row r="136" spans="1:32" s="15" customFormat="1" ht="21" customHeight="1">
      <c r="A136" s="57"/>
      <c r="B136" s="58"/>
      <c r="C136" s="58"/>
      <c r="D136" s="307"/>
      <c r="E136" s="174"/>
      <c r="F136" s="174"/>
      <c r="G136" s="174"/>
      <c r="H136" s="174"/>
      <c r="I136" s="174"/>
      <c r="J136" s="174"/>
      <c r="K136" s="174"/>
      <c r="L136" s="174"/>
      <c r="M136" s="174"/>
      <c r="N136" s="96"/>
      <c r="O136" s="303" t="s">
        <v>245</v>
      </c>
      <c r="P136" s="63"/>
      <c r="Q136" s="63"/>
      <c r="R136" s="63"/>
      <c r="S136" s="354">
        <v>850000</v>
      </c>
      <c r="T136" s="68" t="s">
        <v>62</v>
      </c>
      <c r="U136" s="68" t="s">
        <v>27</v>
      </c>
      <c r="V136" s="354">
        <v>12</v>
      </c>
      <c r="W136" s="355" t="s">
        <v>0</v>
      </c>
      <c r="X136" s="354" t="s">
        <v>28</v>
      </c>
      <c r="Y136" s="354"/>
      <c r="Z136" s="354"/>
      <c r="AA136" s="354"/>
      <c r="AB136" s="354"/>
      <c r="AC136" s="354"/>
      <c r="AD136" s="354">
        <f>S136*V136</f>
        <v>10200000</v>
      </c>
      <c r="AE136" s="71" t="s">
        <v>26</v>
      </c>
      <c r="AF136" s="4"/>
    </row>
    <row r="137" spans="1:32" s="15" customFormat="1" ht="21" customHeight="1">
      <c r="A137" s="57"/>
      <c r="B137" s="58"/>
      <c r="C137" s="58"/>
      <c r="D137" s="307"/>
      <c r="E137" s="174"/>
      <c r="F137" s="174"/>
      <c r="G137" s="174"/>
      <c r="H137" s="174"/>
      <c r="I137" s="174"/>
      <c r="J137" s="174"/>
      <c r="K137" s="174"/>
      <c r="L137" s="174"/>
      <c r="M137" s="174"/>
      <c r="N137" s="96"/>
      <c r="O137" s="197" t="s">
        <v>294</v>
      </c>
      <c r="P137" s="63"/>
      <c r="Q137" s="63"/>
      <c r="R137" s="63"/>
      <c r="S137" s="354">
        <v>10000</v>
      </c>
      <c r="T137" s="68" t="s">
        <v>62</v>
      </c>
      <c r="U137" s="68" t="s">
        <v>27</v>
      </c>
      <c r="V137" s="354">
        <v>12</v>
      </c>
      <c r="W137" s="355" t="s">
        <v>0</v>
      </c>
      <c r="X137" s="354" t="s">
        <v>28</v>
      </c>
      <c r="Y137" s="354"/>
      <c r="Z137" s="354"/>
      <c r="AA137" s="354"/>
      <c r="AB137" s="354"/>
      <c r="AC137" s="354"/>
      <c r="AD137" s="354">
        <f>S137*V137</f>
        <v>120000</v>
      </c>
      <c r="AE137" s="71" t="s">
        <v>26</v>
      </c>
      <c r="AF137" s="4"/>
    </row>
    <row r="138" spans="1:32" s="15" customFormat="1" ht="21" customHeight="1">
      <c r="A138" s="57"/>
      <c r="B138" s="58"/>
      <c r="C138" s="58"/>
      <c r="D138" s="307"/>
      <c r="E138" s="174"/>
      <c r="F138" s="174"/>
      <c r="G138" s="174"/>
      <c r="H138" s="174"/>
      <c r="I138" s="174"/>
      <c r="J138" s="174"/>
      <c r="K138" s="174"/>
      <c r="L138" s="174"/>
      <c r="M138" s="174"/>
      <c r="N138" s="96"/>
      <c r="O138" s="239" t="s">
        <v>342</v>
      </c>
      <c r="P138" s="197"/>
      <c r="Q138" s="197"/>
      <c r="R138" s="197"/>
      <c r="S138" s="196"/>
      <c r="T138" s="68"/>
      <c r="U138" s="68"/>
      <c r="V138" s="196"/>
      <c r="W138" s="197"/>
      <c r="X138" s="196"/>
      <c r="Y138" s="196"/>
      <c r="Z138" s="196"/>
      <c r="AA138" s="196"/>
      <c r="AB138" s="196"/>
      <c r="AC138" s="196"/>
      <c r="AD138" s="196">
        <v>950000</v>
      </c>
      <c r="AE138" s="71" t="s">
        <v>77</v>
      </c>
      <c r="AF138" s="4"/>
    </row>
    <row r="139" spans="1:32" s="15" customFormat="1" ht="21" customHeight="1">
      <c r="A139" s="57"/>
      <c r="B139" s="58"/>
      <c r="C139" s="58"/>
      <c r="D139" s="307"/>
      <c r="E139" s="174"/>
      <c r="F139" s="174"/>
      <c r="G139" s="174"/>
      <c r="H139" s="174"/>
      <c r="I139" s="174"/>
      <c r="J139" s="174"/>
      <c r="K139" s="174"/>
      <c r="L139" s="174"/>
      <c r="M139" s="174"/>
      <c r="N139" s="96"/>
      <c r="O139" s="186"/>
      <c r="P139" s="63"/>
      <c r="Q139" s="63"/>
      <c r="R139" s="63"/>
      <c r="S139" s="64"/>
      <c r="T139" s="68"/>
      <c r="U139" s="68"/>
      <c r="V139" s="64"/>
      <c r="W139" s="63"/>
      <c r="X139" s="64"/>
      <c r="Y139" s="64"/>
      <c r="Z139" s="64"/>
      <c r="AA139" s="64"/>
      <c r="AB139" s="232"/>
      <c r="AC139" s="64"/>
      <c r="AD139" s="64"/>
      <c r="AE139" s="71"/>
      <c r="AF139" s="4"/>
    </row>
    <row r="140" spans="1:32" ht="21" customHeight="1">
      <c r="A140" s="57"/>
      <c r="B140" s="58"/>
      <c r="C140" s="48" t="s">
        <v>15</v>
      </c>
      <c r="D140" s="309">
        <v>7928</v>
      </c>
      <c r="E140" s="179">
        <f>ROUND(AD140/1000,0)</f>
        <v>7928</v>
      </c>
      <c r="F140" s="179">
        <v>5000</v>
      </c>
      <c r="G140" s="179">
        <v>0</v>
      </c>
      <c r="H140" s="179">
        <v>0</v>
      </c>
      <c r="I140" s="179">
        <v>2928</v>
      </c>
      <c r="J140" s="179">
        <v>0</v>
      </c>
      <c r="K140" s="179">
        <v>0</v>
      </c>
      <c r="L140" s="179">
        <v>0</v>
      </c>
      <c r="M140" s="365">
        <f>E140-D140</f>
        <v>0</v>
      </c>
      <c r="N140" s="187">
        <f>IF(D140=0,0,M140/D140)</f>
        <v>0</v>
      </c>
      <c r="O140" s="160" t="s">
        <v>49</v>
      </c>
      <c r="P140" s="156"/>
      <c r="Q140" s="156"/>
      <c r="R140" s="156"/>
      <c r="S140" s="156"/>
      <c r="T140" s="131"/>
      <c r="U140" s="131"/>
      <c r="V140" s="131"/>
      <c r="W140" s="131"/>
      <c r="X140" s="131"/>
      <c r="Y140" s="331" t="s">
        <v>521</v>
      </c>
      <c r="Z140" s="331"/>
      <c r="AA140" s="331"/>
      <c r="AB140" s="331"/>
      <c r="AC140" s="333"/>
      <c r="AD140" s="333">
        <f>SUM(AD142:AD152)</f>
        <v>7928000</v>
      </c>
      <c r="AE140" s="332" t="s">
        <v>26</v>
      </c>
    </row>
    <row r="141" spans="1:32" s="12" customFormat="1" ht="21" customHeight="1">
      <c r="A141" s="57"/>
      <c r="B141" s="58"/>
      <c r="C141" s="58"/>
      <c r="D141" s="307"/>
      <c r="E141" s="174"/>
      <c r="F141" s="174"/>
      <c r="G141" s="174"/>
      <c r="H141" s="174"/>
      <c r="I141" s="174"/>
      <c r="J141" s="174"/>
      <c r="K141" s="174"/>
      <c r="L141" s="174"/>
      <c r="M141" s="174"/>
      <c r="N141" s="96"/>
      <c r="O141" s="63" t="s">
        <v>246</v>
      </c>
      <c r="P141" s="63"/>
      <c r="Q141" s="63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92"/>
      <c r="AD141" s="92"/>
      <c r="AE141" s="71"/>
      <c r="AF141" s="1"/>
    </row>
    <row r="142" spans="1:32" s="12" customFormat="1" ht="21" customHeight="1">
      <c r="A142" s="57"/>
      <c r="B142" s="58"/>
      <c r="C142" s="58"/>
      <c r="D142" s="307"/>
      <c r="E142" s="174"/>
      <c r="F142" s="174"/>
      <c r="G142" s="174"/>
      <c r="H142" s="174"/>
      <c r="I142" s="174"/>
      <c r="J142" s="174"/>
      <c r="K142" s="174"/>
      <c r="L142" s="174"/>
      <c r="M142" s="174"/>
      <c r="N142" s="96"/>
      <c r="O142" s="63" t="s">
        <v>247</v>
      </c>
      <c r="P142" s="205"/>
      <c r="Q142" s="205"/>
      <c r="R142" s="205"/>
      <c r="S142" s="64">
        <v>100000</v>
      </c>
      <c r="T142" s="68" t="s">
        <v>214</v>
      </c>
      <c r="U142" s="68" t="s">
        <v>27</v>
      </c>
      <c r="V142" s="64">
        <v>12</v>
      </c>
      <c r="W142" s="63" t="s">
        <v>232</v>
      </c>
      <c r="X142" s="64" t="s">
        <v>28</v>
      </c>
      <c r="Y142" s="64"/>
      <c r="Z142" s="64"/>
      <c r="AA142" s="64"/>
      <c r="AB142" s="196"/>
      <c r="AC142" s="64"/>
      <c r="AD142" s="64">
        <f>S142*V142</f>
        <v>1200000</v>
      </c>
      <c r="AE142" s="71" t="s">
        <v>26</v>
      </c>
      <c r="AF142" s="1"/>
    </row>
    <row r="143" spans="1:32" s="12" customFormat="1" ht="21" customHeight="1">
      <c r="A143" s="57"/>
      <c r="B143" s="58"/>
      <c r="C143" s="58"/>
      <c r="D143" s="307"/>
      <c r="E143" s="174"/>
      <c r="F143" s="174"/>
      <c r="G143" s="174"/>
      <c r="H143" s="174"/>
      <c r="I143" s="174"/>
      <c r="J143" s="174"/>
      <c r="K143" s="174"/>
      <c r="L143" s="174"/>
      <c r="M143" s="174"/>
      <c r="N143" s="96"/>
      <c r="O143" s="63" t="s">
        <v>248</v>
      </c>
      <c r="P143" s="205"/>
      <c r="Q143" s="205"/>
      <c r="R143" s="205"/>
      <c r="S143" s="64">
        <v>80000</v>
      </c>
      <c r="T143" s="68" t="s">
        <v>214</v>
      </c>
      <c r="U143" s="68" t="s">
        <v>27</v>
      </c>
      <c r="V143" s="64">
        <v>12</v>
      </c>
      <c r="W143" s="63" t="s">
        <v>232</v>
      </c>
      <c r="X143" s="64" t="s">
        <v>28</v>
      </c>
      <c r="Y143" s="64"/>
      <c r="Z143" s="64"/>
      <c r="AA143" s="64"/>
      <c r="AB143" s="196"/>
      <c r="AC143" s="64"/>
      <c r="AD143" s="64">
        <f>S143*V143</f>
        <v>960000</v>
      </c>
      <c r="AE143" s="71" t="s">
        <v>26</v>
      </c>
      <c r="AF143" s="1"/>
    </row>
    <row r="144" spans="1:32" s="12" customFormat="1" ht="21" customHeight="1">
      <c r="A144" s="57"/>
      <c r="B144" s="58"/>
      <c r="C144" s="58"/>
      <c r="D144" s="307"/>
      <c r="E144" s="174"/>
      <c r="F144" s="174"/>
      <c r="G144" s="174"/>
      <c r="H144" s="174"/>
      <c r="I144" s="174"/>
      <c r="J144" s="174"/>
      <c r="K144" s="174"/>
      <c r="L144" s="174"/>
      <c r="M144" s="174"/>
      <c r="N144" s="96"/>
      <c r="O144" s="63" t="s">
        <v>249</v>
      </c>
      <c r="P144" s="205"/>
      <c r="Q144" s="205"/>
      <c r="R144" s="205"/>
      <c r="S144" s="64">
        <v>10000</v>
      </c>
      <c r="T144" s="68" t="s">
        <v>214</v>
      </c>
      <c r="U144" s="68" t="s">
        <v>27</v>
      </c>
      <c r="V144" s="64">
        <v>12</v>
      </c>
      <c r="W144" s="63" t="s">
        <v>232</v>
      </c>
      <c r="X144" s="64" t="s">
        <v>28</v>
      </c>
      <c r="Y144" s="64"/>
      <c r="Z144" s="64"/>
      <c r="AA144" s="64"/>
      <c r="AB144" s="196"/>
      <c r="AC144" s="64"/>
      <c r="AD144" s="64">
        <f>S144*V144</f>
        <v>120000</v>
      </c>
      <c r="AE144" s="71" t="s">
        <v>26</v>
      </c>
      <c r="AF144" s="1"/>
    </row>
    <row r="145" spans="1:32" s="12" customFormat="1" ht="21" customHeight="1">
      <c r="A145" s="57"/>
      <c r="B145" s="58"/>
      <c r="C145" s="58"/>
      <c r="D145" s="307"/>
      <c r="E145" s="174"/>
      <c r="F145" s="174"/>
      <c r="G145" s="174"/>
      <c r="H145" s="174"/>
      <c r="I145" s="174"/>
      <c r="J145" s="174"/>
      <c r="K145" s="174"/>
      <c r="L145" s="174"/>
      <c r="M145" s="174"/>
      <c r="N145" s="96"/>
      <c r="O145" s="63" t="s">
        <v>250</v>
      </c>
      <c r="P145" s="205"/>
      <c r="Q145" s="205"/>
      <c r="R145" s="205"/>
      <c r="S145" s="205"/>
      <c r="T145" s="92"/>
      <c r="U145" s="206"/>
      <c r="V145" s="63"/>
      <c r="W145" s="68"/>
      <c r="X145" s="64"/>
      <c r="Y145" s="64"/>
      <c r="Z145" s="64"/>
      <c r="AA145" s="63"/>
      <c r="AB145" s="197"/>
      <c r="AC145" s="64"/>
      <c r="AD145" s="64">
        <v>148000</v>
      </c>
      <c r="AE145" s="71" t="s">
        <v>26</v>
      </c>
      <c r="AF145" s="1"/>
    </row>
    <row r="146" spans="1:32" s="12" customFormat="1" ht="21" customHeight="1">
      <c r="A146" s="57"/>
      <c r="B146" s="58"/>
      <c r="C146" s="58"/>
      <c r="D146" s="307"/>
      <c r="E146" s="174"/>
      <c r="F146" s="174"/>
      <c r="G146" s="174"/>
      <c r="H146" s="174"/>
      <c r="I146" s="174"/>
      <c r="J146" s="174"/>
      <c r="K146" s="174"/>
      <c r="L146" s="174"/>
      <c r="M146" s="174"/>
      <c r="N146" s="96"/>
      <c r="O146" s="63"/>
      <c r="P146" s="205"/>
      <c r="Q146" s="205"/>
      <c r="R146" s="205"/>
      <c r="S146" s="205"/>
      <c r="T146" s="92"/>
      <c r="U146" s="206"/>
      <c r="V146" s="63"/>
      <c r="W146" s="68"/>
      <c r="X146" s="64"/>
      <c r="Y146" s="64"/>
      <c r="Z146" s="64"/>
      <c r="AA146" s="63"/>
      <c r="AB146" s="63"/>
      <c r="AC146" s="64"/>
      <c r="AD146" s="64"/>
      <c r="AE146" s="71"/>
      <c r="AF146" s="1"/>
    </row>
    <row r="147" spans="1:32" s="12" customFormat="1" ht="21" customHeight="1">
      <c r="A147" s="57"/>
      <c r="B147" s="58"/>
      <c r="C147" s="58"/>
      <c r="D147" s="307"/>
      <c r="E147" s="174"/>
      <c r="F147" s="174"/>
      <c r="G147" s="174"/>
      <c r="H147" s="174"/>
      <c r="I147" s="174"/>
      <c r="J147" s="174"/>
      <c r="K147" s="174"/>
      <c r="L147" s="174"/>
      <c r="M147" s="174"/>
      <c r="N147" s="96"/>
      <c r="O147" s="443" t="s">
        <v>251</v>
      </c>
      <c r="P147" s="443"/>
      <c r="Q147" s="443"/>
      <c r="R147" s="443"/>
      <c r="S147" s="443"/>
      <c r="T147" s="63"/>
      <c r="U147" s="64"/>
      <c r="V147" s="63"/>
      <c r="W147" s="68"/>
      <c r="X147" s="64"/>
      <c r="Y147" s="64"/>
      <c r="Z147" s="64"/>
      <c r="AA147" s="63"/>
      <c r="AB147" s="63"/>
      <c r="AC147" s="64"/>
      <c r="AD147" s="64"/>
      <c r="AE147" s="71"/>
      <c r="AF147" s="1"/>
    </row>
    <row r="148" spans="1:32" s="12" customFormat="1" ht="21" customHeight="1">
      <c r="A148" s="57"/>
      <c r="B148" s="58"/>
      <c r="C148" s="58"/>
      <c r="D148" s="307"/>
      <c r="E148" s="174"/>
      <c r="F148" s="174"/>
      <c r="G148" s="174"/>
      <c r="H148" s="174"/>
      <c r="I148" s="174"/>
      <c r="J148" s="174"/>
      <c r="K148" s="174"/>
      <c r="L148" s="174"/>
      <c r="M148" s="174"/>
      <c r="N148" s="96"/>
      <c r="O148" s="197" t="s">
        <v>295</v>
      </c>
      <c r="P148" s="36"/>
      <c r="Q148" s="36"/>
      <c r="R148" s="36"/>
      <c r="S148" s="63"/>
      <c r="T148" s="92"/>
      <c r="U148" s="206"/>
      <c r="V148" s="63"/>
      <c r="W148" s="68"/>
      <c r="X148" s="64"/>
      <c r="Y148" s="64"/>
      <c r="Z148" s="64"/>
      <c r="AA148" s="63"/>
      <c r="AB148" s="63"/>
      <c r="AC148" s="64"/>
      <c r="AD148" s="64">
        <v>3500000</v>
      </c>
      <c r="AE148" s="71" t="s">
        <v>26</v>
      </c>
      <c r="AF148" s="1"/>
    </row>
    <row r="149" spans="1:32" s="12" customFormat="1" ht="21" customHeight="1">
      <c r="A149" s="57"/>
      <c r="B149" s="58"/>
      <c r="C149" s="58"/>
      <c r="D149" s="307"/>
      <c r="E149" s="174"/>
      <c r="F149" s="174"/>
      <c r="G149" s="174"/>
      <c r="H149" s="174"/>
      <c r="I149" s="174"/>
      <c r="J149" s="174"/>
      <c r="K149" s="174"/>
      <c r="L149" s="174"/>
      <c r="M149" s="174"/>
      <c r="N149" s="96"/>
      <c r="O149" s="63" t="s">
        <v>252</v>
      </c>
      <c r="P149" s="205"/>
      <c r="Q149" s="205"/>
      <c r="R149" s="205"/>
      <c r="S149" s="205"/>
      <c r="T149" s="205"/>
      <c r="U149" s="205"/>
      <c r="V149" s="205"/>
      <c r="W149" s="205"/>
      <c r="X149" s="205"/>
      <c r="Y149" s="64"/>
      <c r="Z149" s="64"/>
      <c r="AA149" s="63"/>
      <c r="AB149" s="63"/>
      <c r="AC149" s="64"/>
      <c r="AD149" s="64">
        <v>200000</v>
      </c>
      <c r="AE149" s="71" t="s">
        <v>26</v>
      </c>
      <c r="AF149" s="1"/>
    </row>
    <row r="150" spans="1:32" s="12" customFormat="1" ht="21" customHeight="1">
      <c r="A150" s="57"/>
      <c r="B150" s="58"/>
      <c r="C150" s="58"/>
      <c r="D150" s="307"/>
      <c r="E150" s="174"/>
      <c r="F150" s="174"/>
      <c r="G150" s="174"/>
      <c r="H150" s="174"/>
      <c r="I150" s="174"/>
      <c r="J150" s="174"/>
      <c r="K150" s="174"/>
      <c r="L150" s="174"/>
      <c r="M150" s="174"/>
      <c r="N150" s="96"/>
      <c r="O150" s="63" t="s">
        <v>253</v>
      </c>
      <c r="P150" s="36"/>
      <c r="Q150" s="36"/>
      <c r="R150" s="36"/>
      <c r="S150" s="63"/>
      <c r="T150" s="92"/>
      <c r="U150" s="206"/>
      <c r="V150" s="63"/>
      <c r="W150" s="68"/>
      <c r="X150" s="64"/>
      <c r="Y150" s="64"/>
      <c r="Z150" s="64"/>
      <c r="AA150" s="63"/>
      <c r="AB150" s="63"/>
      <c r="AC150" s="64"/>
      <c r="AD150" s="64">
        <v>500000</v>
      </c>
      <c r="AE150" s="71" t="s">
        <v>26</v>
      </c>
      <c r="AF150" s="1"/>
    </row>
    <row r="151" spans="1:32" s="12" customFormat="1" ht="21" customHeight="1">
      <c r="A151" s="57"/>
      <c r="B151" s="58"/>
      <c r="C151" s="58"/>
      <c r="D151" s="307"/>
      <c r="E151" s="174"/>
      <c r="F151" s="174"/>
      <c r="G151" s="174"/>
      <c r="H151" s="174"/>
      <c r="I151" s="174"/>
      <c r="J151" s="174"/>
      <c r="K151" s="174"/>
      <c r="L151" s="174"/>
      <c r="M151" s="174"/>
      <c r="N151" s="96"/>
      <c r="O151" s="197" t="s">
        <v>296</v>
      </c>
      <c r="P151" s="36"/>
      <c r="Q151" s="36"/>
      <c r="R151" s="36"/>
      <c r="S151" s="197"/>
      <c r="T151" s="92"/>
      <c r="U151" s="206"/>
      <c r="V151" s="197"/>
      <c r="W151" s="68"/>
      <c r="X151" s="196"/>
      <c r="Y151" s="196"/>
      <c r="Z151" s="196"/>
      <c r="AA151" s="197"/>
      <c r="AB151" s="197"/>
      <c r="AC151" s="196"/>
      <c r="AD151" s="196">
        <v>1200000</v>
      </c>
      <c r="AE151" s="71" t="s">
        <v>77</v>
      </c>
      <c r="AF151" s="1"/>
    </row>
    <row r="152" spans="1:32" s="12" customFormat="1" ht="21" customHeight="1">
      <c r="A152" s="57"/>
      <c r="B152" s="58"/>
      <c r="C152" s="58"/>
      <c r="D152" s="307"/>
      <c r="E152" s="174"/>
      <c r="F152" s="174"/>
      <c r="G152" s="174"/>
      <c r="H152" s="174"/>
      <c r="I152" s="174"/>
      <c r="J152" s="174"/>
      <c r="K152" s="174"/>
      <c r="L152" s="174"/>
      <c r="M152" s="174"/>
      <c r="N152" s="96"/>
      <c r="O152" s="239" t="s">
        <v>341</v>
      </c>
      <c r="P152" s="36"/>
      <c r="Q152" s="36"/>
      <c r="R152" s="36"/>
      <c r="S152" s="197"/>
      <c r="T152" s="92"/>
      <c r="U152" s="206"/>
      <c r="V152" s="197"/>
      <c r="W152" s="68"/>
      <c r="X152" s="196"/>
      <c r="Y152" s="196"/>
      <c r="Z152" s="196"/>
      <c r="AA152" s="197"/>
      <c r="AB152" s="239"/>
      <c r="AC152" s="196"/>
      <c r="AD152" s="196">
        <v>100000</v>
      </c>
      <c r="AE152" s="71" t="s">
        <v>77</v>
      </c>
      <c r="AF152" s="1"/>
    </row>
    <row r="153" spans="1:32" s="12" customFormat="1" ht="21" customHeight="1">
      <c r="A153" s="57"/>
      <c r="B153" s="58"/>
      <c r="C153" s="58"/>
      <c r="D153" s="307"/>
      <c r="E153" s="174"/>
      <c r="F153" s="174"/>
      <c r="G153" s="174"/>
      <c r="H153" s="174"/>
      <c r="I153" s="174"/>
      <c r="J153" s="174"/>
      <c r="K153" s="174"/>
      <c r="L153" s="174"/>
      <c r="M153" s="174"/>
      <c r="N153" s="96"/>
      <c r="O153" s="197"/>
      <c r="P153" s="205"/>
      <c r="Q153" s="205"/>
      <c r="R153" s="205"/>
      <c r="S153" s="205"/>
      <c r="T153" s="205"/>
      <c r="U153" s="205"/>
      <c r="V153" s="205"/>
      <c r="W153" s="205"/>
      <c r="X153" s="205"/>
      <c r="Y153" s="101"/>
      <c r="Z153" s="101"/>
      <c r="AA153" s="101"/>
      <c r="AB153" s="101"/>
      <c r="AC153" s="101"/>
      <c r="AD153" s="64"/>
      <c r="AE153" s="71"/>
      <c r="AF153" s="1"/>
    </row>
    <row r="154" spans="1:32" s="12" customFormat="1" ht="21" customHeight="1">
      <c r="A154" s="57"/>
      <c r="B154" s="58"/>
      <c r="C154" s="48" t="s">
        <v>50</v>
      </c>
      <c r="D154" s="309">
        <v>6800</v>
      </c>
      <c r="E154" s="179">
        <f>ROUND(AD154/1000,0)</f>
        <v>6800</v>
      </c>
      <c r="F154" s="179">
        <v>2000</v>
      </c>
      <c r="G154" s="179">
        <v>3600</v>
      </c>
      <c r="H154" s="179">
        <v>0</v>
      </c>
      <c r="I154" s="179">
        <v>1200</v>
      </c>
      <c r="J154" s="179">
        <v>0</v>
      </c>
      <c r="K154" s="179">
        <v>0</v>
      </c>
      <c r="L154" s="179">
        <v>0</v>
      </c>
      <c r="M154" s="179">
        <f>E154-D154</f>
        <v>0</v>
      </c>
      <c r="N154" s="187">
        <f>IF(D154=0,0,M154/D154)</f>
        <v>0</v>
      </c>
      <c r="O154" s="160" t="s">
        <v>51</v>
      </c>
      <c r="P154" s="156"/>
      <c r="Q154" s="156"/>
      <c r="R154" s="156"/>
      <c r="S154" s="156"/>
      <c r="T154" s="131"/>
      <c r="U154" s="131"/>
      <c r="V154" s="131"/>
      <c r="W154" s="131"/>
      <c r="X154" s="131"/>
      <c r="Y154" s="331" t="s">
        <v>521</v>
      </c>
      <c r="Z154" s="331"/>
      <c r="AA154" s="331"/>
      <c r="AB154" s="331"/>
      <c r="AC154" s="333"/>
      <c r="AD154" s="333">
        <f>SUM(AD155:AD157)</f>
        <v>6800000</v>
      </c>
      <c r="AE154" s="332" t="s">
        <v>26</v>
      </c>
      <c r="AF154" s="1"/>
    </row>
    <row r="155" spans="1:32" s="12" customFormat="1" ht="21" customHeight="1">
      <c r="A155" s="57"/>
      <c r="B155" s="58"/>
      <c r="C155" s="58"/>
      <c r="D155" s="175"/>
      <c r="E155" s="174"/>
      <c r="F155" s="174"/>
      <c r="G155" s="174"/>
      <c r="H155" s="174"/>
      <c r="I155" s="174"/>
      <c r="J155" s="174"/>
      <c r="K155" s="174"/>
      <c r="L155" s="174"/>
      <c r="M155" s="174"/>
      <c r="N155" s="96"/>
      <c r="O155" s="303" t="s">
        <v>254</v>
      </c>
      <c r="P155" s="63"/>
      <c r="Q155" s="63"/>
      <c r="R155" s="63"/>
      <c r="S155" s="64"/>
      <c r="T155" s="68"/>
      <c r="U155" s="64"/>
      <c r="V155" s="437"/>
      <c r="W155" s="438"/>
      <c r="X155" s="64"/>
      <c r="Y155" s="64"/>
      <c r="Z155" s="64"/>
      <c r="AA155" s="64"/>
      <c r="AB155" s="64"/>
      <c r="AC155" s="64"/>
      <c r="AD155" s="64">
        <v>3800000</v>
      </c>
      <c r="AE155" s="71" t="s">
        <v>26</v>
      </c>
      <c r="AF155" s="1"/>
    </row>
    <row r="156" spans="1:32" s="12" customFormat="1" ht="21" customHeight="1">
      <c r="A156" s="57"/>
      <c r="B156" s="58"/>
      <c r="C156" s="58"/>
      <c r="D156" s="175"/>
      <c r="E156" s="174"/>
      <c r="F156" s="174"/>
      <c r="G156" s="174"/>
      <c r="H156" s="174"/>
      <c r="I156" s="174"/>
      <c r="J156" s="174"/>
      <c r="K156" s="174"/>
      <c r="L156" s="174"/>
      <c r="M156" s="174"/>
      <c r="N156" s="96"/>
      <c r="O156" s="355" t="s">
        <v>545</v>
      </c>
      <c r="P156" s="355"/>
      <c r="Q156" s="355"/>
      <c r="R156" s="355"/>
      <c r="S156" s="354"/>
      <c r="T156" s="68"/>
      <c r="U156" s="354"/>
      <c r="V156" s="354"/>
      <c r="W156" s="355"/>
      <c r="X156" s="354"/>
      <c r="Y156" s="354"/>
      <c r="Z156" s="354"/>
      <c r="AA156" s="354"/>
      <c r="AB156" s="354"/>
      <c r="AC156" s="354"/>
      <c r="AD156" s="354">
        <v>200000</v>
      </c>
      <c r="AE156" s="71" t="s">
        <v>510</v>
      </c>
      <c r="AF156" s="1"/>
    </row>
    <row r="157" spans="1:32" ht="21" customHeight="1">
      <c r="A157" s="57"/>
      <c r="B157" s="58"/>
      <c r="C157" s="58"/>
      <c r="D157" s="307"/>
      <c r="E157" s="174"/>
      <c r="F157" s="174"/>
      <c r="G157" s="174"/>
      <c r="H157" s="174"/>
      <c r="I157" s="174"/>
      <c r="J157" s="174"/>
      <c r="K157" s="174"/>
      <c r="L157" s="174"/>
      <c r="M157" s="174"/>
      <c r="N157" s="96"/>
      <c r="O157" s="355" t="s">
        <v>613</v>
      </c>
      <c r="P157" s="63"/>
      <c r="Q157" s="63"/>
      <c r="R157" s="63"/>
      <c r="S157" s="64"/>
      <c r="T157" s="68"/>
      <c r="U157" s="64"/>
      <c r="V157" s="437"/>
      <c r="W157" s="438"/>
      <c r="X157" s="64"/>
      <c r="Y157" s="64"/>
      <c r="Z157" s="64"/>
      <c r="AA157" s="64"/>
      <c r="AB157" s="64"/>
      <c r="AC157" s="64"/>
      <c r="AD157" s="64">
        <v>2800000</v>
      </c>
      <c r="AE157" s="71" t="s">
        <v>26</v>
      </c>
    </row>
    <row r="158" spans="1:32" s="12" customFormat="1" ht="21" customHeight="1">
      <c r="A158" s="57"/>
      <c r="B158" s="58"/>
      <c r="C158" s="73"/>
      <c r="D158" s="207"/>
      <c r="E158" s="177"/>
      <c r="F158" s="177"/>
      <c r="G158" s="177"/>
      <c r="H158" s="177"/>
      <c r="I158" s="177"/>
      <c r="J158" s="177"/>
      <c r="K158" s="177"/>
      <c r="L158" s="177"/>
      <c r="M158" s="177"/>
      <c r="N158" s="125"/>
      <c r="O158" s="113"/>
      <c r="P158" s="113"/>
      <c r="Q158" s="113"/>
      <c r="R158" s="113"/>
      <c r="S158" s="112"/>
      <c r="T158" s="126"/>
      <c r="U158" s="112"/>
      <c r="V158" s="439"/>
      <c r="W158" s="440"/>
      <c r="X158" s="112"/>
      <c r="Y158" s="112"/>
      <c r="Z158" s="112"/>
      <c r="AA158" s="112"/>
      <c r="AB158" s="208"/>
      <c r="AC158" s="112"/>
      <c r="AD158" s="112"/>
      <c r="AE158" s="99"/>
      <c r="AF158" s="1"/>
    </row>
    <row r="159" spans="1:32" s="12" customFormat="1" ht="21" customHeight="1">
      <c r="A159" s="57"/>
      <c r="B159" s="58"/>
      <c r="C159" s="48" t="s">
        <v>255</v>
      </c>
      <c r="D159" s="210">
        <v>15520</v>
      </c>
      <c r="E159" s="179">
        <f>ROUND(AD159/1000,0)</f>
        <v>14860</v>
      </c>
      <c r="F159" s="179">
        <v>3000</v>
      </c>
      <c r="G159" s="179">
        <v>500</v>
      </c>
      <c r="H159" s="179">
        <v>0</v>
      </c>
      <c r="I159" s="179">
        <v>4640</v>
      </c>
      <c r="J159" s="179">
        <v>0</v>
      </c>
      <c r="K159" s="179">
        <f>SUM(AD162:AD163,AD171:AD173)/1000</f>
        <v>2660</v>
      </c>
      <c r="L159" s="179">
        <v>4060</v>
      </c>
      <c r="M159" s="179">
        <f>E159-D159</f>
        <v>-660</v>
      </c>
      <c r="N159" s="187">
        <f>IF(D159=0,0,M159/D159)</f>
        <v>-4.252577319587629E-2</v>
      </c>
      <c r="O159" s="182" t="s">
        <v>256</v>
      </c>
      <c r="P159" s="156"/>
      <c r="Q159" s="156"/>
      <c r="R159" s="156"/>
      <c r="S159" s="156"/>
      <c r="T159" s="131"/>
      <c r="U159" s="131"/>
      <c r="V159" s="131"/>
      <c r="W159" s="131"/>
      <c r="X159" s="131"/>
      <c r="Y159" s="331" t="s">
        <v>521</v>
      </c>
      <c r="Z159" s="331"/>
      <c r="AA159" s="331"/>
      <c r="AB159" s="331"/>
      <c r="AC159" s="333"/>
      <c r="AD159" s="333">
        <f>SUM(AD161:AD175)</f>
        <v>14860000</v>
      </c>
      <c r="AE159" s="332" t="s">
        <v>26</v>
      </c>
      <c r="AF159" s="1"/>
    </row>
    <row r="160" spans="1:32" s="12" customFormat="1" ht="20.25" customHeight="1">
      <c r="A160" s="57"/>
      <c r="B160" s="58"/>
      <c r="C160" s="58"/>
      <c r="D160" s="211"/>
      <c r="E160" s="174"/>
      <c r="F160" s="174"/>
      <c r="G160" s="174"/>
      <c r="H160" s="174"/>
      <c r="I160" s="174"/>
      <c r="J160" s="174"/>
      <c r="K160" s="174"/>
      <c r="L160" s="174"/>
      <c r="M160" s="174"/>
      <c r="N160" s="96"/>
      <c r="O160" s="303" t="s">
        <v>297</v>
      </c>
      <c r="P160" s="197"/>
      <c r="Q160" s="197"/>
      <c r="R160" s="197"/>
      <c r="S160" s="183"/>
      <c r="T160" s="196"/>
      <c r="U160" s="196"/>
      <c r="V160" s="196"/>
      <c r="W160" s="196"/>
      <c r="X160" s="196"/>
      <c r="Y160" s="196"/>
      <c r="Z160" s="196"/>
      <c r="AA160" s="196"/>
      <c r="AB160" s="196"/>
      <c r="AC160" s="92"/>
      <c r="AD160" s="92"/>
      <c r="AE160" s="71"/>
      <c r="AF160" s="2"/>
    </row>
    <row r="161" spans="1:32" s="12" customFormat="1" ht="20.25" customHeight="1">
      <c r="A161" s="57"/>
      <c r="B161" s="58"/>
      <c r="C161" s="58"/>
      <c r="D161" s="211"/>
      <c r="E161" s="174"/>
      <c r="F161" s="174"/>
      <c r="G161" s="174"/>
      <c r="H161" s="174"/>
      <c r="I161" s="174"/>
      <c r="J161" s="174"/>
      <c r="K161" s="174"/>
      <c r="L161" s="174"/>
      <c r="M161" s="174"/>
      <c r="N161" s="96"/>
      <c r="O161" s="355" t="s">
        <v>547</v>
      </c>
      <c r="P161" s="197"/>
      <c r="Q161" s="197"/>
      <c r="R161" s="197"/>
      <c r="S161" s="354">
        <v>200000</v>
      </c>
      <c r="T161" s="354" t="s">
        <v>62</v>
      </c>
      <c r="U161" s="100" t="s">
        <v>63</v>
      </c>
      <c r="V161" s="354">
        <v>33</v>
      </c>
      <c r="W161" s="354" t="s">
        <v>61</v>
      </c>
      <c r="X161" s="100"/>
      <c r="Y161" s="354"/>
      <c r="Z161" s="354"/>
      <c r="AA161" s="354" t="s">
        <v>58</v>
      </c>
      <c r="AB161" s="354"/>
      <c r="AC161" s="92"/>
      <c r="AD161" s="92">
        <f>S161*V161</f>
        <v>6600000</v>
      </c>
      <c r="AE161" s="71" t="s">
        <v>77</v>
      </c>
      <c r="AF161" s="2"/>
    </row>
    <row r="162" spans="1:32" s="12" customFormat="1" ht="20.25" customHeight="1">
      <c r="A162" s="57"/>
      <c r="B162" s="58"/>
      <c r="C162" s="58"/>
      <c r="D162" s="211"/>
      <c r="E162" s="174"/>
      <c r="F162" s="174"/>
      <c r="G162" s="174"/>
      <c r="H162" s="174"/>
      <c r="I162" s="174"/>
      <c r="J162" s="174"/>
      <c r="K162" s="174"/>
      <c r="L162" s="174"/>
      <c r="M162" s="174"/>
      <c r="N162" s="96"/>
      <c r="O162" s="303" t="s">
        <v>298</v>
      </c>
      <c r="P162" s="197"/>
      <c r="Q162" s="197"/>
      <c r="R162" s="197"/>
      <c r="S162" s="183"/>
      <c r="T162" s="196"/>
      <c r="U162" s="196"/>
      <c r="V162" s="196"/>
      <c r="W162" s="196"/>
      <c r="X162" s="196"/>
      <c r="Y162" s="196"/>
      <c r="Z162" s="196"/>
      <c r="AA162" s="196"/>
      <c r="AB162" s="354" t="s">
        <v>551</v>
      </c>
      <c r="AC162" s="92"/>
      <c r="AD162" s="92">
        <v>600000</v>
      </c>
      <c r="AE162" s="71" t="s">
        <v>77</v>
      </c>
      <c r="AF162" s="2"/>
    </row>
    <row r="163" spans="1:32" s="12" customFormat="1" ht="20.25" customHeight="1">
      <c r="A163" s="57"/>
      <c r="B163" s="58"/>
      <c r="C163" s="58"/>
      <c r="D163" s="211"/>
      <c r="E163" s="174"/>
      <c r="F163" s="174"/>
      <c r="G163" s="174"/>
      <c r="H163" s="174"/>
      <c r="I163" s="174"/>
      <c r="J163" s="174"/>
      <c r="K163" s="174"/>
      <c r="L163" s="174"/>
      <c r="M163" s="174"/>
      <c r="N163" s="96"/>
      <c r="O163" s="355" t="s">
        <v>546</v>
      </c>
      <c r="P163" s="355"/>
      <c r="Q163" s="355"/>
      <c r="R163" s="355"/>
      <c r="S163" s="183"/>
      <c r="T163" s="354"/>
      <c r="U163" s="354"/>
      <c r="V163" s="354"/>
      <c r="W163" s="354"/>
      <c r="X163" s="354"/>
      <c r="Y163" s="354"/>
      <c r="Z163" s="354"/>
      <c r="AA163" s="354"/>
      <c r="AB163" s="354" t="s">
        <v>553</v>
      </c>
      <c r="AC163" s="92"/>
      <c r="AD163" s="92">
        <v>400000</v>
      </c>
      <c r="AE163" s="71" t="s">
        <v>510</v>
      </c>
      <c r="AF163" s="2"/>
    </row>
    <row r="164" spans="1:32" s="12" customFormat="1" ht="20.25" customHeight="1">
      <c r="A164" s="57"/>
      <c r="B164" s="58"/>
      <c r="C164" s="58"/>
      <c r="D164" s="211"/>
      <c r="E164" s="174"/>
      <c r="F164" s="174"/>
      <c r="G164" s="174"/>
      <c r="H164" s="174"/>
      <c r="I164" s="174"/>
      <c r="J164" s="174"/>
      <c r="K164" s="174"/>
      <c r="L164" s="174"/>
      <c r="M164" s="174"/>
      <c r="N164" s="96"/>
      <c r="O164" s="303" t="s">
        <v>299</v>
      </c>
      <c r="P164" s="197"/>
      <c r="Q164" s="197"/>
      <c r="R164" s="197"/>
      <c r="S164" s="183"/>
      <c r="T164" s="196"/>
      <c r="U164" s="196"/>
      <c r="V164" s="196"/>
      <c r="W164" s="196"/>
      <c r="X164" s="196"/>
      <c r="Y164" s="196"/>
      <c r="Z164" s="196"/>
      <c r="AA164" s="196"/>
      <c r="AB164" s="196"/>
      <c r="AC164" s="92"/>
      <c r="AD164" s="92"/>
      <c r="AE164" s="71"/>
      <c r="AF164" s="2"/>
    </row>
    <row r="165" spans="1:32" s="12" customFormat="1" ht="20.25" customHeight="1">
      <c r="A165" s="57"/>
      <c r="B165" s="58"/>
      <c r="C165" s="58"/>
      <c r="D165" s="211"/>
      <c r="E165" s="174"/>
      <c r="F165" s="174"/>
      <c r="G165" s="174"/>
      <c r="H165" s="174"/>
      <c r="I165" s="174"/>
      <c r="J165" s="174"/>
      <c r="K165" s="174"/>
      <c r="L165" s="174"/>
      <c r="M165" s="174"/>
      <c r="N165" s="96"/>
      <c r="O165" s="355" t="s">
        <v>597</v>
      </c>
      <c r="P165" s="197"/>
      <c r="Q165" s="197"/>
      <c r="R165" s="197"/>
      <c r="S165" s="183"/>
      <c r="T165" s="196"/>
      <c r="U165" s="196"/>
      <c r="V165" s="196"/>
      <c r="W165" s="196"/>
      <c r="X165" s="196"/>
      <c r="Y165" s="196"/>
      <c r="Z165" s="196"/>
      <c r="AA165" s="196"/>
      <c r="AB165" s="354" t="s">
        <v>552</v>
      </c>
      <c r="AC165" s="92"/>
      <c r="AD165" s="92">
        <v>200000</v>
      </c>
      <c r="AE165" s="71" t="s">
        <v>77</v>
      </c>
      <c r="AF165" s="2"/>
    </row>
    <row r="166" spans="1:32" s="12" customFormat="1" ht="20.25" customHeight="1">
      <c r="A166" s="57"/>
      <c r="B166" s="58"/>
      <c r="C166" s="58"/>
      <c r="D166" s="211"/>
      <c r="E166" s="174"/>
      <c r="F166" s="174"/>
      <c r="G166" s="174"/>
      <c r="H166" s="174"/>
      <c r="I166" s="174"/>
      <c r="J166" s="174"/>
      <c r="K166" s="174"/>
      <c r="L166" s="174"/>
      <c r="M166" s="174"/>
      <c r="N166" s="96"/>
      <c r="O166" s="355" t="s">
        <v>598</v>
      </c>
      <c r="P166" s="197"/>
      <c r="Q166" s="197"/>
      <c r="R166" s="197"/>
      <c r="S166" s="183"/>
      <c r="T166" s="196"/>
      <c r="U166" s="196"/>
      <c r="V166" s="196"/>
      <c r="W166" s="196"/>
      <c r="X166" s="196"/>
      <c r="Y166" s="196"/>
      <c r="Z166" s="196"/>
      <c r="AA166" s="196"/>
      <c r="AB166" s="354" t="s">
        <v>552</v>
      </c>
      <c r="AC166" s="92"/>
      <c r="AD166" s="92">
        <v>300000</v>
      </c>
      <c r="AE166" s="71" t="s">
        <v>77</v>
      </c>
      <c r="AF166" s="2"/>
    </row>
    <row r="167" spans="1:32" s="12" customFormat="1" ht="20.25" customHeight="1">
      <c r="A167" s="57"/>
      <c r="B167" s="58"/>
      <c r="C167" s="58"/>
      <c r="D167" s="211"/>
      <c r="E167" s="174"/>
      <c r="F167" s="174"/>
      <c r="G167" s="174"/>
      <c r="H167" s="174"/>
      <c r="I167" s="174"/>
      <c r="J167" s="174"/>
      <c r="K167" s="174"/>
      <c r="L167" s="174"/>
      <c r="M167" s="174"/>
      <c r="N167" s="96"/>
      <c r="O167" s="355" t="s">
        <v>548</v>
      </c>
      <c r="P167" s="197"/>
      <c r="Q167" s="197"/>
      <c r="R167" s="197"/>
      <c r="S167" s="183"/>
      <c r="T167" s="196"/>
      <c r="U167" s="196"/>
      <c r="V167" s="196"/>
      <c r="W167" s="196"/>
      <c r="X167" s="196"/>
      <c r="Y167" s="196"/>
      <c r="Z167" s="196"/>
      <c r="AA167" s="196"/>
      <c r="AB167" s="232"/>
      <c r="AC167" s="92"/>
      <c r="AD167" s="92">
        <v>200000</v>
      </c>
      <c r="AE167" s="71" t="s">
        <v>77</v>
      </c>
      <c r="AF167" s="2"/>
    </row>
    <row r="168" spans="1:32" s="12" customFormat="1" ht="20.25" customHeight="1">
      <c r="A168" s="57"/>
      <c r="B168" s="58"/>
      <c r="C168" s="58"/>
      <c r="D168" s="211"/>
      <c r="E168" s="174"/>
      <c r="F168" s="174"/>
      <c r="G168" s="174"/>
      <c r="H168" s="174"/>
      <c r="I168" s="174"/>
      <c r="J168" s="174"/>
      <c r="K168" s="174"/>
      <c r="L168" s="174"/>
      <c r="M168" s="174"/>
      <c r="N168" s="96"/>
      <c r="O168" s="355" t="s">
        <v>549</v>
      </c>
      <c r="P168" s="197"/>
      <c r="Q168" s="197"/>
      <c r="R168" s="197"/>
      <c r="S168" s="183"/>
      <c r="T168" s="196"/>
      <c r="U168" s="196"/>
      <c r="V168" s="196"/>
      <c r="W168" s="196"/>
      <c r="X168" s="196"/>
      <c r="Y168" s="196"/>
      <c r="Z168" s="196"/>
      <c r="AA168" s="196"/>
      <c r="AB168" s="232"/>
      <c r="AC168" s="92"/>
      <c r="AD168" s="92">
        <v>1200000</v>
      </c>
      <c r="AE168" s="71" t="s">
        <v>77</v>
      </c>
      <c r="AF168" s="2"/>
    </row>
    <row r="169" spans="1:32" s="12" customFormat="1" ht="20.25" customHeight="1">
      <c r="A169" s="57"/>
      <c r="B169" s="58"/>
      <c r="C169" s="58"/>
      <c r="D169" s="211"/>
      <c r="E169" s="174"/>
      <c r="F169" s="174"/>
      <c r="G169" s="174"/>
      <c r="H169" s="174"/>
      <c r="I169" s="174"/>
      <c r="J169" s="174"/>
      <c r="K169" s="174"/>
      <c r="L169" s="174"/>
      <c r="M169" s="174"/>
      <c r="N169" s="96"/>
      <c r="O169" s="355" t="s">
        <v>550</v>
      </c>
      <c r="P169" s="197"/>
      <c r="Q169" s="197"/>
      <c r="R169" s="197"/>
      <c r="S169" s="183"/>
      <c r="T169" s="196"/>
      <c r="U169" s="196"/>
      <c r="V169" s="196"/>
      <c r="W169" s="196"/>
      <c r="X169" s="196"/>
      <c r="Y169" s="196"/>
      <c r="Z169" s="196"/>
      <c r="AA169" s="196"/>
      <c r="AB169" s="232"/>
      <c r="AC169" s="92"/>
      <c r="AD169" s="92">
        <v>2000000</v>
      </c>
      <c r="AE169" s="71" t="s">
        <v>77</v>
      </c>
      <c r="AF169" s="2"/>
    </row>
    <row r="170" spans="1:32" s="12" customFormat="1" ht="20.25" customHeight="1">
      <c r="A170" s="57"/>
      <c r="B170" s="58"/>
      <c r="C170" s="58"/>
      <c r="D170" s="211"/>
      <c r="E170" s="174"/>
      <c r="F170" s="174"/>
      <c r="G170" s="174"/>
      <c r="H170" s="174"/>
      <c r="I170" s="174"/>
      <c r="J170" s="174"/>
      <c r="K170" s="174"/>
      <c r="L170" s="174"/>
      <c r="M170" s="174"/>
      <c r="N170" s="96"/>
      <c r="O170" s="303"/>
      <c r="P170" s="233"/>
      <c r="Q170" s="233"/>
      <c r="R170" s="233"/>
      <c r="S170" s="183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92"/>
      <c r="AD170" s="92"/>
      <c r="AE170" s="71"/>
      <c r="AF170" s="2"/>
    </row>
    <row r="171" spans="1:32" s="12" customFormat="1" ht="20.25" customHeight="1">
      <c r="A171" s="57"/>
      <c r="B171" s="58"/>
      <c r="C171" s="58"/>
      <c r="D171" s="211"/>
      <c r="E171" s="174"/>
      <c r="F171" s="174"/>
      <c r="G171" s="174"/>
      <c r="H171" s="174"/>
      <c r="I171" s="174"/>
      <c r="J171" s="174"/>
      <c r="K171" s="174"/>
      <c r="L171" s="174"/>
      <c r="M171" s="174"/>
      <c r="N171" s="96"/>
      <c r="O171" s="303" t="s">
        <v>300</v>
      </c>
      <c r="P171" s="197"/>
      <c r="Q171" s="197"/>
      <c r="R171" s="197"/>
      <c r="S171" s="196">
        <v>300000</v>
      </c>
      <c r="T171" s="68" t="s">
        <v>62</v>
      </c>
      <c r="U171" s="68" t="s">
        <v>27</v>
      </c>
      <c r="V171" s="196">
        <v>2</v>
      </c>
      <c r="W171" s="197" t="s">
        <v>174</v>
      </c>
      <c r="X171" s="196" t="s">
        <v>28</v>
      </c>
      <c r="Y171" s="196"/>
      <c r="Z171" s="196"/>
      <c r="AA171" s="196"/>
      <c r="AB171" s="196" t="s">
        <v>229</v>
      </c>
      <c r="AC171" s="92"/>
      <c r="AD171" s="92">
        <f>S171*V171</f>
        <v>600000</v>
      </c>
      <c r="AE171" s="71" t="s">
        <v>77</v>
      </c>
      <c r="AF171" s="2"/>
    </row>
    <row r="172" spans="1:32" s="12" customFormat="1" ht="20.25" customHeight="1">
      <c r="A172" s="57"/>
      <c r="B172" s="58"/>
      <c r="C172" s="58"/>
      <c r="D172" s="211"/>
      <c r="E172" s="174"/>
      <c r="F172" s="174"/>
      <c r="G172" s="174"/>
      <c r="H172" s="174"/>
      <c r="I172" s="174"/>
      <c r="J172" s="174"/>
      <c r="K172" s="174"/>
      <c r="L172" s="174"/>
      <c r="M172" s="174"/>
      <c r="N172" s="96"/>
      <c r="O172" s="303" t="s">
        <v>301</v>
      </c>
      <c r="P172" s="63"/>
      <c r="Q172" s="63"/>
      <c r="R172" s="63"/>
      <c r="S172" s="196">
        <v>200000</v>
      </c>
      <c r="T172" s="68" t="s">
        <v>62</v>
      </c>
      <c r="U172" s="68" t="s">
        <v>27</v>
      </c>
      <c r="V172" s="196">
        <v>2</v>
      </c>
      <c r="W172" s="197" t="s">
        <v>174</v>
      </c>
      <c r="X172" s="196" t="s">
        <v>28</v>
      </c>
      <c r="Y172" s="101"/>
      <c r="Z172" s="101"/>
      <c r="AA172" s="101"/>
      <c r="AB172" s="101" t="s">
        <v>230</v>
      </c>
      <c r="AC172" s="101"/>
      <c r="AD172" s="64">
        <f>S172*V172</f>
        <v>400000</v>
      </c>
      <c r="AE172" s="150" t="s">
        <v>26</v>
      </c>
      <c r="AF172" s="2"/>
    </row>
    <row r="173" spans="1:32" s="12" customFormat="1" ht="20.25" customHeight="1">
      <c r="A173" s="57"/>
      <c r="B173" s="58"/>
      <c r="C173" s="58"/>
      <c r="D173" s="211"/>
      <c r="E173" s="174"/>
      <c r="F173" s="174"/>
      <c r="G173" s="174"/>
      <c r="H173" s="174"/>
      <c r="I173" s="174"/>
      <c r="J173" s="174"/>
      <c r="K173" s="174"/>
      <c r="L173" s="174"/>
      <c r="M173" s="174"/>
      <c r="N173" s="96"/>
      <c r="O173" s="197" t="s">
        <v>302</v>
      </c>
      <c r="P173" s="63"/>
      <c r="Q173" s="63"/>
      <c r="R173" s="63"/>
      <c r="S173" s="64">
        <v>20000</v>
      </c>
      <c r="T173" s="68" t="s">
        <v>214</v>
      </c>
      <c r="U173" s="68" t="s">
        <v>27</v>
      </c>
      <c r="V173" s="64">
        <v>33</v>
      </c>
      <c r="W173" s="197" t="s">
        <v>61</v>
      </c>
      <c r="X173" s="64" t="s">
        <v>28</v>
      </c>
      <c r="Y173" s="212"/>
      <c r="Z173" s="64"/>
      <c r="AA173" s="101"/>
      <c r="AB173" s="183" t="s">
        <v>230</v>
      </c>
      <c r="AC173" s="101"/>
      <c r="AD173" s="64">
        <f>S173*V173</f>
        <v>660000</v>
      </c>
      <c r="AE173" s="150" t="s">
        <v>214</v>
      </c>
      <c r="AF173" s="2"/>
    </row>
    <row r="174" spans="1:32" s="12" customFormat="1" ht="20.25" customHeight="1">
      <c r="A174" s="57"/>
      <c r="B174" s="58"/>
      <c r="C174" s="58"/>
      <c r="D174" s="211"/>
      <c r="E174" s="174"/>
      <c r="F174" s="174"/>
      <c r="G174" s="174"/>
      <c r="H174" s="174"/>
      <c r="I174" s="174"/>
      <c r="J174" s="174"/>
      <c r="K174" s="174"/>
      <c r="L174" s="174"/>
      <c r="M174" s="174"/>
      <c r="N174" s="96"/>
      <c r="O174" s="197" t="s">
        <v>303</v>
      </c>
      <c r="P174" s="63"/>
      <c r="Q174" s="63"/>
      <c r="R174" s="63"/>
      <c r="S174" s="64"/>
      <c r="T174" s="68"/>
      <c r="U174" s="68"/>
      <c r="V174" s="64"/>
      <c r="W174" s="197"/>
      <c r="X174" s="64"/>
      <c r="Y174" s="212"/>
      <c r="Z174" s="64"/>
      <c r="AA174" s="101"/>
      <c r="AB174" s="183"/>
      <c r="AC174" s="101"/>
      <c r="AD174" s="64">
        <v>1520000</v>
      </c>
      <c r="AE174" s="150" t="s">
        <v>214</v>
      </c>
      <c r="AF174" s="2"/>
    </row>
    <row r="175" spans="1:32" s="12" customFormat="1" ht="20.25" customHeight="1">
      <c r="A175" s="57"/>
      <c r="B175" s="58"/>
      <c r="C175" s="58"/>
      <c r="D175" s="211"/>
      <c r="E175" s="174"/>
      <c r="F175" s="174"/>
      <c r="G175" s="174"/>
      <c r="H175" s="174"/>
      <c r="I175" s="174"/>
      <c r="J175" s="174"/>
      <c r="K175" s="174"/>
      <c r="L175" s="174"/>
      <c r="M175" s="174"/>
      <c r="N175" s="96"/>
      <c r="O175" s="355" t="s">
        <v>554</v>
      </c>
      <c r="P175" s="197"/>
      <c r="Q175" s="197"/>
      <c r="R175" s="197"/>
      <c r="S175" s="196">
        <v>15000</v>
      </c>
      <c r="T175" s="68" t="s">
        <v>214</v>
      </c>
      <c r="U175" s="68" t="s">
        <v>27</v>
      </c>
      <c r="V175" s="196">
        <v>12</v>
      </c>
      <c r="W175" s="197" t="s">
        <v>258</v>
      </c>
      <c r="X175" s="196" t="s">
        <v>28</v>
      </c>
      <c r="Y175" s="212"/>
      <c r="Z175" s="196"/>
      <c r="AA175" s="101"/>
      <c r="AB175" s="101"/>
      <c r="AC175" s="101"/>
      <c r="AD175" s="196">
        <f>S175*V175</f>
        <v>180000</v>
      </c>
      <c r="AE175" s="150" t="s">
        <v>217</v>
      </c>
      <c r="AF175" s="2"/>
    </row>
    <row r="176" spans="1:32" s="12" customFormat="1" ht="21" customHeight="1">
      <c r="A176" s="57"/>
      <c r="B176" s="58"/>
      <c r="C176" s="59"/>
      <c r="D176" s="307"/>
      <c r="E176" s="174"/>
      <c r="F176" s="174"/>
      <c r="G176" s="174"/>
      <c r="H176" s="174"/>
      <c r="I176" s="174"/>
      <c r="J176" s="174"/>
      <c r="K176" s="174"/>
      <c r="L176" s="174"/>
      <c r="M176" s="174"/>
      <c r="N176" s="125"/>
      <c r="O176" s="301"/>
      <c r="P176" s="113"/>
      <c r="Q176" s="113"/>
      <c r="R176" s="113"/>
      <c r="S176" s="112"/>
      <c r="T176" s="113"/>
      <c r="U176" s="112"/>
      <c r="V176" s="213"/>
      <c r="W176" s="213"/>
      <c r="X176" s="112"/>
      <c r="Y176" s="112"/>
      <c r="Z176" s="112"/>
      <c r="AA176" s="112"/>
      <c r="AB176" s="112"/>
      <c r="AC176" s="112"/>
      <c r="AD176" s="112"/>
      <c r="AE176" s="99"/>
      <c r="AF176" s="2"/>
    </row>
    <row r="177" spans="1:32" s="12" customFormat="1" ht="21" customHeight="1">
      <c r="A177" s="178" t="s">
        <v>52</v>
      </c>
      <c r="B177" s="436" t="s">
        <v>21</v>
      </c>
      <c r="C177" s="436"/>
      <c r="D177" s="368">
        <v>333302</v>
      </c>
      <c r="E177" s="368">
        <f>E178</f>
        <v>333302</v>
      </c>
      <c r="F177" s="368">
        <f t="shared" ref="F177:L177" si="8">F178</f>
        <v>3500</v>
      </c>
      <c r="G177" s="368">
        <f t="shared" si="8"/>
        <v>7000</v>
      </c>
      <c r="H177" s="368">
        <f t="shared" si="8"/>
        <v>0</v>
      </c>
      <c r="I177" s="368">
        <f t="shared" si="8"/>
        <v>17057</v>
      </c>
      <c r="J177" s="368">
        <f t="shared" si="8"/>
        <v>5745</v>
      </c>
      <c r="K177" s="368">
        <f t="shared" si="8"/>
        <v>300000</v>
      </c>
      <c r="L177" s="368">
        <f t="shared" si="8"/>
        <v>0</v>
      </c>
      <c r="M177" s="368">
        <f>E177-D177</f>
        <v>0</v>
      </c>
      <c r="N177" s="323">
        <f>IF(D177=0,0,M177/D177)</f>
        <v>0</v>
      </c>
      <c r="O177" s="353" t="s">
        <v>556</v>
      </c>
      <c r="P177" s="44"/>
      <c r="Q177" s="44"/>
      <c r="R177" s="44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>
        <f>AD178</f>
        <v>333302000</v>
      </c>
      <c r="AE177" s="46" t="s">
        <v>26</v>
      </c>
      <c r="AF177" s="2"/>
    </row>
    <row r="178" spans="1:32" s="12" customFormat="1" ht="21" customHeight="1">
      <c r="A178" s="367" t="s">
        <v>583</v>
      </c>
      <c r="B178" s="58" t="s">
        <v>18</v>
      </c>
      <c r="C178" s="58" t="s">
        <v>557</v>
      </c>
      <c r="D178" s="174">
        <f>SUM(D179,D183,D192)</f>
        <v>333302</v>
      </c>
      <c r="E178" s="174">
        <f>SUM(E179,E183,E192)</f>
        <v>333302</v>
      </c>
      <c r="F178" s="174">
        <f t="shared" ref="F178:L178" si="9">SUM(F179,F183,F192)</f>
        <v>3500</v>
      </c>
      <c r="G178" s="174">
        <f t="shared" si="9"/>
        <v>7000</v>
      </c>
      <c r="H178" s="174">
        <f t="shared" si="9"/>
        <v>0</v>
      </c>
      <c r="I178" s="174">
        <f t="shared" si="9"/>
        <v>17057</v>
      </c>
      <c r="J178" s="174">
        <f t="shared" si="9"/>
        <v>5745</v>
      </c>
      <c r="K178" s="174">
        <f t="shared" si="9"/>
        <v>300000</v>
      </c>
      <c r="L178" s="174">
        <f t="shared" si="9"/>
        <v>0</v>
      </c>
      <c r="M178" s="174">
        <f>E178-D178</f>
        <v>0</v>
      </c>
      <c r="N178" s="96">
        <f>IF(D178=0,0,M178/D178)</f>
        <v>0</v>
      </c>
      <c r="O178" s="359" t="s">
        <v>558</v>
      </c>
      <c r="P178" s="156"/>
      <c r="Q178" s="156"/>
      <c r="R178" s="156"/>
      <c r="S178" s="156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57"/>
      <c r="AD178" s="157">
        <f>SUM(AD179,AD183,AD192)</f>
        <v>333302000</v>
      </c>
      <c r="AE178" s="158" t="s">
        <v>26</v>
      </c>
      <c r="AF178" s="1"/>
    </row>
    <row r="179" spans="1:32" s="12" customFormat="1" ht="21" customHeight="1">
      <c r="A179" s="57"/>
      <c r="B179" s="58"/>
      <c r="C179" s="48" t="s">
        <v>558</v>
      </c>
      <c r="D179" s="365">
        <v>10000</v>
      </c>
      <c r="E179" s="365">
        <f>ROUND(AD179/1000,0)</f>
        <v>10000</v>
      </c>
      <c r="F179" s="365">
        <v>0</v>
      </c>
      <c r="G179" s="365">
        <v>7000</v>
      </c>
      <c r="H179" s="365">
        <v>0</v>
      </c>
      <c r="I179" s="365">
        <v>0</v>
      </c>
      <c r="J179" s="365">
        <v>3000</v>
      </c>
      <c r="K179" s="365">
        <v>0</v>
      </c>
      <c r="L179" s="365">
        <v>0</v>
      </c>
      <c r="M179" s="365">
        <f>E179-D179</f>
        <v>0</v>
      </c>
      <c r="N179" s="366">
        <f>IF(D179=0,0,M179/D179)</f>
        <v>0</v>
      </c>
      <c r="O179" s="160" t="s">
        <v>53</v>
      </c>
      <c r="P179" s="359"/>
      <c r="Q179" s="359"/>
      <c r="R179" s="359"/>
      <c r="S179" s="359"/>
      <c r="T179" s="358"/>
      <c r="U179" s="358"/>
      <c r="V179" s="358"/>
      <c r="W179" s="358"/>
      <c r="X179" s="358"/>
      <c r="Y179" s="331" t="s">
        <v>521</v>
      </c>
      <c r="Z179" s="331"/>
      <c r="AA179" s="331"/>
      <c r="AB179" s="331"/>
      <c r="AC179" s="333"/>
      <c r="AD179" s="333">
        <f>SUM(AD180:AD181)</f>
        <v>10000000</v>
      </c>
      <c r="AE179" s="332" t="s">
        <v>26</v>
      </c>
      <c r="AF179" s="1"/>
    </row>
    <row r="180" spans="1:32" s="12" customFormat="1" ht="21" customHeight="1">
      <c r="A180" s="57"/>
      <c r="B180" s="58"/>
      <c r="C180" s="58"/>
      <c r="D180" s="175"/>
      <c r="E180" s="174"/>
      <c r="F180" s="174"/>
      <c r="G180" s="174"/>
      <c r="H180" s="174"/>
      <c r="I180" s="174"/>
      <c r="J180" s="174"/>
      <c r="K180" s="174"/>
      <c r="L180" s="174"/>
      <c r="M180" s="174"/>
      <c r="N180" s="96"/>
      <c r="O180" s="355" t="s">
        <v>560</v>
      </c>
      <c r="P180" s="256"/>
      <c r="Q180" s="256"/>
      <c r="R180" s="256"/>
      <c r="S180" s="256"/>
      <c r="T180" s="255"/>
      <c r="U180" s="255"/>
      <c r="V180" s="255"/>
      <c r="W180" s="255"/>
      <c r="X180" s="255"/>
      <c r="Y180" s="255"/>
      <c r="Z180" s="255"/>
      <c r="AA180" s="255"/>
      <c r="AB180" s="257"/>
      <c r="AC180" s="65"/>
      <c r="AD180" s="92">
        <v>2000000</v>
      </c>
      <c r="AE180" s="71" t="s">
        <v>384</v>
      </c>
      <c r="AF180" s="2"/>
    </row>
    <row r="181" spans="1:32" s="12" customFormat="1" ht="21" customHeight="1">
      <c r="A181" s="57"/>
      <c r="B181" s="58"/>
      <c r="C181" s="58"/>
      <c r="D181" s="175"/>
      <c r="E181" s="174"/>
      <c r="F181" s="174"/>
      <c r="G181" s="174"/>
      <c r="H181" s="174"/>
      <c r="I181" s="174"/>
      <c r="J181" s="174"/>
      <c r="K181" s="174"/>
      <c r="L181" s="174"/>
      <c r="M181" s="174"/>
      <c r="N181" s="96"/>
      <c r="O181" s="355" t="s">
        <v>599</v>
      </c>
      <c r="P181" s="256"/>
      <c r="Q181" s="256"/>
      <c r="R181" s="256"/>
      <c r="S181" s="256"/>
      <c r="T181" s="255"/>
      <c r="U181" s="255"/>
      <c r="V181" s="255"/>
      <c r="W181" s="255"/>
      <c r="X181" s="255"/>
      <c r="Y181" s="255"/>
      <c r="Z181" s="255"/>
      <c r="AA181" s="255"/>
      <c r="AB181" s="257"/>
      <c r="AC181" s="65"/>
      <c r="AD181" s="92">
        <v>8000000</v>
      </c>
      <c r="AE181" s="71" t="s">
        <v>384</v>
      </c>
      <c r="AF181" s="2"/>
    </row>
    <row r="182" spans="1:32" s="12" customFormat="1" ht="21" customHeight="1">
      <c r="A182" s="57"/>
      <c r="B182" s="58"/>
      <c r="C182" s="58"/>
      <c r="D182" s="307"/>
      <c r="E182" s="174"/>
      <c r="F182" s="174"/>
      <c r="G182" s="174"/>
      <c r="H182" s="174"/>
      <c r="I182" s="174"/>
      <c r="J182" s="174"/>
      <c r="K182" s="174"/>
      <c r="L182" s="174"/>
      <c r="M182" s="174"/>
      <c r="N182" s="96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  <c r="Z182" s="183"/>
      <c r="AA182" s="183"/>
      <c r="AB182" s="183"/>
      <c r="AC182" s="183"/>
      <c r="AD182" s="214"/>
      <c r="AE182" s="193"/>
      <c r="AF182" s="2"/>
    </row>
    <row r="183" spans="1:32" s="12" customFormat="1" ht="21" customHeight="1">
      <c r="A183" s="57"/>
      <c r="B183" s="58"/>
      <c r="C183" s="48" t="s">
        <v>19</v>
      </c>
      <c r="D183" s="309">
        <v>317490</v>
      </c>
      <c r="E183" s="179">
        <f>ROUND(AD183/1000,0)</f>
        <v>317490</v>
      </c>
      <c r="F183" s="179">
        <v>0</v>
      </c>
      <c r="G183" s="179">
        <v>0</v>
      </c>
      <c r="H183" s="179">
        <v>0</v>
      </c>
      <c r="I183" s="179">
        <v>14745</v>
      </c>
      <c r="J183" s="179">
        <v>2745</v>
      </c>
      <c r="K183" s="179">
        <v>300000</v>
      </c>
      <c r="L183" s="179">
        <v>0</v>
      </c>
      <c r="M183" s="179">
        <f>E183-D183</f>
        <v>0</v>
      </c>
      <c r="N183" s="187">
        <f>IF(D183=0,0,M183/D183)</f>
        <v>0</v>
      </c>
      <c r="O183" s="160" t="s">
        <v>54</v>
      </c>
      <c r="P183" s="156"/>
      <c r="Q183" s="156"/>
      <c r="R183" s="156"/>
      <c r="S183" s="156"/>
      <c r="T183" s="131"/>
      <c r="U183" s="131"/>
      <c r="V183" s="131"/>
      <c r="W183" s="131"/>
      <c r="X183" s="131"/>
      <c r="Y183" s="331" t="s">
        <v>521</v>
      </c>
      <c r="Z183" s="331"/>
      <c r="AA183" s="331"/>
      <c r="AB183" s="331"/>
      <c r="AC183" s="333"/>
      <c r="AD183" s="333">
        <f>SUM(AD184:AD190)</f>
        <v>317490000</v>
      </c>
      <c r="AE183" s="332" t="s">
        <v>26</v>
      </c>
      <c r="AF183" s="1"/>
    </row>
    <row r="184" spans="1:32" s="12" customFormat="1" ht="21" customHeight="1">
      <c r="A184" s="57"/>
      <c r="B184" s="58"/>
      <c r="C184" s="58"/>
      <c r="D184" s="175"/>
      <c r="E184" s="174"/>
      <c r="F184" s="174"/>
      <c r="G184" s="174"/>
      <c r="H184" s="174"/>
      <c r="I184" s="174"/>
      <c r="J184" s="174"/>
      <c r="K184" s="174"/>
      <c r="L184" s="174"/>
      <c r="M184" s="174"/>
      <c r="N184" s="96"/>
      <c r="O184" s="355" t="s">
        <v>561</v>
      </c>
      <c r="P184" s="63"/>
      <c r="Q184" s="63"/>
      <c r="R184" s="44"/>
      <c r="S184" s="44"/>
      <c r="T184" s="45"/>
      <c r="U184" s="45"/>
      <c r="V184" s="45"/>
      <c r="W184" s="45"/>
      <c r="X184" s="45"/>
      <c r="Y184" s="45"/>
      <c r="Z184" s="45"/>
      <c r="AA184" s="45"/>
      <c r="AB184" s="354" t="s">
        <v>528</v>
      </c>
      <c r="AC184" s="65"/>
      <c r="AD184" s="92">
        <v>300000000</v>
      </c>
      <c r="AE184" s="71" t="s">
        <v>26</v>
      </c>
      <c r="AF184" s="2"/>
    </row>
    <row r="185" spans="1:32" s="12" customFormat="1" ht="21" customHeight="1">
      <c r="A185" s="57"/>
      <c r="B185" s="58"/>
      <c r="C185" s="58"/>
      <c r="D185" s="175"/>
      <c r="E185" s="174"/>
      <c r="F185" s="174"/>
      <c r="G185" s="174"/>
      <c r="H185" s="174"/>
      <c r="I185" s="174"/>
      <c r="J185" s="174"/>
      <c r="K185" s="174"/>
      <c r="L185" s="174"/>
      <c r="M185" s="174"/>
      <c r="N185" s="96"/>
      <c r="O185" s="355" t="s">
        <v>562</v>
      </c>
      <c r="P185" s="63"/>
      <c r="Q185" s="63"/>
      <c r="R185" s="197"/>
      <c r="S185" s="63"/>
      <c r="T185" s="64"/>
      <c r="U185" s="45"/>
      <c r="V185" s="45"/>
      <c r="W185" s="45"/>
      <c r="X185" s="45"/>
      <c r="Y185" s="45"/>
      <c r="Z185" s="45"/>
      <c r="AA185" s="45"/>
      <c r="AB185" s="354" t="s">
        <v>608</v>
      </c>
      <c r="AC185" s="65"/>
      <c r="AD185" s="92">
        <v>10000000</v>
      </c>
      <c r="AE185" s="71" t="s">
        <v>217</v>
      </c>
      <c r="AF185" s="2"/>
    </row>
    <row r="186" spans="1:32" s="12" customFormat="1" ht="21" customHeight="1">
      <c r="A186" s="57"/>
      <c r="B186" s="58"/>
      <c r="C186" s="58"/>
      <c r="D186" s="175"/>
      <c r="E186" s="174"/>
      <c r="F186" s="174"/>
      <c r="G186" s="174"/>
      <c r="H186" s="174"/>
      <c r="I186" s="174"/>
      <c r="J186" s="174"/>
      <c r="K186" s="174"/>
      <c r="L186" s="174"/>
      <c r="M186" s="174"/>
      <c r="N186" s="96"/>
      <c r="O186" s="341" t="s">
        <v>506</v>
      </c>
      <c r="P186" s="63"/>
      <c r="Q186" s="44"/>
      <c r="R186" s="44"/>
      <c r="S186" s="264"/>
      <c r="T186" s="68"/>
      <c r="U186" s="68"/>
      <c r="V186" s="264"/>
      <c r="W186" s="265"/>
      <c r="X186" s="264"/>
      <c r="Y186" s="264"/>
      <c r="Z186" s="264"/>
      <c r="AA186" s="45"/>
      <c r="AB186" s="340"/>
      <c r="AC186" s="65"/>
      <c r="AD186" s="92">
        <v>350000</v>
      </c>
      <c r="AE186" s="71" t="s">
        <v>26</v>
      </c>
      <c r="AF186" s="2"/>
    </row>
    <row r="187" spans="1:32" s="12" customFormat="1" ht="21" customHeight="1">
      <c r="A187" s="57"/>
      <c r="B187" s="58"/>
      <c r="C187" s="58"/>
      <c r="D187" s="175"/>
      <c r="E187" s="174"/>
      <c r="F187" s="174"/>
      <c r="G187" s="174"/>
      <c r="H187" s="174"/>
      <c r="I187" s="174"/>
      <c r="J187" s="174"/>
      <c r="K187" s="174"/>
      <c r="L187" s="174"/>
      <c r="M187" s="174"/>
      <c r="N187" s="96"/>
      <c r="O187" s="355" t="s">
        <v>563</v>
      </c>
      <c r="P187" s="197"/>
      <c r="Q187" s="195"/>
      <c r="R187" s="195"/>
      <c r="S187" s="195"/>
      <c r="T187" s="194"/>
      <c r="U187" s="194"/>
      <c r="V187" s="194"/>
      <c r="W187" s="194"/>
      <c r="X187" s="194"/>
      <c r="Y187" s="194"/>
      <c r="Z187" s="194"/>
      <c r="AA187" s="194"/>
      <c r="AB187" s="264"/>
      <c r="AC187" s="65"/>
      <c r="AD187" s="92">
        <v>2870000</v>
      </c>
      <c r="AE187" s="71" t="s">
        <v>77</v>
      </c>
      <c r="AF187" s="2"/>
    </row>
    <row r="188" spans="1:32" s="12" customFormat="1" ht="21" customHeight="1">
      <c r="A188" s="57"/>
      <c r="B188" s="58"/>
      <c r="C188" s="58"/>
      <c r="D188" s="175"/>
      <c r="E188" s="174"/>
      <c r="F188" s="174"/>
      <c r="G188" s="174"/>
      <c r="H188" s="174"/>
      <c r="I188" s="174"/>
      <c r="J188" s="174"/>
      <c r="K188" s="174"/>
      <c r="L188" s="174"/>
      <c r="M188" s="174"/>
      <c r="N188" s="96"/>
      <c r="O188" s="355" t="s">
        <v>564</v>
      </c>
      <c r="P188" s="355"/>
      <c r="Q188" s="353"/>
      <c r="R188" s="353"/>
      <c r="S188" s="353"/>
      <c r="T188" s="352"/>
      <c r="U188" s="352"/>
      <c r="V188" s="352"/>
      <c r="W188" s="352"/>
      <c r="X188" s="352"/>
      <c r="Y188" s="352"/>
      <c r="Z188" s="352"/>
      <c r="AA188" s="352"/>
      <c r="AB188" s="354"/>
      <c r="AC188" s="65"/>
      <c r="AD188" s="92">
        <v>2500000</v>
      </c>
      <c r="AE188" s="71" t="s">
        <v>510</v>
      </c>
      <c r="AF188" s="2"/>
    </row>
    <row r="189" spans="1:32" s="12" customFormat="1" ht="21" customHeight="1">
      <c r="A189" s="57"/>
      <c r="B189" s="58"/>
      <c r="C189" s="58"/>
      <c r="D189" s="175"/>
      <c r="E189" s="174"/>
      <c r="F189" s="174"/>
      <c r="G189" s="174"/>
      <c r="H189" s="174"/>
      <c r="I189" s="174"/>
      <c r="J189" s="174"/>
      <c r="K189" s="174"/>
      <c r="L189" s="174"/>
      <c r="M189" s="174"/>
      <c r="N189" s="96"/>
      <c r="O189" s="351" t="s">
        <v>565</v>
      </c>
      <c r="P189" s="355"/>
      <c r="Q189" s="353"/>
      <c r="R189" s="353"/>
      <c r="S189" s="353"/>
      <c r="T189" s="352"/>
      <c r="U189" s="352"/>
      <c r="V189" s="352"/>
      <c r="W189" s="352"/>
      <c r="X189" s="352"/>
      <c r="Y189" s="352"/>
      <c r="Z189" s="352"/>
      <c r="AA189" s="352"/>
      <c r="AB189" s="354"/>
      <c r="AC189" s="65"/>
      <c r="AD189" s="92">
        <v>770000</v>
      </c>
      <c r="AE189" s="71" t="s">
        <v>510</v>
      </c>
      <c r="AF189" s="2"/>
    </row>
    <row r="190" spans="1:32" s="12" customFormat="1" ht="21" customHeight="1">
      <c r="A190" s="57"/>
      <c r="B190" s="58"/>
      <c r="C190" s="58"/>
      <c r="D190" s="175"/>
      <c r="E190" s="174"/>
      <c r="F190" s="174"/>
      <c r="G190" s="174"/>
      <c r="H190" s="174"/>
      <c r="I190" s="174"/>
      <c r="J190" s="174"/>
      <c r="K190" s="174"/>
      <c r="L190" s="174"/>
      <c r="M190" s="174"/>
      <c r="N190" s="96"/>
      <c r="O190" s="355" t="s">
        <v>566</v>
      </c>
      <c r="P190" s="197"/>
      <c r="Q190" s="195"/>
      <c r="R190" s="195"/>
      <c r="S190" s="195"/>
      <c r="T190" s="194"/>
      <c r="U190" s="194"/>
      <c r="V190" s="194"/>
      <c r="W190" s="194"/>
      <c r="X190" s="194"/>
      <c r="Y190" s="194"/>
      <c r="Z190" s="194"/>
      <c r="AA190" s="194"/>
      <c r="AB190" s="264"/>
      <c r="AC190" s="65"/>
      <c r="AD190" s="92">
        <v>1000000</v>
      </c>
      <c r="AE190" s="71" t="s">
        <v>77</v>
      </c>
      <c r="AF190" s="2"/>
    </row>
    <row r="191" spans="1:32" s="12" customFormat="1" ht="21" customHeight="1">
      <c r="A191" s="57"/>
      <c r="B191" s="58"/>
      <c r="C191" s="58"/>
      <c r="D191" s="175"/>
      <c r="E191" s="174"/>
      <c r="F191" s="174"/>
      <c r="G191" s="174"/>
      <c r="H191" s="174"/>
      <c r="I191" s="174"/>
      <c r="J191" s="174"/>
      <c r="K191" s="174"/>
      <c r="L191" s="174"/>
      <c r="M191" s="174"/>
      <c r="N191" s="96"/>
      <c r="O191" s="303"/>
      <c r="P191" s="63"/>
      <c r="Q191" s="63"/>
      <c r="R191" s="63"/>
      <c r="S191" s="64"/>
      <c r="T191" s="183"/>
      <c r="U191" s="68"/>
      <c r="V191" s="92"/>
      <c r="W191" s="92"/>
      <c r="X191" s="64"/>
      <c r="Y191" s="64"/>
      <c r="Z191" s="64"/>
      <c r="AA191" s="64"/>
      <c r="AB191" s="64"/>
      <c r="AC191" s="64"/>
      <c r="AD191" s="64"/>
      <c r="AE191" s="71"/>
      <c r="AF191" s="2"/>
    </row>
    <row r="192" spans="1:32" s="12" customFormat="1" ht="21" customHeight="1">
      <c r="A192" s="57"/>
      <c r="B192" s="58"/>
      <c r="C192" s="48" t="s">
        <v>55</v>
      </c>
      <c r="D192" s="309">
        <v>5812</v>
      </c>
      <c r="E192" s="179">
        <f>ROUND(AD192/1000,0)</f>
        <v>5812</v>
      </c>
      <c r="F192" s="179">
        <v>3500</v>
      </c>
      <c r="G192" s="179">
        <v>0</v>
      </c>
      <c r="H192" s="179">
        <v>0</v>
      </c>
      <c r="I192" s="179">
        <v>2312</v>
      </c>
      <c r="J192" s="179">
        <v>0</v>
      </c>
      <c r="K192" s="179">
        <v>0</v>
      </c>
      <c r="L192" s="179">
        <v>0</v>
      </c>
      <c r="M192" s="179">
        <f>E192-D192</f>
        <v>0</v>
      </c>
      <c r="N192" s="187">
        <f>IF(D192=0,0,M192/D192)</f>
        <v>0</v>
      </c>
      <c r="O192" s="160" t="s">
        <v>56</v>
      </c>
      <c r="P192" s="156"/>
      <c r="Q192" s="156"/>
      <c r="R192" s="156"/>
      <c r="S192" s="156"/>
      <c r="T192" s="131"/>
      <c r="U192" s="131"/>
      <c r="V192" s="131"/>
      <c r="W192" s="131"/>
      <c r="X192" s="131"/>
      <c r="Y192" s="331" t="s">
        <v>521</v>
      </c>
      <c r="Z192" s="331"/>
      <c r="AA192" s="331"/>
      <c r="AB192" s="331"/>
      <c r="AC192" s="333"/>
      <c r="AD192" s="333">
        <f>SUM(AD193:AD196)</f>
        <v>5812000</v>
      </c>
      <c r="AE192" s="332" t="s">
        <v>26</v>
      </c>
      <c r="AF192" s="1"/>
    </row>
    <row r="193" spans="1:32" s="1" customFormat="1" ht="21" customHeight="1">
      <c r="A193" s="57"/>
      <c r="B193" s="58"/>
      <c r="C193" s="58" t="s">
        <v>618</v>
      </c>
      <c r="D193" s="307"/>
      <c r="E193" s="174"/>
      <c r="F193" s="174"/>
      <c r="G193" s="174"/>
      <c r="H193" s="174"/>
      <c r="I193" s="174"/>
      <c r="J193" s="174"/>
      <c r="K193" s="174"/>
      <c r="L193" s="174"/>
      <c r="M193" s="174"/>
      <c r="N193" s="96"/>
      <c r="O193" s="303" t="s">
        <v>259</v>
      </c>
      <c r="P193" s="63"/>
      <c r="Q193" s="63"/>
      <c r="R193" s="63"/>
      <c r="S193" s="64">
        <v>176000</v>
      </c>
      <c r="T193" s="68" t="s">
        <v>214</v>
      </c>
      <c r="U193" s="68" t="s">
        <v>27</v>
      </c>
      <c r="V193" s="64">
        <v>12</v>
      </c>
      <c r="W193" s="63" t="s">
        <v>232</v>
      </c>
      <c r="X193" s="64" t="s">
        <v>28</v>
      </c>
      <c r="Y193" s="64"/>
      <c r="Z193" s="64"/>
      <c r="AA193" s="64"/>
      <c r="AB193" s="196"/>
      <c r="AC193" s="64"/>
      <c r="AD193" s="354">
        <f>S193*V193</f>
        <v>2112000</v>
      </c>
      <c r="AE193" s="71" t="s">
        <v>26</v>
      </c>
      <c r="AF193" s="2"/>
    </row>
    <row r="194" spans="1:32" s="1" customFormat="1" ht="21" customHeight="1">
      <c r="A194" s="57"/>
      <c r="B194" s="58"/>
      <c r="C194" s="58"/>
      <c r="D194" s="307"/>
      <c r="E194" s="174"/>
      <c r="F194" s="174"/>
      <c r="G194" s="174"/>
      <c r="H194" s="174"/>
      <c r="I194" s="174"/>
      <c r="J194" s="174"/>
      <c r="K194" s="174"/>
      <c r="L194" s="174"/>
      <c r="M194" s="174"/>
      <c r="N194" s="96"/>
      <c r="O194" s="303" t="s">
        <v>260</v>
      </c>
      <c r="P194" s="63"/>
      <c r="Q194" s="63"/>
      <c r="R194" s="63"/>
      <c r="S194" s="64">
        <v>100000</v>
      </c>
      <c r="T194" s="68" t="s">
        <v>214</v>
      </c>
      <c r="U194" s="68" t="s">
        <v>27</v>
      </c>
      <c r="V194" s="64">
        <v>12</v>
      </c>
      <c r="W194" s="63" t="s">
        <v>232</v>
      </c>
      <c r="X194" s="64" t="s">
        <v>28</v>
      </c>
      <c r="Y194" s="64"/>
      <c r="Z194" s="64"/>
      <c r="AA194" s="64"/>
      <c r="AB194" s="196"/>
      <c r="AC194" s="64"/>
      <c r="AD194" s="64">
        <f>S194*V194</f>
        <v>1200000</v>
      </c>
      <c r="AE194" s="71" t="s">
        <v>26</v>
      </c>
      <c r="AF194" s="2"/>
    </row>
    <row r="195" spans="1:32" s="1" customFormat="1" ht="21" customHeight="1">
      <c r="A195" s="57"/>
      <c r="B195" s="58"/>
      <c r="C195" s="58"/>
      <c r="D195" s="307"/>
      <c r="E195" s="174"/>
      <c r="F195" s="174"/>
      <c r="G195" s="174"/>
      <c r="H195" s="174"/>
      <c r="I195" s="174"/>
      <c r="J195" s="174"/>
      <c r="K195" s="174"/>
      <c r="L195" s="174"/>
      <c r="M195" s="174"/>
      <c r="N195" s="96"/>
      <c r="O195" s="355" t="s">
        <v>567</v>
      </c>
      <c r="P195" s="63"/>
      <c r="Q195" s="63"/>
      <c r="R195" s="63"/>
      <c r="S195" s="64"/>
      <c r="T195" s="68"/>
      <c r="U195" s="68"/>
      <c r="V195" s="64"/>
      <c r="W195" s="63"/>
      <c r="X195" s="64"/>
      <c r="Y195" s="64"/>
      <c r="Z195" s="64"/>
      <c r="AA195" s="64"/>
      <c r="AB195" s="196"/>
      <c r="AC195" s="64"/>
      <c r="AD195" s="64">
        <v>1000000</v>
      </c>
      <c r="AE195" s="71" t="s">
        <v>217</v>
      </c>
      <c r="AF195" s="2"/>
    </row>
    <row r="196" spans="1:32" s="1" customFormat="1" ht="21" customHeight="1">
      <c r="A196" s="57"/>
      <c r="B196" s="58"/>
      <c r="C196" s="58"/>
      <c r="D196" s="307"/>
      <c r="E196" s="174"/>
      <c r="F196" s="174"/>
      <c r="G196" s="174"/>
      <c r="H196" s="174"/>
      <c r="I196" s="174"/>
      <c r="J196" s="174"/>
      <c r="K196" s="174"/>
      <c r="L196" s="174"/>
      <c r="M196" s="174"/>
      <c r="N196" s="96"/>
      <c r="O196" s="355" t="s">
        <v>568</v>
      </c>
      <c r="P196" s="355"/>
      <c r="Q196" s="355"/>
      <c r="R196" s="355"/>
      <c r="S196" s="354"/>
      <c r="T196" s="68"/>
      <c r="U196" s="68"/>
      <c r="V196" s="354"/>
      <c r="W196" s="355"/>
      <c r="X196" s="354"/>
      <c r="Y196" s="354"/>
      <c r="Z196" s="354"/>
      <c r="AA196" s="354"/>
      <c r="AB196" s="354"/>
      <c r="AC196" s="354"/>
      <c r="AD196" s="354">
        <v>1500000</v>
      </c>
      <c r="AE196" s="71" t="s">
        <v>510</v>
      </c>
      <c r="AF196" s="2"/>
    </row>
    <row r="197" spans="1:32" s="1" customFormat="1" ht="21" customHeight="1">
      <c r="A197" s="57"/>
      <c r="B197" s="58"/>
      <c r="C197" s="58"/>
      <c r="D197" s="307"/>
      <c r="E197" s="174"/>
      <c r="F197" s="174"/>
      <c r="G197" s="174"/>
      <c r="H197" s="174"/>
      <c r="I197" s="174"/>
      <c r="J197" s="174"/>
      <c r="K197" s="174"/>
      <c r="L197" s="174"/>
      <c r="M197" s="174"/>
      <c r="N197" s="96"/>
      <c r="O197" s="303"/>
      <c r="P197" s="63"/>
      <c r="Q197" s="63"/>
      <c r="R197" s="63"/>
      <c r="S197" s="64"/>
      <c r="T197" s="68"/>
      <c r="U197" s="68"/>
      <c r="V197" s="64"/>
      <c r="W197" s="63"/>
      <c r="X197" s="64"/>
      <c r="Y197" s="64"/>
      <c r="Z197" s="64"/>
      <c r="AA197" s="64"/>
      <c r="AB197" s="196"/>
      <c r="AC197" s="64"/>
      <c r="AD197" s="64"/>
      <c r="AE197" s="71"/>
      <c r="AF197" s="2"/>
    </row>
    <row r="198" spans="1:32" s="12" customFormat="1" ht="21" customHeight="1">
      <c r="A198" s="369" t="s">
        <v>20</v>
      </c>
      <c r="B198" s="434" t="s">
        <v>21</v>
      </c>
      <c r="C198" s="435"/>
      <c r="D198" s="370">
        <f t="shared" ref="D198:L198" si="10">SUM(D199,D238)</f>
        <v>291612</v>
      </c>
      <c r="E198" s="370">
        <f t="shared" si="10"/>
        <v>280171</v>
      </c>
      <c r="F198" s="370">
        <f t="shared" si="10"/>
        <v>84487</v>
      </c>
      <c r="G198" s="370">
        <f t="shared" si="10"/>
        <v>11490</v>
      </c>
      <c r="H198" s="370">
        <f t="shared" si="10"/>
        <v>21757</v>
      </c>
      <c r="I198" s="370">
        <f t="shared" si="10"/>
        <v>46640</v>
      </c>
      <c r="J198" s="370">
        <f t="shared" si="10"/>
        <v>67877</v>
      </c>
      <c r="K198" s="370">
        <f t="shared" si="10"/>
        <v>20000</v>
      </c>
      <c r="L198" s="370">
        <f t="shared" si="10"/>
        <v>27920</v>
      </c>
      <c r="M198" s="370">
        <f>SUM(M199,M214,M222,M227,M233)</f>
        <v>-12656</v>
      </c>
      <c r="N198" s="371">
        <f>IF(D198=0,0,M198/D198)</f>
        <v>-4.3400134425195122E-2</v>
      </c>
      <c r="O198" s="359" t="s">
        <v>569</v>
      </c>
      <c r="P198" s="156"/>
      <c r="Q198" s="156"/>
      <c r="R198" s="156"/>
      <c r="S198" s="156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>
        <f>SUM(AD199,AD238)</f>
        <v>280171000</v>
      </c>
      <c r="AE198" s="158" t="s">
        <v>26</v>
      </c>
      <c r="AF198" s="14"/>
    </row>
    <row r="199" spans="1:32" s="12" customFormat="1" ht="21" customHeight="1">
      <c r="A199" s="58"/>
      <c r="B199" s="48" t="s">
        <v>264</v>
      </c>
      <c r="C199" s="48" t="s">
        <v>570</v>
      </c>
      <c r="D199" s="179">
        <f t="shared" ref="D199:L199" si="11">SUM(D200,D214,D222,D227,D233)</f>
        <v>200194</v>
      </c>
      <c r="E199" s="179">
        <f t="shared" si="11"/>
        <v>187853</v>
      </c>
      <c r="F199" s="179">
        <f t="shared" si="11"/>
        <v>84487</v>
      </c>
      <c r="G199" s="179">
        <f t="shared" si="11"/>
        <v>0</v>
      </c>
      <c r="H199" s="179">
        <f t="shared" si="11"/>
        <v>21757</v>
      </c>
      <c r="I199" s="179">
        <f t="shared" si="11"/>
        <v>17485</v>
      </c>
      <c r="J199" s="179">
        <f t="shared" si="11"/>
        <v>36204</v>
      </c>
      <c r="K199" s="179">
        <f t="shared" si="11"/>
        <v>0</v>
      </c>
      <c r="L199" s="179">
        <f t="shared" si="11"/>
        <v>27920</v>
      </c>
      <c r="M199" s="179">
        <f>E199-D199</f>
        <v>-12341</v>
      </c>
      <c r="N199" s="187">
        <f>IF(D199=0,0,M199/D199)</f>
        <v>-6.1645204151972589E-2</v>
      </c>
      <c r="O199" s="156"/>
      <c r="P199" s="156"/>
      <c r="Q199" s="156"/>
      <c r="R199" s="156"/>
      <c r="S199" s="156"/>
      <c r="T199" s="131"/>
      <c r="U199" s="131"/>
      <c r="V199" s="131"/>
      <c r="W199" s="131"/>
      <c r="X199" s="131"/>
      <c r="Y199" s="131" t="s">
        <v>29</v>
      </c>
      <c r="Z199" s="131"/>
      <c r="AA199" s="131"/>
      <c r="AB199" s="131"/>
      <c r="AC199" s="157"/>
      <c r="AD199" s="157">
        <f>SUM(AD200,AD214,AD222,AD227,AD233)</f>
        <v>187853000</v>
      </c>
      <c r="AE199" s="158" t="s">
        <v>26</v>
      </c>
      <c r="AF199" s="1"/>
    </row>
    <row r="200" spans="1:32" s="12" customFormat="1" ht="21" customHeight="1">
      <c r="A200" s="58"/>
      <c r="B200" s="58"/>
      <c r="C200" s="48" t="s">
        <v>64</v>
      </c>
      <c r="D200" s="309">
        <v>152612</v>
      </c>
      <c r="E200" s="179">
        <f>ROUND(AD200/1000,0)</f>
        <v>140586</v>
      </c>
      <c r="F200" s="179">
        <f>SUM(AD201,AD207,AD208)/1000</f>
        <v>54861</v>
      </c>
      <c r="G200" s="179">
        <v>0</v>
      </c>
      <c r="H200" s="179">
        <f>SUM(AD204:AD206)/1000</f>
        <v>15397</v>
      </c>
      <c r="I200" s="179">
        <f>AD203/1000</f>
        <v>9165</v>
      </c>
      <c r="J200" s="179">
        <f>SUM(AD202,AD209)/1000</f>
        <v>33563</v>
      </c>
      <c r="K200" s="179">
        <v>0</v>
      </c>
      <c r="L200" s="179">
        <f>SUM(AD210:AD212)/1000</f>
        <v>27600</v>
      </c>
      <c r="M200" s="179">
        <f>E200-D200</f>
        <v>-12026</v>
      </c>
      <c r="N200" s="187">
        <f>IF(D200=0,0,M200/D200)</f>
        <v>-7.880114276727912E-2</v>
      </c>
      <c r="O200" s="160" t="s">
        <v>265</v>
      </c>
      <c r="P200" s="359"/>
      <c r="Q200" s="359"/>
      <c r="R200" s="359"/>
      <c r="S200" s="359"/>
      <c r="T200" s="358"/>
      <c r="U200" s="358"/>
      <c r="V200" s="358"/>
      <c r="W200" s="358"/>
      <c r="X200" s="358"/>
      <c r="Y200" s="331" t="s">
        <v>521</v>
      </c>
      <c r="Z200" s="331"/>
      <c r="AA200" s="331"/>
      <c r="AB200" s="331"/>
      <c r="AC200" s="333"/>
      <c r="AD200" s="333">
        <f>SUM(AD201:AD212)</f>
        <v>140586000</v>
      </c>
      <c r="AE200" s="332" t="s">
        <v>26</v>
      </c>
      <c r="AF200" s="1"/>
    </row>
    <row r="201" spans="1:32" s="12" customFormat="1" ht="21" customHeight="1">
      <c r="A201" s="58"/>
      <c r="B201" s="58"/>
      <c r="C201" s="58"/>
      <c r="D201" s="175"/>
      <c r="E201" s="174"/>
      <c r="F201" s="174"/>
      <c r="G201" s="174"/>
      <c r="H201" s="174"/>
      <c r="I201" s="174"/>
      <c r="J201" s="174"/>
      <c r="K201" s="174"/>
      <c r="L201" s="174"/>
      <c r="M201" s="174"/>
      <c r="N201" s="96"/>
      <c r="O201" s="197" t="s">
        <v>304</v>
      </c>
      <c r="P201" s="63"/>
      <c r="Q201" s="64"/>
      <c r="R201" s="64"/>
      <c r="S201" s="64">
        <v>127882</v>
      </c>
      <c r="T201" s="64" t="s">
        <v>214</v>
      </c>
      <c r="U201" s="68" t="s">
        <v>218</v>
      </c>
      <c r="V201" s="64">
        <v>12</v>
      </c>
      <c r="W201" s="64" t="s">
        <v>232</v>
      </c>
      <c r="X201" s="68" t="s">
        <v>218</v>
      </c>
      <c r="Y201" s="64">
        <v>34</v>
      </c>
      <c r="Z201" s="64" t="s">
        <v>220</v>
      </c>
      <c r="AA201" s="70" t="s">
        <v>221</v>
      </c>
      <c r="AB201" s="64" t="s">
        <v>239</v>
      </c>
      <c r="AC201" s="92"/>
      <c r="AD201" s="92">
        <f>ROUND(S201*V201*Y201,-3)</f>
        <v>52176000</v>
      </c>
      <c r="AE201" s="71" t="s">
        <v>26</v>
      </c>
      <c r="AF201" s="2"/>
    </row>
    <row r="202" spans="1:32" s="12" customFormat="1" ht="21" customHeight="1">
      <c r="A202" s="58"/>
      <c r="B202" s="58"/>
      <c r="C202" s="58"/>
      <c r="D202" s="175"/>
      <c r="E202" s="174"/>
      <c r="F202" s="174"/>
      <c r="G202" s="174"/>
      <c r="H202" s="174"/>
      <c r="I202" s="174"/>
      <c r="J202" s="174"/>
      <c r="K202" s="174"/>
      <c r="L202" s="174"/>
      <c r="M202" s="174"/>
      <c r="N202" s="96"/>
      <c r="O202" s="303" t="s">
        <v>328</v>
      </c>
      <c r="P202" s="233"/>
      <c r="Q202" s="233"/>
      <c r="R202" s="233"/>
      <c r="S202" s="232"/>
      <c r="T202" s="68"/>
      <c r="U202" s="68"/>
      <c r="V202" s="232"/>
      <c r="W202" s="232"/>
      <c r="X202" s="68"/>
      <c r="Y202" s="232"/>
      <c r="Z202" s="232"/>
      <c r="AA202" s="231"/>
      <c r="AB202" s="232" t="s">
        <v>293</v>
      </c>
      <c r="AC202" s="232"/>
      <c r="AD202" s="232">
        <v>28063000</v>
      </c>
      <c r="AE202" s="201" t="s">
        <v>214</v>
      </c>
      <c r="AF202" s="2"/>
    </row>
    <row r="203" spans="1:32" s="12" customFormat="1" ht="21" customHeight="1">
      <c r="A203" s="58"/>
      <c r="B203" s="58"/>
      <c r="C203" s="58"/>
      <c r="D203" s="175"/>
      <c r="E203" s="174"/>
      <c r="F203" s="174"/>
      <c r="G203" s="174"/>
      <c r="H203" s="174"/>
      <c r="I203" s="174"/>
      <c r="J203" s="174"/>
      <c r="K203" s="174"/>
      <c r="L203" s="174"/>
      <c r="M203" s="174"/>
      <c r="N203" s="96"/>
      <c r="O203" s="355"/>
      <c r="P203" s="355"/>
      <c r="Q203" s="355"/>
      <c r="R203" s="355"/>
      <c r="S203" s="354"/>
      <c r="T203" s="68"/>
      <c r="U203" s="68"/>
      <c r="V203" s="354"/>
      <c r="W203" s="354"/>
      <c r="X203" s="68"/>
      <c r="Y203" s="354"/>
      <c r="Z203" s="354"/>
      <c r="AA203" s="349"/>
      <c r="AB203" s="354" t="s">
        <v>608</v>
      </c>
      <c r="AC203" s="354"/>
      <c r="AD203" s="354">
        <v>9165000</v>
      </c>
      <c r="AE203" s="201" t="s">
        <v>510</v>
      </c>
      <c r="AF203" s="2"/>
    </row>
    <row r="204" spans="1:32" s="12" customFormat="1" ht="21" customHeight="1">
      <c r="A204" s="58"/>
      <c r="B204" s="58"/>
      <c r="C204" s="58"/>
      <c r="D204" s="175"/>
      <c r="E204" s="174"/>
      <c r="F204" s="174"/>
      <c r="G204" s="174"/>
      <c r="H204" s="174"/>
      <c r="I204" s="174"/>
      <c r="J204" s="174"/>
      <c r="K204" s="174"/>
      <c r="L204" s="174"/>
      <c r="M204" s="174"/>
      <c r="N204" s="96"/>
      <c r="O204" s="355" t="s">
        <v>571</v>
      </c>
      <c r="P204" s="63"/>
      <c r="Q204" s="64"/>
      <c r="R204" s="64"/>
      <c r="S204" s="64">
        <v>500</v>
      </c>
      <c r="T204" s="64" t="s">
        <v>214</v>
      </c>
      <c r="U204" s="68" t="s">
        <v>218</v>
      </c>
      <c r="V204" s="64">
        <v>365</v>
      </c>
      <c r="W204" s="64" t="s">
        <v>219</v>
      </c>
      <c r="X204" s="68" t="s">
        <v>218</v>
      </c>
      <c r="Y204" s="64">
        <v>53</v>
      </c>
      <c r="Z204" s="64" t="s">
        <v>220</v>
      </c>
      <c r="AA204" s="70" t="s">
        <v>221</v>
      </c>
      <c r="AB204" s="64" t="s">
        <v>239</v>
      </c>
      <c r="AC204" s="92"/>
      <c r="AD204" s="92">
        <f>ROUND(S204*V204*Y204,-3)</f>
        <v>9673000</v>
      </c>
      <c r="AE204" s="71" t="s">
        <v>26</v>
      </c>
      <c r="AF204" s="2"/>
    </row>
    <row r="205" spans="1:32" s="12" customFormat="1" ht="21" customHeight="1">
      <c r="A205" s="58"/>
      <c r="B205" s="58"/>
      <c r="C205" s="58"/>
      <c r="D205" s="175"/>
      <c r="E205" s="174"/>
      <c r="F205" s="174"/>
      <c r="G205" s="174"/>
      <c r="H205" s="174"/>
      <c r="I205" s="174"/>
      <c r="J205" s="174"/>
      <c r="K205" s="174"/>
      <c r="L205" s="174"/>
      <c r="M205" s="174"/>
      <c r="N205" s="96"/>
      <c r="O205" s="355" t="s">
        <v>572</v>
      </c>
      <c r="P205" s="63"/>
      <c r="Q205" s="64"/>
      <c r="R205" s="64"/>
      <c r="S205" s="64">
        <v>5000</v>
      </c>
      <c r="T205" s="64" t="s">
        <v>214</v>
      </c>
      <c r="U205" s="68" t="s">
        <v>218</v>
      </c>
      <c r="V205" s="64">
        <v>12</v>
      </c>
      <c r="W205" s="64" t="s">
        <v>30</v>
      </c>
      <c r="X205" s="68" t="s">
        <v>218</v>
      </c>
      <c r="Y205" s="64">
        <v>53</v>
      </c>
      <c r="Z205" s="64" t="s">
        <v>220</v>
      </c>
      <c r="AA205" s="70" t="s">
        <v>221</v>
      </c>
      <c r="AB205" s="64" t="s">
        <v>239</v>
      </c>
      <c r="AC205" s="92"/>
      <c r="AD205" s="92">
        <f>S205*V205*Y205</f>
        <v>3180000</v>
      </c>
      <c r="AE205" s="71" t="s">
        <v>26</v>
      </c>
      <c r="AF205" s="2"/>
    </row>
    <row r="206" spans="1:32" s="12" customFormat="1" ht="21" customHeight="1">
      <c r="A206" s="58"/>
      <c r="B206" s="58"/>
      <c r="C206" s="58"/>
      <c r="D206" s="175"/>
      <c r="E206" s="174"/>
      <c r="F206" s="174"/>
      <c r="G206" s="174"/>
      <c r="H206" s="174"/>
      <c r="I206" s="174"/>
      <c r="J206" s="174"/>
      <c r="K206" s="174"/>
      <c r="L206" s="174"/>
      <c r="M206" s="174"/>
      <c r="N206" s="96"/>
      <c r="O206" s="355" t="s">
        <v>573</v>
      </c>
      <c r="P206" s="63"/>
      <c r="Q206" s="64"/>
      <c r="R206" s="64"/>
      <c r="S206" s="64">
        <v>12000</v>
      </c>
      <c r="T206" s="64" t="s">
        <v>214</v>
      </c>
      <c r="U206" s="68" t="s">
        <v>218</v>
      </c>
      <c r="V206" s="64">
        <v>4</v>
      </c>
      <c r="W206" s="64" t="s">
        <v>257</v>
      </c>
      <c r="X206" s="68" t="s">
        <v>218</v>
      </c>
      <c r="Y206" s="64">
        <v>53</v>
      </c>
      <c r="Z206" s="64" t="s">
        <v>220</v>
      </c>
      <c r="AA206" s="70" t="s">
        <v>221</v>
      </c>
      <c r="AB206" s="64" t="s">
        <v>239</v>
      </c>
      <c r="AC206" s="92"/>
      <c r="AD206" s="92">
        <f>S206*V206*Y206</f>
        <v>2544000</v>
      </c>
      <c r="AE206" s="71" t="s">
        <v>26</v>
      </c>
      <c r="AF206" s="2"/>
    </row>
    <row r="207" spans="1:32" s="12" customFormat="1" ht="21" customHeight="1">
      <c r="A207" s="58"/>
      <c r="B207" s="58"/>
      <c r="C207" s="58"/>
      <c r="D207" s="175"/>
      <c r="E207" s="174"/>
      <c r="F207" s="174"/>
      <c r="G207" s="174"/>
      <c r="H207" s="174"/>
      <c r="I207" s="174"/>
      <c r="J207" s="174"/>
      <c r="K207" s="174"/>
      <c r="L207" s="174"/>
      <c r="M207" s="174"/>
      <c r="N207" s="96"/>
      <c r="O207" s="355" t="s">
        <v>574</v>
      </c>
      <c r="P207" s="63"/>
      <c r="Q207" s="64"/>
      <c r="R207" s="64"/>
      <c r="S207" s="64">
        <v>26585</v>
      </c>
      <c r="T207" s="64" t="s">
        <v>214</v>
      </c>
      <c r="U207" s="68" t="s">
        <v>218</v>
      </c>
      <c r="V207" s="64">
        <v>2</v>
      </c>
      <c r="W207" s="64" t="s">
        <v>257</v>
      </c>
      <c r="X207" s="68" t="s">
        <v>218</v>
      </c>
      <c r="Y207" s="64">
        <v>34</v>
      </c>
      <c r="Z207" s="64" t="s">
        <v>220</v>
      </c>
      <c r="AA207" s="70" t="s">
        <v>221</v>
      </c>
      <c r="AB207" s="64" t="s">
        <v>239</v>
      </c>
      <c r="AC207" s="92"/>
      <c r="AD207" s="92">
        <f>ROUND(S207*V207*Y207,-3)</f>
        <v>1808000</v>
      </c>
      <c r="AE207" s="71" t="s">
        <v>26</v>
      </c>
      <c r="AF207" s="2"/>
    </row>
    <row r="208" spans="1:32" s="12" customFormat="1" ht="21" customHeight="1">
      <c r="A208" s="58"/>
      <c r="B208" s="58"/>
      <c r="C208" s="58"/>
      <c r="D208" s="307"/>
      <c r="E208" s="174"/>
      <c r="F208" s="174"/>
      <c r="G208" s="174"/>
      <c r="H208" s="174"/>
      <c r="I208" s="174"/>
      <c r="J208" s="174"/>
      <c r="K208" s="174"/>
      <c r="L208" s="174"/>
      <c r="M208" s="174"/>
      <c r="N208" s="96"/>
      <c r="O208" s="355" t="s">
        <v>575</v>
      </c>
      <c r="P208" s="63"/>
      <c r="Q208" s="64"/>
      <c r="R208" s="64"/>
      <c r="S208" s="354">
        <v>25772</v>
      </c>
      <c r="T208" s="354" t="s">
        <v>62</v>
      </c>
      <c r="U208" s="68" t="s">
        <v>63</v>
      </c>
      <c r="V208" s="354">
        <v>1</v>
      </c>
      <c r="W208" s="354" t="s">
        <v>110</v>
      </c>
      <c r="X208" s="68" t="s">
        <v>63</v>
      </c>
      <c r="Y208" s="354">
        <v>34</v>
      </c>
      <c r="Z208" s="354" t="s">
        <v>61</v>
      </c>
      <c r="AA208" s="349" t="s">
        <v>58</v>
      </c>
      <c r="AB208" s="354" t="s">
        <v>239</v>
      </c>
      <c r="AC208" s="92"/>
      <c r="AD208" s="92">
        <f>ROUNDUP(S208*V208*Y208,-3)</f>
        <v>877000</v>
      </c>
      <c r="AE208" s="71" t="s">
        <v>26</v>
      </c>
      <c r="AF208" s="2"/>
    </row>
    <row r="209" spans="1:32" s="12" customFormat="1" ht="21" customHeight="1">
      <c r="A209" s="58"/>
      <c r="B209" s="58"/>
      <c r="C209" s="58"/>
      <c r="D209" s="307"/>
      <c r="E209" s="174"/>
      <c r="F209" s="174"/>
      <c r="G209" s="174"/>
      <c r="H209" s="174"/>
      <c r="I209" s="174"/>
      <c r="J209" s="174"/>
      <c r="K209" s="174"/>
      <c r="L209" s="174"/>
      <c r="M209" s="174"/>
      <c r="N209" s="96"/>
      <c r="O209" s="233"/>
      <c r="P209" s="233"/>
      <c r="Q209" s="232"/>
      <c r="R209" s="232"/>
      <c r="S209" s="232"/>
      <c r="T209" s="232"/>
      <c r="U209" s="68"/>
      <c r="V209" s="232"/>
      <c r="W209" s="232"/>
      <c r="X209" s="68"/>
      <c r="Y209" s="232"/>
      <c r="Z209" s="232"/>
      <c r="AA209" s="231"/>
      <c r="AB209" s="183" t="s">
        <v>293</v>
      </c>
      <c r="AC209" s="183"/>
      <c r="AD209" s="214">
        <v>5500000</v>
      </c>
      <c r="AE209" s="71" t="s">
        <v>26</v>
      </c>
      <c r="AF209" s="2"/>
    </row>
    <row r="210" spans="1:32" s="12" customFormat="1" ht="21" customHeight="1">
      <c r="A210" s="58"/>
      <c r="B210" s="58"/>
      <c r="C210" s="58"/>
      <c r="D210" s="307"/>
      <c r="E210" s="174"/>
      <c r="F210" s="174"/>
      <c r="G210" s="174"/>
      <c r="H210" s="174"/>
      <c r="I210" s="174"/>
      <c r="J210" s="174"/>
      <c r="K210" s="174"/>
      <c r="L210" s="174"/>
      <c r="M210" s="174"/>
      <c r="N210" s="96"/>
      <c r="O210" s="355" t="s">
        <v>609</v>
      </c>
      <c r="P210" s="233"/>
      <c r="Q210" s="233"/>
      <c r="R210" s="233"/>
      <c r="S210" s="232">
        <v>50000</v>
      </c>
      <c r="T210" s="68" t="s">
        <v>324</v>
      </c>
      <c r="U210" s="68" t="s">
        <v>27</v>
      </c>
      <c r="V210" s="232">
        <v>31</v>
      </c>
      <c r="W210" s="232" t="s">
        <v>325</v>
      </c>
      <c r="X210" s="68" t="s">
        <v>27</v>
      </c>
      <c r="Y210" s="232">
        <v>12</v>
      </c>
      <c r="Z210" s="232" t="s">
        <v>326</v>
      </c>
      <c r="AA210" s="231" t="s">
        <v>28</v>
      </c>
      <c r="AB210" s="232" t="s">
        <v>327</v>
      </c>
      <c r="AC210" s="232"/>
      <c r="AD210" s="232">
        <f>S210*V210*Y210</f>
        <v>18600000</v>
      </c>
      <c r="AE210" s="201" t="s">
        <v>62</v>
      </c>
      <c r="AF210" s="2"/>
    </row>
    <row r="211" spans="1:32" s="12" customFormat="1" ht="21" customHeight="1">
      <c r="A211" s="58"/>
      <c r="B211" s="58"/>
      <c r="C211" s="58"/>
      <c r="D211" s="307"/>
      <c r="E211" s="174"/>
      <c r="F211" s="174"/>
      <c r="G211" s="174"/>
      <c r="H211" s="174"/>
      <c r="I211" s="174"/>
      <c r="J211" s="174"/>
      <c r="K211" s="174"/>
      <c r="L211" s="174"/>
      <c r="M211" s="174"/>
      <c r="N211" s="96"/>
      <c r="O211" s="355" t="s">
        <v>610</v>
      </c>
      <c r="P211" s="233"/>
      <c r="Q211" s="233"/>
      <c r="R211" s="233"/>
      <c r="S211" s="354">
        <v>50000</v>
      </c>
      <c r="T211" s="68" t="s">
        <v>62</v>
      </c>
      <c r="U211" s="68" t="s">
        <v>27</v>
      </c>
      <c r="V211" s="354">
        <v>12</v>
      </c>
      <c r="W211" s="354" t="s">
        <v>61</v>
      </c>
      <c r="X211" s="68" t="s">
        <v>27</v>
      </c>
      <c r="Y211" s="354">
        <v>12</v>
      </c>
      <c r="Z211" s="354" t="s">
        <v>0</v>
      </c>
      <c r="AA211" s="349" t="s">
        <v>28</v>
      </c>
      <c r="AB211" s="354" t="s">
        <v>290</v>
      </c>
      <c r="AC211" s="354"/>
      <c r="AD211" s="354">
        <f>S211*V211*Y211</f>
        <v>7200000</v>
      </c>
      <c r="AE211" s="201" t="s">
        <v>62</v>
      </c>
      <c r="AF211" s="2"/>
    </row>
    <row r="212" spans="1:32" s="12" customFormat="1" ht="21" customHeight="1">
      <c r="A212" s="58"/>
      <c r="B212" s="58"/>
      <c r="C212" s="58"/>
      <c r="D212" s="307"/>
      <c r="E212" s="174"/>
      <c r="F212" s="174"/>
      <c r="G212" s="174"/>
      <c r="H212" s="174"/>
      <c r="I212" s="174"/>
      <c r="J212" s="174"/>
      <c r="K212" s="174"/>
      <c r="L212" s="174"/>
      <c r="M212" s="174"/>
      <c r="N212" s="96"/>
      <c r="O212" s="355" t="s">
        <v>611</v>
      </c>
      <c r="P212" s="233"/>
      <c r="Q212" s="233"/>
      <c r="R212" s="233"/>
      <c r="S212" s="232">
        <v>150000</v>
      </c>
      <c r="T212" s="68" t="s">
        <v>324</v>
      </c>
      <c r="U212" s="68" t="s">
        <v>27</v>
      </c>
      <c r="V212" s="232">
        <v>12</v>
      </c>
      <c r="W212" s="232" t="s">
        <v>326</v>
      </c>
      <c r="X212" s="231" t="s">
        <v>28</v>
      </c>
      <c r="Y212" s="232"/>
      <c r="Z212" s="232"/>
      <c r="AA212" s="231"/>
      <c r="AB212" s="232" t="s">
        <v>327</v>
      </c>
      <c r="AC212" s="232"/>
      <c r="AD212" s="232">
        <f>S212*V212</f>
        <v>1800000</v>
      </c>
      <c r="AE212" s="201" t="s">
        <v>62</v>
      </c>
      <c r="AF212" s="2"/>
    </row>
    <row r="213" spans="1:32" s="12" customFormat="1" ht="21" customHeight="1">
      <c r="A213" s="58"/>
      <c r="B213" s="58"/>
      <c r="C213" s="73"/>
      <c r="D213" s="308"/>
      <c r="E213" s="177"/>
      <c r="F213" s="177"/>
      <c r="G213" s="177"/>
      <c r="H213" s="177"/>
      <c r="I213" s="177"/>
      <c r="J213" s="177"/>
      <c r="K213" s="177"/>
      <c r="L213" s="177"/>
      <c r="M213" s="177"/>
      <c r="N213" s="125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  <c r="Z213" s="183"/>
      <c r="AA213" s="183"/>
      <c r="AB213" s="183"/>
      <c r="AC213" s="183"/>
      <c r="AD213" s="214"/>
      <c r="AE213" s="193"/>
      <c r="AF213" s="2"/>
    </row>
    <row r="214" spans="1:32" s="12" customFormat="1" ht="21" customHeight="1">
      <c r="A214" s="58"/>
      <c r="B214" s="58"/>
      <c r="C214" s="58" t="s">
        <v>266</v>
      </c>
      <c r="D214" s="307">
        <v>4600</v>
      </c>
      <c r="E214" s="174">
        <f>ROUND(AD214/1000,0)</f>
        <v>4600</v>
      </c>
      <c r="F214" s="174">
        <v>2670</v>
      </c>
      <c r="G214" s="174">
        <v>0</v>
      </c>
      <c r="H214" s="174">
        <v>0</v>
      </c>
      <c r="I214" s="174">
        <v>0</v>
      </c>
      <c r="J214" s="174">
        <v>1930</v>
      </c>
      <c r="K214" s="174">
        <v>0</v>
      </c>
      <c r="L214" s="174">
        <v>0</v>
      </c>
      <c r="M214" s="174">
        <f>E214-D214</f>
        <v>0</v>
      </c>
      <c r="N214" s="96">
        <f>IF(D214=0,0,M214/D214)</f>
        <v>0</v>
      </c>
      <c r="O214" s="160" t="s">
        <v>267</v>
      </c>
      <c r="P214" s="156"/>
      <c r="Q214" s="156"/>
      <c r="R214" s="156"/>
      <c r="S214" s="156"/>
      <c r="T214" s="131"/>
      <c r="U214" s="131"/>
      <c r="V214" s="131"/>
      <c r="W214" s="131"/>
      <c r="X214" s="131"/>
      <c r="Y214" s="331" t="s">
        <v>521</v>
      </c>
      <c r="Z214" s="331"/>
      <c r="AA214" s="331"/>
      <c r="AB214" s="331"/>
      <c r="AC214" s="333"/>
      <c r="AD214" s="333">
        <f>SUM(AD215:AD221)</f>
        <v>4600000</v>
      </c>
      <c r="AE214" s="332" t="s">
        <v>26</v>
      </c>
      <c r="AF214" s="1"/>
    </row>
    <row r="215" spans="1:32" s="12" customFormat="1" ht="21" customHeight="1">
      <c r="A215" s="58"/>
      <c r="B215" s="58"/>
      <c r="C215" s="58" t="s">
        <v>576</v>
      </c>
      <c r="D215" s="307"/>
      <c r="E215" s="174"/>
      <c r="F215" s="174"/>
      <c r="G215" s="174"/>
      <c r="H215" s="174"/>
      <c r="I215" s="174"/>
      <c r="J215" s="174"/>
      <c r="K215" s="174"/>
      <c r="L215" s="174"/>
      <c r="M215" s="174"/>
      <c r="N215" s="96"/>
      <c r="O215" s="303" t="s">
        <v>268</v>
      </c>
      <c r="P215" s="63"/>
      <c r="Q215" s="63"/>
      <c r="R215" s="63"/>
      <c r="S215" s="64"/>
      <c r="T215" s="68"/>
      <c r="U215" s="68"/>
      <c r="V215" s="64"/>
      <c r="W215" s="64"/>
      <c r="X215" s="64"/>
      <c r="Y215" s="64"/>
      <c r="Z215" s="64"/>
      <c r="AA215" s="64"/>
      <c r="AB215" s="232"/>
      <c r="AC215" s="64"/>
      <c r="AD215" s="64">
        <v>2000000</v>
      </c>
      <c r="AE215" s="71" t="s">
        <v>214</v>
      </c>
      <c r="AF215" s="2"/>
    </row>
    <row r="216" spans="1:32" s="12" customFormat="1" ht="21" customHeight="1">
      <c r="A216" s="58"/>
      <c r="B216" s="58"/>
      <c r="C216" s="58"/>
      <c r="D216" s="307"/>
      <c r="E216" s="174"/>
      <c r="F216" s="174"/>
      <c r="G216" s="174"/>
      <c r="H216" s="174"/>
      <c r="I216" s="174"/>
      <c r="J216" s="174"/>
      <c r="K216" s="174"/>
      <c r="L216" s="174"/>
      <c r="M216" s="174"/>
      <c r="N216" s="96"/>
      <c r="O216" s="303" t="s">
        <v>305</v>
      </c>
      <c r="P216" s="197"/>
      <c r="Q216" s="197"/>
      <c r="R216" s="197"/>
      <c r="S216" s="196"/>
      <c r="T216" s="68"/>
      <c r="U216" s="68"/>
      <c r="V216" s="196"/>
      <c r="W216" s="196"/>
      <c r="X216" s="196"/>
      <c r="Y216" s="196"/>
      <c r="Z216" s="196"/>
      <c r="AA216" s="196"/>
      <c r="AB216" s="238"/>
      <c r="AC216" s="196"/>
      <c r="AD216" s="196">
        <v>100000</v>
      </c>
      <c r="AE216" s="71" t="s">
        <v>77</v>
      </c>
      <c r="AF216" s="2"/>
    </row>
    <row r="217" spans="1:32" s="12" customFormat="1" ht="21" customHeight="1">
      <c r="A217" s="58"/>
      <c r="B217" s="58"/>
      <c r="C217" s="58"/>
      <c r="D217" s="307"/>
      <c r="E217" s="174"/>
      <c r="F217" s="174"/>
      <c r="G217" s="174"/>
      <c r="H217" s="174"/>
      <c r="I217" s="174"/>
      <c r="J217" s="174"/>
      <c r="K217" s="174"/>
      <c r="L217" s="174"/>
      <c r="M217" s="174"/>
      <c r="N217" s="96"/>
      <c r="O217" s="303" t="s">
        <v>306</v>
      </c>
      <c r="P217" s="197"/>
      <c r="Q217" s="197"/>
      <c r="R217" s="197"/>
      <c r="S217" s="196"/>
      <c r="T217" s="68"/>
      <c r="U217" s="68"/>
      <c r="V217" s="196"/>
      <c r="W217" s="196"/>
      <c r="X217" s="196"/>
      <c r="Y217" s="196"/>
      <c r="Z217" s="196"/>
      <c r="AA217" s="196"/>
      <c r="AB217" s="196"/>
      <c r="AC217" s="196"/>
      <c r="AD217" s="196">
        <v>1000000</v>
      </c>
      <c r="AE217" s="71" t="s">
        <v>77</v>
      </c>
      <c r="AF217" s="2"/>
    </row>
    <row r="218" spans="1:32" s="12" customFormat="1" ht="21" customHeight="1">
      <c r="A218" s="58"/>
      <c r="B218" s="58"/>
      <c r="C218" s="58"/>
      <c r="D218" s="307"/>
      <c r="E218" s="174"/>
      <c r="F218" s="174"/>
      <c r="G218" s="174"/>
      <c r="H218" s="174"/>
      <c r="I218" s="174"/>
      <c r="J218" s="174"/>
      <c r="K218" s="174"/>
      <c r="L218" s="174"/>
      <c r="M218" s="174"/>
      <c r="N218" s="96"/>
      <c r="O218" s="303" t="s">
        <v>307</v>
      </c>
      <c r="P218" s="197"/>
      <c r="Q218" s="197"/>
      <c r="R218" s="197"/>
      <c r="S218" s="196">
        <v>100000</v>
      </c>
      <c r="T218" s="196" t="s">
        <v>62</v>
      </c>
      <c r="U218" s="197" t="s">
        <v>63</v>
      </c>
      <c r="V218" s="196">
        <v>5</v>
      </c>
      <c r="W218" s="196" t="s">
        <v>174</v>
      </c>
      <c r="X218" s="197"/>
      <c r="Y218" s="196"/>
      <c r="Z218" s="196"/>
      <c r="AA218" s="196" t="s">
        <v>58</v>
      </c>
      <c r="AB218" s="196"/>
      <c r="AC218" s="196"/>
      <c r="AD218" s="196">
        <v>500000</v>
      </c>
      <c r="AE218" s="71" t="s">
        <v>77</v>
      </c>
      <c r="AF218" s="2"/>
    </row>
    <row r="219" spans="1:32" s="12" customFormat="1" ht="21" customHeight="1">
      <c r="A219" s="58"/>
      <c r="B219" s="58"/>
      <c r="C219" s="58"/>
      <c r="D219" s="307"/>
      <c r="E219" s="174"/>
      <c r="F219" s="174"/>
      <c r="G219" s="174"/>
      <c r="H219" s="174"/>
      <c r="I219" s="174"/>
      <c r="J219" s="174"/>
      <c r="K219" s="174"/>
      <c r="L219" s="174"/>
      <c r="M219" s="174"/>
      <c r="N219" s="96"/>
      <c r="O219" s="303" t="s">
        <v>308</v>
      </c>
      <c r="P219" s="197"/>
      <c r="Q219" s="197"/>
      <c r="R219" s="197"/>
      <c r="S219" s="196"/>
      <c r="T219" s="68"/>
      <c r="U219" s="68"/>
      <c r="V219" s="196"/>
      <c r="W219" s="196"/>
      <c r="X219" s="196"/>
      <c r="Y219" s="196"/>
      <c r="Z219" s="196"/>
      <c r="AA219" s="196"/>
      <c r="AB219" s="263"/>
      <c r="AC219" s="196"/>
      <c r="AD219" s="196">
        <v>500000</v>
      </c>
      <c r="AE219" s="71" t="s">
        <v>77</v>
      </c>
      <c r="AF219" s="2"/>
    </row>
    <row r="220" spans="1:32" s="12" customFormat="1" ht="21" customHeight="1">
      <c r="A220" s="58"/>
      <c r="B220" s="58"/>
      <c r="C220" s="58"/>
      <c r="D220" s="307"/>
      <c r="E220" s="174"/>
      <c r="F220" s="174"/>
      <c r="G220" s="174"/>
      <c r="H220" s="174"/>
      <c r="I220" s="174"/>
      <c r="J220" s="174"/>
      <c r="K220" s="174"/>
      <c r="L220" s="174"/>
      <c r="M220" s="174"/>
      <c r="N220" s="96"/>
      <c r="O220" s="355" t="s">
        <v>577</v>
      </c>
      <c r="P220" s="355"/>
      <c r="Q220" s="355"/>
      <c r="R220" s="355"/>
      <c r="S220" s="354"/>
      <c r="T220" s="68"/>
      <c r="U220" s="68"/>
      <c r="V220" s="354"/>
      <c r="W220" s="354"/>
      <c r="X220" s="354"/>
      <c r="Y220" s="354"/>
      <c r="Z220" s="354"/>
      <c r="AA220" s="354"/>
      <c r="AB220" s="354"/>
      <c r="AC220" s="354"/>
      <c r="AD220" s="354">
        <v>500000</v>
      </c>
      <c r="AE220" s="71" t="s">
        <v>510</v>
      </c>
      <c r="AF220" s="2"/>
    </row>
    <row r="221" spans="1:32" s="12" customFormat="1" ht="21" customHeight="1">
      <c r="A221" s="58"/>
      <c r="B221" s="58"/>
      <c r="C221" s="58"/>
      <c r="D221" s="307"/>
      <c r="E221" s="174"/>
      <c r="F221" s="174"/>
      <c r="G221" s="174"/>
      <c r="H221" s="174"/>
      <c r="I221" s="174"/>
      <c r="J221" s="174"/>
      <c r="K221" s="174"/>
      <c r="L221" s="174"/>
      <c r="M221" s="174"/>
      <c r="N221" s="96"/>
      <c r="O221" s="301"/>
      <c r="P221" s="113"/>
      <c r="Q221" s="113"/>
      <c r="R221" s="113"/>
      <c r="S221" s="112"/>
      <c r="T221" s="126"/>
      <c r="U221" s="68"/>
      <c r="V221" s="98"/>
      <c r="W221" s="112"/>
      <c r="X221" s="112"/>
      <c r="Y221" s="112"/>
      <c r="Z221" s="112"/>
      <c r="AA221" s="112"/>
      <c r="AB221" s="260"/>
      <c r="AC221" s="112"/>
      <c r="AD221" s="112"/>
      <c r="AE221" s="99"/>
      <c r="AF221" s="1"/>
    </row>
    <row r="222" spans="1:32" s="12" customFormat="1" ht="21" customHeight="1">
      <c r="A222" s="58"/>
      <c r="B222" s="58"/>
      <c r="C222" s="48" t="s">
        <v>261</v>
      </c>
      <c r="D222" s="309">
        <v>11812</v>
      </c>
      <c r="E222" s="179">
        <f>ROUND(AD222/1000,0)</f>
        <v>10457</v>
      </c>
      <c r="F222" s="179">
        <f>ROUND(SUM(AD223:AD224),-3)/1000</f>
        <v>5956</v>
      </c>
      <c r="G222" s="179">
        <v>0</v>
      </c>
      <c r="H222" s="179">
        <f>ROUND(SUM(AD225),-3)/1000</f>
        <v>4240</v>
      </c>
      <c r="I222" s="179">
        <v>0</v>
      </c>
      <c r="J222" s="179">
        <v>261</v>
      </c>
      <c r="K222" s="179">
        <v>0</v>
      </c>
      <c r="L222" s="179">
        <v>0</v>
      </c>
      <c r="M222" s="179">
        <f>E222-D222</f>
        <v>-1355</v>
      </c>
      <c r="N222" s="187">
        <f>IF(D222=0,0,M222/D222)</f>
        <v>-0.11471385032170674</v>
      </c>
      <c r="O222" s="160" t="s">
        <v>496</v>
      </c>
      <c r="P222" s="330"/>
      <c r="Q222" s="156"/>
      <c r="R222" s="156"/>
      <c r="S222" s="156"/>
      <c r="T222" s="131"/>
      <c r="U222" s="131"/>
      <c r="V222" s="131"/>
      <c r="W222" s="358"/>
      <c r="X222" s="358"/>
      <c r="Y222" s="331" t="s">
        <v>521</v>
      </c>
      <c r="Z222" s="331"/>
      <c r="AA222" s="331"/>
      <c r="AB222" s="331"/>
      <c r="AC222" s="333"/>
      <c r="AD222" s="333">
        <f>SUM(AD223:AD226)</f>
        <v>10457000</v>
      </c>
      <c r="AE222" s="332" t="s">
        <v>26</v>
      </c>
      <c r="AF222" s="1"/>
    </row>
    <row r="223" spans="1:32" s="12" customFormat="1" ht="21" customHeight="1">
      <c r="A223" s="58"/>
      <c r="B223" s="58"/>
      <c r="C223" s="58"/>
      <c r="D223" s="175"/>
      <c r="E223" s="174"/>
      <c r="F223" s="174"/>
      <c r="G223" s="174"/>
      <c r="H223" s="174"/>
      <c r="I223" s="174"/>
      <c r="J223" s="174"/>
      <c r="K223" s="174"/>
      <c r="L223" s="174"/>
      <c r="M223" s="174"/>
      <c r="N223" s="96"/>
      <c r="O223" s="341" t="s">
        <v>507</v>
      </c>
      <c r="P223" s="63"/>
      <c r="Q223" s="64"/>
      <c r="R223" s="64"/>
      <c r="S223" s="64">
        <v>12996</v>
      </c>
      <c r="T223" s="64" t="s">
        <v>214</v>
      </c>
      <c r="U223" s="63" t="s">
        <v>218</v>
      </c>
      <c r="V223" s="64">
        <v>12</v>
      </c>
      <c r="W223" s="64" t="s">
        <v>232</v>
      </c>
      <c r="X223" s="63" t="s">
        <v>218</v>
      </c>
      <c r="Y223" s="64">
        <v>34</v>
      </c>
      <c r="Z223" s="64" t="s">
        <v>220</v>
      </c>
      <c r="AA223" s="64" t="s">
        <v>221</v>
      </c>
      <c r="AB223" s="64" t="s">
        <v>239</v>
      </c>
      <c r="AC223" s="92"/>
      <c r="AD223" s="92">
        <f>ROUNDUP(S223*V223*Y223,-3)</f>
        <v>5303000</v>
      </c>
      <c r="AE223" s="71" t="s">
        <v>26</v>
      </c>
      <c r="AF223" s="1"/>
    </row>
    <row r="224" spans="1:32" s="12" customFormat="1" ht="21" customHeight="1">
      <c r="A224" s="58"/>
      <c r="B224" s="58"/>
      <c r="C224" s="58"/>
      <c r="D224" s="175"/>
      <c r="E224" s="174"/>
      <c r="F224" s="174"/>
      <c r="G224" s="174"/>
      <c r="H224" s="174"/>
      <c r="I224" s="174"/>
      <c r="J224" s="174"/>
      <c r="K224" s="174"/>
      <c r="L224" s="174"/>
      <c r="M224" s="174"/>
      <c r="N224" s="96"/>
      <c r="O224" s="303" t="s">
        <v>269</v>
      </c>
      <c r="P224" s="63"/>
      <c r="Q224" s="64"/>
      <c r="R224" s="64"/>
      <c r="S224" s="64">
        <v>19189</v>
      </c>
      <c r="T224" s="64" t="s">
        <v>214</v>
      </c>
      <c r="U224" s="63" t="s">
        <v>218</v>
      </c>
      <c r="V224" s="64">
        <v>1</v>
      </c>
      <c r="W224" s="64" t="s">
        <v>270</v>
      </c>
      <c r="X224" s="63" t="s">
        <v>218</v>
      </c>
      <c r="Y224" s="64">
        <v>34</v>
      </c>
      <c r="Z224" s="64" t="s">
        <v>220</v>
      </c>
      <c r="AA224" s="64" t="s">
        <v>221</v>
      </c>
      <c r="AB224" s="64" t="s">
        <v>239</v>
      </c>
      <c r="AC224" s="92"/>
      <c r="AD224" s="92">
        <f>ROUNDUP(S224*V224*Y224,-3)</f>
        <v>653000</v>
      </c>
      <c r="AE224" s="71" t="s">
        <v>26</v>
      </c>
      <c r="AF224" s="1"/>
    </row>
    <row r="225" spans="1:32" s="12" customFormat="1" ht="21" customHeight="1">
      <c r="A225" s="58"/>
      <c r="B225" s="58"/>
      <c r="C225" s="58"/>
      <c r="D225" s="175"/>
      <c r="E225" s="174"/>
      <c r="F225" s="174"/>
      <c r="G225" s="174"/>
      <c r="H225" s="174"/>
      <c r="I225" s="174"/>
      <c r="J225" s="174"/>
      <c r="K225" s="174"/>
      <c r="L225" s="174"/>
      <c r="M225" s="174"/>
      <c r="N225" s="96"/>
      <c r="O225" s="341" t="s">
        <v>493</v>
      </c>
      <c r="P225" s="341"/>
      <c r="Q225" s="340"/>
      <c r="R225" s="340"/>
      <c r="S225" s="340">
        <v>20000</v>
      </c>
      <c r="T225" s="340" t="s">
        <v>448</v>
      </c>
      <c r="U225" s="341" t="s">
        <v>218</v>
      </c>
      <c r="V225" s="340">
        <v>4</v>
      </c>
      <c r="W225" s="340" t="s">
        <v>494</v>
      </c>
      <c r="X225" s="341" t="s">
        <v>218</v>
      </c>
      <c r="Y225" s="340">
        <v>53</v>
      </c>
      <c r="Z225" s="340" t="s">
        <v>220</v>
      </c>
      <c r="AA225" s="340" t="s">
        <v>221</v>
      </c>
      <c r="AB225" s="340" t="s">
        <v>239</v>
      </c>
      <c r="AC225" s="92"/>
      <c r="AD225" s="92">
        <f>ROUNDUP(S225*V225*Y225,-1)</f>
        <v>4240000</v>
      </c>
      <c r="AE225" s="71" t="s">
        <v>26</v>
      </c>
      <c r="AF225" s="1"/>
    </row>
    <row r="226" spans="1:32" s="12" customFormat="1" ht="21" customHeight="1">
      <c r="A226" s="58"/>
      <c r="B226" s="58"/>
      <c r="C226" s="58"/>
      <c r="D226" s="307"/>
      <c r="E226" s="174"/>
      <c r="F226" s="174"/>
      <c r="G226" s="174"/>
      <c r="H226" s="174"/>
      <c r="I226" s="174"/>
      <c r="J226" s="174"/>
      <c r="K226" s="174"/>
      <c r="L226" s="174"/>
      <c r="M226" s="174"/>
      <c r="N226" s="96"/>
      <c r="O226" s="341" t="s">
        <v>495</v>
      </c>
      <c r="P226" s="63"/>
      <c r="Q226" s="64"/>
      <c r="R226" s="64"/>
      <c r="S226" s="64"/>
      <c r="T226" s="64"/>
      <c r="U226" s="63"/>
      <c r="V226" s="64"/>
      <c r="W226" s="64"/>
      <c r="X226" s="63"/>
      <c r="Y226" s="64"/>
      <c r="Z226" s="64"/>
      <c r="AA226" s="64"/>
      <c r="AB226" s="340" t="s">
        <v>492</v>
      </c>
      <c r="AC226" s="92"/>
      <c r="AD226" s="92">
        <v>261000</v>
      </c>
      <c r="AE226" s="71" t="s">
        <v>26</v>
      </c>
      <c r="AF226" s="1"/>
    </row>
    <row r="227" spans="1:32" s="12" customFormat="1" ht="21" customHeight="1">
      <c r="A227" s="58"/>
      <c r="B227" s="58"/>
      <c r="C227" s="48" t="s">
        <v>262</v>
      </c>
      <c r="D227" s="309">
        <v>6450</v>
      </c>
      <c r="E227" s="179">
        <f>ROUND(AD227/1000,0)</f>
        <v>6170</v>
      </c>
      <c r="F227" s="179">
        <v>0</v>
      </c>
      <c r="G227" s="179">
        <v>0</v>
      </c>
      <c r="H227" s="179">
        <v>2120</v>
      </c>
      <c r="I227" s="179">
        <v>3600</v>
      </c>
      <c r="J227" s="179">
        <v>450</v>
      </c>
      <c r="K227" s="179">
        <v>0</v>
      </c>
      <c r="L227" s="179">
        <v>0</v>
      </c>
      <c r="M227" s="179">
        <f>E227-D227</f>
        <v>-280</v>
      </c>
      <c r="N227" s="187">
        <f>IF(D227=0,0,M227/D227)</f>
        <v>-4.3410852713178294E-2</v>
      </c>
      <c r="O227" s="160" t="s">
        <v>497</v>
      </c>
      <c r="P227" s="330"/>
      <c r="Q227" s="339"/>
      <c r="R227" s="339"/>
      <c r="S227" s="339"/>
      <c r="T227" s="338"/>
      <c r="U227" s="338"/>
      <c r="V227" s="338"/>
      <c r="W227" s="358"/>
      <c r="X227" s="358"/>
      <c r="Y227" s="331" t="s">
        <v>521</v>
      </c>
      <c r="Z227" s="331"/>
      <c r="AA227" s="331"/>
      <c r="AB227" s="331"/>
      <c r="AC227" s="333"/>
      <c r="AD227" s="333">
        <f>SUM(AD228:AD231)</f>
        <v>6170000</v>
      </c>
      <c r="AE227" s="332" t="s">
        <v>26</v>
      </c>
      <c r="AF227" s="1"/>
    </row>
    <row r="228" spans="1:32" s="15" customFormat="1" ht="21" customHeight="1">
      <c r="A228" s="58"/>
      <c r="B228" s="58"/>
      <c r="C228" s="58"/>
      <c r="D228" s="307"/>
      <c r="E228" s="174"/>
      <c r="F228" s="174"/>
      <c r="G228" s="174"/>
      <c r="H228" s="174"/>
      <c r="I228" s="174"/>
      <c r="J228" s="174"/>
      <c r="K228" s="174"/>
      <c r="L228" s="174"/>
      <c r="M228" s="174"/>
      <c r="N228" s="96"/>
      <c r="O228" s="303" t="s">
        <v>271</v>
      </c>
      <c r="P228" s="63"/>
      <c r="Q228" s="64"/>
      <c r="R228" s="64"/>
      <c r="S228" s="64">
        <v>40000</v>
      </c>
      <c r="T228" s="64" t="s">
        <v>214</v>
      </c>
      <c r="U228" s="63" t="s">
        <v>218</v>
      </c>
      <c r="V228" s="64">
        <v>1</v>
      </c>
      <c r="W228" s="64" t="s">
        <v>257</v>
      </c>
      <c r="X228" s="63" t="s">
        <v>218</v>
      </c>
      <c r="Y228" s="64">
        <v>53</v>
      </c>
      <c r="Z228" s="64" t="s">
        <v>220</v>
      </c>
      <c r="AA228" s="64" t="s">
        <v>221</v>
      </c>
      <c r="AB228" s="64" t="s">
        <v>239</v>
      </c>
      <c r="AC228" s="92"/>
      <c r="AD228" s="92">
        <f>S228*V228*Y228</f>
        <v>2120000</v>
      </c>
      <c r="AE228" s="71" t="s">
        <v>26</v>
      </c>
      <c r="AF228" s="5"/>
    </row>
    <row r="229" spans="1:32" s="15" customFormat="1" ht="21" customHeight="1">
      <c r="A229" s="58"/>
      <c r="B229" s="58"/>
      <c r="C229" s="58"/>
      <c r="D229" s="307"/>
      <c r="E229" s="174"/>
      <c r="F229" s="174"/>
      <c r="G229" s="174"/>
      <c r="H229" s="174"/>
      <c r="I229" s="174"/>
      <c r="J229" s="174"/>
      <c r="K229" s="174"/>
      <c r="L229" s="174"/>
      <c r="M229" s="174"/>
      <c r="N229" s="96"/>
      <c r="O229" s="303" t="s">
        <v>309</v>
      </c>
      <c r="P229" s="63"/>
      <c r="Q229" s="63"/>
      <c r="R229" s="63"/>
      <c r="S229" s="340">
        <v>300000</v>
      </c>
      <c r="T229" s="68" t="s">
        <v>324</v>
      </c>
      <c r="U229" s="68" t="s">
        <v>27</v>
      </c>
      <c r="V229" s="340">
        <v>12</v>
      </c>
      <c r="W229" s="340" t="s">
        <v>326</v>
      </c>
      <c r="X229" s="334"/>
      <c r="Y229" s="215"/>
      <c r="Z229" s="101"/>
      <c r="AA229" s="348" t="s">
        <v>491</v>
      </c>
      <c r="AB229" s="340" t="s">
        <v>492</v>
      </c>
      <c r="AC229" s="64"/>
      <c r="AD229" s="64">
        <f>S229*V229</f>
        <v>3600000</v>
      </c>
      <c r="AE229" s="71" t="s">
        <v>26</v>
      </c>
      <c r="AF229" s="5"/>
    </row>
    <row r="230" spans="1:32" s="15" customFormat="1" ht="21" customHeight="1">
      <c r="A230" s="58"/>
      <c r="B230" s="58"/>
      <c r="C230" s="58"/>
      <c r="D230" s="307"/>
      <c r="E230" s="174"/>
      <c r="F230" s="174"/>
      <c r="G230" s="174"/>
      <c r="H230" s="174"/>
      <c r="I230" s="174"/>
      <c r="J230" s="174"/>
      <c r="K230" s="174"/>
      <c r="L230" s="174"/>
      <c r="M230" s="174"/>
      <c r="N230" s="96"/>
      <c r="O230" s="341" t="s">
        <v>498</v>
      </c>
      <c r="P230" s="341"/>
      <c r="Q230" s="341"/>
      <c r="R230" s="341"/>
      <c r="S230" s="340"/>
      <c r="T230" s="68"/>
      <c r="U230" s="68"/>
      <c r="V230" s="340"/>
      <c r="W230" s="340"/>
      <c r="X230" s="334"/>
      <c r="Y230" s="215"/>
      <c r="Z230" s="101"/>
      <c r="AA230" s="348"/>
      <c r="AB230" s="340" t="s">
        <v>499</v>
      </c>
      <c r="AC230" s="340"/>
      <c r="AD230" s="340">
        <v>300000</v>
      </c>
      <c r="AE230" s="71" t="s">
        <v>448</v>
      </c>
      <c r="AF230" s="5"/>
    </row>
    <row r="231" spans="1:32" s="15" customFormat="1" ht="21" customHeight="1">
      <c r="A231" s="58"/>
      <c r="B231" s="58"/>
      <c r="C231" s="58"/>
      <c r="D231" s="307"/>
      <c r="E231" s="174"/>
      <c r="F231" s="174"/>
      <c r="G231" s="174"/>
      <c r="H231" s="174"/>
      <c r="I231" s="174"/>
      <c r="J231" s="174"/>
      <c r="K231" s="174"/>
      <c r="L231" s="174"/>
      <c r="M231" s="174"/>
      <c r="N231" s="96"/>
      <c r="O231" s="355" t="s">
        <v>578</v>
      </c>
      <c r="P231" s="63"/>
      <c r="Q231" s="63"/>
      <c r="R231" s="63"/>
      <c r="S231" s="64"/>
      <c r="T231" s="64"/>
      <c r="U231" s="63"/>
      <c r="V231" s="64"/>
      <c r="W231" s="64"/>
      <c r="X231" s="63"/>
      <c r="Y231" s="215"/>
      <c r="Z231" s="101"/>
      <c r="AA231" s="216"/>
      <c r="AB231" s="340" t="s">
        <v>492</v>
      </c>
      <c r="AC231" s="64"/>
      <c r="AD231" s="64">
        <v>150000</v>
      </c>
      <c r="AE231" s="71" t="s">
        <v>217</v>
      </c>
      <c r="AF231" s="5"/>
    </row>
    <row r="232" spans="1:32" s="12" customFormat="1" ht="21" customHeight="1">
      <c r="A232" s="58"/>
      <c r="B232" s="58"/>
      <c r="C232" s="73"/>
      <c r="D232" s="308"/>
      <c r="E232" s="315"/>
      <c r="F232" s="315"/>
      <c r="G232" s="315"/>
      <c r="H232" s="315"/>
      <c r="I232" s="315"/>
      <c r="J232" s="315"/>
      <c r="K232" s="315"/>
      <c r="L232" s="315"/>
      <c r="M232" s="218"/>
      <c r="N232" s="125"/>
      <c r="O232" s="217"/>
      <c r="P232" s="217"/>
      <c r="Q232" s="217"/>
      <c r="R232" s="217"/>
      <c r="S232" s="217"/>
      <c r="T232" s="219"/>
      <c r="U232" s="64"/>
      <c r="V232" s="70"/>
      <c r="W232" s="64"/>
      <c r="X232" s="64"/>
      <c r="Y232" s="64"/>
      <c r="Z232" s="64"/>
      <c r="AA232" s="64"/>
      <c r="AB232" s="64"/>
      <c r="AC232" s="64"/>
      <c r="AD232" s="64"/>
      <c r="AE232" s="71"/>
      <c r="AF232" s="1"/>
    </row>
    <row r="233" spans="1:32" s="12" customFormat="1" ht="21" customHeight="1">
      <c r="A233" s="58"/>
      <c r="B233" s="58"/>
      <c r="C233" s="58" t="s">
        <v>263</v>
      </c>
      <c r="D233" s="211">
        <v>24720</v>
      </c>
      <c r="E233" s="174">
        <f>ROUND(AD233/1000,0)</f>
        <v>26040</v>
      </c>
      <c r="F233" s="174">
        <v>21000</v>
      </c>
      <c r="G233" s="174">
        <v>0</v>
      </c>
      <c r="H233" s="174">
        <v>0</v>
      </c>
      <c r="I233" s="174">
        <v>4720</v>
      </c>
      <c r="J233" s="174">
        <v>0</v>
      </c>
      <c r="K233" s="174">
        <v>0</v>
      </c>
      <c r="L233" s="174">
        <v>320</v>
      </c>
      <c r="M233" s="174">
        <f>E233-D233</f>
        <v>1320</v>
      </c>
      <c r="N233" s="96">
        <f>IF(D233=0,0,M233/D233)</f>
        <v>5.3398058252427182E-2</v>
      </c>
      <c r="O233" s="160" t="s">
        <v>272</v>
      </c>
      <c r="P233" s="156"/>
      <c r="Q233" s="156"/>
      <c r="R233" s="156"/>
      <c r="S233" s="156"/>
      <c r="T233" s="131"/>
      <c r="U233" s="131"/>
      <c r="V233" s="131"/>
      <c r="W233" s="131"/>
      <c r="X233" s="131"/>
      <c r="Y233" s="331" t="s">
        <v>521</v>
      </c>
      <c r="Z233" s="331"/>
      <c r="AA233" s="331"/>
      <c r="AB233" s="331"/>
      <c r="AC233" s="333"/>
      <c r="AD233" s="333">
        <f>SUM(AD234:AD236)</f>
        <v>26040000</v>
      </c>
      <c r="AE233" s="332" t="s">
        <v>26</v>
      </c>
      <c r="AF233" s="1"/>
    </row>
    <row r="234" spans="1:32" s="12" customFormat="1" ht="21" customHeight="1">
      <c r="A234" s="58"/>
      <c r="B234" s="58"/>
      <c r="C234" s="58"/>
      <c r="D234" s="307"/>
      <c r="E234" s="174"/>
      <c r="F234" s="174"/>
      <c r="G234" s="174"/>
      <c r="H234" s="174"/>
      <c r="I234" s="174"/>
      <c r="J234" s="174"/>
      <c r="K234" s="174"/>
      <c r="L234" s="174"/>
      <c r="M234" s="174"/>
      <c r="N234" s="96"/>
      <c r="O234" s="303" t="s">
        <v>310</v>
      </c>
      <c r="P234" s="63"/>
      <c r="Q234" s="63"/>
      <c r="R234" s="63"/>
      <c r="S234" s="354">
        <v>1660000</v>
      </c>
      <c r="T234" s="68" t="s">
        <v>62</v>
      </c>
      <c r="U234" s="68" t="s">
        <v>27</v>
      </c>
      <c r="V234" s="354">
        <v>12</v>
      </c>
      <c r="W234" s="354" t="s">
        <v>0</v>
      </c>
      <c r="X234" s="349"/>
      <c r="Y234" s="215"/>
      <c r="Z234" s="101"/>
      <c r="AA234" s="348" t="s">
        <v>58</v>
      </c>
      <c r="AB234" s="354"/>
      <c r="AC234" s="354"/>
      <c r="AD234" s="354">
        <f>S234*V234</f>
        <v>19920000</v>
      </c>
      <c r="AE234" s="71" t="s">
        <v>26</v>
      </c>
      <c r="AF234" s="1"/>
    </row>
    <row r="235" spans="1:32" s="12" customFormat="1" ht="21" customHeight="1">
      <c r="A235" s="58"/>
      <c r="B235" s="58"/>
      <c r="C235" s="58"/>
      <c r="D235" s="307"/>
      <c r="E235" s="174"/>
      <c r="F235" s="174"/>
      <c r="G235" s="174"/>
      <c r="H235" s="174"/>
      <c r="I235" s="174"/>
      <c r="J235" s="174"/>
      <c r="K235" s="174"/>
      <c r="L235" s="174"/>
      <c r="M235" s="174"/>
      <c r="N235" s="96"/>
      <c r="O235" s="197" t="s">
        <v>311</v>
      </c>
      <c r="P235" s="197"/>
      <c r="Q235" s="197"/>
      <c r="R235" s="197"/>
      <c r="S235" s="196">
        <v>500000</v>
      </c>
      <c r="T235" s="68" t="s">
        <v>26</v>
      </c>
      <c r="U235" s="197" t="s">
        <v>27</v>
      </c>
      <c r="V235" s="196">
        <v>12</v>
      </c>
      <c r="W235" s="197" t="s">
        <v>30</v>
      </c>
      <c r="X235" s="196"/>
      <c r="Y235" s="196"/>
      <c r="Z235" s="196"/>
      <c r="AA235" s="196" t="s">
        <v>28</v>
      </c>
      <c r="AB235" s="196"/>
      <c r="AC235" s="196"/>
      <c r="AD235" s="196">
        <f>S235*V235</f>
        <v>6000000</v>
      </c>
      <c r="AE235" s="71" t="s">
        <v>77</v>
      </c>
      <c r="AF235" s="1"/>
    </row>
    <row r="236" spans="1:32" s="12" customFormat="1" ht="21" customHeight="1">
      <c r="A236" s="58"/>
      <c r="B236" s="58"/>
      <c r="C236" s="58"/>
      <c r="D236" s="307"/>
      <c r="E236" s="174"/>
      <c r="F236" s="174"/>
      <c r="G236" s="174"/>
      <c r="H236" s="174"/>
      <c r="I236" s="174"/>
      <c r="J236" s="174"/>
      <c r="K236" s="174"/>
      <c r="L236" s="174"/>
      <c r="M236" s="174"/>
      <c r="N236" s="96"/>
      <c r="O236" s="355" t="s">
        <v>579</v>
      </c>
      <c r="P236" s="355"/>
      <c r="Q236" s="355"/>
      <c r="R236" s="355"/>
      <c r="S236" s="354">
        <v>10000</v>
      </c>
      <c r="T236" s="68" t="s">
        <v>26</v>
      </c>
      <c r="U236" s="355" t="s">
        <v>27</v>
      </c>
      <c r="V236" s="354">
        <v>12</v>
      </c>
      <c r="W236" s="355" t="s">
        <v>30</v>
      </c>
      <c r="X236" s="354"/>
      <c r="Y236" s="354"/>
      <c r="Z236" s="354"/>
      <c r="AA236" s="354" t="s">
        <v>28</v>
      </c>
      <c r="AB236" s="354"/>
      <c r="AC236" s="354"/>
      <c r="AD236" s="354">
        <f>S236*V236</f>
        <v>120000</v>
      </c>
      <c r="AE236" s="71" t="s">
        <v>62</v>
      </c>
      <c r="AF236" s="1"/>
    </row>
    <row r="237" spans="1:32" s="12" customFormat="1" ht="21" customHeight="1">
      <c r="A237" s="58"/>
      <c r="B237" s="58"/>
      <c r="C237" s="58"/>
      <c r="D237" s="307"/>
      <c r="E237" s="174"/>
      <c r="F237" s="174"/>
      <c r="G237" s="174"/>
      <c r="H237" s="174"/>
      <c r="I237" s="174"/>
      <c r="J237" s="174"/>
      <c r="K237" s="174"/>
      <c r="L237" s="174"/>
      <c r="M237" s="174"/>
      <c r="N237" s="96"/>
      <c r="O237" s="63"/>
      <c r="P237" s="63"/>
      <c r="Q237" s="63"/>
      <c r="R237" s="63"/>
      <c r="S237" s="64"/>
      <c r="T237" s="68"/>
      <c r="U237" s="63"/>
      <c r="V237" s="64"/>
      <c r="W237" s="63"/>
      <c r="X237" s="64"/>
      <c r="Y237" s="64"/>
      <c r="Z237" s="64"/>
      <c r="AA237" s="64"/>
      <c r="AB237" s="64"/>
      <c r="AC237" s="64"/>
      <c r="AD237" s="64"/>
      <c r="AE237" s="71"/>
      <c r="AF237" s="1"/>
    </row>
    <row r="238" spans="1:32" s="12" customFormat="1" ht="21" customHeight="1">
      <c r="A238" s="58"/>
      <c r="B238" s="48" t="s">
        <v>273</v>
      </c>
      <c r="C238" s="326" t="s">
        <v>557</v>
      </c>
      <c r="D238" s="327">
        <v>91418</v>
      </c>
      <c r="E238" s="328">
        <f>E239</f>
        <v>92318</v>
      </c>
      <c r="F238" s="328">
        <f t="shared" ref="F238:L238" si="12">F239</f>
        <v>0</v>
      </c>
      <c r="G238" s="328">
        <f t="shared" si="12"/>
        <v>11490</v>
      </c>
      <c r="H238" s="328">
        <f t="shared" si="12"/>
        <v>0</v>
      </c>
      <c r="I238" s="328">
        <f t="shared" si="12"/>
        <v>29155</v>
      </c>
      <c r="J238" s="328">
        <f t="shared" si="12"/>
        <v>31673</v>
      </c>
      <c r="K238" s="328">
        <f t="shared" si="12"/>
        <v>20000</v>
      </c>
      <c r="L238" s="328">
        <f t="shared" si="12"/>
        <v>0</v>
      </c>
      <c r="M238" s="328">
        <f>E238-D238</f>
        <v>900</v>
      </c>
      <c r="N238" s="329">
        <f>IF(D238=0,0,M238/D238)</f>
        <v>9.8448883152114468E-3</v>
      </c>
      <c r="O238" s="330"/>
      <c r="P238" s="330"/>
      <c r="Q238" s="330"/>
      <c r="R238" s="330"/>
      <c r="S238" s="330"/>
      <c r="T238" s="331"/>
      <c r="U238" s="331"/>
      <c r="V238" s="331"/>
      <c r="W238" s="331"/>
      <c r="X238" s="331"/>
      <c r="Y238" s="331" t="s">
        <v>29</v>
      </c>
      <c r="Z238" s="331"/>
      <c r="AA238" s="331"/>
      <c r="AB238" s="331"/>
      <c r="AC238" s="333"/>
      <c r="AD238" s="333">
        <f>AD239</f>
        <v>92318000</v>
      </c>
      <c r="AE238" s="332" t="s">
        <v>26</v>
      </c>
      <c r="AF238" s="1"/>
    </row>
    <row r="239" spans="1:32" s="12" customFormat="1" ht="26.25" customHeight="1">
      <c r="A239" s="58"/>
      <c r="B239" s="58" t="s">
        <v>446</v>
      </c>
      <c r="C239" s="58" t="s">
        <v>445</v>
      </c>
      <c r="D239" s="307">
        <v>91418</v>
      </c>
      <c r="E239" s="179">
        <f>AD239/1000</f>
        <v>92318</v>
      </c>
      <c r="F239" s="179">
        <f>ROUND(SUM(AD240),-3)/1000</f>
        <v>0</v>
      </c>
      <c r="G239" s="179">
        <v>11490</v>
      </c>
      <c r="H239" s="179">
        <v>0</v>
      </c>
      <c r="I239" s="179">
        <v>29155</v>
      </c>
      <c r="J239" s="179">
        <v>31673</v>
      </c>
      <c r="K239" s="179">
        <v>20000</v>
      </c>
      <c r="L239" s="179">
        <v>0</v>
      </c>
      <c r="M239" s="179">
        <f>E239-D239</f>
        <v>900</v>
      </c>
      <c r="N239" s="187">
        <f>IF(D239=0,0,M239/D239)</f>
        <v>9.8448883152114468E-3</v>
      </c>
      <c r="O239" s="162" t="s">
        <v>447</v>
      </c>
      <c r="P239" s="182"/>
      <c r="Q239" s="44"/>
      <c r="R239" s="36"/>
      <c r="S239" s="36"/>
      <c r="T239" s="36"/>
      <c r="U239" s="36"/>
      <c r="V239" s="36"/>
      <c r="W239" s="358"/>
      <c r="X239" s="358"/>
      <c r="Y239" s="331" t="s">
        <v>521</v>
      </c>
      <c r="Z239" s="163"/>
      <c r="AA239" s="163"/>
      <c r="AB239" s="163"/>
      <c r="AC239" s="184"/>
      <c r="AD239" s="184">
        <f>SUM(AD241,AD245,AD252,AD259,AD266,AD273,AD281,AD285,AD291,AD299,AD303)</f>
        <v>92318000</v>
      </c>
      <c r="AE239" s="185" t="s">
        <v>26</v>
      </c>
      <c r="AF239" s="1"/>
    </row>
    <row r="240" spans="1:32" s="16" customFormat="1" ht="24" customHeight="1">
      <c r="A240" s="58"/>
      <c r="B240" s="58"/>
      <c r="C240" s="58" t="s">
        <v>446</v>
      </c>
      <c r="D240" s="310"/>
      <c r="E240" s="174"/>
      <c r="F240" s="174"/>
      <c r="G240" s="174"/>
      <c r="H240" s="174"/>
      <c r="I240" s="174"/>
      <c r="J240" s="174"/>
      <c r="K240" s="174"/>
      <c r="L240" s="174"/>
      <c r="M240" s="174"/>
      <c r="N240" s="96"/>
      <c r="O240" s="341"/>
      <c r="P240" s="63"/>
      <c r="Q240" s="63"/>
      <c r="R240" s="63"/>
      <c r="S240" s="63"/>
      <c r="T240" s="64"/>
      <c r="U240" s="64"/>
      <c r="V240" s="64"/>
      <c r="W240" s="64"/>
      <c r="X240" s="64"/>
      <c r="Y240" s="220"/>
      <c r="Z240" s="220"/>
      <c r="AA240" s="220"/>
      <c r="AB240" s="220"/>
      <c r="AC240" s="221"/>
      <c r="AD240" s="221"/>
      <c r="AE240" s="71"/>
      <c r="AF240" s="17"/>
    </row>
    <row r="241" spans="1:33" s="16" customFormat="1" ht="24" customHeight="1">
      <c r="A241" s="58"/>
      <c r="B241" s="58"/>
      <c r="C241" s="58"/>
      <c r="D241" s="310"/>
      <c r="E241" s="174"/>
      <c r="F241" s="174"/>
      <c r="G241" s="174"/>
      <c r="H241" s="174"/>
      <c r="I241" s="174"/>
      <c r="J241" s="174"/>
      <c r="K241" s="174"/>
      <c r="L241" s="174"/>
      <c r="M241" s="174"/>
      <c r="N241" s="96"/>
      <c r="O241" s="97" t="s">
        <v>449</v>
      </c>
      <c r="P241" s="337"/>
      <c r="Q241" s="341"/>
      <c r="R241" s="341"/>
      <c r="S241" s="341"/>
      <c r="T241" s="340"/>
      <c r="U241" s="340"/>
      <c r="V241" s="340"/>
      <c r="W241" s="336" t="s">
        <v>479</v>
      </c>
      <c r="X241" s="336"/>
      <c r="Y241" s="336"/>
      <c r="Z241" s="336"/>
      <c r="AA241" s="336"/>
      <c r="AB241" s="336"/>
      <c r="AC241" s="98"/>
      <c r="AD241" s="98">
        <f>SUM(AD242:AD243)</f>
        <v>850000</v>
      </c>
      <c r="AE241" s="99" t="s">
        <v>26</v>
      </c>
      <c r="AF241" s="17"/>
    </row>
    <row r="242" spans="1:33" s="16" customFormat="1" ht="24" customHeight="1">
      <c r="A242" s="58"/>
      <c r="B242" s="58"/>
      <c r="C242" s="58"/>
      <c r="D242" s="310"/>
      <c r="E242" s="174"/>
      <c r="F242" s="174"/>
      <c r="G242" s="174"/>
      <c r="H242" s="174"/>
      <c r="I242" s="174"/>
      <c r="J242" s="174"/>
      <c r="K242" s="174"/>
      <c r="L242" s="174"/>
      <c r="M242" s="174"/>
      <c r="N242" s="96"/>
      <c r="O242" s="355" t="s">
        <v>596</v>
      </c>
      <c r="P242" s="341"/>
      <c r="Q242" s="341"/>
      <c r="R242" s="341"/>
      <c r="S242" s="341"/>
      <c r="T242" s="340"/>
      <c r="U242" s="340"/>
      <c r="V242" s="340"/>
      <c r="W242" s="340"/>
      <c r="X242" s="340"/>
      <c r="Y242" s="220"/>
      <c r="Z242" s="220"/>
      <c r="AA242" s="220"/>
      <c r="AB242" s="220"/>
      <c r="AC242" s="221"/>
      <c r="AD242" s="221">
        <v>500000</v>
      </c>
      <c r="AE242" s="71" t="s">
        <v>448</v>
      </c>
      <c r="AF242" s="17"/>
    </row>
    <row r="243" spans="1:33" s="16" customFormat="1" ht="24" customHeight="1">
      <c r="A243" s="58"/>
      <c r="B243" s="58"/>
      <c r="C243" s="58"/>
      <c r="D243" s="307"/>
      <c r="E243" s="174"/>
      <c r="F243" s="174"/>
      <c r="G243" s="174"/>
      <c r="H243" s="174"/>
      <c r="I243" s="174"/>
      <c r="J243" s="174"/>
      <c r="K243" s="174"/>
      <c r="L243" s="174"/>
      <c r="M243" s="174"/>
      <c r="N243" s="96"/>
      <c r="O243" s="355" t="s">
        <v>580</v>
      </c>
      <c r="P243" s="63"/>
      <c r="Q243" s="63"/>
      <c r="R243" s="63"/>
      <c r="S243" s="64"/>
      <c r="T243" s="64"/>
      <c r="U243" s="63"/>
      <c r="V243" s="64"/>
      <c r="W243" s="64"/>
      <c r="X243" s="64"/>
      <c r="Y243" s="64"/>
      <c r="Z243" s="64"/>
      <c r="AA243" s="64"/>
      <c r="AB243" s="196"/>
      <c r="AC243" s="64"/>
      <c r="AD243" s="64">
        <v>350000</v>
      </c>
      <c r="AE243" s="71" t="s">
        <v>26</v>
      </c>
      <c r="AF243" s="17"/>
    </row>
    <row r="244" spans="1:33" s="16" customFormat="1" ht="24" customHeight="1">
      <c r="A244" s="58"/>
      <c r="B244" s="58"/>
      <c r="C244" s="58"/>
      <c r="D244" s="307"/>
      <c r="E244" s="174"/>
      <c r="F244" s="174"/>
      <c r="G244" s="174"/>
      <c r="H244" s="174"/>
      <c r="I244" s="174"/>
      <c r="J244" s="174"/>
      <c r="K244" s="174"/>
      <c r="L244" s="174"/>
      <c r="M244" s="174"/>
      <c r="N244" s="96"/>
      <c r="O244" s="197"/>
      <c r="P244" s="197"/>
      <c r="Q244" s="197"/>
      <c r="R244" s="197"/>
      <c r="S244" s="196"/>
      <c r="T244" s="196"/>
      <c r="U244" s="197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71"/>
      <c r="AF244" s="17"/>
    </row>
    <row r="245" spans="1:33" s="16" customFormat="1" ht="24" customHeight="1">
      <c r="A245" s="58"/>
      <c r="B245" s="58"/>
      <c r="C245" s="58"/>
      <c r="D245" s="307"/>
      <c r="E245" s="174"/>
      <c r="F245" s="174"/>
      <c r="G245" s="174"/>
      <c r="H245" s="174"/>
      <c r="I245" s="174"/>
      <c r="J245" s="174"/>
      <c r="K245" s="174"/>
      <c r="L245" s="174"/>
      <c r="M245" s="174"/>
      <c r="N245" s="96"/>
      <c r="O245" s="97" t="s">
        <v>451</v>
      </c>
      <c r="P245" s="182"/>
      <c r="Q245" s="343"/>
      <c r="R245" s="36"/>
      <c r="S245" s="36"/>
      <c r="T245" s="36"/>
      <c r="U245" s="36"/>
      <c r="V245" s="36"/>
      <c r="W245" s="336" t="s">
        <v>479</v>
      </c>
      <c r="X245" s="336"/>
      <c r="Y245" s="336"/>
      <c r="Z245" s="336"/>
      <c r="AA245" s="336"/>
      <c r="AB245" s="336"/>
      <c r="AC245" s="98"/>
      <c r="AD245" s="98">
        <f>SUM(AD246:AD250)</f>
        <v>40625000</v>
      </c>
      <c r="AE245" s="99" t="s">
        <v>26</v>
      </c>
      <c r="AF245" s="17"/>
    </row>
    <row r="246" spans="1:33" s="16" customFormat="1" ht="24" customHeight="1">
      <c r="A246" s="58"/>
      <c r="B246" s="58"/>
      <c r="C246" s="58"/>
      <c r="D246" s="310"/>
      <c r="E246" s="174"/>
      <c r="F246" s="174"/>
      <c r="G246" s="174"/>
      <c r="H246" s="174"/>
      <c r="I246" s="174"/>
      <c r="J246" s="174"/>
      <c r="K246" s="174"/>
      <c r="L246" s="174"/>
      <c r="M246" s="174"/>
      <c r="N246" s="96"/>
      <c r="O246" s="341" t="s">
        <v>443</v>
      </c>
      <c r="P246" s="341"/>
      <c r="Q246" s="341"/>
      <c r="R246" s="341"/>
      <c r="S246" s="341"/>
      <c r="T246" s="340"/>
      <c r="U246" s="340"/>
      <c r="V246" s="340"/>
      <c r="W246" s="340"/>
      <c r="X246" s="340"/>
      <c r="Y246" s="220"/>
      <c r="Z246" s="220"/>
      <c r="AA246" s="220"/>
      <c r="AB246" s="220"/>
      <c r="AC246" s="221"/>
      <c r="AD246" s="221">
        <v>7248000</v>
      </c>
      <c r="AE246" s="71" t="s">
        <v>26</v>
      </c>
      <c r="AF246" s="17"/>
    </row>
    <row r="247" spans="1:33" s="16" customFormat="1" ht="24" customHeight="1">
      <c r="A247" s="58"/>
      <c r="B247" s="58"/>
      <c r="C247" s="58"/>
      <c r="D247" s="310"/>
      <c r="E247" s="174"/>
      <c r="F247" s="174"/>
      <c r="G247" s="174"/>
      <c r="H247" s="174"/>
      <c r="I247" s="174"/>
      <c r="J247" s="174"/>
      <c r="K247" s="174"/>
      <c r="L247" s="174"/>
      <c r="M247" s="174"/>
      <c r="N247" s="96"/>
      <c r="O247" s="341" t="s">
        <v>444</v>
      </c>
      <c r="P247" s="341"/>
      <c r="Q247" s="341"/>
      <c r="R247" s="341"/>
      <c r="S247" s="341"/>
      <c r="T247" s="340"/>
      <c r="U247" s="340"/>
      <c r="V247" s="340"/>
      <c r="W247" s="340"/>
      <c r="X247" s="340"/>
      <c r="Y247" s="220"/>
      <c r="Z247" s="220"/>
      <c r="AA247" s="220"/>
      <c r="AB247" s="220"/>
      <c r="AC247" s="221"/>
      <c r="AD247" s="221">
        <v>3877000</v>
      </c>
      <c r="AE247" s="71" t="s">
        <v>217</v>
      </c>
      <c r="AF247" s="17"/>
      <c r="AG247" s="17"/>
    </row>
    <row r="248" spans="1:33" s="16" customFormat="1" ht="24" customHeight="1">
      <c r="A248" s="58"/>
      <c r="B248" s="58"/>
      <c r="C248" s="58"/>
      <c r="D248" s="310"/>
      <c r="E248" s="174"/>
      <c r="F248" s="174"/>
      <c r="G248" s="174"/>
      <c r="H248" s="174"/>
      <c r="I248" s="174"/>
      <c r="J248" s="174"/>
      <c r="K248" s="174"/>
      <c r="L248" s="174"/>
      <c r="M248" s="174"/>
      <c r="N248" s="96"/>
      <c r="O248" s="355" t="s">
        <v>581</v>
      </c>
      <c r="P248" s="341"/>
      <c r="Q248" s="341"/>
      <c r="R248" s="341"/>
      <c r="S248" s="341"/>
      <c r="T248" s="340"/>
      <c r="U248" s="340"/>
      <c r="V248" s="340"/>
      <c r="W248" s="340"/>
      <c r="X248" s="340"/>
      <c r="Y248" s="220"/>
      <c r="Z248" s="220"/>
      <c r="AA248" s="220"/>
      <c r="AB248" s="220"/>
      <c r="AC248" s="221"/>
      <c r="AD248" s="221">
        <v>5000000</v>
      </c>
      <c r="AE248" s="71" t="s">
        <v>448</v>
      </c>
      <c r="AF248" s="17"/>
      <c r="AG248" s="17"/>
    </row>
    <row r="249" spans="1:33" s="16" customFormat="1" ht="24" customHeight="1">
      <c r="A249" s="58"/>
      <c r="B249" s="58"/>
      <c r="C249" s="58"/>
      <c r="D249" s="310"/>
      <c r="E249" s="174"/>
      <c r="F249" s="174"/>
      <c r="G249" s="174"/>
      <c r="H249" s="174"/>
      <c r="I249" s="174"/>
      <c r="J249" s="174"/>
      <c r="K249" s="174"/>
      <c r="L249" s="174"/>
      <c r="M249" s="174"/>
      <c r="N249" s="96"/>
      <c r="O249" s="378" t="s">
        <v>635</v>
      </c>
      <c r="P249" s="341"/>
      <c r="Q249" s="341"/>
      <c r="R249" s="341"/>
      <c r="S249" s="341"/>
      <c r="T249" s="340"/>
      <c r="U249" s="340"/>
      <c r="V249" s="340"/>
      <c r="W249" s="340"/>
      <c r="X249" s="340"/>
      <c r="Y249" s="220"/>
      <c r="Z249" s="220"/>
      <c r="AA249" s="220"/>
      <c r="AB249" s="220"/>
      <c r="AC249" s="221"/>
      <c r="AD249" s="221">
        <v>4500000</v>
      </c>
      <c r="AE249" s="71" t="s">
        <v>448</v>
      </c>
      <c r="AF249" s="17"/>
      <c r="AG249" s="17"/>
    </row>
    <row r="250" spans="1:33" s="16" customFormat="1" ht="24" customHeight="1">
      <c r="A250" s="58"/>
      <c r="B250" s="58"/>
      <c r="C250" s="58"/>
      <c r="D250" s="310"/>
      <c r="E250" s="174"/>
      <c r="F250" s="174"/>
      <c r="G250" s="174"/>
      <c r="H250" s="174"/>
      <c r="I250" s="174"/>
      <c r="J250" s="174"/>
      <c r="K250" s="174"/>
      <c r="L250" s="174"/>
      <c r="M250" s="174"/>
      <c r="N250" s="96"/>
      <c r="O250" s="361" t="s">
        <v>625</v>
      </c>
      <c r="P250" s="361"/>
      <c r="Q250" s="361"/>
      <c r="R250" s="361"/>
      <c r="S250" s="361"/>
      <c r="T250" s="360"/>
      <c r="U250" s="360"/>
      <c r="V250" s="360"/>
      <c r="W250" s="360"/>
      <c r="X250" s="360"/>
      <c r="Y250" s="220"/>
      <c r="Z250" s="220"/>
      <c r="AA250" s="220"/>
      <c r="AB250" s="220" t="s">
        <v>624</v>
      </c>
      <c r="AC250" s="221"/>
      <c r="AD250" s="221">
        <v>20000000</v>
      </c>
      <c r="AE250" s="71" t="s">
        <v>623</v>
      </c>
      <c r="AF250" s="17"/>
      <c r="AG250" s="17"/>
    </row>
    <row r="251" spans="1:33" s="16" customFormat="1" ht="24" customHeight="1">
      <c r="A251" s="58"/>
      <c r="B251" s="58"/>
      <c r="C251" s="58"/>
      <c r="D251" s="310"/>
      <c r="E251" s="174"/>
      <c r="F251" s="174"/>
      <c r="G251" s="174"/>
      <c r="H251" s="174"/>
      <c r="I251" s="174"/>
      <c r="J251" s="174"/>
      <c r="K251" s="174"/>
      <c r="L251" s="174"/>
      <c r="M251" s="174"/>
      <c r="N251" s="96"/>
      <c r="O251" s="341"/>
      <c r="P251" s="341"/>
      <c r="Q251" s="341"/>
      <c r="R251" s="341"/>
      <c r="S251" s="341"/>
      <c r="T251" s="340"/>
      <c r="U251" s="340"/>
      <c r="V251" s="340"/>
      <c r="W251" s="340"/>
      <c r="X251" s="340"/>
      <c r="Y251" s="220"/>
      <c r="Z251" s="220"/>
      <c r="AA251" s="220"/>
      <c r="AB251" s="220"/>
      <c r="AC251" s="221"/>
      <c r="AD251" s="221"/>
      <c r="AE251" s="71"/>
      <c r="AF251" s="17"/>
      <c r="AG251" s="17"/>
    </row>
    <row r="252" spans="1:33" s="16" customFormat="1" ht="24" customHeight="1">
      <c r="A252" s="58"/>
      <c r="B252" s="58"/>
      <c r="C252" s="58"/>
      <c r="D252" s="310"/>
      <c r="E252" s="174"/>
      <c r="F252" s="174"/>
      <c r="G252" s="174"/>
      <c r="H252" s="174"/>
      <c r="I252" s="174"/>
      <c r="J252" s="174"/>
      <c r="K252" s="174"/>
      <c r="L252" s="174"/>
      <c r="M252" s="174"/>
      <c r="N252" s="96"/>
      <c r="O252" s="97" t="s">
        <v>452</v>
      </c>
      <c r="P252" s="182"/>
      <c r="Q252" s="343"/>
      <c r="R252" s="36"/>
      <c r="S252" s="36"/>
      <c r="T252" s="36"/>
      <c r="U252" s="36"/>
      <c r="V252" s="36"/>
      <c r="W252" s="336" t="s">
        <v>479</v>
      </c>
      <c r="X252" s="336"/>
      <c r="Y252" s="336"/>
      <c r="Z252" s="336"/>
      <c r="AA252" s="336"/>
      <c r="AB252" s="336"/>
      <c r="AC252" s="98"/>
      <c r="AD252" s="98">
        <f>SUM(AD253:AD257)</f>
        <v>2450000</v>
      </c>
      <c r="AE252" s="99" t="s">
        <v>26</v>
      </c>
      <c r="AF252" s="17"/>
      <c r="AG252" s="17"/>
    </row>
    <row r="253" spans="1:33" s="16" customFormat="1" ht="24" customHeight="1">
      <c r="A253" s="58"/>
      <c r="B253" s="58"/>
      <c r="C253" s="58"/>
      <c r="D253" s="307"/>
      <c r="E253" s="174"/>
      <c r="F253" s="174"/>
      <c r="G253" s="174"/>
      <c r="H253" s="174"/>
      <c r="I253" s="174"/>
      <c r="J253" s="174"/>
      <c r="K253" s="174"/>
      <c r="L253" s="174"/>
      <c r="M253" s="174"/>
      <c r="N253" s="96"/>
      <c r="O253" s="341" t="s">
        <v>453</v>
      </c>
      <c r="P253" s="341"/>
      <c r="Q253" s="341"/>
      <c r="R253" s="341"/>
      <c r="S253" s="340"/>
      <c r="T253" s="340"/>
      <c r="U253" s="341"/>
      <c r="V253" s="340"/>
      <c r="W253" s="340"/>
      <c r="X253" s="340"/>
      <c r="Y253" s="340"/>
      <c r="Z253" s="340"/>
      <c r="AA253" s="340"/>
      <c r="AB253" s="340"/>
      <c r="AC253" s="340"/>
      <c r="AD253" s="340">
        <v>250000</v>
      </c>
      <c r="AE253" s="71" t="s">
        <v>26</v>
      </c>
      <c r="AF253" s="17"/>
      <c r="AG253" s="17"/>
    </row>
    <row r="254" spans="1:33" s="16" customFormat="1" ht="24" customHeight="1">
      <c r="A254" s="58"/>
      <c r="B254" s="58"/>
      <c r="C254" s="58"/>
      <c r="D254" s="307"/>
      <c r="E254" s="174"/>
      <c r="F254" s="174"/>
      <c r="G254" s="174"/>
      <c r="H254" s="174"/>
      <c r="I254" s="174"/>
      <c r="J254" s="174"/>
      <c r="K254" s="174"/>
      <c r="L254" s="174"/>
      <c r="M254" s="174"/>
      <c r="N254" s="96"/>
      <c r="O254" s="341" t="s">
        <v>454</v>
      </c>
      <c r="P254" s="63"/>
      <c r="Q254" s="63"/>
      <c r="R254" s="63"/>
      <c r="S254" s="64"/>
      <c r="T254" s="64"/>
      <c r="U254" s="63"/>
      <c r="V254" s="64"/>
      <c r="W254" s="64"/>
      <c r="X254" s="64"/>
      <c r="Y254" s="64"/>
      <c r="Z254" s="64"/>
      <c r="AA254" s="64"/>
      <c r="AB254" s="196"/>
      <c r="AC254" s="64"/>
      <c r="AD254" s="64">
        <v>1000000</v>
      </c>
      <c r="AE254" s="222" t="s">
        <v>214</v>
      </c>
      <c r="AF254" s="17"/>
    </row>
    <row r="255" spans="1:33" s="16" customFormat="1" ht="24" customHeight="1">
      <c r="A255" s="58"/>
      <c r="B255" s="58"/>
      <c r="C255" s="58"/>
      <c r="D255" s="307"/>
      <c r="E255" s="174"/>
      <c r="F255" s="174"/>
      <c r="G255" s="174"/>
      <c r="H255" s="174"/>
      <c r="I255" s="174"/>
      <c r="J255" s="174"/>
      <c r="K255" s="174"/>
      <c r="L255" s="174"/>
      <c r="M255" s="174"/>
      <c r="N255" s="96"/>
      <c r="O255" s="341" t="s">
        <v>455</v>
      </c>
      <c r="P255" s="63"/>
      <c r="Q255" s="63"/>
      <c r="R255" s="63"/>
      <c r="S255" s="63"/>
      <c r="T255" s="64"/>
      <c r="U255" s="64"/>
      <c r="V255" s="64"/>
      <c r="W255" s="64"/>
      <c r="X255" s="64"/>
      <c r="Y255" s="220"/>
      <c r="Z255" s="220"/>
      <c r="AA255" s="220"/>
      <c r="AB255" s="220"/>
      <c r="AC255" s="221"/>
      <c r="AD255" s="64">
        <v>300000</v>
      </c>
      <c r="AE255" s="71" t="s">
        <v>26</v>
      </c>
      <c r="AF255" s="17"/>
    </row>
    <row r="256" spans="1:33" s="16" customFormat="1" ht="24" customHeight="1">
      <c r="A256" s="58"/>
      <c r="B256" s="58"/>
      <c r="C256" s="58"/>
      <c r="D256" s="307"/>
      <c r="E256" s="174"/>
      <c r="F256" s="174"/>
      <c r="G256" s="174"/>
      <c r="H256" s="174"/>
      <c r="I256" s="174"/>
      <c r="J256" s="174"/>
      <c r="K256" s="174"/>
      <c r="L256" s="174"/>
      <c r="M256" s="174"/>
      <c r="N256" s="96"/>
      <c r="O256" s="341" t="s">
        <v>456</v>
      </c>
      <c r="P256" s="63"/>
      <c r="Q256" s="63"/>
      <c r="R256" s="63"/>
      <c r="S256" s="63"/>
      <c r="T256" s="64"/>
      <c r="U256" s="64"/>
      <c r="V256" s="64"/>
      <c r="W256" s="64"/>
      <c r="X256" s="64"/>
      <c r="Y256" s="220"/>
      <c r="Z256" s="220"/>
      <c r="AA256" s="220"/>
      <c r="AB256" s="220"/>
      <c r="AC256" s="221"/>
      <c r="AD256" s="64">
        <v>400000</v>
      </c>
      <c r="AE256" s="71" t="s">
        <v>26</v>
      </c>
      <c r="AF256" s="17"/>
    </row>
    <row r="257" spans="1:32" s="16" customFormat="1" ht="24" customHeight="1">
      <c r="A257" s="58"/>
      <c r="B257" s="58"/>
      <c r="C257" s="58"/>
      <c r="D257" s="307"/>
      <c r="E257" s="174"/>
      <c r="F257" s="174"/>
      <c r="G257" s="174"/>
      <c r="H257" s="174"/>
      <c r="I257" s="174"/>
      <c r="J257" s="174"/>
      <c r="K257" s="174"/>
      <c r="L257" s="174"/>
      <c r="M257" s="174"/>
      <c r="N257" s="96"/>
      <c r="O257" s="341" t="s">
        <v>457</v>
      </c>
      <c r="P257" s="63"/>
      <c r="Q257" s="63"/>
      <c r="R257" s="63"/>
      <c r="S257" s="63"/>
      <c r="T257" s="64"/>
      <c r="U257" s="64"/>
      <c r="V257" s="64"/>
      <c r="W257" s="64"/>
      <c r="X257" s="64"/>
      <c r="Y257" s="220"/>
      <c r="Z257" s="220"/>
      <c r="AA257" s="220"/>
      <c r="AB257" s="220"/>
      <c r="AC257" s="221"/>
      <c r="AD257" s="223">
        <v>500000</v>
      </c>
      <c r="AE257" s="71" t="s">
        <v>26</v>
      </c>
      <c r="AF257" s="17"/>
    </row>
    <row r="258" spans="1:32" s="16" customFormat="1" ht="24" customHeight="1">
      <c r="A258" s="58"/>
      <c r="B258" s="58"/>
      <c r="C258" s="58"/>
      <c r="D258" s="307"/>
      <c r="E258" s="174"/>
      <c r="F258" s="174"/>
      <c r="G258" s="174"/>
      <c r="H258" s="174"/>
      <c r="I258" s="174"/>
      <c r="J258" s="174"/>
      <c r="K258" s="174"/>
      <c r="L258" s="174"/>
      <c r="M258" s="174"/>
      <c r="N258" s="96"/>
      <c r="O258" s="341"/>
      <c r="P258" s="341"/>
      <c r="Q258" s="341"/>
      <c r="R258" s="341"/>
      <c r="S258" s="341"/>
      <c r="T258" s="340"/>
      <c r="U258" s="340"/>
      <c r="V258" s="340"/>
      <c r="W258" s="340"/>
      <c r="X258" s="340"/>
      <c r="Y258" s="220"/>
      <c r="Z258" s="220"/>
      <c r="AA258" s="220"/>
      <c r="AB258" s="220"/>
      <c r="AC258" s="221"/>
      <c r="AD258" s="223"/>
      <c r="AE258" s="71"/>
      <c r="AF258" s="17"/>
    </row>
    <row r="259" spans="1:32" s="16" customFormat="1" ht="24" customHeight="1">
      <c r="A259" s="58"/>
      <c r="B259" s="58"/>
      <c r="C259" s="58"/>
      <c r="D259" s="307"/>
      <c r="E259" s="174"/>
      <c r="F259" s="174"/>
      <c r="G259" s="174"/>
      <c r="H259" s="174"/>
      <c r="I259" s="174"/>
      <c r="J259" s="174"/>
      <c r="K259" s="174"/>
      <c r="L259" s="174"/>
      <c r="M259" s="174"/>
      <c r="N259" s="96"/>
      <c r="O259" s="97" t="s">
        <v>458</v>
      </c>
      <c r="P259" s="182"/>
      <c r="Q259" s="343"/>
      <c r="R259" s="36"/>
      <c r="S259" s="36"/>
      <c r="T259" s="36"/>
      <c r="U259" s="36"/>
      <c r="V259" s="36"/>
      <c r="W259" s="336" t="s">
        <v>479</v>
      </c>
      <c r="X259" s="336"/>
      <c r="Y259" s="336"/>
      <c r="Z259" s="336"/>
      <c r="AA259" s="336"/>
      <c r="AB259" s="336"/>
      <c r="AC259" s="98"/>
      <c r="AD259" s="98">
        <f>SUM(AD260:AD264)</f>
        <v>11573000</v>
      </c>
      <c r="AE259" s="99" t="s">
        <v>26</v>
      </c>
      <c r="AF259" s="17"/>
    </row>
    <row r="260" spans="1:32" s="16" customFormat="1" ht="24" customHeight="1">
      <c r="A260" s="58"/>
      <c r="B260" s="58"/>
      <c r="C260" s="58"/>
      <c r="D260" s="307"/>
      <c r="E260" s="174"/>
      <c r="F260" s="174"/>
      <c r="G260" s="174"/>
      <c r="H260" s="174"/>
      <c r="I260" s="174"/>
      <c r="J260" s="174"/>
      <c r="K260" s="174"/>
      <c r="L260" s="174"/>
      <c r="M260" s="174"/>
      <c r="N260" s="96"/>
      <c r="O260" s="341" t="s">
        <v>485</v>
      </c>
      <c r="P260" s="341"/>
      <c r="Q260" s="341"/>
      <c r="R260" s="341"/>
      <c r="S260" s="341"/>
      <c r="T260" s="340"/>
      <c r="U260" s="340"/>
      <c r="V260" s="340"/>
      <c r="W260" s="340"/>
      <c r="X260" s="340"/>
      <c r="Y260" s="220"/>
      <c r="Z260" s="220"/>
      <c r="AA260" s="220"/>
      <c r="AB260" s="220"/>
      <c r="AC260" s="221"/>
      <c r="AD260" s="223">
        <v>6670000</v>
      </c>
      <c r="AE260" s="71" t="s">
        <v>448</v>
      </c>
      <c r="AF260" s="17"/>
    </row>
    <row r="261" spans="1:32" s="16" customFormat="1" ht="24" customHeight="1">
      <c r="A261" s="58"/>
      <c r="B261" s="58"/>
      <c r="C261" s="58"/>
      <c r="D261" s="307"/>
      <c r="E261" s="174"/>
      <c r="F261" s="174"/>
      <c r="G261" s="174"/>
      <c r="H261" s="174"/>
      <c r="I261" s="174"/>
      <c r="J261" s="174"/>
      <c r="K261" s="174"/>
      <c r="L261" s="174"/>
      <c r="M261" s="174"/>
      <c r="N261" s="96"/>
      <c r="O261" s="224" t="s">
        <v>459</v>
      </c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  <c r="Z261" s="224"/>
      <c r="AA261" s="224"/>
      <c r="AB261" s="224"/>
      <c r="AC261" s="224"/>
      <c r="AD261" s="225">
        <v>385000</v>
      </c>
      <c r="AE261" s="226" t="s">
        <v>217</v>
      </c>
      <c r="AF261" s="17"/>
    </row>
    <row r="262" spans="1:32" s="16" customFormat="1" ht="24" customHeight="1">
      <c r="A262" s="58"/>
      <c r="B262" s="58"/>
      <c r="C262" s="58"/>
      <c r="D262" s="307"/>
      <c r="E262" s="174"/>
      <c r="F262" s="174"/>
      <c r="G262" s="174"/>
      <c r="H262" s="174"/>
      <c r="I262" s="174"/>
      <c r="J262" s="174"/>
      <c r="K262" s="174"/>
      <c r="L262" s="174"/>
      <c r="M262" s="174"/>
      <c r="N262" s="96"/>
      <c r="O262" s="224" t="s">
        <v>460</v>
      </c>
      <c r="P262" s="224"/>
      <c r="Q262" s="224"/>
      <c r="R262" s="224"/>
      <c r="S262" s="224"/>
      <c r="T262" s="224"/>
      <c r="U262" s="224"/>
      <c r="V262" s="224"/>
      <c r="W262" s="224"/>
      <c r="X262" s="224"/>
      <c r="Y262" s="224"/>
      <c r="Z262" s="224"/>
      <c r="AA262" s="224"/>
      <c r="AB262" s="224"/>
      <c r="AC262" s="224"/>
      <c r="AD262" s="225">
        <v>1680000</v>
      </c>
      <c r="AE262" s="226" t="s">
        <v>77</v>
      </c>
      <c r="AF262" s="17"/>
    </row>
    <row r="263" spans="1:32" s="16" customFormat="1" ht="24" customHeight="1">
      <c r="A263" s="58"/>
      <c r="B263" s="58"/>
      <c r="C263" s="58"/>
      <c r="D263" s="307"/>
      <c r="E263" s="174"/>
      <c r="F263" s="174"/>
      <c r="G263" s="174"/>
      <c r="H263" s="174"/>
      <c r="I263" s="174"/>
      <c r="J263" s="174"/>
      <c r="K263" s="174"/>
      <c r="L263" s="174"/>
      <c r="M263" s="174"/>
      <c r="N263" s="96"/>
      <c r="O263" s="224" t="s">
        <v>461</v>
      </c>
      <c r="P263" s="224"/>
      <c r="Q263" s="224"/>
      <c r="R263" s="224"/>
      <c r="S263" s="224"/>
      <c r="T263" s="224"/>
      <c r="U263" s="224"/>
      <c r="V263" s="224"/>
      <c r="W263" s="224"/>
      <c r="X263" s="224"/>
      <c r="Y263" s="224"/>
      <c r="Z263" s="224"/>
      <c r="AA263" s="224"/>
      <c r="AB263" s="224"/>
      <c r="AC263" s="224"/>
      <c r="AD263" s="225">
        <v>188000</v>
      </c>
      <c r="AE263" s="226" t="s">
        <v>77</v>
      </c>
      <c r="AF263" s="17"/>
    </row>
    <row r="264" spans="1:32" s="16" customFormat="1" ht="24" customHeight="1">
      <c r="A264" s="58"/>
      <c r="B264" s="58"/>
      <c r="C264" s="58"/>
      <c r="D264" s="307"/>
      <c r="E264" s="174"/>
      <c r="F264" s="174"/>
      <c r="G264" s="174"/>
      <c r="H264" s="174"/>
      <c r="I264" s="174"/>
      <c r="J264" s="174"/>
      <c r="K264" s="174"/>
      <c r="L264" s="174"/>
      <c r="M264" s="174"/>
      <c r="N264" s="96"/>
      <c r="O264" s="224" t="s">
        <v>462</v>
      </c>
      <c r="P264" s="224"/>
      <c r="Q264" s="224"/>
      <c r="R264" s="224"/>
      <c r="S264" s="340">
        <v>50000</v>
      </c>
      <c r="T264" s="68" t="s">
        <v>214</v>
      </c>
      <c r="U264" s="68" t="s">
        <v>27</v>
      </c>
      <c r="V264" s="340">
        <v>53</v>
      </c>
      <c r="W264" s="341" t="s">
        <v>463</v>
      </c>
      <c r="X264" s="340" t="s">
        <v>28</v>
      </c>
      <c r="Y264" s="224"/>
      <c r="Z264" s="224"/>
      <c r="AA264" s="224"/>
      <c r="AB264" s="224"/>
      <c r="AC264" s="224"/>
      <c r="AD264" s="225">
        <f>S264*V264</f>
        <v>2650000</v>
      </c>
      <c r="AE264" s="226" t="s">
        <v>77</v>
      </c>
      <c r="AF264" s="17"/>
    </row>
    <row r="265" spans="1:32" s="16" customFormat="1" ht="24" customHeight="1">
      <c r="A265" s="58"/>
      <c r="B265" s="58"/>
      <c r="C265" s="58"/>
      <c r="D265" s="307"/>
      <c r="E265" s="174"/>
      <c r="F265" s="174"/>
      <c r="G265" s="174"/>
      <c r="H265" s="174"/>
      <c r="I265" s="174"/>
      <c r="J265" s="174"/>
      <c r="K265" s="174"/>
      <c r="L265" s="174"/>
      <c r="M265" s="174"/>
      <c r="N265" s="96"/>
      <c r="O265" s="224"/>
      <c r="P265" s="224"/>
      <c r="Q265" s="224"/>
      <c r="R265" s="224"/>
      <c r="S265" s="340"/>
      <c r="T265" s="68"/>
      <c r="U265" s="68"/>
      <c r="V265" s="340"/>
      <c r="W265" s="341"/>
      <c r="X265" s="340"/>
      <c r="Y265" s="224"/>
      <c r="Z265" s="224"/>
      <c r="AA265" s="224"/>
      <c r="AB265" s="224"/>
      <c r="AC265" s="224"/>
      <c r="AD265" s="225"/>
      <c r="AE265" s="226"/>
      <c r="AF265" s="17"/>
    </row>
    <row r="266" spans="1:32" s="16" customFormat="1" ht="24" customHeight="1">
      <c r="A266" s="58"/>
      <c r="B266" s="58"/>
      <c r="C266" s="58"/>
      <c r="D266" s="307"/>
      <c r="E266" s="174"/>
      <c r="F266" s="174"/>
      <c r="G266" s="174"/>
      <c r="H266" s="174"/>
      <c r="I266" s="174"/>
      <c r="J266" s="174"/>
      <c r="K266" s="174"/>
      <c r="L266" s="174"/>
      <c r="M266" s="174"/>
      <c r="N266" s="96"/>
      <c r="O266" s="97" t="s">
        <v>464</v>
      </c>
      <c r="P266" s="182"/>
      <c r="Q266" s="343"/>
      <c r="R266" s="36"/>
      <c r="S266" s="36"/>
      <c r="T266" s="36"/>
      <c r="U266" s="36"/>
      <c r="V266" s="36"/>
      <c r="W266" s="336" t="s">
        <v>479</v>
      </c>
      <c r="X266" s="336"/>
      <c r="Y266" s="336"/>
      <c r="Z266" s="336"/>
      <c r="AA266" s="336"/>
      <c r="AB266" s="336"/>
      <c r="AC266" s="98"/>
      <c r="AD266" s="98">
        <f>SUM(AD267:AD271)</f>
        <v>16400000</v>
      </c>
      <c r="AE266" s="99" t="s">
        <v>26</v>
      </c>
      <c r="AF266" s="17"/>
    </row>
    <row r="267" spans="1:32" s="16" customFormat="1" ht="24" customHeight="1">
      <c r="A267" s="58"/>
      <c r="B267" s="58"/>
      <c r="C267" s="58"/>
      <c r="D267" s="307"/>
      <c r="E267" s="174"/>
      <c r="F267" s="174"/>
      <c r="G267" s="174"/>
      <c r="H267" s="174"/>
      <c r="I267" s="174"/>
      <c r="J267" s="174"/>
      <c r="K267" s="174"/>
      <c r="L267" s="174"/>
      <c r="M267" s="174"/>
      <c r="N267" s="96"/>
      <c r="O267" s="224" t="s">
        <v>465</v>
      </c>
      <c r="P267" s="224"/>
      <c r="Q267" s="224"/>
      <c r="R267" s="224"/>
      <c r="S267" s="340"/>
      <c r="T267" s="68"/>
      <c r="U267" s="68"/>
      <c r="V267" s="340"/>
      <c r="W267" s="341"/>
      <c r="X267" s="340"/>
      <c r="Y267" s="224"/>
      <c r="Z267" s="224"/>
      <c r="AA267" s="224"/>
      <c r="AB267" s="224"/>
      <c r="AC267" s="224"/>
      <c r="AD267" s="225">
        <v>2000000</v>
      </c>
      <c r="AE267" s="226" t="s">
        <v>448</v>
      </c>
      <c r="AF267" s="17"/>
    </row>
    <row r="268" spans="1:32" s="16" customFormat="1" ht="24" customHeight="1">
      <c r="A268" s="58"/>
      <c r="B268" s="58"/>
      <c r="C268" s="58"/>
      <c r="D268" s="307"/>
      <c r="E268" s="174"/>
      <c r="F268" s="174"/>
      <c r="G268" s="174"/>
      <c r="H268" s="174"/>
      <c r="I268" s="174"/>
      <c r="J268" s="174"/>
      <c r="K268" s="174"/>
      <c r="L268" s="174"/>
      <c r="M268" s="174"/>
      <c r="N268" s="96"/>
      <c r="O268" s="224" t="s">
        <v>466</v>
      </c>
      <c r="P268" s="224"/>
      <c r="Q268" s="224"/>
      <c r="R268" s="224"/>
      <c r="S268" s="224"/>
      <c r="T268" s="224"/>
      <c r="U268" s="224"/>
      <c r="V268" s="224"/>
      <c r="W268" s="224"/>
      <c r="X268" s="224"/>
      <c r="Y268" s="224"/>
      <c r="Z268" s="224"/>
      <c r="AA268" s="224"/>
      <c r="AB268" s="224"/>
      <c r="AC268" s="224"/>
      <c r="AD268" s="225">
        <v>4800000</v>
      </c>
      <c r="AE268" s="226" t="s">
        <v>77</v>
      </c>
      <c r="AF268" s="17"/>
    </row>
    <row r="269" spans="1:32" s="16" customFormat="1" ht="24" customHeight="1">
      <c r="A269" s="58"/>
      <c r="B269" s="58"/>
      <c r="C269" s="58"/>
      <c r="D269" s="307"/>
      <c r="E269" s="174"/>
      <c r="F269" s="174"/>
      <c r="G269" s="174"/>
      <c r="H269" s="174"/>
      <c r="I269" s="174"/>
      <c r="J269" s="174"/>
      <c r="K269" s="174"/>
      <c r="L269" s="174"/>
      <c r="M269" s="174"/>
      <c r="N269" s="96"/>
      <c r="O269" s="224" t="s">
        <v>467</v>
      </c>
      <c r="P269" s="224"/>
      <c r="Q269" s="224"/>
      <c r="R269" s="224"/>
      <c r="S269" s="224"/>
      <c r="T269" s="224"/>
      <c r="U269" s="224"/>
      <c r="V269" s="224"/>
      <c r="W269" s="224"/>
      <c r="X269" s="224"/>
      <c r="Y269" s="224"/>
      <c r="Z269" s="224"/>
      <c r="AA269" s="224"/>
      <c r="AB269" s="224"/>
      <c r="AC269" s="224"/>
      <c r="AD269" s="225">
        <v>4800000</v>
      </c>
      <c r="AE269" s="226" t="s">
        <v>77</v>
      </c>
      <c r="AF269" s="17"/>
    </row>
    <row r="270" spans="1:32" s="16" customFormat="1" ht="24" customHeight="1">
      <c r="A270" s="58"/>
      <c r="B270" s="58"/>
      <c r="C270" s="58"/>
      <c r="D270" s="307"/>
      <c r="E270" s="174"/>
      <c r="F270" s="174"/>
      <c r="G270" s="174"/>
      <c r="H270" s="174"/>
      <c r="I270" s="174"/>
      <c r="J270" s="174"/>
      <c r="K270" s="174"/>
      <c r="L270" s="174"/>
      <c r="M270" s="174"/>
      <c r="N270" s="96"/>
      <c r="O270" s="224" t="s">
        <v>468</v>
      </c>
      <c r="P270" s="224"/>
      <c r="Q270" s="224"/>
      <c r="R270" s="224"/>
      <c r="S270" s="224"/>
      <c r="T270" s="224"/>
      <c r="U270" s="224"/>
      <c r="V270" s="224"/>
      <c r="W270" s="224"/>
      <c r="X270" s="224"/>
      <c r="Y270" s="224"/>
      <c r="Z270" s="224"/>
      <c r="AA270" s="224"/>
      <c r="AB270" s="224"/>
      <c r="AC270" s="224"/>
      <c r="AD270" s="225">
        <v>3200000</v>
      </c>
      <c r="AE270" s="226" t="s">
        <v>77</v>
      </c>
      <c r="AF270" s="17"/>
    </row>
    <row r="271" spans="1:32" s="16" customFormat="1" ht="24" customHeight="1">
      <c r="A271" s="58"/>
      <c r="B271" s="58"/>
      <c r="C271" s="58"/>
      <c r="D271" s="307"/>
      <c r="E271" s="174"/>
      <c r="F271" s="174"/>
      <c r="G271" s="174"/>
      <c r="H271" s="174"/>
      <c r="I271" s="174"/>
      <c r="J271" s="174"/>
      <c r="K271" s="174"/>
      <c r="L271" s="174"/>
      <c r="M271" s="174"/>
      <c r="N271" s="96"/>
      <c r="O271" s="224" t="s">
        <v>469</v>
      </c>
      <c r="P271" s="224"/>
      <c r="Q271" s="224"/>
      <c r="R271" s="224"/>
      <c r="S271" s="224"/>
      <c r="T271" s="224"/>
      <c r="U271" s="224"/>
      <c r="V271" s="224"/>
      <c r="W271" s="224"/>
      <c r="X271" s="224"/>
      <c r="Y271" s="224"/>
      <c r="Z271" s="224"/>
      <c r="AA271" s="224"/>
      <c r="AB271" s="224"/>
      <c r="AC271" s="224"/>
      <c r="AD271" s="225">
        <v>1600000</v>
      </c>
      <c r="AE271" s="226" t="s">
        <v>77</v>
      </c>
      <c r="AF271" s="17"/>
    </row>
    <row r="272" spans="1:32" s="16" customFormat="1" ht="24" customHeight="1">
      <c r="A272" s="58"/>
      <c r="B272" s="58"/>
      <c r="C272" s="58"/>
      <c r="D272" s="307"/>
      <c r="E272" s="174"/>
      <c r="F272" s="174"/>
      <c r="G272" s="174"/>
      <c r="H272" s="174"/>
      <c r="I272" s="174"/>
      <c r="J272" s="174"/>
      <c r="K272" s="174"/>
      <c r="L272" s="174"/>
      <c r="M272" s="174"/>
      <c r="N272" s="96"/>
      <c r="O272" s="224"/>
      <c r="P272" s="224"/>
      <c r="Q272" s="224"/>
      <c r="R272" s="224"/>
      <c r="S272" s="224"/>
      <c r="T272" s="224"/>
      <c r="U272" s="224"/>
      <c r="V272" s="224"/>
      <c r="W272" s="224"/>
      <c r="X272" s="224"/>
      <c r="Y272" s="224"/>
      <c r="Z272" s="224"/>
      <c r="AA272" s="224"/>
      <c r="AB272" s="224"/>
      <c r="AC272" s="224"/>
      <c r="AD272" s="225"/>
      <c r="AE272" s="226"/>
      <c r="AF272" s="17"/>
    </row>
    <row r="273" spans="1:32" s="16" customFormat="1" ht="24" customHeight="1">
      <c r="A273" s="58"/>
      <c r="B273" s="58"/>
      <c r="C273" s="58"/>
      <c r="D273" s="307"/>
      <c r="E273" s="174"/>
      <c r="F273" s="174"/>
      <c r="G273" s="174"/>
      <c r="H273" s="174"/>
      <c r="I273" s="174"/>
      <c r="J273" s="174"/>
      <c r="K273" s="174"/>
      <c r="L273" s="174"/>
      <c r="M273" s="174"/>
      <c r="N273" s="96"/>
      <c r="O273" s="97" t="s">
        <v>470</v>
      </c>
      <c r="P273" s="182"/>
      <c r="Q273" s="343"/>
      <c r="R273" s="36"/>
      <c r="S273" s="36"/>
      <c r="T273" s="36"/>
      <c r="U273" s="36"/>
      <c r="V273" s="36"/>
      <c r="W273" s="336" t="s">
        <v>479</v>
      </c>
      <c r="X273" s="336"/>
      <c r="Y273" s="336"/>
      <c r="Z273" s="336"/>
      <c r="AA273" s="336"/>
      <c r="AB273" s="336"/>
      <c r="AC273" s="98"/>
      <c r="AD273" s="98">
        <f>SUM(AD274:AD279)</f>
        <v>4450000</v>
      </c>
      <c r="AE273" s="99" t="s">
        <v>26</v>
      </c>
      <c r="AF273" s="17"/>
    </row>
    <row r="274" spans="1:32" s="16" customFormat="1" ht="24" customHeight="1">
      <c r="A274" s="58"/>
      <c r="B274" s="58"/>
      <c r="C274" s="58"/>
      <c r="D274" s="307"/>
      <c r="E274" s="174"/>
      <c r="F274" s="174"/>
      <c r="G274" s="174"/>
      <c r="H274" s="174"/>
      <c r="I274" s="174"/>
      <c r="J274" s="174"/>
      <c r="K274" s="174"/>
      <c r="L274" s="174"/>
      <c r="M274" s="174"/>
      <c r="N274" s="96"/>
      <c r="O274" s="224" t="s">
        <v>471</v>
      </c>
      <c r="P274" s="224"/>
      <c r="Q274" s="224"/>
      <c r="R274" s="224"/>
      <c r="S274" s="224"/>
      <c r="T274" s="224"/>
      <c r="U274" s="224"/>
      <c r="V274" s="224"/>
      <c r="W274" s="224"/>
      <c r="X274" s="224"/>
      <c r="Y274" s="224"/>
      <c r="Z274" s="224"/>
      <c r="AA274" s="224"/>
      <c r="AB274" s="224"/>
      <c r="AC274" s="224"/>
      <c r="AD274" s="225">
        <v>350000</v>
      </c>
      <c r="AE274" s="226" t="s">
        <v>448</v>
      </c>
      <c r="AF274" s="17"/>
    </row>
    <row r="275" spans="1:32" s="16" customFormat="1" ht="24" customHeight="1">
      <c r="A275" s="58"/>
      <c r="B275" s="58"/>
      <c r="C275" s="58"/>
      <c r="D275" s="307"/>
      <c r="E275" s="174"/>
      <c r="F275" s="174"/>
      <c r="G275" s="174"/>
      <c r="H275" s="174"/>
      <c r="I275" s="174"/>
      <c r="J275" s="174"/>
      <c r="K275" s="174"/>
      <c r="L275" s="174"/>
      <c r="M275" s="174"/>
      <c r="N275" s="96"/>
      <c r="O275" s="224" t="s">
        <v>472</v>
      </c>
      <c r="P275" s="224"/>
      <c r="Q275" s="224"/>
      <c r="R275" s="224"/>
      <c r="S275" s="224"/>
      <c r="T275" s="224"/>
      <c r="U275" s="224"/>
      <c r="V275" s="224"/>
      <c r="W275" s="224"/>
      <c r="X275" s="224"/>
      <c r="Y275" s="224"/>
      <c r="Z275" s="224"/>
      <c r="AA275" s="224"/>
      <c r="AB275" s="224"/>
      <c r="AC275" s="224"/>
      <c r="AD275" s="225">
        <v>300000</v>
      </c>
      <c r="AE275" s="226" t="s">
        <v>77</v>
      </c>
      <c r="AF275" s="17"/>
    </row>
    <row r="276" spans="1:32" s="16" customFormat="1" ht="24" customHeight="1">
      <c r="A276" s="58"/>
      <c r="B276" s="58"/>
      <c r="C276" s="58"/>
      <c r="D276" s="307"/>
      <c r="E276" s="174"/>
      <c r="F276" s="174"/>
      <c r="G276" s="174"/>
      <c r="H276" s="174"/>
      <c r="I276" s="174"/>
      <c r="J276" s="174"/>
      <c r="K276" s="174"/>
      <c r="L276" s="174"/>
      <c r="M276" s="174"/>
      <c r="N276" s="96"/>
      <c r="O276" s="224" t="s">
        <v>473</v>
      </c>
      <c r="P276" s="224"/>
      <c r="Q276" s="224"/>
      <c r="R276" s="224"/>
      <c r="S276" s="224"/>
      <c r="T276" s="224"/>
      <c r="U276" s="224"/>
      <c r="V276" s="224"/>
      <c r="W276" s="224"/>
      <c r="X276" s="224"/>
      <c r="Y276" s="224"/>
      <c r="Z276" s="224"/>
      <c r="AA276" s="224"/>
      <c r="AB276" s="224"/>
      <c r="AC276" s="224"/>
      <c r="AD276" s="225">
        <v>100000</v>
      </c>
      <c r="AE276" s="226" t="s">
        <v>77</v>
      </c>
      <c r="AF276" s="17"/>
    </row>
    <row r="277" spans="1:32" s="16" customFormat="1" ht="24" customHeight="1">
      <c r="A277" s="58"/>
      <c r="B277" s="58"/>
      <c r="C277" s="58"/>
      <c r="D277" s="307"/>
      <c r="E277" s="174"/>
      <c r="F277" s="174"/>
      <c r="G277" s="174"/>
      <c r="H277" s="174"/>
      <c r="I277" s="174"/>
      <c r="J277" s="174"/>
      <c r="K277" s="174"/>
      <c r="L277" s="174"/>
      <c r="M277" s="174"/>
      <c r="N277" s="96"/>
      <c r="O277" s="224" t="s">
        <v>474</v>
      </c>
      <c r="P277" s="224"/>
      <c r="Q277" s="224"/>
      <c r="R277" s="224"/>
      <c r="S277" s="224"/>
      <c r="T277" s="224"/>
      <c r="U277" s="224"/>
      <c r="V277" s="224"/>
      <c r="W277" s="224"/>
      <c r="X277" s="224"/>
      <c r="Y277" s="224"/>
      <c r="Z277" s="224"/>
      <c r="AA277" s="224"/>
      <c r="AB277" s="224"/>
      <c r="AC277" s="224"/>
      <c r="AD277" s="225">
        <v>1500000</v>
      </c>
      <c r="AE277" s="226" t="s">
        <v>77</v>
      </c>
      <c r="AF277" s="17"/>
    </row>
    <row r="278" spans="1:32" s="16" customFormat="1" ht="24" customHeight="1">
      <c r="A278" s="58"/>
      <c r="B278" s="58"/>
      <c r="C278" s="58"/>
      <c r="D278" s="307"/>
      <c r="E278" s="174"/>
      <c r="F278" s="174"/>
      <c r="G278" s="174"/>
      <c r="H278" s="174"/>
      <c r="I278" s="174"/>
      <c r="J278" s="174"/>
      <c r="K278" s="174"/>
      <c r="L278" s="174"/>
      <c r="M278" s="174"/>
      <c r="N278" s="96"/>
      <c r="O278" s="224" t="s">
        <v>582</v>
      </c>
      <c r="P278" s="224"/>
      <c r="Q278" s="224"/>
      <c r="R278" s="224"/>
      <c r="S278" s="224"/>
      <c r="T278" s="224"/>
      <c r="U278" s="224"/>
      <c r="V278" s="224"/>
      <c r="W278" s="224"/>
      <c r="X278" s="224"/>
      <c r="Y278" s="224"/>
      <c r="Z278" s="224"/>
      <c r="AA278" s="224"/>
      <c r="AB278" s="224"/>
      <c r="AC278" s="224"/>
      <c r="AD278" s="225">
        <v>2000000</v>
      </c>
      <c r="AE278" s="226" t="s">
        <v>510</v>
      </c>
      <c r="AF278" s="17"/>
    </row>
    <row r="279" spans="1:32" s="16" customFormat="1" ht="24" customHeight="1">
      <c r="A279" s="58"/>
      <c r="B279" s="58"/>
      <c r="C279" s="58"/>
      <c r="D279" s="307"/>
      <c r="E279" s="174"/>
      <c r="F279" s="174"/>
      <c r="G279" s="174"/>
      <c r="H279" s="174"/>
      <c r="I279" s="174"/>
      <c r="J279" s="174"/>
      <c r="K279" s="174"/>
      <c r="L279" s="174"/>
      <c r="M279" s="174"/>
      <c r="N279" s="96"/>
      <c r="O279" s="224" t="s">
        <v>642</v>
      </c>
      <c r="P279" s="224"/>
      <c r="Q279" s="224"/>
      <c r="R279" s="224"/>
      <c r="S279" s="224"/>
      <c r="T279" s="224"/>
      <c r="U279" s="224"/>
      <c r="V279" s="224"/>
      <c r="W279" s="224"/>
      <c r="X279" s="224"/>
      <c r="Y279" s="224"/>
      <c r="Z279" s="224"/>
      <c r="AA279" s="224"/>
      <c r="AB279" s="224"/>
      <c r="AC279" s="224"/>
      <c r="AD279" s="225">
        <v>200000</v>
      </c>
      <c r="AE279" s="226" t="s">
        <v>643</v>
      </c>
      <c r="AF279" s="17"/>
    </row>
    <row r="280" spans="1:32" s="16" customFormat="1" ht="24" customHeight="1">
      <c r="A280" s="58"/>
      <c r="B280" s="58"/>
      <c r="C280" s="58"/>
      <c r="D280" s="307"/>
      <c r="E280" s="174"/>
      <c r="F280" s="174"/>
      <c r="G280" s="174"/>
      <c r="H280" s="174"/>
      <c r="I280" s="174"/>
      <c r="J280" s="174"/>
      <c r="K280" s="174"/>
      <c r="L280" s="174"/>
      <c r="M280" s="174"/>
      <c r="N280" s="96"/>
      <c r="O280" s="224"/>
      <c r="P280" s="224"/>
      <c r="Q280" s="224"/>
      <c r="R280" s="224"/>
      <c r="S280" s="224"/>
      <c r="T280" s="224"/>
      <c r="U280" s="224"/>
      <c r="V280" s="224"/>
      <c r="W280" s="224"/>
      <c r="X280" s="224"/>
      <c r="Y280" s="224"/>
      <c r="Z280" s="224"/>
      <c r="AA280" s="224"/>
      <c r="AB280" s="224"/>
      <c r="AC280" s="224"/>
      <c r="AD280" s="225"/>
      <c r="AE280" s="226"/>
      <c r="AF280" s="17"/>
    </row>
    <row r="281" spans="1:32" s="16" customFormat="1" ht="24" customHeight="1">
      <c r="A281" s="58"/>
      <c r="B281" s="58"/>
      <c r="C281" s="58"/>
      <c r="D281" s="307"/>
      <c r="E281" s="174"/>
      <c r="F281" s="174"/>
      <c r="G281" s="174"/>
      <c r="H281" s="174"/>
      <c r="I281" s="174"/>
      <c r="J281" s="174"/>
      <c r="K281" s="174"/>
      <c r="L281" s="174"/>
      <c r="M281" s="174"/>
      <c r="N281" s="96"/>
      <c r="O281" s="97" t="s">
        <v>475</v>
      </c>
      <c r="P281" s="182"/>
      <c r="Q281" s="343"/>
      <c r="R281" s="36"/>
      <c r="S281" s="36"/>
      <c r="T281" s="36"/>
      <c r="U281" s="36"/>
      <c r="V281" s="36"/>
      <c r="W281" s="336" t="s">
        <v>479</v>
      </c>
      <c r="X281" s="336"/>
      <c r="Y281" s="336"/>
      <c r="Z281" s="336"/>
      <c r="AA281" s="336"/>
      <c r="AB281" s="336"/>
      <c r="AC281" s="98"/>
      <c r="AD281" s="98">
        <f>SUM(AD282:AD283)</f>
        <v>1150000</v>
      </c>
      <c r="AE281" s="99" t="s">
        <v>26</v>
      </c>
      <c r="AF281" s="17"/>
    </row>
    <row r="282" spans="1:32" s="16" customFormat="1" ht="24" customHeight="1">
      <c r="A282" s="58"/>
      <c r="B282" s="58"/>
      <c r="C282" s="58"/>
      <c r="D282" s="307"/>
      <c r="E282" s="174"/>
      <c r="F282" s="174"/>
      <c r="G282" s="174"/>
      <c r="H282" s="174"/>
      <c r="I282" s="174"/>
      <c r="J282" s="174"/>
      <c r="K282" s="174"/>
      <c r="L282" s="174"/>
      <c r="M282" s="174"/>
      <c r="N282" s="96"/>
      <c r="O282" s="341" t="s">
        <v>476</v>
      </c>
      <c r="P282" s="343"/>
      <c r="Q282" s="343"/>
      <c r="R282" s="36"/>
      <c r="S282" s="36"/>
      <c r="T282" s="36"/>
      <c r="U282" s="36"/>
      <c r="V282" s="36"/>
      <c r="W282" s="342"/>
      <c r="X282" s="342"/>
      <c r="Y282" s="342"/>
      <c r="Z282" s="342"/>
      <c r="AA282" s="342"/>
      <c r="AB282" s="342"/>
      <c r="AC282" s="65"/>
      <c r="AD282" s="92">
        <v>150000</v>
      </c>
      <c r="AE282" s="71" t="s">
        <v>448</v>
      </c>
      <c r="AF282" s="17"/>
    </row>
    <row r="283" spans="1:32" s="16" customFormat="1" ht="24" customHeight="1">
      <c r="A283" s="58"/>
      <c r="B283" s="58"/>
      <c r="C283" s="58"/>
      <c r="D283" s="307"/>
      <c r="E283" s="174"/>
      <c r="F283" s="174"/>
      <c r="G283" s="174"/>
      <c r="H283" s="174"/>
      <c r="I283" s="174"/>
      <c r="J283" s="174"/>
      <c r="K283" s="174"/>
      <c r="L283" s="174"/>
      <c r="M283" s="174"/>
      <c r="N283" s="96"/>
      <c r="O283" s="341" t="s">
        <v>477</v>
      </c>
      <c r="P283" s="343"/>
      <c r="Q283" s="343"/>
      <c r="R283" s="36"/>
      <c r="S283" s="36"/>
      <c r="T283" s="36"/>
      <c r="U283" s="36"/>
      <c r="V283" s="36"/>
      <c r="W283" s="342"/>
      <c r="X283" s="342"/>
      <c r="Y283" s="342"/>
      <c r="Z283" s="342"/>
      <c r="AA283" s="342"/>
      <c r="AB283" s="342"/>
      <c r="AC283" s="65"/>
      <c r="AD283" s="92">
        <v>1000000</v>
      </c>
      <c r="AE283" s="71" t="s">
        <v>478</v>
      </c>
      <c r="AF283" s="17"/>
    </row>
    <row r="284" spans="1:32" s="16" customFormat="1" ht="24" customHeight="1">
      <c r="A284" s="58"/>
      <c r="B284" s="58"/>
      <c r="C284" s="58"/>
      <c r="D284" s="307"/>
      <c r="E284" s="174"/>
      <c r="F284" s="174"/>
      <c r="G284" s="174"/>
      <c r="H284" s="174"/>
      <c r="I284" s="174"/>
      <c r="J284" s="174"/>
      <c r="K284" s="174"/>
      <c r="L284" s="174"/>
      <c r="M284" s="174"/>
      <c r="N284" s="96"/>
      <c r="O284" s="341"/>
      <c r="P284" s="343"/>
      <c r="Q284" s="343"/>
      <c r="R284" s="36"/>
      <c r="S284" s="36"/>
      <c r="T284" s="36"/>
      <c r="U284" s="36"/>
      <c r="V284" s="36"/>
      <c r="W284" s="342"/>
      <c r="X284" s="342"/>
      <c r="Y284" s="342"/>
      <c r="Z284" s="342"/>
      <c r="AA284" s="342"/>
      <c r="AB284" s="342"/>
      <c r="AC284" s="65"/>
      <c r="AD284" s="65"/>
      <c r="AE284" s="46"/>
      <c r="AF284" s="17"/>
    </row>
    <row r="285" spans="1:32" s="16" customFormat="1" ht="24" customHeight="1">
      <c r="A285" s="58"/>
      <c r="B285" s="58"/>
      <c r="C285" s="58"/>
      <c r="D285" s="307"/>
      <c r="E285" s="174"/>
      <c r="F285" s="174"/>
      <c r="G285" s="174"/>
      <c r="H285" s="174"/>
      <c r="I285" s="174"/>
      <c r="J285" s="174"/>
      <c r="K285" s="174"/>
      <c r="L285" s="174"/>
      <c r="M285" s="174"/>
      <c r="N285" s="96"/>
      <c r="O285" s="97" t="s">
        <v>480</v>
      </c>
      <c r="P285" s="182"/>
      <c r="Q285" s="343"/>
      <c r="R285" s="36"/>
      <c r="S285" s="36"/>
      <c r="T285" s="36"/>
      <c r="U285" s="36"/>
      <c r="V285" s="36"/>
      <c r="W285" s="336" t="s">
        <v>450</v>
      </c>
      <c r="X285" s="336"/>
      <c r="Y285" s="336"/>
      <c r="Z285" s="336"/>
      <c r="AA285" s="336"/>
      <c r="AB285" s="336"/>
      <c r="AC285" s="98"/>
      <c r="AD285" s="98">
        <f>SUM(AD286:AD289)</f>
        <v>7309000</v>
      </c>
      <c r="AE285" s="99" t="s">
        <v>26</v>
      </c>
      <c r="AF285" s="17"/>
    </row>
    <row r="286" spans="1:32" s="16" customFormat="1" ht="24" customHeight="1">
      <c r="A286" s="58"/>
      <c r="B286" s="58"/>
      <c r="C286" s="58"/>
      <c r="D286" s="307"/>
      <c r="E286" s="174"/>
      <c r="F286" s="174"/>
      <c r="G286" s="174"/>
      <c r="H286" s="174"/>
      <c r="I286" s="174"/>
      <c r="J286" s="174"/>
      <c r="K286" s="174"/>
      <c r="L286" s="174"/>
      <c r="M286" s="174"/>
      <c r="N286" s="96"/>
      <c r="O286" s="341" t="s">
        <v>481</v>
      </c>
      <c r="P286" s="343"/>
      <c r="Q286" s="343"/>
      <c r="R286" s="36"/>
      <c r="S286" s="36"/>
      <c r="T286" s="36"/>
      <c r="U286" s="36"/>
      <c r="V286" s="36"/>
      <c r="W286" s="342"/>
      <c r="X286" s="342"/>
      <c r="Y286" s="342"/>
      <c r="Z286" s="342"/>
      <c r="AA286" s="342"/>
      <c r="AB286" s="342"/>
      <c r="AC286" s="65"/>
      <c r="AD286" s="92">
        <v>814000</v>
      </c>
      <c r="AE286" s="71" t="s">
        <v>448</v>
      </c>
      <c r="AF286" s="17"/>
    </row>
    <row r="287" spans="1:32" s="16" customFormat="1" ht="24" customHeight="1">
      <c r="A287" s="58"/>
      <c r="B287" s="58"/>
      <c r="C287" s="58"/>
      <c r="D287" s="307"/>
      <c r="E287" s="174"/>
      <c r="F287" s="174"/>
      <c r="G287" s="174"/>
      <c r="H287" s="174"/>
      <c r="I287" s="174"/>
      <c r="J287" s="174"/>
      <c r="K287" s="174"/>
      <c r="L287" s="174"/>
      <c r="M287" s="174"/>
      <c r="N287" s="96"/>
      <c r="O287" s="341" t="s">
        <v>482</v>
      </c>
      <c r="P287" s="343"/>
      <c r="Q287" s="343"/>
      <c r="R287" s="36"/>
      <c r="S287" s="36"/>
      <c r="T287" s="36"/>
      <c r="U287" s="36"/>
      <c r="V287" s="36"/>
      <c r="W287" s="342"/>
      <c r="X287" s="342"/>
      <c r="Y287" s="342"/>
      <c r="Z287" s="342"/>
      <c r="AA287" s="342"/>
      <c r="AB287" s="342"/>
      <c r="AC287" s="65"/>
      <c r="AD287" s="92">
        <v>2711000</v>
      </c>
      <c r="AE287" s="71" t="s">
        <v>448</v>
      </c>
      <c r="AF287" s="17"/>
    </row>
    <row r="288" spans="1:32" s="16" customFormat="1" ht="24" customHeight="1">
      <c r="A288" s="58"/>
      <c r="B288" s="58"/>
      <c r="C288" s="58"/>
      <c r="D288" s="307"/>
      <c r="E288" s="174"/>
      <c r="F288" s="174"/>
      <c r="G288" s="174"/>
      <c r="H288" s="174"/>
      <c r="I288" s="174"/>
      <c r="J288" s="174"/>
      <c r="K288" s="174"/>
      <c r="L288" s="174"/>
      <c r="M288" s="174"/>
      <c r="N288" s="96"/>
      <c r="O288" s="341" t="s">
        <v>483</v>
      </c>
      <c r="P288" s="343"/>
      <c r="Q288" s="343"/>
      <c r="R288" s="36"/>
      <c r="S288" s="36"/>
      <c r="T288" s="36"/>
      <c r="U288" s="36"/>
      <c r="V288" s="36"/>
      <c r="W288" s="342"/>
      <c r="X288" s="342"/>
      <c r="Y288" s="342"/>
      <c r="Z288" s="342"/>
      <c r="AA288" s="342"/>
      <c r="AB288" s="342"/>
      <c r="AC288" s="65"/>
      <c r="AD288" s="92">
        <v>1700000</v>
      </c>
      <c r="AE288" s="71" t="s">
        <v>448</v>
      </c>
      <c r="AF288" s="17"/>
    </row>
    <row r="289" spans="1:32" s="16" customFormat="1" ht="24" customHeight="1">
      <c r="A289" s="58"/>
      <c r="B289" s="58"/>
      <c r="C289" s="58"/>
      <c r="D289" s="307"/>
      <c r="E289" s="174"/>
      <c r="F289" s="174"/>
      <c r="G289" s="174"/>
      <c r="H289" s="174"/>
      <c r="I289" s="174"/>
      <c r="J289" s="174"/>
      <c r="K289" s="174"/>
      <c r="L289" s="174"/>
      <c r="M289" s="174"/>
      <c r="N289" s="96"/>
      <c r="O289" s="341" t="s">
        <v>484</v>
      </c>
      <c r="P289" s="343"/>
      <c r="Q289" s="343"/>
      <c r="R289" s="36"/>
      <c r="S289" s="36"/>
      <c r="T289" s="36"/>
      <c r="U289" s="36"/>
      <c r="V289" s="36"/>
      <c r="W289" s="342"/>
      <c r="X289" s="342"/>
      <c r="Y289" s="342"/>
      <c r="Z289" s="342"/>
      <c r="AA289" s="342"/>
      <c r="AB289" s="342"/>
      <c r="AC289" s="65"/>
      <c r="AD289" s="92">
        <v>2084000</v>
      </c>
      <c r="AE289" s="71" t="s">
        <v>448</v>
      </c>
      <c r="AF289" s="17"/>
    </row>
    <row r="290" spans="1:32" s="16" customFormat="1" ht="24" customHeight="1">
      <c r="A290" s="58"/>
      <c r="B290" s="58"/>
      <c r="C290" s="58"/>
      <c r="D290" s="307"/>
      <c r="E290" s="174"/>
      <c r="F290" s="174"/>
      <c r="G290" s="174"/>
      <c r="H290" s="174"/>
      <c r="I290" s="174"/>
      <c r="J290" s="174"/>
      <c r="K290" s="174"/>
      <c r="L290" s="174"/>
      <c r="M290" s="174"/>
      <c r="N290" s="96"/>
      <c r="O290" s="341"/>
      <c r="P290" s="343"/>
      <c r="Q290" s="343"/>
      <c r="R290" s="36"/>
      <c r="S290" s="36"/>
      <c r="T290" s="36"/>
      <c r="U290" s="36"/>
      <c r="V290" s="36"/>
      <c r="W290" s="342"/>
      <c r="X290" s="342"/>
      <c r="Y290" s="342"/>
      <c r="Z290" s="342"/>
      <c r="AA290" s="342"/>
      <c r="AB290" s="342"/>
      <c r="AC290" s="65"/>
      <c r="AD290" s="92"/>
      <c r="AE290" s="71"/>
      <c r="AF290" s="17"/>
    </row>
    <row r="291" spans="1:32" s="16" customFormat="1" ht="24" customHeight="1">
      <c r="A291" s="58"/>
      <c r="B291" s="58"/>
      <c r="C291" s="58"/>
      <c r="D291" s="307"/>
      <c r="E291" s="174"/>
      <c r="F291" s="174"/>
      <c r="G291" s="174"/>
      <c r="H291" s="174"/>
      <c r="I291" s="174"/>
      <c r="J291" s="174"/>
      <c r="K291" s="174"/>
      <c r="L291" s="174"/>
      <c r="M291" s="174"/>
      <c r="N291" s="96"/>
      <c r="O291" s="97" t="s">
        <v>490</v>
      </c>
      <c r="P291" s="182"/>
      <c r="Q291" s="343"/>
      <c r="R291" s="36"/>
      <c r="S291" s="36"/>
      <c r="T291" s="36"/>
      <c r="U291" s="36"/>
      <c r="V291" s="36"/>
      <c r="W291" s="336" t="s">
        <v>450</v>
      </c>
      <c r="X291" s="336"/>
      <c r="Y291" s="336"/>
      <c r="Z291" s="336"/>
      <c r="AA291" s="336"/>
      <c r="AB291" s="336"/>
      <c r="AC291" s="98"/>
      <c r="AD291" s="98">
        <f>SUM(AD292:AD297)</f>
        <v>5559000</v>
      </c>
      <c r="AE291" s="99" t="s">
        <v>26</v>
      </c>
      <c r="AF291" s="17"/>
    </row>
    <row r="292" spans="1:32" s="16" customFormat="1" ht="24" customHeight="1">
      <c r="A292" s="58"/>
      <c r="B292" s="58"/>
      <c r="C292" s="58"/>
      <c r="D292" s="307"/>
      <c r="E292" s="174"/>
      <c r="F292" s="174"/>
      <c r="G292" s="174"/>
      <c r="H292" s="174"/>
      <c r="I292" s="174"/>
      <c r="J292" s="174"/>
      <c r="K292" s="174"/>
      <c r="L292" s="174"/>
      <c r="M292" s="174"/>
      <c r="N292" s="96"/>
      <c r="O292" s="341" t="s">
        <v>500</v>
      </c>
      <c r="P292" s="224"/>
      <c r="Q292" s="224"/>
      <c r="R292" s="224"/>
      <c r="S292" s="224"/>
      <c r="T292" s="224"/>
      <c r="U292" s="224"/>
      <c r="V292" s="224"/>
      <c r="W292" s="224"/>
      <c r="X292" s="224"/>
      <c r="Y292" s="224"/>
      <c r="Z292" s="224"/>
      <c r="AA292" s="224"/>
      <c r="AB292" s="224"/>
      <c r="AC292" s="224"/>
      <c r="AD292" s="225">
        <v>189000</v>
      </c>
      <c r="AE292" s="226" t="s">
        <v>77</v>
      </c>
      <c r="AF292" s="17"/>
    </row>
    <row r="293" spans="1:32" s="16" customFormat="1" ht="24" customHeight="1">
      <c r="A293" s="58"/>
      <c r="B293" s="58"/>
      <c r="C293" s="58"/>
      <c r="D293" s="307"/>
      <c r="E293" s="174"/>
      <c r="F293" s="174"/>
      <c r="G293" s="174"/>
      <c r="H293" s="174"/>
      <c r="I293" s="174"/>
      <c r="J293" s="174"/>
      <c r="K293" s="174"/>
      <c r="L293" s="174"/>
      <c r="M293" s="174"/>
      <c r="N293" s="96"/>
      <c r="O293" s="355" t="s">
        <v>612</v>
      </c>
      <c r="P293" s="224"/>
      <c r="Q293" s="224"/>
      <c r="R293" s="224"/>
      <c r="S293" s="224"/>
      <c r="T293" s="224"/>
      <c r="U293" s="224"/>
      <c r="V293" s="224"/>
      <c r="W293" s="224"/>
      <c r="X293" s="224"/>
      <c r="Y293" s="224"/>
      <c r="Z293" s="224"/>
      <c r="AA293" s="224"/>
      <c r="AB293" s="224"/>
      <c r="AC293" s="224"/>
      <c r="AD293" s="225">
        <v>2250000</v>
      </c>
      <c r="AE293" s="226" t="s">
        <v>77</v>
      </c>
      <c r="AF293" s="17"/>
    </row>
    <row r="294" spans="1:32" s="16" customFormat="1" ht="24" customHeight="1">
      <c r="A294" s="58"/>
      <c r="B294" s="58"/>
      <c r="C294" s="58"/>
      <c r="D294" s="307"/>
      <c r="E294" s="174"/>
      <c r="F294" s="174"/>
      <c r="G294" s="174"/>
      <c r="H294" s="174"/>
      <c r="I294" s="174"/>
      <c r="J294" s="174"/>
      <c r="K294" s="174"/>
      <c r="L294" s="174"/>
      <c r="M294" s="174"/>
      <c r="N294" s="96"/>
      <c r="O294" s="341" t="s">
        <v>501</v>
      </c>
      <c r="P294" s="224"/>
      <c r="Q294" s="224"/>
      <c r="R294" s="224"/>
      <c r="S294" s="224"/>
      <c r="T294" s="224"/>
      <c r="U294" s="224"/>
      <c r="V294" s="224"/>
      <c r="W294" s="224"/>
      <c r="X294" s="224"/>
      <c r="Y294" s="224"/>
      <c r="Z294" s="224"/>
      <c r="AA294" s="224"/>
      <c r="AB294" s="224"/>
      <c r="AC294" s="224"/>
      <c r="AD294" s="225">
        <v>300000</v>
      </c>
      <c r="AE294" s="226" t="s">
        <v>77</v>
      </c>
      <c r="AF294" s="17"/>
    </row>
    <row r="295" spans="1:32" s="16" customFormat="1" ht="24" customHeight="1">
      <c r="A295" s="58"/>
      <c r="B295" s="58"/>
      <c r="C295" s="58"/>
      <c r="D295" s="307"/>
      <c r="E295" s="174"/>
      <c r="F295" s="174"/>
      <c r="G295" s="174"/>
      <c r="H295" s="174"/>
      <c r="I295" s="174"/>
      <c r="J295" s="174"/>
      <c r="K295" s="174"/>
      <c r="L295" s="174"/>
      <c r="M295" s="174"/>
      <c r="N295" s="96"/>
      <c r="O295" s="341" t="s">
        <v>502</v>
      </c>
      <c r="P295" s="224"/>
      <c r="Q295" s="224"/>
      <c r="R295" s="224"/>
      <c r="S295" s="224"/>
      <c r="T295" s="224"/>
      <c r="U295" s="224"/>
      <c r="V295" s="224"/>
      <c r="W295" s="224"/>
      <c r="X295" s="224"/>
      <c r="Y295" s="224"/>
      <c r="Z295" s="224"/>
      <c r="AA295" s="224"/>
      <c r="AB295" s="224"/>
      <c r="AC295" s="224"/>
      <c r="AD295" s="225">
        <v>240000</v>
      </c>
      <c r="AE295" s="226" t="s">
        <v>77</v>
      </c>
      <c r="AF295" s="17"/>
    </row>
    <row r="296" spans="1:32" s="16" customFormat="1" ht="24" customHeight="1">
      <c r="A296" s="58"/>
      <c r="B296" s="58"/>
      <c r="C296" s="58"/>
      <c r="D296" s="307"/>
      <c r="E296" s="174"/>
      <c r="F296" s="174"/>
      <c r="G296" s="174"/>
      <c r="H296" s="174"/>
      <c r="I296" s="174"/>
      <c r="J296" s="174"/>
      <c r="K296" s="174"/>
      <c r="L296" s="174"/>
      <c r="M296" s="174"/>
      <c r="N296" s="96"/>
      <c r="O296" s="379" t="s">
        <v>639</v>
      </c>
      <c r="P296" s="224"/>
      <c r="Q296" s="224"/>
      <c r="R296" s="224"/>
      <c r="S296" s="224"/>
      <c r="T296" s="224"/>
      <c r="U296" s="224"/>
      <c r="V296" s="224"/>
      <c r="W296" s="224"/>
      <c r="X296" s="224" t="s">
        <v>644</v>
      </c>
      <c r="Y296" s="224"/>
      <c r="Z296" s="224"/>
      <c r="AA296" s="224"/>
      <c r="AB296" s="224"/>
      <c r="AC296" s="224"/>
      <c r="AD296" s="225">
        <v>2200000</v>
      </c>
      <c r="AE296" s="226" t="s">
        <v>77</v>
      </c>
      <c r="AF296" s="17"/>
    </row>
    <row r="297" spans="1:32" s="16" customFormat="1" ht="24" customHeight="1">
      <c r="A297" s="58"/>
      <c r="B297" s="58"/>
      <c r="C297" s="58"/>
      <c r="D297" s="307"/>
      <c r="E297" s="174"/>
      <c r="F297" s="174"/>
      <c r="G297" s="174"/>
      <c r="H297" s="174"/>
      <c r="I297" s="174"/>
      <c r="J297" s="174"/>
      <c r="K297" s="174"/>
      <c r="L297" s="174"/>
      <c r="M297" s="174"/>
      <c r="N297" s="96"/>
      <c r="O297" s="355" t="s">
        <v>614</v>
      </c>
      <c r="P297" s="224"/>
      <c r="Q297" s="224"/>
      <c r="R297" s="224"/>
      <c r="S297" s="224"/>
      <c r="T297" s="224"/>
      <c r="U297" s="224"/>
      <c r="V297" s="224"/>
      <c r="W297" s="224"/>
      <c r="X297" s="224"/>
      <c r="Y297" s="224"/>
      <c r="Z297" s="224"/>
      <c r="AA297" s="224"/>
      <c r="AB297" s="224"/>
      <c r="AC297" s="224"/>
      <c r="AD297" s="225">
        <v>380000</v>
      </c>
      <c r="AE297" s="226" t="s">
        <v>448</v>
      </c>
      <c r="AF297" s="17"/>
    </row>
    <row r="298" spans="1:32" s="16" customFormat="1" ht="24" customHeight="1">
      <c r="A298" s="58"/>
      <c r="B298" s="58"/>
      <c r="C298" s="58"/>
      <c r="D298" s="307"/>
      <c r="E298" s="174"/>
      <c r="F298" s="174"/>
      <c r="G298" s="174"/>
      <c r="H298" s="174"/>
      <c r="I298" s="174"/>
      <c r="J298" s="174"/>
      <c r="K298" s="174"/>
      <c r="L298" s="174"/>
      <c r="M298" s="174"/>
      <c r="N298" s="96"/>
      <c r="O298" s="341"/>
      <c r="P298" s="224"/>
      <c r="Q298" s="224"/>
      <c r="R298" s="224"/>
      <c r="S298" s="224"/>
      <c r="T298" s="224"/>
      <c r="U298" s="224"/>
      <c r="V298" s="224"/>
      <c r="W298" s="224"/>
      <c r="X298" s="224"/>
      <c r="Y298" s="224"/>
      <c r="Z298" s="224"/>
      <c r="AA298" s="224"/>
      <c r="AB298" s="224"/>
      <c r="AC298" s="224"/>
      <c r="AD298" s="225"/>
      <c r="AE298" s="226"/>
      <c r="AF298" s="17"/>
    </row>
    <row r="299" spans="1:32" s="16" customFormat="1" ht="24" customHeight="1">
      <c r="A299" s="58"/>
      <c r="B299" s="58"/>
      <c r="C299" s="58"/>
      <c r="D299" s="307"/>
      <c r="E299" s="174"/>
      <c r="F299" s="174"/>
      <c r="G299" s="174"/>
      <c r="H299" s="174"/>
      <c r="I299" s="174"/>
      <c r="J299" s="174"/>
      <c r="K299" s="174"/>
      <c r="L299" s="174"/>
      <c r="M299" s="174"/>
      <c r="N299" s="96"/>
      <c r="O299" s="97" t="s">
        <v>503</v>
      </c>
      <c r="P299" s="182"/>
      <c r="Q299" s="343"/>
      <c r="R299" s="36"/>
      <c r="S299" s="36"/>
      <c r="T299" s="36"/>
      <c r="U299" s="36"/>
      <c r="V299" s="36"/>
      <c r="W299" s="336" t="s">
        <v>450</v>
      </c>
      <c r="X299" s="336"/>
      <c r="Y299" s="336"/>
      <c r="Z299" s="336"/>
      <c r="AA299" s="336"/>
      <c r="AB299" s="336"/>
      <c r="AC299" s="98"/>
      <c r="AD299" s="98">
        <f>SUM(AD300:AD301)</f>
        <v>1452000</v>
      </c>
      <c r="AE299" s="99" t="s">
        <v>26</v>
      </c>
      <c r="AF299" s="17"/>
    </row>
    <row r="300" spans="1:32" s="16" customFormat="1" ht="24" customHeight="1">
      <c r="A300" s="58"/>
      <c r="B300" s="58"/>
      <c r="C300" s="59"/>
      <c r="D300" s="307"/>
      <c r="E300" s="174"/>
      <c r="F300" s="174"/>
      <c r="G300" s="174"/>
      <c r="H300" s="174"/>
      <c r="I300" s="174"/>
      <c r="J300" s="174"/>
      <c r="K300" s="174"/>
      <c r="L300" s="174"/>
      <c r="M300" s="174"/>
      <c r="N300" s="96"/>
      <c r="O300" s="341" t="s">
        <v>504</v>
      </c>
      <c r="P300" s="343"/>
      <c r="Q300" s="343"/>
      <c r="R300" s="36"/>
      <c r="S300" s="36"/>
      <c r="T300" s="36"/>
      <c r="U300" s="36"/>
      <c r="V300" s="36"/>
      <c r="W300" s="340"/>
      <c r="X300" s="340"/>
      <c r="Y300" s="340"/>
      <c r="Z300" s="340"/>
      <c r="AA300" s="340"/>
      <c r="AB300" s="340"/>
      <c r="AC300" s="92"/>
      <c r="AD300" s="92">
        <v>1200000</v>
      </c>
      <c r="AE300" s="71" t="s">
        <v>448</v>
      </c>
      <c r="AF300" s="17"/>
    </row>
    <row r="301" spans="1:32" s="16" customFormat="1" ht="24" customHeight="1">
      <c r="A301" s="58"/>
      <c r="B301" s="58"/>
      <c r="C301" s="59"/>
      <c r="D301" s="307"/>
      <c r="E301" s="174"/>
      <c r="F301" s="174"/>
      <c r="G301" s="174"/>
      <c r="H301" s="174"/>
      <c r="I301" s="174"/>
      <c r="J301" s="174"/>
      <c r="K301" s="174"/>
      <c r="L301" s="174"/>
      <c r="M301" s="174"/>
      <c r="N301" s="96"/>
      <c r="O301" s="341" t="s">
        <v>505</v>
      </c>
      <c r="P301" s="343"/>
      <c r="Q301" s="343"/>
      <c r="R301" s="36"/>
      <c r="S301" s="36"/>
      <c r="T301" s="36"/>
      <c r="U301" s="36"/>
      <c r="V301" s="36"/>
      <c r="W301" s="340"/>
      <c r="X301" s="340"/>
      <c r="Y301" s="340"/>
      <c r="Z301" s="340"/>
      <c r="AA301" s="340"/>
      <c r="AB301" s="340"/>
      <c r="AC301" s="92"/>
      <c r="AD301" s="92">
        <v>252000</v>
      </c>
      <c r="AE301" s="71" t="s">
        <v>448</v>
      </c>
      <c r="AF301" s="17"/>
    </row>
    <row r="302" spans="1:32" s="16" customFormat="1" ht="24" customHeight="1">
      <c r="A302" s="58"/>
      <c r="B302" s="58"/>
      <c r="C302" s="59"/>
      <c r="D302" s="307"/>
      <c r="E302" s="174"/>
      <c r="F302" s="174"/>
      <c r="G302" s="174"/>
      <c r="H302" s="174"/>
      <c r="I302" s="174"/>
      <c r="J302" s="174"/>
      <c r="K302" s="174"/>
      <c r="L302" s="174"/>
      <c r="M302" s="174"/>
      <c r="N302" s="96"/>
      <c r="O302" s="382"/>
      <c r="P302" s="353"/>
      <c r="Q302" s="353"/>
      <c r="R302" s="36"/>
      <c r="S302" s="36"/>
      <c r="T302" s="36"/>
      <c r="U302" s="36"/>
      <c r="V302" s="36"/>
      <c r="W302" s="381"/>
      <c r="X302" s="381"/>
      <c r="Y302" s="381"/>
      <c r="Z302" s="381"/>
      <c r="AA302" s="381"/>
      <c r="AB302" s="381"/>
      <c r="AC302" s="92"/>
      <c r="AD302" s="92"/>
      <c r="AE302" s="71"/>
      <c r="AF302" s="17"/>
    </row>
    <row r="303" spans="1:32" s="16" customFormat="1" ht="24" customHeight="1">
      <c r="A303" s="58"/>
      <c r="B303" s="58"/>
      <c r="C303" s="59"/>
      <c r="D303" s="307"/>
      <c r="E303" s="174"/>
      <c r="F303" s="174"/>
      <c r="G303" s="174"/>
      <c r="H303" s="174"/>
      <c r="I303" s="174"/>
      <c r="J303" s="174"/>
      <c r="K303" s="174"/>
      <c r="L303" s="174"/>
      <c r="M303" s="174"/>
      <c r="N303" s="96"/>
      <c r="O303" s="97" t="s">
        <v>645</v>
      </c>
      <c r="P303" s="182"/>
      <c r="Q303" s="353"/>
      <c r="R303" s="36"/>
      <c r="S303" s="36"/>
      <c r="T303" s="36"/>
      <c r="U303" s="36"/>
      <c r="V303" s="36"/>
      <c r="W303" s="383" t="s">
        <v>450</v>
      </c>
      <c r="X303" s="383"/>
      <c r="Y303" s="383"/>
      <c r="Z303" s="383"/>
      <c r="AA303" s="383"/>
      <c r="AB303" s="383"/>
      <c r="AC303" s="98"/>
      <c r="AD303" s="98">
        <v>500000</v>
      </c>
      <c r="AE303" s="99" t="s">
        <v>26</v>
      </c>
      <c r="AF303" s="17"/>
    </row>
    <row r="304" spans="1:32" s="16" customFormat="1" ht="24" customHeight="1">
      <c r="A304" s="73"/>
      <c r="B304" s="73"/>
      <c r="C304" s="176"/>
      <c r="D304" s="308"/>
      <c r="E304" s="177"/>
      <c r="F304" s="177"/>
      <c r="G304" s="177"/>
      <c r="H304" s="177"/>
      <c r="I304" s="177"/>
      <c r="J304" s="177"/>
      <c r="K304" s="177"/>
      <c r="L304" s="177"/>
      <c r="M304" s="174"/>
      <c r="N304" s="96"/>
      <c r="O304" s="63"/>
      <c r="P304" s="63"/>
      <c r="Q304" s="63"/>
      <c r="R304" s="63"/>
      <c r="S304" s="63"/>
      <c r="T304" s="64"/>
      <c r="U304" s="64"/>
      <c r="V304" s="64"/>
      <c r="W304" s="64"/>
      <c r="X304" s="64"/>
      <c r="Y304" s="220"/>
      <c r="Z304" s="220"/>
      <c r="AA304" s="220"/>
      <c r="AB304" s="220"/>
      <c r="AC304" s="221"/>
      <c r="AD304" s="64"/>
      <c r="AE304" s="71"/>
      <c r="AF304" s="17"/>
    </row>
    <row r="305" spans="1:32" s="12" customFormat="1" ht="21" customHeight="1">
      <c r="A305" s="178" t="s">
        <v>585</v>
      </c>
      <c r="B305" s="432" t="s">
        <v>21</v>
      </c>
      <c r="C305" s="433"/>
      <c r="D305" s="327">
        <v>10109</v>
      </c>
      <c r="E305" s="328">
        <f>SUM(E306)</f>
        <v>10109</v>
      </c>
      <c r="F305" s="328">
        <f t="shared" ref="F305:L305" si="13">SUM(F306)</f>
        <v>8835</v>
      </c>
      <c r="G305" s="328">
        <f t="shared" si="13"/>
        <v>1233</v>
      </c>
      <c r="H305" s="328">
        <f t="shared" si="13"/>
        <v>41</v>
      </c>
      <c r="I305" s="328">
        <f t="shared" si="13"/>
        <v>0</v>
      </c>
      <c r="J305" s="328">
        <f t="shared" si="13"/>
        <v>0</v>
      </c>
      <c r="K305" s="328">
        <f t="shared" si="13"/>
        <v>0</v>
      </c>
      <c r="L305" s="328">
        <f t="shared" si="13"/>
        <v>0</v>
      </c>
      <c r="M305" s="328">
        <f>E305-D305</f>
        <v>0</v>
      </c>
      <c r="N305" s="329">
        <f>IF(D305=0,0,M305/D305)</f>
        <v>0</v>
      </c>
      <c r="O305" s="160" t="s">
        <v>588</v>
      </c>
      <c r="P305" s="330"/>
      <c r="Q305" s="330"/>
      <c r="R305" s="330"/>
      <c r="S305" s="331"/>
      <c r="T305" s="331"/>
      <c r="U305" s="331"/>
      <c r="V305" s="331"/>
      <c r="W305" s="331"/>
      <c r="X305" s="331"/>
      <c r="Y305" s="331"/>
      <c r="Z305" s="331"/>
      <c r="AA305" s="331"/>
      <c r="AB305" s="331"/>
      <c r="AC305" s="331"/>
      <c r="AD305" s="331">
        <f>SUM(AD306)</f>
        <v>10109000</v>
      </c>
      <c r="AE305" s="332" t="s">
        <v>26</v>
      </c>
      <c r="AF305" s="1"/>
    </row>
    <row r="306" spans="1:32" s="12" customFormat="1" ht="21" customHeight="1">
      <c r="A306" s="367" t="s">
        <v>587</v>
      </c>
      <c r="B306" s="58" t="s">
        <v>585</v>
      </c>
      <c r="C306" s="58" t="s">
        <v>585</v>
      </c>
      <c r="D306" s="307">
        <v>10109</v>
      </c>
      <c r="E306" s="174">
        <f>AD306/1000</f>
        <v>10109</v>
      </c>
      <c r="F306" s="174">
        <v>8835</v>
      </c>
      <c r="G306" s="174">
        <v>1233</v>
      </c>
      <c r="H306" s="174">
        <v>41</v>
      </c>
      <c r="I306" s="174">
        <v>0</v>
      </c>
      <c r="J306" s="174">
        <v>0</v>
      </c>
      <c r="K306" s="174">
        <v>0</v>
      </c>
      <c r="L306" s="174">
        <v>0</v>
      </c>
      <c r="M306" s="174">
        <f>E306-D306</f>
        <v>0</v>
      </c>
      <c r="N306" s="96">
        <f>IF(D306=0,0,M306/D306)</f>
        <v>0</v>
      </c>
      <c r="O306" s="182" t="s">
        <v>589</v>
      </c>
      <c r="P306" s="44"/>
      <c r="Q306" s="44"/>
      <c r="R306" s="44"/>
      <c r="S306" s="44"/>
      <c r="T306" s="45"/>
      <c r="U306" s="45"/>
      <c r="V306" s="45"/>
      <c r="W306" s="45"/>
      <c r="X306" s="45"/>
      <c r="Y306" s="331" t="s">
        <v>521</v>
      </c>
      <c r="Z306" s="163"/>
      <c r="AA306" s="163"/>
      <c r="AB306" s="163"/>
      <c r="AC306" s="184"/>
      <c r="AD306" s="184">
        <f>ROUND(SUM(AD307:AD314),-3)</f>
        <v>10109000</v>
      </c>
      <c r="AE306" s="185" t="s">
        <v>26</v>
      </c>
      <c r="AF306" s="1"/>
    </row>
    <row r="307" spans="1:32" ht="21" customHeight="1">
      <c r="A307" s="57"/>
      <c r="B307" s="58" t="s">
        <v>586</v>
      </c>
      <c r="C307" s="58" t="s">
        <v>586</v>
      </c>
      <c r="D307" s="307"/>
      <c r="E307" s="174"/>
      <c r="F307" s="174"/>
      <c r="G307" s="174"/>
      <c r="H307" s="174"/>
      <c r="I307" s="174"/>
      <c r="J307" s="174"/>
      <c r="K307" s="174"/>
      <c r="L307" s="174"/>
      <c r="M307" s="174"/>
      <c r="N307" s="96"/>
      <c r="O307" s="233" t="s">
        <v>329</v>
      </c>
      <c r="P307" s="63"/>
      <c r="Q307" s="63"/>
      <c r="R307" s="63"/>
      <c r="S307" s="64"/>
      <c r="T307" s="64"/>
      <c r="U307" s="64"/>
      <c r="V307" s="64"/>
      <c r="W307" s="64"/>
      <c r="X307" s="64"/>
      <c r="Y307" s="64"/>
      <c r="Z307" s="64"/>
      <c r="AA307" s="64"/>
      <c r="AB307" s="196"/>
      <c r="AC307" s="64"/>
      <c r="AD307" s="64">
        <v>8745220</v>
      </c>
      <c r="AE307" s="71" t="s">
        <v>26</v>
      </c>
    </row>
    <row r="308" spans="1:32" ht="21" customHeight="1">
      <c r="A308" s="57"/>
      <c r="B308" s="58"/>
      <c r="C308" s="58"/>
      <c r="D308" s="307"/>
      <c r="E308" s="174"/>
      <c r="F308" s="174"/>
      <c r="G308" s="174"/>
      <c r="H308" s="174"/>
      <c r="I308" s="174"/>
      <c r="J308" s="174"/>
      <c r="K308" s="174"/>
      <c r="L308" s="174"/>
      <c r="M308" s="174"/>
      <c r="N308" s="96"/>
      <c r="O308" s="355" t="s">
        <v>590</v>
      </c>
      <c r="P308" s="355"/>
      <c r="Q308" s="355"/>
      <c r="R308" s="355"/>
      <c r="S308" s="354"/>
      <c r="T308" s="354"/>
      <c r="U308" s="354"/>
      <c r="V308" s="354"/>
      <c r="W308" s="354"/>
      <c r="X308" s="354"/>
      <c r="Y308" s="354"/>
      <c r="Z308" s="354"/>
      <c r="AA308" s="354"/>
      <c r="AB308" s="354"/>
      <c r="AC308" s="354"/>
      <c r="AD308" s="354">
        <v>89437</v>
      </c>
      <c r="AE308" s="71" t="s">
        <v>510</v>
      </c>
    </row>
    <row r="309" spans="1:32" ht="21" customHeight="1">
      <c r="A309" s="57"/>
      <c r="B309" s="58"/>
      <c r="C309" s="58"/>
      <c r="D309" s="307"/>
      <c r="E309" s="174"/>
      <c r="F309" s="174"/>
      <c r="G309" s="174"/>
      <c r="H309" s="174"/>
      <c r="I309" s="174"/>
      <c r="J309" s="174"/>
      <c r="K309" s="174"/>
      <c r="L309" s="174"/>
      <c r="M309" s="174"/>
      <c r="N309" s="96"/>
      <c r="O309" s="355" t="s">
        <v>591</v>
      </c>
      <c r="P309" s="63"/>
      <c r="Q309" s="63"/>
      <c r="R309" s="63"/>
      <c r="S309" s="64"/>
      <c r="T309" s="64"/>
      <c r="U309" s="64"/>
      <c r="V309" s="64"/>
      <c r="W309" s="64"/>
      <c r="X309" s="64"/>
      <c r="Y309" s="64"/>
      <c r="Z309" s="64"/>
      <c r="AA309" s="64"/>
      <c r="AB309" s="232"/>
      <c r="AC309" s="64"/>
      <c r="AD309" s="64">
        <v>40000</v>
      </c>
      <c r="AE309" s="71" t="s">
        <v>26</v>
      </c>
    </row>
    <row r="310" spans="1:32" ht="21" customHeight="1">
      <c r="A310" s="57"/>
      <c r="B310" s="58"/>
      <c r="C310" s="58"/>
      <c r="D310" s="307"/>
      <c r="E310" s="174"/>
      <c r="F310" s="174"/>
      <c r="G310" s="174"/>
      <c r="H310" s="174"/>
      <c r="I310" s="174"/>
      <c r="J310" s="174"/>
      <c r="K310" s="174"/>
      <c r="L310" s="174"/>
      <c r="M310" s="174"/>
      <c r="N310" s="96"/>
      <c r="O310" s="355" t="s">
        <v>592</v>
      </c>
      <c r="P310" s="355"/>
      <c r="Q310" s="355"/>
      <c r="R310" s="355"/>
      <c r="S310" s="354"/>
      <c r="T310" s="354"/>
      <c r="U310" s="354"/>
      <c r="V310" s="354"/>
      <c r="W310" s="354"/>
      <c r="X310" s="354"/>
      <c r="Y310" s="354"/>
      <c r="Z310" s="354"/>
      <c r="AA310" s="354"/>
      <c r="AB310" s="354"/>
      <c r="AC310" s="354"/>
      <c r="AD310" s="354">
        <v>643</v>
      </c>
      <c r="AE310" s="71" t="s">
        <v>510</v>
      </c>
    </row>
    <row r="311" spans="1:32" ht="21" customHeight="1">
      <c r="A311" s="57"/>
      <c r="B311" s="58"/>
      <c r="C311" s="58"/>
      <c r="D311" s="307"/>
      <c r="E311" s="174"/>
      <c r="F311" s="174"/>
      <c r="G311" s="174"/>
      <c r="H311" s="174"/>
      <c r="I311" s="174"/>
      <c r="J311" s="174"/>
      <c r="K311" s="174"/>
      <c r="L311" s="174"/>
      <c r="M311" s="174"/>
      <c r="N311" s="96"/>
      <c r="O311" s="355" t="s">
        <v>593</v>
      </c>
      <c r="P311" s="63"/>
      <c r="Q311" s="63"/>
      <c r="R311" s="63"/>
      <c r="S311" s="64"/>
      <c r="T311" s="64"/>
      <c r="U311" s="64"/>
      <c r="V311" s="64"/>
      <c r="W311" s="64"/>
      <c r="X311" s="64"/>
      <c r="Y311" s="64"/>
      <c r="Z311" s="64"/>
      <c r="AA311" s="64"/>
      <c r="AB311" s="232"/>
      <c r="AC311" s="64"/>
      <c r="AD311" s="64">
        <v>726170</v>
      </c>
      <c r="AE311" s="71" t="s">
        <v>26</v>
      </c>
    </row>
    <row r="312" spans="1:32" ht="21" customHeight="1">
      <c r="A312" s="57"/>
      <c r="B312" s="58"/>
      <c r="C312" s="58"/>
      <c r="D312" s="307"/>
      <c r="E312" s="174"/>
      <c r="F312" s="174"/>
      <c r="G312" s="174"/>
      <c r="H312" s="174"/>
      <c r="I312" s="174"/>
      <c r="J312" s="174"/>
      <c r="K312" s="174"/>
      <c r="L312" s="174"/>
      <c r="M312" s="174"/>
      <c r="N312" s="96"/>
      <c r="O312" s="355" t="s">
        <v>594</v>
      </c>
      <c r="P312" s="355"/>
      <c r="Q312" s="355"/>
      <c r="R312" s="355"/>
      <c r="S312" s="354"/>
      <c r="T312" s="354"/>
      <c r="U312" s="354"/>
      <c r="V312" s="354"/>
      <c r="W312" s="354"/>
      <c r="X312" s="354"/>
      <c r="Y312" s="354"/>
      <c r="Z312" s="354"/>
      <c r="AA312" s="354"/>
      <c r="AB312" s="354"/>
      <c r="AC312" s="354"/>
      <c r="AD312" s="354">
        <v>3953</v>
      </c>
      <c r="AE312" s="71" t="s">
        <v>510</v>
      </c>
    </row>
    <row r="313" spans="1:32" ht="21" customHeight="1">
      <c r="A313" s="57"/>
      <c r="B313" s="58"/>
      <c r="C313" s="58"/>
      <c r="D313" s="307"/>
      <c r="E313" s="174"/>
      <c r="F313" s="174"/>
      <c r="G313" s="174"/>
      <c r="H313" s="174"/>
      <c r="I313" s="174"/>
      <c r="J313" s="174"/>
      <c r="K313" s="174"/>
      <c r="L313" s="174"/>
      <c r="M313" s="174"/>
      <c r="N313" s="96"/>
      <c r="O313" s="355" t="s">
        <v>595</v>
      </c>
      <c r="P313" s="63"/>
      <c r="Q313" s="63"/>
      <c r="R313" s="63"/>
      <c r="S313" s="64"/>
      <c r="T313" s="64"/>
      <c r="U313" s="64"/>
      <c r="V313" s="64"/>
      <c r="W313" s="64"/>
      <c r="X313" s="64"/>
      <c r="Y313" s="64"/>
      <c r="Z313" s="64"/>
      <c r="AA313" s="64"/>
      <c r="AB313" s="232"/>
      <c r="AC313" s="64"/>
      <c r="AD313" s="64">
        <v>499750</v>
      </c>
      <c r="AE313" s="71" t="s">
        <v>26</v>
      </c>
    </row>
    <row r="314" spans="1:32" ht="21" customHeight="1">
      <c r="A314" s="57"/>
      <c r="B314" s="58"/>
      <c r="C314" s="58"/>
      <c r="D314" s="307"/>
      <c r="E314" s="174"/>
      <c r="F314" s="174"/>
      <c r="G314" s="174"/>
      <c r="H314" s="174"/>
      <c r="I314" s="174"/>
      <c r="J314" s="174"/>
      <c r="K314" s="174"/>
      <c r="L314" s="174"/>
      <c r="M314" s="174"/>
      <c r="N314" s="96"/>
      <c r="O314" s="355" t="s">
        <v>615</v>
      </c>
      <c r="P314" s="63"/>
      <c r="Q314" s="63"/>
      <c r="R314" s="63"/>
      <c r="S314" s="64"/>
      <c r="T314" s="64"/>
      <c r="U314" s="64"/>
      <c r="V314" s="64"/>
      <c r="W314" s="64"/>
      <c r="X314" s="64"/>
      <c r="Y314" s="64"/>
      <c r="Z314" s="64"/>
      <c r="AA314" s="64"/>
      <c r="AB314" s="232"/>
      <c r="AC314" s="64"/>
      <c r="AD314" s="64">
        <v>3684</v>
      </c>
      <c r="AE314" s="71" t="s">
        <v>26</v>
      </c>
    </row>
    <row r="315" spans="1:32" s="15" customFormat="1" ht="21" customHeight="1">
      <c r="A315" s="57"/>
      <c r="B315" s="73"/>
      <c r="C315" s="59"/>
      <c r="D315" s="307"/>
      <c r="E315" s="174"/>
      <c r="F315" s="174"/>
      <c r="G315" s="174"/>
      <c r="H315" s="174"/>
      <c r="I315" s="174"/>
      <c r="J315" s="174"/>
      <c r="K315" s="174"/>
      <c r="L315" s="174"/>
      <c r="M315" s="174"/>
      <c r="N315" s="96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4"/>
      <c r="AE315" s="71"/>
      <c r="AF315" s="4"/>
    </row>
    <row r="316" spans="1:32" s="12" customFormat="1" ht="21" customHeight="1">
      <c r="A316" s="47" t="s">
        <v>274</v>
      </c>
      <c r="B316" s="432" t="s">
        <v>21</v>
      </c>
      <c r="C316" s="433"/>
      <c r="D316" s="327">
        <v>200</v>
      </c>
      <c r="E316" s="328">
        <f>E317</f>
        <v>200</v>
      </c>
      <c r="F316" s="328">
        <f t="shared" ref="F316:L316" si="14">F317</f>
        <v>0</v>
      </c>
      <c r="G316" s="328">
        <f t="shared" si="14"/>
        <v>0</v>
      </c>
      <c r="H316" s="328">
        <f t="shared" si="14"/>
        <v>0</v>
      </c>
      <c r="I316" s="328">
        <f t="shared" si="14"/>
        <v>200</v>
      </c>
      <c r="J316" s="328">
        <f t="shared" si="14"/>
        <v>0</v>
      </c>
      <c r="K316" s="328">
        <f t="shared" si="14"/>
        <v>0</v>
      </c>
      <c r="L316" s="328">
        <f t="shared" si="14"/>
        <v>0</v>
      </c>
      <c r="M316" s="328">
        <f>E316-D316</f>
        <v>0</v>
      </c>
      <c r="N316" s="329">
        <f>IF(D316=0,0,M316/D316)</f>
        <v>0</v>
      </c>
      <c r="O316" s="330" t="s">
        <v>274</v>
      </c>
      <c r="P316" s="330"/>
      <c r="Q316" s="330"/>
      <c r="R316" s="330"/>
      <c r="S316" s="331"/>
      <c r="T316" s="331"/>
      <c r="U316" s="331"/>
      <c r="V316" s="331"/>
      <c r="W316" s="331"/>
      <c r="X316" s="331"/>
      <c r="Y316" s="331"/>
      <c r="Z316" s="331"/>
      <c r="AA316" s="331"/>
      <c r="AB316" s="331"/>
      <c r="AC316" s="331"/>
      <c r="AD316" s="331">
        <f>SUM(AD317)</f>
        <v>200000</v>
      </c>
      <c r="AE316" s="332" t="s">
        <v>26</v>
      </c>
      <c r="AF316" s="1"/>
    </row>
    <row r="317" spans="1:32" s="12" customFormat="1" ht="21" customHeight="1">
      <c r="A317" s="57"/>
      <c r="B317" s="58" t="s">
        <v>274</v>
      </c>
      <c r="C317" s="58" t="s">
        <v>274</v>
      </c>
      <c r="D317" s="307">
        <v>200</v>
      </c>
      <c r="E317" s="174">
        <f>AD317/1000</f>
        <v>200</v>
      </c>
      <c r="F317" s="174">
        <v>0</v>
      </c>
      <c r="G317" s="174">
        <v>0</v>
      </c>
      <c r="H317" s="174">
        <v>0</v>
      </c>
      <c r="I317" s="174">
        <v>200</v>
      </c>
      <c r="J317" s="174">
        <v>0</v>
      </c>
      <c r="K317" s="174">
        <v>0</v>
      </c>
      <c r="L317" s="174">
        <v>0</v>
      </c>
      <c r="M317" s="174">
        <f>E317-D317</f>
        <v>0</v>
      </c>
      <c r="N317" s="96">
        <f>IF(D317=0,0,M317/D317)</f>
        <v>0</v>
      </c>
      <c r="O317" s="182" t="s">
        <v>275</v>
      </c>
      <c r="P317" s="44"/>
      <c r="Q317" s="44"/>
      <c r="R317" s="44"/>
      <c r="S317" s="44"/>
      <c r="T317" s="45"/>
      <c r="U317" s="45"/>
      <c r="V317" s="45"/>
      <c r="W317" s="45"/>
      <c r="X317" s="45"/>
      <c r="Y317" s="331" t="s">
        <v>521</v>
      </c>
      <c r="Z317" s="163"/>
      <c r="AA317" s="163"/>
      <c r="AB317" s="163"/>
      <c r="AC317" s="184"/>
      <c r="AD317" s="184">
        <f>AD318</f>
        <v>200000</v>
      </c>
      <c r="AE317" s="185" t="s">
        <v>26</v>
      </c>
      <c r="AF317" s="1"/>
    </row>
    <row r="318" spans="1:32" s="12" customFormat="1" ht="21" customHeight="1">
      <c r="A318" s="57"/>
      <c r="B318" s="58"/>
      <c r="C318" s="58"/>
      <c r="D318" s="307"/>
      <c r="E318" s="174"/>
      <c r="F318" s="174"/>
      <c r="G318" s="174"/>
      <c r="H318" s="174"/>
      <c r="I318" s="174"/>
      <c r="J318" s="174"/>
      <c r="K318" s="174"/>
      <c r="L318" s="174"/>
      <c r="M318" s="174"/>
      <c r="N318" s="96"/>
      <c r="O318" s="303" t="s">
        <v>386</v>
      </c>
      <c r="P318" s="63"/>
      <c r="Q318" s="63"/>
      <c r="R318" s="63"/>
      <c r="S318" s="64"/>
      <c r="T318" s="64"/>
      <c r="U318" s="64"/>
      <c r="V318" s="64"/>
      <c r="W318" s="64"/>
      <c r="X318" s="64"/>
      <c r="Y318" s="64"/>
      <c r="Z318" s="64"/>
      <c r="AA318" s="64"/>
      <c r="AB318" s="261"/>
      <c r="AC318" s="64"/>
      <c r="AD318" s="64">
        <v>200000</v>
      </c>
      <c r="AE318" s="71" t="s">
        <v>217</v>
      </c>
      <c r="AF318" s="1"/>
    </row>
    <row r="319" spans="1:32" s="1" customFormat="1" ht="21" customHeight="1" thickBot="1">
      <c r="A319" s="227"/>
      <c r="B319" s="58"/>
      <c r="C319" s="58"/>
      <c r="D319" s="307"/>
      <c r="E319" s="174"/>
      <c r="F319" s="174"/>
      <c r="G319" s="174"/>
      <c r="H319" s="174"/>
      <c r="I319" s="174"/>
      <c r="J319" s="174"/>
      <c r="K319" s="174"/>
      <c r="L319" s="174"/>
      <c r="M319" s="174"/>
      <c r="N319" s="96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  <c r="AC319" s="88"/>
      <c r="AD319" s="88"/>
      <c r="AE319" s="230"/>
    </row>
    <row r="320" spans="1:32" s="12" customFormat="1" ht="21" customHeight="1">
      <c r="A320" s="47" t="s">
        <v>22</v>
      </c>
      <c r="B320" s="430" t="s">
        <v>21</v>
      </c>
      <c r="C320" s="431"/>
      <c r="D320" s="372">
        <v>200</v>
      </c>
      <c r="E320" s="373">
        <f>SUM(E321)</f>
        <v>200</v>
      </c>
      <c r="F320" s="373">
        <f t="shared" ref="F320:L320" si="15">SUM(F321)</f>
        <v>100</v>
      </c>
      <c r="G320" s="373">
        <f t="shared" si="15"/>
        <v>20</v>
      </c>
      <c r="H320" s="373">
        <f t="shared" si="15"/>
        <v>20</v>
      </c>
      <c r="I320" s="373">
        <f t="shared" si="15"/>
        <v>20</v>
      </c>
      <c r="J320" s="373">
        <f t="shared" si="15"/>
        <v>20</v>
      </c>
      <c r="K320" s="373">
        <f t="shared" si="15"/>
        <v>10</v>
      </c>
      <c r="L320" s="373">
        <f t="shared" si="15"/>
        <v>10</v>
      </c>
      <c r="M320" s="373">
        <f>E320-D320</f>
        <v>0</v>
      </c>
      <c r="N320" s="374">
        <f>IF(D320=0,0,M320/D320)</f>
        <v>0</v>
      </c>
      <c r="O320" s="319" t="s">
        <v>22</v>
      </c>
      <c r="P320" s="320"/>
      <c r="Q320" s="320"/>
      <c r="R320" s="320"/>
      <c r="S320" s="321"/>
      <c r="T320" s="321"/>
      <c r="U320" s="321"/>
      <c r="V320" s="321"/>
      <c r="W320" s="321"/>
      <c r="X320" s="321"/>
      <c r="Y320" s="321"/>
      <c r="Z320" s="321"/>
      <c r="AA320" s="321"/>
      <c r="AB320" s="321"/>
      <c r="AC320" s="321"/>
      <c r="AD320" s="321">
        <v>200000</v>
      </c>
      <c r="AE320" s="322" t="s">
        <v>26</v>
      </c>
      <c r="AF320" s="1"/>
    </row>
    <row r="321" spans="1:32" s="12" customFormat="1" ht="21" customHeight="1">
      <c r="A321" s="57"/>
      <c r="B321" s="58" t="s">
        <v>22</v>
      </c>
      <c r="C321" s="58" t="s">
        <v>22</v>
      </c>
      <c r="D321" s="307">
        <v>200</v>
      </c>
      <c r="E321" s="174">
        <f>SUM(F321:L321)</f>
        <v>200</v>
      </c>
      <c r="F321" s="174">
        <v>100</v>
      </c>
      <c r="G321" s="174">
        <v>20</v>
      </c>
      <c r="H321" s="174">
        <v>20</v>
      </c>
      <c r="I321" s="174">
        <v>20</v>
      </c>
      <c r="J321" s="174">
        <v>20</v>
      </c>
      <c r="K321" s="174">
        <v>10</v>
      </c>
      <c r="L321" s="174">
        <v>10</v>
      </c>
      <c r="M321" s="174">
        <f>E321-D321</f>
        <v>0</v>
      </c>
      <c r="N321" s="96">
        <f>IF(D321=0,0,M321/D321)</f>
        <v>0</v>
      </c>
      <c r="O321" s="182" t="s">
        <v>57</v>
      </c>
      <c r="P321" s="44"/>
      <c r="Q321" s="44"/>
      <c r="R321" s="44"/>
      <c r="S321" s="44"/>
      <c r="T321" s="45"/>
      <c r="U321" s="45"/>
      <c r="V321" s="45"/>
      <c r="W321" s="45"/>
      <c r="X321" s="45"/>
      <c r="Y321" s="331" t="s">
        <v>521</v>
      </c>
      <c r="Z321" s="163"/>
      <c r="AA321" s="163"/>
      <c r="AB321" s="163"/>
      <c r="AC321" s="184"/>
      <c r="AD321" s="184">
        <f>SUM(AD322:AD323)</f>
        <v>0</v>
      </c>
      <c r="AE321" s="185" t="s">
        <v>26</v>
      </c>
      <c r="AF321" s="1"/>
    </row>
    <row r="322" spans="1:32" s="12" customFormat="1" ht="21" customHeight="1">
      <c r="A322" s="57"/>
      <c r="B322" s="58"/>
      <c r="C322" s="58"/>
      <c r="D322" s="307"/>
      <c r="E322" s="174"/>
      <c r="F322" s="174"/>
      <c r="G322" s="174"/>
      <c r="H322" s="174"/>
      <c r="I322" s="174"/>
      <c r="J322" s="174"/>
      <c r="K322" s="174"/>
      <c r="L322" s="174"/>
      <c r="M322" s="174"/>
      <c r="N322" s="96"/>
      <c r="O322" s="303" t="s">
        <v>330</v>
      </c>
      <c r="P322" s="233"/>
      <c r="Q322" s="233"/>
      <c r="R322" s="233"/>
      <c r="S322" s="233"/>
      <c r="T322" s="232"/>
      <c r="U322" s="232"/>
      <c r="V322" s="232"/>
      <c r="W322" s="232"/>
      <c r="X322" s="232"/>
      <c r="Y322" s="232"/>
      <c r="Z322" s="232"/>
      <c r="AA322" s="232"/>
      <c r="AB322" s="232"/>
      <c r="AC322" s="92"/>
      <c r="AD322" s="92">
        <v>0</v>
      </c>
      <c r="AE322" s="71" t="s">
        <v>77</v>
      </c>
      <c r="AF322" s="2"/>
    </row>
    <row r="323" spans="1:32" s="12" customFormat="1" ht="21" customHeight="1">
      <c r="A323" s="57"/>
      <c r="B323" s="58"/>
      <c r="C323" s="58"/>
      <c r="D323" s="307"/>
      <c r="E323" s="174"/>
      <c r="F323" s="174"/>
      <c r="G323" s="174"/>
      <c r="H323" s="174"/>
      <c r="I323" s="174"/>
      <c r="J323" s="174"/>
      <c r="K323" s="174"/>
      <c r="L323" s="174"/>
      <c r="M323" s="174"/>
      <c r="N323" s="96"/>
      <c r="O323" s="303" t="s">
        <v>331</v>
      </c>
      <c r="P323" s="233"/>
      <c r="Q323" s="233"/>
      <c r="R323" s="233"/>
      <c r="S323" s="233"/>
      <c r="T323" s="232"/>
      <c r="U323" s="232"/>
      <c r="V323" s="232"/>
      <c r="W323" s="232"/>
      <c r="X323" s="232"/>
      <c r="Y323" s="232"/>
      <c r="Z323" s="232"/>
      <c r="AA323" s="232"/>
      <c r="AB323" s="232"/>
      <c r="AC323" s="92"/>
      <c r="AD323" s="92">
        <v>0</v>
      </c>
      <c r="AE323" s="71" t="s">
        <v>77</v>
      </c>
      <c r="AF323" s="2"/>
    </row>
    <row r="324" spans="1:32" s="1" customFormat="1" ht="21" customHeight="1" thickBot="1">
      <c r="A324" s="227"/>
      <c r="B324" s="166"/>
      <c r="C324" s="166"/>
      <c r="D324" s="312"/>
      <c r="E324" s="228"/>
      <c r="F324" s="228"/>
      <c r="G324" s="228"/>
      <c r="H324" s="228"/>
      <c r="I324" s="228"/>
      <c r="J324" s="228"/>
      <c r="K324" s="228"/>
      <c r="L324" s="228"/>
      <c r="M324" s="228"/>
      <c r="N324" s="229"/>
      <c r="O324" s="88"/>
      <c r="P324" s="88"/>
      <c r="Q324" s="88"/>
      <c r="R324" s="88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90"/>
    </row>
  </sheetData>
  <mergeCells count="25">
    <mergeCell ref="O39:P39"/>
    <mergeCell ref="O40:P40"/>
    <mergeCell ref="O41:P41"/>
    <mergeCell ref="O42:P42"/>
    <mergeCell ref="O2:AE3"/>
    <mergeCell ref="O38:P38"/>
    <mergeCell ref="A1:C1"/>
    <mergeCell ref="B5:C5"/>
    <mergeCell ref="A4:C4"/>
    <mergeCell ref="M2:N2"/>
    <mergeCell ref="A2:C2"/>
    <mergeCell ref="D2:D3"/>
    <mergeCell ref="E2:L2"/>
    <mergeCell ref="V155:W155"/>
    <mergeCell ref="V127:W127"/>
    <mergeCell ref="V158:W158"/>
    <mergeCell ref="V110:W110"/>
    <mergeCell ref="O147:S147"/>
    <mergeCell ref="V157:W157"/>
    <mergeCell ref="V115:W115"/>
    <mergeCell ref="B320:C320"/>
    <mergeCell ref="B316:C316"/>
    <mergeCell ref="B305:C305"/>
    <mergeCell ref="B198:C198"/>
    <mergeCell ref="B177:C177"/>
  </mergeCells>
  <phoneticPr fontId="4" type="noConversion"/>
  <printOptions horizontalCentered="1"/>
  <pageMargins left="3.937007874015748E-2" right="0.11811023622047245" top="0.35433070866141736" bottom="0.35433070866141736" header="0.15748031496062992" footer="0.15748031496062992"/>
  <pageSetup paperSize="9" scale="65" firstPageNumber="23" orientation="landscape" r:id="rId1"/>
  <headerFooter alignWithMargins="0">
    <oddFooter>&amp;C&amp;P/&amp;N&amp;R장애인생활시설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K22"/>
  <sheetViews>
    <sheetView topLeftCell="E5" workbookViewId="0">
      <selection activeCell="K17" sqref="K17"/>
    </sheetView>
  </sheetViews>
  <sheetFormatPr defaultRowHeight="16.5"/>
  <cols>
    <col min="1" max="1" width="1.44140625" style="240" customWidth="1"/>
    <col min="2" max="2" width="11.5546875" style="240" bestFit="1" customWidth="1"/>
    <col min="3" max="3" width="13.33203125" style="240" bestFit="1" customWidth="1"/>
    <col min="4" max="5" width="15.44140625" style="240" bestFit="1" customWidth="1"/>
    <col min="6" max="6" width="14.21875" style="240" bestFit="1" customWidth="1"/>
    <col min="7" max="7" width="9.6640625" style="240" bestFit="1" customWidth="1"/>
    <col min="8" max="8" width="13.33203125" style="240" bestFit="1" customWidth="1"/>
    <col min="9" max="10" width="15.44140625" style="240" bestFit="1" customWidth="1"/>
    <col min="11" max="11" width="13.77734375" style="240" bestFit="1" customWidth="1"/>
    <col min="12" max="16384" width="8.88671875" style="240"/>
  </cols>
  <sheetData>
    <row r="1" spans="2:11" ht="9.9499999999999993" customHeight="1"/>
    <row r="2" spans="2:11" ht="26.25">
      <c r="B2" s="241" t="s">
        <v>648</v>
      </c>
      <c r="K2" s="242" t="s">
        <v>343</v>
      </c>
    </row>
    <row r="3" spans="2:11" ht="9.9499999999999993" customHeight="1" thickBot="1"/>
    <row r="4" spans="2:11" ht="30" customHeight="1">
      <c r="B4" s="395" t="s">
        <v>344</v>
      </c>
      <c r="C4" s="396"/>
      <c r="D4" s="396"/>
      <c r="E4" s="396"/>
      <c r="F4" s="397"/>
      <c r="G4" s="395" t="s">
        <v>345</v>
      </c>
      <c r="H4" s="396"/>
      <c r="I4" s="396"/>
      <c r="J4" s="396"/>
      <c r="K4" s="398"/>
    </row>
    <row r="5" spans="2:11" ht="16.5" customHeight="1">
      <c r="B5" s="399" t="s">
        <v>346</v>
      </c>
      <c r="C5" s="400"/>
      <c r="D5" s="403" t="s">
        <v>646</v>
      </c>
      <c r="E5" s="403" t="s">
        <v>647</v>
      </c>
      <c r="F5" s="405" t="s">
        <v>347</v>
      </c>
      <c r="G5" s="399" t="s">
        <v>346</v>
      </c>
      <c r="H5" s="400"/>
      <c r="I5" s="403" t="s">
        <v>646</v>
      </c>
      <c r="J5" s="403" t="s">
        <v>647</v>
      </c>
      <c r="K5" s="407" t="s">
        <v>347</v>
      </c>
    </row>
    <row r="6" spans="2:11" ht="22.5" customHeight="1" thickBot="1">
      <c r="B6" s="401"/>
      <c r="C6" s="402"/>
      <c r="D6" s="404"/>
      <c r="E6" s="404"/>
      <c r="F6" s="406"/>
      <c r="G6" s="401"/>
      <c r="H6" s="402"/>
      <c r="I6" s="404"/>
      <c r="J6" s="404"/>
      <c r="K6" s="408"/>
    </row>
    <row r="7" spans="2:11" ht="24.95" customHeight="1" thickTop="1">
      <c r="B7" s="386" t="s">
        <v>348</v>
      </c>
      <c r="C7" s="393"/>
      <c r="D7" s="243">
        <f t="shared" ref="D7:E7" si="0">SUM(D8:D16)</f>
        <v>1972552000</v>
      </c>
      <c r="E7" s="243">
        <f t="shared" si="0"/>
        <v>1955397000</v>
      </c>
      <c r="F7" s="244">
        <f>SUM(F8:F16)</f>
        <v>-17155000</v>
      </c>
      <c r="G7" s="386" t="s">
        <v>348</v>
      </c>
      <c r="H7" s="393"/>
      <c r="I7" s="243">
        <f t="shared" ref="I7:K7" si="1">SUM(I8:I22)</f>
        <v>1972552000</v>
      </c>
      <c r="J7" s="243">
        <f t="shared" si="1"/>
        <v>1955397000</v>
      </c>
      <c r="K7" s="245">
        <f t="shared" si="1"/>
        <v>-17155000</v>
      </c>
    </row>
    <row r="8" spans="2:11" ht="24.95" customHeight="1">
      <c r="B8" s="380" t="s">
        <v>349</v>
      </c>
      <c r="C8" s="247" t="s">
        <v>350</v>
      </c>
      <c r="D8" s="248">
        <v>57000000</v>
      </c>
      <c r="E8" s="248">
        <v>57000000</v>
      </c>
      <c r="F8" s="249">
        <f>E8-D8</f>
        <v>0</v>
      </c>
      <c r="G8" s="384" t="s">
        <v>351</v>
      </c>
      <c r="H8" s="247" t="s">
        <v>352</v>
      </c>
      <c r="I8" s="248">
        <v>1259461000</v>
      </c>
      <c r="J8" s="248">
        <v>1254437000</v>
      </c>
      <c r="K8" s="250">
        <f>J8-I8</f>
        <v>-5024000</v>
      </c>
    </row>
    <row r="9" spans="2:11" ht="24.95" customHeight="1">
      <c r="B9" s="394" t="s">
        <v>353</v>
      </c>
      <c r="C9" s="247" t="s">
        <v>354</v>
      </c>
      <c r="D9" s="248">
        <v>1179537000</v>
      </c>
      <c r="E9" s="248">
        <v>1167909000</v>
      </c>
      <c r="F9" s="249">
        <f t="shared" ref="F9:F16" si="2">E9-D9</f>
        <v>-11628000</v>
      </c>
      <c r="G9" s="385"/>
      <c r="H9" s="247" t="s">
        <v>355</v>
      </c>
      <c r="I9" s="248">
        <v>2420000</v>
      </c>
      <c r="J9" s="248">
        <v>2420000</v>
      </c>
      <c r="K9" s="250">
        <f t="shared" ref="K9:K21" si="3">J9-I9</f>
        <v>0</v>
      </c>
    </row>
    <row r="10" spans="2:11" ht="24.95" customHeight="1">
      <c r="B10" s="394"/>
      <c r="C10" s="247" t="s">
        <v>356</v>
      </c>
      <c r="D10" s="248">
        <v>0</v>
      </c>
      <c r="E10" s="248">
        <v>0</v>
      </c>
      <c r="F10" s="249">
        <f t="shared" si="2"/>
        <v>0</v>
      </c>
      <c r="G10" s="386"/>
      <c r="H10" s="247" t="s">
        <v>357</v>
      </c>
      <c r="I10" s="248">
        <v>75248000</v>
      </c>
      <c r="J10" s="248">
        <v>74558000</v>
      </c>
      <c r="K10" s="250">
        <f t="shared" si="3"/>
        <v>-690000</v>
      </c>
    </row>
    <row r="11" spans="2:11" ht="24.95" customHeight="1">
      <c r="B11" s="394"/>
      <c r="C11" s="247" t="s">
        <v>358</v>
      </c>
      <c r="D11" s="248">
        <v>212241000</v>
      </c>
      <c r="E11" s="248">
        <v>206775000</v>
      </c>
      <c r="F11" s="249">
        <f t="shared" si="2"/>
        <v>-5466000</v>
      </c>
      <c r="G11" s="384" t="s">
        <v>359</v>
      </c>
      <c r="H11" s="247" t="s">
        <v>360</v>
      </c>
      <c r="I11" s="248">
        <v>10000000</v>
      </c>
      <c r="J11" s="248">
        <v>10000000</v>
      </c>
      <c r="K11" s="250">
        <f t="shared" si="3"/>
        <v>0</v>
      </c>
    </row>
    <row r="12" spans="2:11" ht="24.95" customHeight="1">
      <c r="B12" s="394" t="s">
        <v>361</v>
      </c>
      <c r="C12" s="247" t="s">
        <v>362</v>
      </c>
      <c r="D12" s="248">
        <v>15200000</v>
      </c>
      <c r="E12" s="248">
        <v>15200000</v>
      </c>
      <c r="F12" s="249">
        <f t="shared" si="2"/>
        <v>0</v>
      </c>
      <c r="G12" s="385"/>
      <c r="H12" s="247" t="s">
        <v>363</v>
      </c>
      <c r="I12" s="248">
        <v>317490000</v>
      </c>
      <c r="J12" s="248">
        <v>317490000</v>
      </c>
      <c r="K12" s="250">
        <f t="shared" si="3"/>
        <v>0</v>
      </c>
    </row>
    <row r="13" spans="2:11" ht="24.95" customHeight="1">
      <c r="B13" s="394"/>
      <c r="C13" s="247" t="s">
        <v>364</v>
      </c>
      <c r="D13" s="248">
        <v>56000000</v>
      </c>
      <c r="E13" s="248">
        <v>56000000</v>
      </c>
      <c r="F13" s="249">
        <f t="shared" si="2"/>
        <v>0</v>
      </c>
      <c r="G13" s="386"/>
      <c r="H13" s="247" t="s">
        <v>365</v>
      </c>
      <c r="I13" s="248">
        <v>5812000</v>
      </c>
      <c r="J13" s="248">
        <v>5812000</v>
      </c>
      <c r="K13" s="250">
        <f t="shared" si="3"/>
        <v>0</v>
      </c>
    </row>
    <row r="14" spans="2:11" ht="24.95" customHeight="1">
      <c r="B14" s="380" t="s">
        <v>366</v>
      </c>
      <c r="C14" s="247" t="s">
        <v>367</v>
      </c>
      <c r="D14" s="248">
        <v>353739000</v>
      </c>
      <c r="E14" s="248">
        <v>353679000</v>
      </c>
      <c r="F14" s="249">
        <f t="shared" si="2"/>
        <v>-60000</v>
      </c>
      <c r="G14" s="384" t="s">
        <v>368</v>
      </c>
      <c r="H14" s="247" t="s">
        <v>369</v>
      </c>
      <c r="I14" s="248">
        <v>152612000</v>
      </c>
      <c r="J14" s="248">
        <v>140586000</v>
      </c>
      <c r="K14" s="250">
        <f t="shared" si="3"/>
        <v>-12026000</v>
      </c>
    </row>
    <row r="15" spans="2:11" ht="24.95" customHeight="1">
      <c r="B15" s="380" t="s">
        <v>370</v>
      </c>
      <c r="C15" s="247" t="s">
        <v>371</v>
      </c>
      <c r="D15" s="248">
        <v>67435000</v>
      </c>
      <c r="E15" s="248">
        <v>67434000</v>
      </c>
      <c r="F15" s="249">
        <f t="shared" si="2"/>
        <v>-1000</v>
      </c>
      <c r="G15" s="385"/>
      <c r="H15" s="247" t="s">
        <v>372</v>
      </c>
      <c r="I15" s="248">
        <v>4600000</v>
      </c>
      <c r="J15" s="248">
        <v>4600000</v>
      </c>
      <c r="K15" s="250">
        <f t="shared" si="3"/>
        <v>0</v>
      </c>
    </row>
    <row r="16" spans="2:11" ht="24.95" customHeight="1">
      <c r="B16" s="380" t="s">
        <v>373</v>
      </c>
      <c r="C16" s="247" t="s">
        <v>374</v>
      </c>
      <c r="D16" s="248">
        <v>31400000</v>
      </c>
      <c r="E16" s="248">
        <v>31400000</v>
      </c>
      <c r="F16" s="249">
        <f t="shared" si="2"/>
        <v>0</v>
      </c>
      <c r="G16" s="385"/>
      <c r="H16" s="247" t="s">
        <v>375</v>
      </c>
      <c r="I16" s="248">
        <v>11812000</v>
      </c>
      <c r="J16" s="248">
        <v>10457000</v>
      </c>
      <c r="K16" s="250">
        <f t="shared" si="3"/>
        <v>-1355000</v>
      </c>
    </row>
    <row r="17" spans="2:11" ht="24.95" customHeight="1">
      <c r="B17" s="387"/>
      <c r="C17" s="388"/>
      <c r="D17" s="388"/>
      <c r="E17" s="388"/>
      <c r="F17" s="388"/>
      <c r="G17" s="385"/>
      <c r="H17" s="247" t="s">
        <v>376</v>
      </c>
      <c r="I17" s="248">
        <v>6450000</v>
      </c>
      <c r="J17" s="248">
        <v>6170000</v>
      </c>
      <c r="K17" s="250">
        <f t="shared" si="3"/>
        <v>-280000</v>
      </c>
    </row>
    <row r="18" spans="2:11" ht="24.95" customHeight="1">
      <c r="B18" s="389"/>
      <c r="C18" s="390"/>
      <c r="D18" s="390"/>
      <c r="E18" s="390"/>
      <c r="F18" s="390"/>
      <c r="G18" s="385"/>
      <c r="H18" s="247" t="s">
        <v>377</v>
      </c>
      <c r="I18" s="248">
        <v>24720000</v>
      </c>
      <c r="J18" s="248">
        <v>26040000</v>
      </c>
      <c r="K18" s="250">
        <f t="shared" si="3"/>
        <v>1320000</v>
      </c>
    </row>
    <row r="19" spans="2:11" ht="24.95" customHeight="1">
      <c r="B19" s="389"/>
      <c r="C19" s="390"/>
      <c r="D19" s="390"/>
      <c r="E19" s="390"/>
      <c r="F19" s="390"/>
      <c r="G19" s="386"/>
      <c r="H19" s="247" t="s">
        <v>378</v>
      </c>
      <c r="I19" s="248">
        <v>91418000</v>
      </c>
      <c r="J19" s="248">
        <v>92318000</v>
      </c>
      <c r="K19" s="250">
        <f t="shared" si="3"/>
        <v>900000</v>
      </c>
    </row>
    <row r="20" spans="2:11" ht="24.95" customHeight="1">
      <c r="B20" s="389"/>
      <c r="C20" s="390"/>
      <c r="D20" s="390"/>
      <c r="E20" s="390"/>
      <c r="F20" s="390"/>
      <c r="G20" s="375" t="s">
        <v>619</v>
      </c>
      <c r="H20" s="247" t="s">
        <v>379</v>
      </c>
      <c r="I20" s="248">
        <v>10109000</v>
      </c>
      <c r="J20" s="248">
        <v>10109000</v>
      </c>
      <c r="K20" s="250">
        <f t="shared" si="3"/>
        <v>0</v>
      </c>
    </row>
    <row r="21" spans="2:11" ht="24.95" customHeight="1">
      <c r="B21" s="389"/>
      <c r="C21" s="390"/>
      <c r="D21" s="390"/>
      <c r="E21" s="390"/>
      <c r="F21" s="390"/>
      <c r="G21" s="380" t="s">
        <v>380</v>
      </c>
      <c r="H21" s="247" t="s">
        <v>381</v>
      </c>
      <c r="I21" s="248">
        <v>200000</v>
      </c>
      <c r="J21" s="248">
        <v>200000</v>
      </c>
      <c r="K21" s="250">
        <f t="shared" si="3"/>
        <v>0</v>
      </c>
    </row>
    <row r="22" spans="2:11" ht="24.95" customHeight="1" thickBot="1">
      <c r="B22" s="391"/>
      <c r="C22" s="392"/>
      <c r="D22" s="392"/>
      <c r="E22" s="392"/>
      <c r="F22" s="392"/>
      <c r="G22" s="251" t="s">
        <v>382</v>
      </c>
      <c r="H22" s="252" t="s">
        <v>383</v>
      </c>
      <c r="I22" s="253">
        <v>200000</v>
      </c>
      <c r="J22" s="253">
        <v>200000</v>
      </c>
      <c r="K22" s="254">
        <f>J22-I22</f>
        <v>0</v>
      </c>
    </row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G14:G19"/>
    <mergeCell ref="B17:F22"/>
    <mergeCell ref="B7:C7"/>
    <mergeCell ref="G7:H7"/>
    <mergeCell ref="G8:G10"/>
    <mergeCell ref="B9:B11"/>
    <mergeCell ref="G11:G13"/>
    <mergeCell ref="B12:B13"/>
  </mergeCells>
  <phoneticPr fontId="4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26</vt:i4>
      </vt:variant>
    </vt:vector>
  </HeadingPairs>
  <TitlesOfParts>
    <vt:vector size="30" baseType="lpstr">
      <vt:lpstr>세입세출총괄표</vt:lpstr>
      <vt:lpstr>세입</vt:lpstr>
      <vt:lpstr>세출</vt:lpstr>
      <vt:lpstr>증감사유</vt:lpstr>
      <vt:lpstr>세출!가족수당</vt:lpstr>
      <vt:lpstr>세입!가족수당1</vt:lpstr>
      <vt:lpstr>세입!기본급</vt:lpstr>
      <vt:lpstr>세출!기본급</vt:lpstr>
      <vt:lpstr>세입!기본급1</vt:lpstr>
      <vt:lpstr>세출!기본급7종</vt:lpstr>
      <vt:lpstr>세출!기본급법인</vt:lpstr>
      <vt:lpstr>세출!명절휴가비</vt:lpstr>
      <vt:lpstr>세입!명절휴가비1</vt:lpstr>
      <vt:lpstr>세입!사회보험1</vt:lpstr>
      <vt:lpstr>세입!사회보험부담금</vt:lpstr>
      <vt:lpstr>세출!연장근로수당</vt:lpstr>
      <vt:lpstr>세입!연장근로수당1</vt:lpstr>
      <vt:lpstr>세입!운영비지원금</vt:lpstr>
      <vt:lpstr>세입!인건비지원금</vt:lpstr>
      <vt:lpstr>세입!입소자지원금</vt:lpstr>
      <vt:lpstr>세입!제수당</vt:lpstr>
      <vt:lpstr>세입!제수당1</vt:lpstr>
      <vt:lpstr>세출!제수당총액</vt:lpstr>
      <vt:lpstr>세입!퇴직금적립금</vt:lpstr>
      <vt:lpstr>세입!퇴직적립금1</vt:lpstr>
      <vt:lpstr>세입!특수근무수당</vt:lpstr>
      <vt:lpstr>세입!프로그램지원금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CGSComputer</cp:lastModifiedBy>
  <cp:revision>65</cp:revision>
  <cp:lastPrinted>2012-04-06T07:48:20Z</cp:lastPrinted>
  <dcterms:created xsi:type="dcterms:W3CDTF">2003-12-18T04:11:57Z</dcterms:created>
  <dcterms:modified xsi:type="dcterms:W3CDTF">2012-06-13T08:14:31Z</dcterms:modified>
</cp:coreProperties>
</file>