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그룹홈 예산(추경)\마르따\"/>
    </mc:Choice>
  </mc:AlternateContent>
  <bookViews>
    <workbookView xWindow="-15" yWindow="-15" windowWidth="9615" windowHeight="11745" activeTab="2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  <sheet name="보조금배정표1" sheetId="30" r:id="rId6"/>
    <sheet name="보조금배정표2" sheetId="31" r:id="rId7"/>
  </sheets>
  <externalReferences>
    <externalReference r:id="rId8"/>
    <externalReference r:id="rId9"/>
    <externalReference r:id="rId10"/>
  </externalReferences>
  <definedNames>
    <definedName name="_xlnm.Print_Area" localSheetId="1">세입!$A$1:$X$96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[1]세입!#REF!</definedName>
    <definedName name="가계보조수당" localSheetId="6">[1]세입!#REF!</definedName>
    <definedName name="가계보조수당" localSheetId="1">세입!#REF!</definedName>
    <definedName name="가계보조수당" localSheetId="0">[2]세입!#REF!</definedName>
    <definedName name="가계보조수당" localSheetId="4">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5">[1]세입!#REF!</definedName>
    <definedName name="급식비1" localSheetId="6">[1]세입!#REF!</definedName>
    <definedName name="급식비1" localSheetId="0">[2]세입!#REF!</definedName>
    <definedName name="급식비1" localSheetId="4">세입!#REF!</definedName>
    <definedName name="급식비1">세입!#REF!</definedName>
    <definedName name="급여총액" localSheetId="5">[1]세입!#REF!</definedName>
    <definedName name="급여총액" localSheetId="6">[1]세입!#REF!</definedName>
    <definedName name="급여총액" localSheetId="1">세입!#REF!</definedName>
    <definedName name="급여총액" localSheetId="0">[2]세입!#REF!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5">[1]세입!#REF!</definedName>
    <definedName name="기본급" localSheetId="6">[1]세입!#REF!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5">[1]세입!#REF!</definedName>
    <definedName name="사회보험" localSheetId="6">[1]세입!#REF!</definedName>
    <definedName name="사회보험" localSheetId="0">[2]세입!#REF!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[1]세입!#REF!</definedName>
    <definedName name="상여금" localSheetId="6">[1]세입!#REF!</definedName>
    <definedName name="상여금" localSheetId="1">세입!#REF!</definedName>
    <definedName name="상여금" localSheetId="0">[2]세입!#REF!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[1]세입!#REF!</definedName>
    <definedName name="수정제수당총액" localSheetId="6">[1]세입!#REF!</definedName>
    <definedName name="수정제수당총액" localSheetId="0">[2]세입!#REF!</definedName>
    <definedName name="수정제수당총액" localSheetId="4">세입!#REF!</definedName>
    <definedName name="수정제수당총액">세입!#REF!</definedName>
    <definedName name="연장근로수당" localSheetId="2">세출!$AD$22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[1]세입!#REF!</definedName>
    <definedName name="제수당" localSheetId="6">[1]세입!#REF!</definedName>
    <definedName name="제수당" localSheetId="1">세입!#REF!</definedName>
    <definedName name="제수당" localSheetId="0">[2]세입!#REF!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[2]세입!#REF!</definedName>
    <definedName name="증감사유1" localSheetId="4">[2]세입!#REF!</definedName>
    <definedName name="증감사유1">[2]세입!#REF!</definedName>
    <definedName name="직원급식비" localSheetId="5">[1]세입!#REF!</definedName>
    <definedName name="직원급식비" localSheetId="6">[1]세입!#REF!</definedName>
    <definedName name="직원급식비" localSheetId="0">[2]세입!#REF!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5">[1]세입!#REF!</definedName>
    <definedName name="퇴직금" localSheetId="6">[1]세입!#REF!</definedName>
    <definedName name="퇴직금" localSheetId="0">[2]세입!#REF!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[1]세입!#REF!</definedName>
    <definedName name="특수근무수당" localSheetId="6">[1]세입!#REF!</definedName>
    <definedName name="특수근무수당" localSheetId="1">세입!#REF!</definedName>
    <definedName name="특수근무수당" localSheetId="0">[2]세입!#REF!</definedName>
    <definedName name="특수근무수당" localSheetId="4">세입!#REF!</definedName>
    <definedName name="특수근무수당">세입!#REF!</definedName>
    <definedName name="특수근무수당1" localSheetId="5">[1]세입!#REF!</definedName>
    <definedName name="특수근무수당1" localSheetId="6">[1]세입!#REF!</definedName>
    <definedName name="특수근무수당1" localSheetId="1">세입!#REF!</definedName>
    <definedName name="특수근무수당1" localSheetId="0">[2]세입!#REF!</definedName>
    <definedName name="특수근무수당1" localSheetId="4">세입!#REF!</definedName>
    <definedName name="특수근무수당1">세입!#REF!</definedName>
    <definedName name="특수근무수당2" localSheetId="5">[1]세입!#REF!</definedName>
    <definedName name="특수근무수당2" localSheetId="6">[1]세입!#REF!</definedName>
    <definedName name="특수근무수당2" localSheetId="1">세입!#REF!</definedName>
    <definedName name="특수근무수당2" localSheetId="0">[2]세입!#REF!</definedName>
    <definedName name="특수근무수당2" localSheetId="4">세입!#REF!</definedName>
    <definedName name="특수근무수당2">세입!#REF!</definedName>
    <definedName name="특수근무수당3" localSheetId="5">[1]세입!#REF!</definedName>
    <definedName name="특수근무수당3" localSheetId="6">[1]세입!#REF!</definedName>
    <definedName name="특수근무수당3" localSheetId="1">세입!#REF!</definedName>
    <definedName name="특수근무수당3" localSheetId="0">[2]세입!#REF!</definedName>
    <definedName name="특수근무수당3" localSheetId="4">세입!#REF!</definedName>
    <definedName name="특수근무수당3">세입!#REF!</definedName>
    <definedName name="특수근무수당6">[3]세입!#REF!</definedName>
    <definedName name="프로그램지원금" localSheetId="1">세입!#REF!</definedName>
  </definedNames>
  <calcPr calcId="152511"/>
</workbook>
</file>

<file path=xl/calcChain.xml><?xml version="1.0" encoding="utf-8"?>
<calcChain xmlns="http://schemas.openxmlformats.org/spreadsheetml/2006/main">
  <c r="F11" i="22" l="1"/>
  <c r="D4" i="23" l="1"/>
  <c r="D4" i="22"/>
  <c r="I27" i="18"/>
  <c r="I25" i="18"/>
  <c r="I23" i="18"/>
  <c r="I16" i="18"/>
  <c r="I12" i="18"/>
  <c r="I8" i="18"/>
  <c r="I7" i="18" s="1"/>
  <c r="D22" i="18"/>
  <c r="D20" i="18"/>
  <c r="D18" i="18"/>
  <c r="D15" i="18"/>
  <c r="D10" i="18"/>
  <c r="D8" i="18"/>
  <c r="AD141" i="5"/>
  <c r="AD92" i="5"/>
  <c r="AD93" i="5"/>
  <c r="W19" i="4"/>
  <c r="AD20" i="5"/>
  <c r="AD128" i="5"/>
  <c r="AD31" i="5"/>
  <c r="AD30" i="5" s="1"/>
  <c r="AD23" i="5"/>
  <c r="AD16" i="5"/>
  <c r="AD8" i="5"/>
  <c r="L206" i="5"/>
  <c r="K206" i="5"/>
  <c r="J206" i="5"/>
  <c r="I206" i="5"/>
  <c r="H206" i="5"/>
  <c r="G206" i="5"/>
  <c r="F206" i="5"/>
  <c r="L203" i="5"/>
  <c r="K203" i="5"/>
  <c r="J203" i="5"/>
  <c r="I203" i="5"/>
  <c r="H203" i="5"/>
  <c r="G203" i="5"/>
  <c r="F203" i="5"/>
  <c r="L193" i="5"/>
  <c r="K193" i="5"/>
  <c r="J193" i="5"/>
  <c r="I193" i="5"/>
  <c r="H193" i="5"/>
  <c r="G193" i="5"/>
  <c r="F193" i="5"/>
  <c r="L188" i="5"/>
  <c r="K188" i="5"/>
  <c r="I188" i="5"/>
  <c r="H188" i="5"/>
  <c r="G188" i="5"/>
  <c r="F188" i="5"/>
  <c r="L182" i="5"/>
  <c r="K182" i="5"/>
  <c r="I182" i="5"/>
  <c r="H182" i="5"/>
  <c r="G182" i="5"/>
  <c r="F182" i="5"/>
  <c r="L178" i="5"/>
  <c r="K178" i="5"/>
  <c r="I178" i="5"/>
  <c r="H178" i="5"/>
  <c r="G178" i="5"/>
  <c r="F178" i="5"/>
  <c r="L172" i="5"/>
  <c r="K172" i="5"/>
  <c r="I172" i="5"/>
  <c r="H172" i="5"/>
  <c r="G172" i="5"/>
  <c r="F172" i="5"/>
  <c r="L169" i="5"/>
  <c r="K169" i="5"/>
  <c r="I169" i="5"/>
  <c r="H169" i="5"/>
  <c r="G169" i="5"/>
  <c r="F169" i="5"/>
  <c r="L162" i="5"/>
  <c r="K162" i="5"/>
  <c r="I162" i="5"/>
  <c r="H162" i="5"/>
  <c r="G162" i="5"/>
  <c r="F162" i="5"/>
  <c r="L155" i="5"/>
  <c r="K155" i="5"/>
  <c r="I155" i="5"/>
  <c r="H155" i="5"/>
  <c r="G155" i="5"/>
  <c r="F155" i="5"/>
  <c r="L150" i="5"/>
  <c r="K150" i="5"/>
  <c r="I150" i="5"/>
  <c r="H150" i="5"/>
  <c r="G150" i="5"/>
  <c r="L144" i="5"/>
  <c r="K144" i="5"/>
  <c r="J144" i="5"/>
  <c r="I144" i="5"/>
  <c r="H144" i="5"/>
  <c r="G144" i="5"/>
  <c r="L140" i="5"/>
  <c r="K140" i="5"/>
  <c r="I140" i="5"/>
  <c r="H140" i="5"/>
  <c r="G140" i="5"/>
  <c r="L136" i="5"/>
  <c r="K136" i="5"/>
  <c r="J136" i="5"/>
  <c r="I136" i="5"/>
  <c r="H136" i="5"/>
  <c r="G136" i="5"/>
  <c r="F136" i="5"/>
  <c r="L127" i="5"/>
  <c r="K127" i="5"/>
  <c r="J127" i="5"/>
  <c r="I127" i="5"/>
  <c r="H127" i="5"/>
  <c r="G127" i="5"/>
  <c r="L121" i="5"/>
  <c r="K121" i="5"/>
  <c r="J121" i="5"/>
  <c r="I121" i="5"/>
  <c r="H121" i="5"/>
  <c r="G121" i="5"/>
  <c r="F121" i="5"/>
  <c r="L117" i="5"/>
  <c r="K117" i="5"/>
  <c r="J117" i="5"/>
  <c r="I117" i="5"/>
  <c r="H117" i="5"/>
  <c r="G117" i="5"/>
  <c r="F117" i="5"/>
  <c r="L114" i="5"/>
  <c r="K114" i="5"/>
  <c r="J114" i="5"/>
  <c r="I114" i="5"/>
  <c r="H114" i="5"/>
  <c r="G114" i="5"/>
  <c r="F114" i="5"/>
  <c r="L108" i="5"/>
  <c r="K108" i="5"/>
  <c r="I108" i="5"/>
  <c r="H108" i="5"/>
  <c r="G108" i="5"/>
  <c r="L104" i="5"/>
  <c r="K104" i="5"/>
  <c r="J104" i="5"/>
  <c r="I104" i="5"/>
  <c r="H104" i="5"/>
  <c r="G104" i="5"/>
  <c r="F104" i="5"/>
  <c r="L96" i="5"/>
  <c r="K96" i="5"/>
  <c r="J96" i="5"/>
  <c r="I96" i="5"/>
  <c r="H96" i="5"/>
  <c r="G96" i="5"/>
  <c r="L91" i="5"/>
  <c r="K91" i="5"/>
  <c r="J91" i="5"/>
  <c r="I91" i="5"/>
  <c r="H91" i="5"/>
  <c r="G91" i="5"/>
  <c r="L85" i="5"/>
  <c r="K85" i="5"/>
  <c r="J85" i="5"/>
  <c r="I85" i="5"/>
  <c r="H85" i="5"/>
  <c r="G85" i="5"/>
  <c r="F85" i="5"/>
  <c r="L82" i="5"/>
  <c r="K82" i="5"/>
  <c r="I82" i="5"/>
  <c r="H82" i="5"/>
  <c r="G82" i="5"/>
  <c r="F82" i="5"/>
  <c r="L76" i="5"/>
  <c r="J76" i="5"/>
  <c r="I76" i="5"/>
  <c r="H76" i="5"/>
  <c r="G76" i="5"/>
  <c r="L74" i="5"/>
  <c r="K74" i="5"/>
  <c r="J74" i="5"/>
  <c r="I74" i="5"/>
  <c r="H74" i="5"/>
  <c r="G74" i="5"/>
  <c r="F74" i="5"/>
  <c r="L71" i="5"/>
  <c r="K71" i="5"/>
  <c r="J71" i="5"/>
  <c r="I71" i="5"/>
  <c r="H71" i="5"/>
  <c r="G71" i="5"/>
  <c r="F71" i="5"/>
  <c r="L65" i="5"/>
  <c r="K65" i="5"/>
  <c r="J65" i="5"/>
  <c r="G65" i="5"/>
  <c r="F65" i="5"/>
  <c r="L41" i="5"/>
  <c r="K41" i="5"/>
  <c r="J41" i="5"/>
  <c r="H41" i="5"/>
  <c r="G41" i="5"/>
  <c r="L37" i="5"/>
  <c r="K37" i="5"/>
  <c r="J37" i="5"/>
  <c r="H37" i="5"/>
  <c r="G37" i="5"/>
  <c r="L14" i="5"/>
  <c r="K14" i="5"/>
  <c r="J14" i="5"/>
  <c r="H14" i="5"/>
  <c r="G14" i="5"/>
  <c r="L11" i="5"/>
  <c r="K11" i="5"/>
  <c r="J11" i="5"/>
  <c r="I11" i="5"/>
  <c r="G11" i="5"/>
  <c r="F11" i="5"/>
  <c r="L7" i="5"/>
  <c r="K7" i="5"/>
  <c r="J7" i="5"/>
  <c r="I7" i="5"/>
  <c r="H7" i="5"/>
  <c r="G7" i="5"/>
  <c r="G4" i="31"/>
  <c r="H4" i="31" s="1"/>
  <c r="F12" i="22"/>
  <c r="D7" i="18" l="1"/>
  <c r="AD78" i="5"/>
  <c r="AD77" i="5"/>
  <c r="F76" i="5" s="1"/>
  <c r="C16" i="31" l="1"/>
  <c r="F16" i="31"/>
  <c r="E16" i="31"/>
  <c r="D16" i="31"/>
  <c r="B16" i="3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5" i="31"/>
  <c r="H5" i="31" s="1"/>
  <c r="G3" i="31"/>
  <c r="H3" i="31" s="1"/>
  <c r="D16" i="30"/>
  <c r="D18" i="30" s="1"/>
  <c r="D20" i="30" s="1"/>
  <c r="C16" i="30"/>
  <c r="C18" i="30" s="1"/>
  <c r="C20" i="30" s="1"/>
  <c r="B16" i="30"/>
  <c r="B18" i="30" s="1"/>
  <c r="B20" i="30" s="1"/>
  <c r="I10" i="30"/>
  <c r="H10" i="30"/>
  <c r="G10" i="30"/>
  <c r="F127" i="5"/>
  <c r="F91" i="5"/>
  <c r="AD101" i="5"/>
  <c r="W62" i="4"/>
  <c r="AD35" i="5"/>
  <c r="AD34" i="5" s="1"/>
  <c r="AD25" i="5"/>
  <c r="I14" i="5" s="1"/>
  <c r="AD24" i="5"/>
  <c r="AD17" i="5"/>
  <c r="W21" i="4"/>
  <c r="W20" i="4"/>
  <c r="F16" i="23"/>
  <c r="AD121" i="5"/>
  <c r="AD186" i="5"/>
  <c r="AD180" i="5"/>
  <c r="S39" i="5" l="1"/>
  <c r="S45" i="5" s="1"/>
  <c r="G16" i="31"/>
  <c r="H16" i="31" s="1"/>
  <c r="B18" i="31"/>
  <c r="W66" i="4"/>
  <c r="W37" i="4"/>
  <c r="AD39" i="5" l="1"/>
  <c r="I37" i="5" s="1"/>
  <c r="AD45" i="5"/>
  <c r="S49" i="5"/>
  <c r="AD22" i="5"/>
  <c r="AD136" i="5"/>
  <c r="AD117" i="5"/>
  <c r="AD206" i="5"/>
  <c r="S57" i="5" l="1"/>
  <c r="AD49" i="5"/>
  <c r="S53" i="5" s="1"/>
  <c r="AD53" i="5" s="1"/>
  <c r="W56" i="4"/>
  <c r="AD67" i="5"/>
  <c r="F21" i="23"/>
  <c r="F12" i="23"/>
  <c r="F14" i="22"/>
  <c r="F13" i="22"/>
  <c r="F9" i="22"/>
  <c r="F13" i="18"/>
  <c r="W27" i="4"/>
  <c r="E8" i="18"/>
  <c r="AD174" i="5"/>
  <c r="AD175" i="5"/>
  <c r="AD176" i="5"/>
  <c r="AD160" i="5"/>
  <c r="D35" i="4"/>
  <c r="AD57" i="5" l="1"/>
  <c r="S61" i="5"/>
  <c r="AD61" i="5" s="1"/>
  <c r="AD85" i="5"/>
  <c r="I41" i="5" l="1"/>
  <c r="L154" i="5"/>
  <c r="K154" i="5"/>
  <c r="I154" i="5"/>
  <c r="H154" i="5"/>
  <c r="G154" i="5"/>
  <c r="F154" i="5"/>
  <c r="D154" i="5"/>
  <c r="AD189" i="5"/>
  <c r="AD184" i="5"/>
  <c r="AD183" i="5"/>
  <c r="AD179" i="5"/>
  <c r="J178" i="5" s="1"/>
  <c r="AD173" i="5"/>
  <c r="J172" i="5" s="1"/>
  <c r="AD170" i="5"/>
  <c r="J169" i="5" s="1"/>
  <c r="AD167" i="5"/>
  <c r="AD166" i="5"/>
  <c r="AD165" i="5"/>
  <c r="AD163" i="5"/>
  <c r="AD159" i="5"/>
  <c r="AD158" i="5"/>
  <c r="AD157" i="5"/>
  <c r="AD156" i="5"/>
  <c r="AD151" i="5"/>
  <c r="F150" i="5" s="1"/>
  <c r="AD142" i="5"/>
  <c r="J140" i="5" s="1"/>
  <c r="AD127" i="5"/>
  <c r="AD109" i="5"/>
  <c r="F108" i="5" s="1"/>
  <c r="AD110" i="5"/>
  <c r="J108" i="5" s="1"/>
  <c r="AD100" i="5"/>
  <c r="AD99" i="5"/>
  <c r="AD98" i="5"/>
  <c r="AD97" i="5"/>
  <c r="E203" i="5"/>
  <c r="E117" i="5"/>
  <c r="E114" i="5"/>
  <c r="E74" i="5"/>
  <c r="AD79" i="5"/>
  <c r="F140" i="5"/>
  <c r="AD68" i="5"/>
  <c r="I65" i="5" s="1"/>
  <c r="AD66" i="5"/>
  <c r="H65" i="5" s="1"/>
  <c r="AD28" i="5"/>
  <c r="F14" i="5" s="1"/>
  <c r="AD9" i="5"/>
  <c r="F7" i="5" s="1"/>
  <c r="W90" i="4"/>
  <c r="W82" i="4"/>
  <c r="J182" i="5" l="1"/>
  <c r="J188" i="5"/>
  <c r="J155" i="5"/>
  <c r="K76" i="5"/>
  <c r="E76" i="5" s="1"/>
  <c r="AD76" i="5"/>
  <c r="F96" i="5"/>
  <c r="AD15" i="5"/>
  <c r="AD155" i="5"/>
  <c r="AD96" i="5"/>
  <c r="E65" i="5"/>
  <c r="AD65" i="5"/>
  <c r="AD27" i="5"/>
  <c r="AD7" i="5"/>
  <c r="AD164" i="5"/>
  <c r="J162" i="5" s="1"/>
  <c r="AD190" i="5"/>
  <c r="AD188" i="5" s="1"/>
  <c r="E182" i="5"/>
  <c r="AD182" i="5"/>
  <c r="AD178" i="5"/>
  <c r="AD172" i="5"/>
  <c r="E169" i="5"/>
  <c r="E7" i="5" l="1"/>
  <c r="AD162" i="5"/>
  <c r="M182" i="5"/>
  <c r="N182" i="5" s="1"/>
  <c r="E178" i="5"/>
  <c r="E155" i="5"/>
  <c r="E172" i="5"/>
  <c r="M172" i="5" s="1"/>
  <c r="N172" i="5" s="1"/>
  <c r="E188" i="5"/>
  <c r="M188" i="5" s="1"/>
  <c r="N188" i="5" s="1"/>
  <c r="M155" i="5" l="1"/>
  <c r="N155" i="5" s="1"/>
  <c r="J154" i="5"/>
  <c r="E162" i="5"/>
  <c r="E154" i="5" s="1"/>
  <c r="AD152" i="5" l="1"/>
  <c r="J150" i="5" s="1"/>
  <c r="E150" i="5" l="1"/>
  <c r="AD150" i="5"/>
  <c r="E85" i="5"/>
  <c r="W36" i="4" l="1"/>
  <c r="W35" i="4" s="1"/>
  <c r="E140" i="5"/>
  <c r="AD193" i="5"/>
  <c r="F21" i="22"/>
  <c r="W71" i="4" l="1"/>
  <c r="W59" i="4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K16" i="18" l="1"/>
  <c r="J7" i="18"/>
  <c r="E7" i="18"/>
  <c r="E136" i="5"/>
  <c r="M162" i="5" l="1"/>
  <c r="N162" i="5" s="1"/>
  <c r="F6" i="23"/>
  <c r="E4" i="23"/>
  <c r="F30" i="23"/>
  <c r="F26" i="23"/>
  <c r="F25" i="23"/>
  <c r="F18" i="23"/>
  <c r="F17" i="23"/>
  <c r="F15" i="23"/>
  <c r="F13" i="23"/>
  <c r="E4" i="22"/>
  <c r="F18" i="22"/>
  <c r="F17" i="22"/>
  <c r="F7" i="22"/>
  <c r="J25" i="22"/>
  <c r="F25" i="22"/>
  <c r="F10" i="22"/>
  <c r="F29" i="23" l="1"/>
  <c r="F28" i="23"/>
  <c r="F27" i="23"/>
  <c r="F24" i="23"/>
  <c r="F23" i="23"/>
  <c r="F22" i="23"/>
  <c r="F20" i="23"/>
  <c r="F19" i="23"/>
  <c r="F14" i="23"/>
  <c r="F11" i="23"/>
  <c r="F10" i="23"/>
  <c r="F9" i="23"/>
  <c r="F8" i="23"/>
  <c r="F7" i="23" l="1"/>
  <c r="F5" i="23"/>
  <c r="F24" i="22"/>
  <c r="F23" i="22"/>
  <c r="F22" i="22"/>
  <c r="F20" i="22"/>
  <c r="F19" i="22"/>
  <c r="F16" i="22"/>
  <c r="F15" i="22"/>
  <c r="F8" i="22"/>
  <c r="F6" i="22"/>
  <c r="J5" i="22"/>
  <c r="F5" i="22"/>
  <c r="E193" i="5"/>
  <c r="M178" i="5"/>
  <c r="N178" i="5" s="1"/>
  <c r="AD169" i="5"/>
  <c r="AD154" i="5" s="1"/>
  <c r="F4" i="22" l="1"/>
  <c r="F4" i="23"/>
  <c r="M169" i="5" l="1"/>
  <c r="N169" i="5" s="1"/>
  <c r="AD83" i="5" l="1"/>
  <c r="J82" i="5" s="1"/>
  <c r="AD82" i="5" l="1"/>
  <c r="E82" i="5"/>
  <c r="E206" i="5"/>
  <c r="D205" i="5"/>
  <c r="D202" i="5"/>
  <c r="D192" i="5"/>
  <c r="D113" i="5"/>
  <c r="D112" i="5" s="1"/>
  <c r="D55" i="4"/>
  <c r="D89" i="4"/>
  <c r="D81" i="4"/>
  <c r="D78" i="4"/>
  <c r="G75" i="4"/>
  <c r="D74" i="4"/>
  <c r="G74" i="4" s="1"/>
  <c r="D70" i="4"/>
  <c r="D47" i="4"/>
  <c r="D50" i="4"/>
  <c r="D30" i="4"/>
  <c r="D26" i="4"/>
  <c r="D23" i="4"/>
  <c r="D54" i="4" l="1"/>
  <c r="D46" i="4"/>
  <c r="D29" i="4"/>
  <c r="D77" i="4"/>
  <c r="D15" i="4"/>
  <c r="G79" i="4"/>
  <c r="G78" i="4"/>
  <c r="G48" i="4"/>
  <c r="G47" i="4"/>
  <c r="G44" i="4"/>
  <c r="G41" i="4"/>
  <c r="W34" i="4"/>
  <c r="W33" i="4" s="1"/>
  <c r="E33" i="4" s="1"/>
  <c r="F33" i="4" s="1"/>
  <c r="G33" i="4" s="1"/>
  <c r="D11" i="4" l="1"/>
  <c r="E90" i="4"/>
  <c r="E89" i="4" s="1"/>
  <c r="F89" i="4" s="1"/>
  <c r="G89" i="4" s="1"/>
  <c r="F90" i="4" l="1"/>
  <c r="G90" i="4" s="1"/>
  <c r="E82" i="4" l="1"/>
  <c r="W70" i="4"/>
  <c r="E66" i="4"/>
  <c r="F66" i="4" s="1"/>
  <c r="G66" i="4" s="1"/>
  <c r="E62" i="4"/>
  <c r="F62" i="4" s="1"/>
  <c r="G62" i="4" s="1"/>
  <c r="E59" i="4"/>
  <c r="F59" i="4" s="1"/>
  <c r="G59" i="4" s="1"/>
  <c r="E56" i="4"/>
  <c r="F56" i="4" s="1"/>
  <c r="G56" i="4" s="1"/>
  <c r="D43" i="4"/>
  <c r="G43" i="4" s="1"/>
  <c r="D40" i="4"/>
  <c r="G40" i="4" s="1"/>
  <c r="W43" i="4"/>
  <c r="W41" i="4"/>
  <c r="W40" i="4" s="1"/>
  <c r="E44" i="4"/>
  <c r="W24" i="4"/>
  <c r="W23" i="4" l="1"/>
  <c r="E23" i="4" s="1"/>
  <c r="E24" i="4"/>
  <c r="F24" i="4" s="1"/>
  <c r="G24" i="4" s="1"/>
  <c r="E41" i="4"/>
  <c r="E40" i="4" s="1"/>
  <c r="F40" i="4" s="1"/>
  <c r="E51" i="4"/>
  <c r="W16" i="4"/>
  <c r="E43" i="4"/>
  <c r="F43" i="4" s="1"/>
  <c r="F44" i="4"/>
  <c r="E81" i="4"/>
  <c r="F81" i="4" s="1"/>
  <c r="G81" i="4" s="1"/>
  <c r="F82" i="4"/>
  <c r="G82" i="4" s="1"/>
  <c r="W39" i="4"/>
  <c r="W55" i="4"/>
  <c r="E71" i="4"/>
  <c r="E55" i="4"/>
  <c r="F55" i="4" s="1"/>
  <c r="G55" i="4" s="1"/>
  <c r="D39" i="4"/>
  <c r="F41" i="4" l="1"/>
  <c r="E16" i="4"/>
  <c r="F16" i="4" s="1"/>
  <c r="G16" i="4" s="1"/>
  <c r="W15" i="4"/>
  <c r="E50" i="4"/>
  <c r="F50" i="4" s="1"/>
  <c r="G50" i="4" s="1"/>
  <c r="F51" i="4"/>
  <c r="G51" i="4" s="1"/>
  <c r="E39" i="4"/>
  <c r="F39" i="4" s="1"/>
  <c r="D4" i="4"/>
  <c r="G39" i="4"/>
  <c r="E70" i="4"/>
  <c r="F70" i="4" s="1"/>
  <c r="G70" i="4" s="1"/>
  <c r="F71" i="4"/>
  <c r="G71" i="4" s="1"/>
  <c r="W9" i="4" l="1"/>
  <c r="E27" i="4"/>
  <c r="W89" i="4"/>
  <c r="W81" i="4"/>
  <c r="W80" i="4"/>
  <c r="W79" i="4" s="1"/>
  <c r="E79" i="4" s="1"/>
  <c r="W75" i="4"/>
  <c r="W50" i="4"/>
  <c r="W26" i="4"/>
  <c r="E78" i="4" l="1"/>
  <c r="F79" i="4"/>
  <c r="E26" i="4"/>
  <c r="F26" i="4" s="1"/>
  <c r="G26" i="4" s="1"/>
  <c r="F27" i="4"/>
  <c r="G27" i="4" s="1"/>
  <c r="W47" i="4"/>
  <c r="E48" i="4"/>
  <c r="W74" i="4"/>
  <c r="W54" i="4" s="1"/>
  <c r="E75" i="4"/>
  <c r="W78" i="4"/>
  <c r="W77" i="4" s="1"/>
  <c r="W46" i="4"/>
  <c r="E77" i="4" l="1"/>
  <c r="F77" i="4" s="1"/>
  <c r="G77" i="4" s="1"/>
  <c r="F78" i="4"/>
  <c r="E74" i="4"/>
  <c r="F75" i="4"/>
  <c r="E47" i="4"/>
  <c r="F48" i="4"/>
  <c r="E9" i="4"/>
  <c r="F9" i="4" s="1"/>
  <c r="G9" i="4"/>
  <c r="W7" i="4"/>
  <c r="W11" i="4" l="1"/>
  <c r="E46" i="4"/>
  <c r="F46" i="4" s="1"/>
  <c r="G46" i="4" s="1"/>
  <c r="F47" i="4"/>
  <c r="E54" i="4"/>
  <c r="F54" i="4" s="1"/>
  <c r="G54" i="4" s="1"/>
  <c r="F74" i="4"/>
  <c r="F23" i="4"/>
  <c r="G23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s="1"/>
  <c r="G11" i="4" s="1"/>
  <c r="F7" i="18" l="1"/>
  <c r="AD104" i="5"/>
  <c r="E104" i="5"/>
  <c r="W31" i="4"/>
  <c r="D126" i="5"/>
  <c r="D125" i="5" s="1"/>
  <c r="D81" i="5"/>
  <c r="D70" i="5"/>
  <c r="W30" i="4" l="1"/>
  <c r="E36" i="4"/>
  <c r="F205" i="5"/>
  <c r="G205" i="5"/>
  <c r="H205" i="5"/>
  <c r="I205" i="5"/>
  <c r="J205" i="5"/>
  <c r="K205" i="5"/>
  <c r="L205" i="5"/>
  <c r="AD205" i="5"/>
  <c r="F202" i="5"/>
  <c r="G202" i="5"/>
  <c r="H202" i="5"/>
  <c r="I202" i="5"/>
  <c r="J202" i="5"/>
  <c r="K202" i="5"/>
  <c r="L202" i="5"/>
  <c r="I192" i="5"/>
  <c r="J192" i="5"/>
  <c r="K192" i="5"/>
  <c r="L192" i="5"/>
  <c r="H192" i="5"/>
  <c r="G192" i="5"/>
  <c r="F192" i="5"/>
  <c r="G81" i="5"/>
  <c r="H81" i="5"/>
  <c r="G126" i="5"/>
  <c r="K126" i="5"/>
  <c r="G113" i="5"/>
  <c r="G112" i="5" s="1"/>
  <c r="H113" i="5"/>
  <c r="H112" i="5" s="1"/>
  <c r="I113" i="5"/>
  <c r="I112" i="5" s="1"/>
  <c r="J113" i="5"/>
  <c r="J112" i="5" s="1"/>
  <c r="K113" i="5"/>
  <c r="K112" i="5" s="1"/>
  <c r="L113" i="5"/>
  <c r="L112" i="5" s="1"/>
  <c r="AD114" i="5"/>
  <c r="M114" i="5" s="1"/>
  <c r="N114" i="5" s="1"/>
  <c r="G70" i="5"/>
  <c r="H70" i="5"/>
  <c r="I70" i="5"/>
  <c r="J70" i="5"/>
  <c r="L70" i="5"/>
  <c r="AD71" i="5"/>
  <c r="E91" i="5" l="1"/>
  <c r="E71" i="5"/>
  <c r="AD113" i="5"/>
  <c r="AD91" i="5"/>
  <c r="E35" i="4"/>
  <c r="F35" i="4" s="1"/>
  <c r="G35" i="4" s="1"/>
  <c r="F36" i="4"/>
  <c r="G36" i="4" s="1"/>
  <c r="W29" i="4"/>
  <c r="E31" i="4"/>
  <c r="K125" i="5"/>
  <c r="G125" i="5"/>
  <c r="J81" i="5" l="1"/>
  <c r="F113" i="5"/>
  <c r="F112" i="5" s="1"/>
  <c r="E121" i="5"/>
  <c r="E30" i="4"/>
  <c r="F31" i="4"/>
  <c r="J126" i="5"/>
  <c r="J125" i="5" l="1"/>
  <c r="I126" i="5"/>
  <c r="E29" i="4"/>
  <c r="F29" i="4" s="1"/>
  <c r="G29" i="4" s="1"/>
  <c r="F30" i="4"/>
  <c r="AD140" i="5"/>
  <c r="I125" i="5" l="1"/>
  <c r="W6" i="4" l="1"/>
  <c r="W5" i="4" s="1"/>
  <c r="E5" i="4" l="1"/>
  <c r="E4" i="4" s="1"/>
  <c r="W4" i="4"/>
  <c r="M7" i="5"/>
  <c r="F5" i="4" l="1"/>
  <c r="F4" i="4" s="1"/>
  <c r="G4" i="4" s="1"/>
  <c r="AD192" i="5" l="1"/>
  <c r="F70" i="5"/>
  <c r="AD19" i="5"/>
  <c r="AD14" i="5" s="1"/>
  <c r="S38" i="5" s="1"/>
  <c r="AD38" i="5" s="1"/>
  <c r="AD12" i="5"/>
  <c r="H11" i="5" s="1"/>
  <c r="E96" i="5"/>
  <c r="AD145" i="5"/>
  <c r="F144" i="5" s="1"/>
  <c r="AD11" i="5" l="1"/>
  <c r="H6" i="5"/>
  <c r="H5" i="5" s="1"/>
  <c r="E144" i="5"/>
  <c r="E14" i="5"/>
  <c r="J6" i="5"/>
  <c r="J5" i="5" s="1"/>
  <c r="J4" i="5" s="1"/>
  <c r="K70" i="5"/>
  <c r="L126" i="5"/>
  <c r="L125" i="5" s="1"/>
  <c r="M96" i="5"/>
  <c r="N96" i="5" s="1"/>
  <c r="F81" i="5"/>
  <c r="AD144" i="5"/>
  <c r="I6" i="5"/>
  <c r="L81" i="5"/>
  <c r="L6" i="5"/>
  <c r="E127" i="5"/>
  <c r="M117" i="5"/>
  <c r="N117" i="5" s="1"/>
  <c r="AD108" i="5"/>
  <c r="N7" i="5"/>
  <c r="M136" i="5"/>
  <c r="N136" i="5" s="1"/>
  <c r="F37" i="5" l="1"/>
  <c r="S44" i="5"/>
  <c r="AD44" i="5" s="1"/>
  <c r="E11" i="5"/>
  <c r="M144" i="5"/>
  <c r="N144" i="5" s="1"/>
  <c r="K81" i="5"/>
  <c r="E108" i="5"/>
  <c r="M108" i="5" s="1"/>
  <c r="N108" i="5" s="1"/>
  <c r="M76" i="5"/>
  <c r="N76" i="5" s="1"/>
  <c r="M65" i="5"/>
  <c r="N65" i="5" s="1"/>
  <c r="I81" i="5"/>
  <c r="I5" i="5" s="1"/>
  <c r="I4" i="5" s="1"/>
  <c r="H126" i="5"/>
  <c r="H125" i="5" s="1"/>
  <c r="H4" i="5" s="1"/>
  <c r="L5" i="5"/>
  <c r="L4" i="5" s="1"/>
  <c r="G6" i="5"/>
  <c r="G5" i="5" s="1"/>
  <c r="G4" i="5" s="1"/>
  <c r="M127" i="5"/>
  <c r="N127" i="5" s="1"/>
  <c r="AD126" i="5"/>
  <c r="AD125" i="5" s="1"/>
  <c r="M82" i="5"/>
  <c r="N82" i="5" s="1"/>
  <c r="F126" i="5"/>
  <c r="F125" i="5" s="1"/>
  <c r="M121" i="5"/>
  <c r="N121" i="5" s="1"/>
  <c r="E113" i="5"/>
  <c r="E112" i="5" s="1"/>
  <c r="AD112" i="5"/>
  <c r="M104" i="5"/>
  <c r="N104" i="5" s="1"/>
  <c r="K6" i="5"/>
  <c r="M71" i="5"/>
  <c r="N71" i="5" s="1"/>
  <c r="M91" i="5"/>
  <c r="N91" i="5" s="1"/>
  <c r="M140" i="5"/>
  <c r="N140" i="5" s="1"/>
  <c r="M150" i="5"/>
  <c r="N150" i="5" s="1"/>
  <c r="M193" i="5"/>
  <c r="N193" i="5" s="1"/>
  <c r="E192" i="5"/>
  <c r="D6" i="5"/>
  <c r="M154" i="5"/>
  <c r="N154" i="5" s="1"/>
  <c r="M74" i="5"/>
  <c r="N74" i="5" s="1"/>
  <c r="G5" i="4"/>
  <c r="AD43" i="5" l="1"/>
  <c r="D5" i="5"/>
  <c r="D4" i="5" s="1"/>
  <c r="E37" i="5"/>
  <c r="M37" i="5" s="1"/>
  <c r="N37" i="5" s="1"/>
  <c r="AD37" i="5"/>
  <c r="S48" i="5"/>
  <c r="AD48" i="5" s="1"/>
  <c r="K5" i="5"/>
  <c r="K4" i="5" s="1"/>
  <c r="AD81" i="5"/>
  <c r="M11" i="5"/>
  <c r="N11" i="5" s="1"/>
  <c r="M192" i="5"/>
  <c r="N192" i="5" s="1"/>
  <c r="AD202" i="5"/>
  <c r="E126" i="5"/>
  <c r="E125" i="5" s="1"/>
  <c r="M112" i="5"/>
  <c r="N112" i="5" s="1"/>
  <c r="M113" i="5"/>
  <c r="N113" i="5" s="1"/>
  <c r="E70" i="5"/>
  <c r="M70" i="5" s="1"/>
  <c r="N70" i="5" s="1"/>
  <c r="M14" i="5"/>
  <c r="N14" i="5" s="1"/>
  <c r="M206" i="5"/>
  <c r="N206" i="5" s="1"/>
  <c r="E205" i="5"/>
  <c r="M205" i="5" s="1"/>
  <c r="N205" i="5" s="1"/>
  <c r="AD47" i="5" l="1"/>
  <c r="S56" i="5"/>
  <c r="AD56" i="5" s="1"/>
  <c r="M126" i="5"/>
  <c r="N126" i="5" s="1"/>
  <c r="M203" i="5"/>
  <c r="N203" i="5" s="1"/>
  <c r="E202" i="5"/>
  <c r="M202" i="5" s="1"/>
  <c r="N202" i="5" s="1"/>
  <c r="M85" i="5"/>
  <c r="N85" i="5" s="1"/>
  <c r="E81" i="5"/>
  <c r="M81" i="5" s="1"/>
  <c r="N81" i="5" s="1"/>
  <c r="S52" i="5" l="1"/>
  <c r="AD52" i="5" s="1"/>
  <c r="AD51" i="5" s="1"/>
  <c r="AD55" i="5"/>
  <c r="S60" i="5"/>
  <c r="AD60" i="5" s="1"/>
  <c r="F41" i="5" s="1"/>
  <c r="M125" i="5"/>
  <c r="N125" i="5" s="1"/>
  <c r="AD59" i="5" l="1"/>
  <c r="AD41" i="5" s="1"/>
  <c r="F6" i="5"/>
  <c r="F5" i="5" s="1"/>
  <c r="F4" i="5" s="1"/>
  <c r="AD6" i="5" l="1"/>
  <c r="E41" i="5"/>
  <c r="M41" i="5" s="1"/>
  <c r="N41" i="5" s="1"/>
  <c r="E6" i="5" l="1"/>
  <c r="E5" i="5" s="1"/>
  <c r="M5" i="5" s="1"/>
  <c r="N5" i="5" s="1"/>
  <c r="E4" i="5" l="1"/>
  <c r="M4" i="5" s="1"/>
  <c r="N4" i="5" s="1"/>
  <c r="M6" i="5"/>
  <c r="N6" i="5" s="1"/>
  <c r="AD70" i="5"/>
  <c r="AD5" i="5" s="1"/>
  <c r="AD4" i="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sz val="9"/>
            <color indexed="81"/>
            <rFont val="돋움"/>
            <family val="3"/>
            <charset val="129"/>
          </rPr>
          <t>기타보조금(대체인력지언금)</t>
        </r>
      </text>
    </comment>
  </commentList>
</comments>
</file>

<file path=xl/sharedStrings.xml><?xml version="1.0" encoding="utf-8"?>
<sst xmlns="http://schemas.openxmlformats.org/spreadsheetml/2006/main" count="1452" uniqueCount="672">
  <si>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</si>
  <si>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</si>
  <si>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</si>
  <si>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</si>
  <si>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</si>
  <si>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</si>
  <si>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</si>
  <si>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</si>
  <si>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</si>
  <si>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</si>
  <si>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</si>
  <si>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</si>
  <si>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</si>
  <si>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</si>
  <si>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</si>
  <si>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</si>
  <si>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</si>
  <si>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</si>
  <si>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</si>
  <si>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</si>
  <si>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</si>
  <si>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</si>
  <si>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</si>
  <si>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</si>
  <si>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</si>
  <si>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</si>
  <si>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</si>
  <si>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</si>
  <si>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</si>
  <si>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</si>
  <si>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</si>
  <si>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</si>
  <si>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</si>
  <si>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</si>
  <si>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</si>
  <si>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</si>
  <si>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</si>
  <si>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</si>
  <si>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</si>
  <si>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</si>
  <si>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</si>
  <si>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</si>
  <si>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</si>
  <si>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</si>
  <si>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</si>
  <si>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</si>
  <si>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</si>
  <si>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</si>
  <si>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</si>
  <si>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</si>
  <si>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</si>
  <si>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</si>
  <si>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</si>
  <si>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</si>
  <si>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출               기              초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</si>
  <si>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</si>
  <si>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</si>
  <si>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</si>
  <si>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</si>
  <si>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생계비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</si>
  <si>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</si>
  <si>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</si>
  <si>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</si>
  <si>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>잡수입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</si>
  <si>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</si>
  <si>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</si>
  <si>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</si>
  <si>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</si>
  <si>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</si>
  <si>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</si>
  <si>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</si>
  <si>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</si>
  <si>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</si>
  <si>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</si>
  <si>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</si>
  <si>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</si>
  <si>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일용잡급</t>
    <phoneticPr fontId="9" type="noConversion"/>
  </si>
  <si>
    <t>※기본급</t>
    <phoneticPr fontId="9" type="noConversion"/>
  </si>
  <si>
    <t>원</t>
    <phoneticPr fontId="9" type="noConversion"/>
  </si>
  <si>
    <t>※ 일용잡급</t>
    <phoneticPr fontId="9" type="noConversion"/>
  </si>
  <si>
    <t>사회보험</t>
    <phoneticPr fontId="9" type="noConversion"/>
  </si>
  <si>
    <t>기타후생</t>
    <phoneticPr fontId="9" type="noConversion"/>
  </si>
  <si>
    <t>※ 기타후생경비</t>
    <phoneticPr fontId="9" type="noConversion"/>
  </si>
  <si>
    <t>회  의  비</t>
    <phoneticPr fontId="9" type="noConversion"/>
  </si>
  <si>
    <t>여    비</t>
    <phoneticPr fontId="9" type="noConversion"/>
  </si>
  <si>
    <t>보조</t>
    <phoneticPr fontId="9" type="noConversion"/>
  </si>
  <si>
    <t>기타운영비</t>
    <phoneticPr fontId="9" type="noConversion"/>
  </si>
  <si>
    <t>※ 직원 교육훈련비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</si>
  <si>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</si>
  <si>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</si>
  <si>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</si>
  <si>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운영비</t>
    <phoneticPr fontId="9" type="noConversion"/>
  </si>
  <si>
    <t>※ 생계비</t>
    <phoneticPr fontId="9" type="noConversion"/>
  </si>
  <si>
    <t>수용기관</t>
    <phoneticPr fontId="9" type="noConversion"/>
  </si>
  <si>
    <t>※ 수용기관경비</t>
    <phoneticPr fontId="9" type="noConversion"/>
  </si>
  <si>
    <t>※ 연료비</t>
    <phoneticPr fontId="9" type="noConversion"/>
  </si>
  <si>
    <t>프로그램</t>
    <phoneticPr fontId="9" type="noConversion"/>
  </si>
  <si>
    <t>잡지출</t>
    <phoneticPr fontId="9" type="noConversion"/>
  </si>
  <si>
    <t>※ 잡지출</t>
    <phoneticPr fontId="9" type="noConversion"/>
  </si>
  <si>
    <t>일</t>
    <phoneticPr fontId="9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</si>
  <si>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</si>
  <si>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</si>
  <si>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</si>
  <si>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</si>
  <si>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</si>
  <si>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</si>
  <si>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</si>
  <si>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</si>
  <si>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</si>
  <si>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</si>
  <si>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</si>
  <si>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</si>
  <si>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</si>
  <si>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</si>
  <si>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</si>
  <si>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</si>
  <si>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</si>
  <si>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</si>
  <si>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</si>
  <si>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</si>
  <si>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</si>
  <si>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</si>
  <si>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</si>
  <si>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</si>
  <si>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</si>
  <si>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9" type="noConversion"/>
  </si>
  <si>
    <t>비  용</t>
  </si>
  <si>
    <t>법인
전입금</t>
    <phoneticPr fontId="9" type="noConversion"/>
  </si>
  <si>
    <t>입   소</t>
    <phoneticPr fontId="9" type="noConversion"/>
  </si>
  <si>
    <t>금액
(B-A)</t>
    <phoneticPr fontId="9" type="noConversion"/>
  </si>
  <si>
    <t>합  계 :</t>
    <phoneticPr fontId="9" type="noConversion"/>
  </si>
  <si>
    <t>부담금</t>
    <phoneticPr fontId="9" type="noConversion"/>
  </si>
  <si>
    <t>업   무</t>
    <phoneticPr fontId="9" type="noConversion"/>
  </si>
  <si>
    <t>경      비</t>
    <phoneticPr fontId="9" type="noConversion"/>
  </si>
  <si>
    <t>사업비</t>
    <phoneticPr fontId="9" type="noConversion"/>
  </si>
  <si>
    <t>원</t>
    <phoneticPr fontId="9" type="noConversion"/>
  </si>
  <si>
    <t>소  계 :</t>
    <phoneticPr fontId="9" type="noConversion"/>
  </si>
  <si>
    <t>※ 피복비</t>
  </si>
  <si>
    <t>※ 의료비</t>
    <phoneticPr fontId="9" type="noConversion"/>
  </si>
  <si>
    <t>추진비</t>
    <phoneticPr fontId="9" type="noConversion"/>
  </si>
  <si>
    <t>업무추진비</t>
    <phoneticPr fontId="9" type="noConversion"/>
  </si>
  <si>
    <t>※ 직책보조비</t>
    <phoneticPr fontId="9" type="noConversion"/>
  </si>
  <si>
    <t>소계:</t>
    <phoneticPr fontId="9" type="noConversion"/>
  </si>
  <si>
    <t>운영비</t>
    <phoneticPr fontId="9" type="noConversion"/>
  </si>
  <si>
    <t>명</t>
  </si>
  <si>
    <t>재산조성비</t>
    <phoneticPr fontId="9" type="noConversion"/>
  </si>
  <si>
    <t>계</t>
    <phoneticPr fontId="9" type="noConversion"/>
  </si>
  <si>
    <t>시설비</t>
    <phoneticPr fontId="9" type="noConversion"/>
  </si>
  <si>
    <t>수수료</t>
    <phoneticPr fontId="9" type="noConversion"/>
  </si>
  <si>
    <t>사업비</t>
    <phoneticPr fontId="9" type="noConversion"/>
  </si>
  <si>
    <t>계</t>
    <phoneticPr fontId="9" type="noConversion"/>
  </si>
  <si>
    <t>경비</t>
    <phoneticPr fontId="9" type="noConversion"/>
  </si>
  <si>
    <t>조성비</t>
    <phoneticPr fontId="9" type="noConversion"/>
  </si>
  <si>
    <t>보조금</t>
    <phoneticPr fontId="9" type="noConversion"/>
  </si>
  <si>
    <t>반환금</t>
    <phoneticPr fontId="9" type="noConversion"/>
  </si>
  <si>
    <t>반환금</t>
    <phoneticPr fontId="9" type="noConversion"/>
  </si>
  <si>
    <t>보조금 반환금</t>
    <phoneticPr fontId="9" type="noConversion"/>
  </si>
  <si>
    <t>유지비</t>
    <phoneticPr fontId="9" type="noConversion"/>
  </si>
  <si>
    <t>보조금반환</t>
    <phoneticPr fontId="29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</si>
  <si>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</si>
  <si>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</si>
  <si>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</si>
  <si>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월</t>
    <phoneticPr fontId="9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</si>
  <si>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</si>
  <si>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</si>
  <si>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</si>
  <si>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</si>
  <si>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</si>
  <si>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</si>
  <si>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</si>
  <si>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</si>
  <si>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</si>
  <si>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</si>
  <si>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</si>
  <si>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</si>
  <si>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</si>
  <si>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</si>
  <si>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</si>
  <si>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</si>
  <si>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</si>
  <si>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</si>
  <si>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</si>
  <si>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</si>
  <si>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</si>
  <si>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</si>
  <si>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 xml:space="preserve"> &lt;국고 보조금 합계&gt;</t>
    <phoneticPr fontId="9" type="noConversion"/>
  </si>
  <si>
    <t>시 도</t>
    <phoneticPr fontId="9" type="noConversion"/>
  </si>
  <si>
    <t>보조금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</si>
  <si>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</si>
  <si>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</si>
  <si>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</si>
  <si>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지 정</t>
    <phoneticPr fontId="9" type="noConversion"/>
  </si>
  <si>
    <t>후원금</t>
    <phoneticPr fontId="9" type="noConversion"/>
  </si>
  <si>
    <t>&lt;지정후원금&gt;</t>
    <phoneticPr fontId="9" type="noConversion"/>
  </si>
  <si>
    <t>비지정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</si>
  <si>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</si>
  <si>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</si>
  <si>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</si>
  <si>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</si>
  <si>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</si>
  <si>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</si>
  <si>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</si>
  <si>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</si>
  <si>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</si>
  <si>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</si>
  <si>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</t>
    <phoneticPr fontId="9" type="noConversion"/>
  </si>
  <si>
    <t>(후원)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</si>
  <si>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</si>
  <si>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</si>
  <si>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</si>
  <si>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</si>
  <si>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</si>
  <si>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</si>
  <si>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</si>
  <si>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</si>
  <si>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</si>
  <si>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</si>
  <si>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기타예</t>
    <phoneticPr fontId="9" type="noConversion"/>
  </si>
  <si>
    <t>금이자</t>
    <phoneticPr fontId="9" type="noConversion"/>
  </si>
  <si>
    <t>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</si>
  <si>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</si>
  <si>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</si>
  <si>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계: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</si>
  <si>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</si>
  <si>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</si>
  <si>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</si>
  <si>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</si>
  <si>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</si>
  <si>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</si>
  <si>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</si>
  <si>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원</t>
    <phoneticPr fontId="9" type="noConversion"/>
  </si>
  <si>
    <t>=</t>
    <phoneticPr fontId="9" type="noConversion"/>
  </si>
  <si>
    <t>&lt;운영비&gt;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</si>
  <si>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</si>
  <si>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</si>
  <si>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&lt;입소비용이월금&gt;</t>
    <phoneticPr fontId="9" type="noConversion"/>
  </si>
  <si>
    <t xml:space="preserve"> &lt;보조금이월금&gt;</t>
    <phoneticPr fontId="9" type="noConversion"/>
  </si>
  <si>
    <t xml:space="preserve"> &lt;법인전입금이월금&gt;</t>
    <phoneticPr fontId="9" type="noConversion"/>
  </si>
  <si>
    <t xml:space="preserve"> &lt;잡수입이월금&gt;</t>
    <phoneticPr fontId="9" type="noConversion"/>
  </si>
  <si>
    <t xml:space="preserve"> &lt;기타잡수입&gt;</t>
    <phoneticPr fontId="9" type="noConversion"/>
  </si>
  <si>
    <t>원</t>
    <phoneticPr fontId="9" type="noConversion"/>
  </si>
  <si>
    <t>소계 :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</si>
  <si>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</si>
  <si>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</si>
  <si>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</si>
  <si>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</si>
  <si>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</si>
  <si>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</si>
  <si>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</si>
  <si>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</si>
  <si>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</si>
  <si>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</si>
  <si>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</si>
  <si>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</si>
  <si>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</si>
  <si>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</si>
  <si>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</si>
  <si>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</si>
  <si>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</si>
  <si>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</si>
  <si>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</si>
  <si>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* 입소자 제작 물품판매 수입</t>
    <phoneticPr fontId="9" type="noConversion"/>
  </si>
  <si>
    <t>과  목</t>
    <phoneticPr fontId="9" type="noConversion"/>
  </si>
  <si>
    <t>관</t>
    <phoneticPr fontId="9" type="noConversion"/>
  </si>
  <si>
    <t>항</t>
    <phoneticPr fontId="9" type="noConversion"/>
  </si>
  <si>
    <t>내    역</t>
    <phoneticPr fontId="9" type="noConversion"/>
  </si>
  <si>
    <t>산출내역</t>
    <phoneticPr fontId="9" type="noConversion"/>
  </si>
  <si>
    <t>증, (△)감</t>
    <phoneticPr fontId="9" type="noConversion"/>
  </si>
  <si>
    <t>입소
비용</t>
    <phoneticPr fontId="9" type="noConversion"/>
  </si>
  <si>
    <t>보조금
수   입</t>
    <phoneticPr fontId="9" type="noConversion"/>
  </si>
  <si>
    <t>국   고
보조금</t>
    <phoneticPr fontId="9" type="noConversion"/>
  </si>
  <si>
    <t>시   도
보조금</t>
    <phoneticPr fontId="9" type="noConversion"/>
  </si>
  <si>
    <t>시군구
보조금</t>
    <phoneticPr fontId="9" type="noConversion"/>
  </si>
  <si>
    <t>법인
전입금
(후원금)</t>
    <phoneticPr fontId="9" type="noConversion"/>
  </si>
  <si>
    <t>전년도
이월금</t>
    <phoneticPr fontId="9" type="noConversion"/>
  </si>
  <si>
    <t>입소비용
이월금</t>
    <phoneticPr fontId="9" type="noConversion"/>
  </si>
  <si>
    <t>보조금
이월금</t>
    <phoneticPr fontId="9" type="noConversion"/>
  </si>
  <si>
    <t>법인
전입금
이월금</t>
    <phoneticPr fontId="9" type="noConversion"/>
  </si>
  <si>
    <t>잡수입
이월금</t>
    <phoneticPr fontId="9" type="noConversion"/>
  </si>
  <si>
    <t>전년도
이월금
(후원)</t>
    <phoneticPr fontId="9" type="noConversion"/>
  </si>
  <si>
    <t>전년도
이월금
(후원금)</t>
    <phoneticPr fontId="9" type="noConversion"/>
  </si>
  <si>
    <t>합     계</t>
    <phoneticPr fontId="9" type="noConversion"/>
  </si>
  <si>
    <t>사무비</t>
    <phoneticPr fontId="9" type="noConversion"/>
  </si>
  <si>
    <t>인건비</t>
    <phoneticPr fontId="9" type="noConversion"/>
  </si>
  <si>
    <t>급여</t>
    <phoneticPr fontId="9" type="noConversion"/>
  </si>
  <si>
    <t>제수당</t>
    <phoneticPr fontId="9" type="noConversion"/>
  </si>
  <si>
    <t>퇴직금
적립금</t>
    <phoneticPr fontId="9" type="noConversion"/>
  </si>
  <si>
    <t>사회보험
부담금</t>
    <phoneticPr fontId="9" type="noConversion"/>
  </si>
  <si>
    <t>기타
후생경비</t>
    <phoneticPr fontId="9" type="noConversion"/>
  </si>
  <si>
    <t>업무
추진비</t>
    <phoneticPr fontId="9" type="noConversion"/>
  </si>
  <si>
    <t>수용비 및
수수료</t>
    <phoneticPr fontId="9" type="noConversion"/>
  </si>
  <si>
    <t>기타
운영비</t>
    <phoneticPr fontId="9" type="noConversion"/>
  </si>
  <si>
    <t>재산
조성비</t>
    <phoneticPr fontId="9" type="noConversion"/>
  </si>
  <si>
    <t>시설비</t>
    <phoneticPr fontId="9" type="noConversion"/>
  </si>
  <si>
    <t>자산
취득비</t>
    <phoneticPr fontId="9" type="noConversion"/>
  </si>
  <si>
    <t>시설장비
유지비</t>
    <phoneticPr fontId="9" type="noConversion"/>
  </si>
  <si>
    <t>수용기관
경비</t>
    <phoneticPr fontId="9" type="noConversion"/>
  </si>
  <si>
    <t>프로그램
사업비</t>
    <phoneticPr fontId="9" type="noConversion"/>
  </si>
  <si>
    <t>보조금
반환금</t>
    <phoneticPr fontId="9" type="noConversion"/>
  </si>
  <si>
    <t>보조금
반환금</t>
    <phoneticPr fontId="9" type="noConversion"/>
  </si>
  <si>
    <t>* 입소비용수입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</si>
  <si>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</si>
  <si>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</si>
  <si>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</si>
  <si>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</si>
  <si>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</si>
  <si>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</si>
  <si>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* 예금이자(잡수입)</t>
    <phoneticPr fontId="9" type="noConversion"/>
  </si>
  <si>
    <t xml:space="preserve"> &lt;후원금이월금&gt;</t>
    <phoneticPr fontId="9" type="noConversion"/>
  </si>
  <si>
    <t xml:space="preserve"> * 후원금이월액</t>
    <phoneticPr fontId="9" type="noConversion"/>
  </si>
  <si>
    <t>※ 보조금 반환금(수원시)</t>
    <phoneticPr fontId="9" type="noConversion"/>
  </si>
  <si>
    <t>원</t>
    <phoneticPr fontId="9" type="noConversion"/>
  </si>
  <si>
    <t>회</t>
    <phoneticPr fontId="9" type="noConversion"/>
  </si>
  <si>
    <t>월</t>
    <phoneticPr fontId="9" type="noConversion"/>
  </si>
  <si>
    <t>=</t>
    <phoneticPr fontId="9" type="noConversion"/>
  </si>
  <si>
    <t>소계:</t>
    <phoneticPr fontId="9" type="noConversion"/>
  </si>
  <si>
    <t>입소</t>
    <phoneticPr fontId="9" type="noConversion"/>
  </si>
  <si>
    <t>×</t>
    <phoneticPr fontId="9" type="noConversion"/>
  </si>
  <si>
    <t>보조</t>
    <phoneticPr fontId="9" type="noConversion"/>
  </si>
  <si>
    <t>세출총계</t>
    <phoneticPr fontId="9" type="noConversion"/>
  </si>
  <si>
    <t>사무비</t>
    <phoneticPr fontId="9" type="noConversion"/>
  </si>
  <si>
    <t>인건비</t>
    <phoneticPr fontId="9" type="noConversion"/>
  </si>
  <si>
    <t xml:space="preserve"> * 교육 및 출장여비</t>
    <phoneticPr fontId="9" type="noConversion"/>
  </si>
  <si>
    <t>운영비</t>
    <phoneticPr fontId="9" type="noConversion"/>
  </si>
  <si>
    <t>후원금</t>
    <phoneticPr fontId="9" type="noConversion"/>
  </si>
  <si>
    <t>지정
후원금</t>
    <phoneticPr fontId="9" type="noConversion"/>
  </si>
  <si>
    <t>비지정
후원금</t>
    <phoneticPr fontId="9" type="noConversion"/>
  </si>
  <si>
    <t>잡수입</t>
    <phoneticPr fontId="9" type="noConversion"/>
  </si>
  <si>
    <t>일용잡급</t>
    <phoneticPr fontId="9" type="noConversion"/>
  </si>
  <si>
    <t>기관
운영비</t>
    <phoneticPr fontId="9" type="noConversion"/>
  </si>
  <si>
    <t>회의비</t>
    <phoneticPr fontId="9" type="noConversion"/>
  </si>
  <si>
    <t>여비</t>
    <phoneticPr fontId="9" type="noConversion"/>
  </si>
  <si>
    <t>공공요금</t>
    <phoneticPr fontId="9" type="noConversion"/>
  </si>
  <si>
    <t>제세
공과금</t>
    <phoneticPr fontId="9" type="noConversion"/>
  </si>
  <si>
    <t>차량비</t>
    <phoneticPr fontId="9" type="noConversion"/>
  </si>
  <si>
    <t>피복비</t>
    <phoneticPr fontId="9" type="noConversion"/>
  </si>
  <si>
    <t>예비비</t>
    <phoneticPr fontId="9" type="noConversion"/>
  </si>
  <si>
    <t>합계</t>
    <phoneticPr fontId="9" type="noConversion"/>
  </si>
  <si>
    <t>=</t>
    <phoneticPr fontId="9" type="noConversion"/>
  </si>
  <si>
    <t>원</t>
    <phoneticPr fontId="9" type="noConversion"/>
  </si>
  <si>
    <t>월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</si>
  <si>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</si>
  <si>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</si>
  <si>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</si>
  <si>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합    계 :</t>
    <phoneticPr fontId="9" type="noConversion"/>
  </si>
  <si>
    <t>합    계 :</t>
    <phoneticPr fontId="9" type="noConversion"/>
  </si>
  <si>
    <t>1.명절휴가비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</si>
  <si>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</si>
  <si>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</si>
  <si>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</si>
  <si>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</si>
  <si>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÷</t>
    <phoneticPr fontId="9" type="noConversion"/>
  </si>
  <si>
    <t>=</t>
    <phoneticPr fontId="9" type="noConversion"/>
  </si>
  <si>
    <t xml:space="preserve"> </t>
    <phoneticPr fontId="9" type="noConversion"/>
  </si>
  <si>
    <t>1.국민연금부담금</t>
    <phoneticPr fontId="9" type="noConversion"/>
  </si>
  <si>
    <t>×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</si>
  <si>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</si>
  <si>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</si>
  <si>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</si>
  <si>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원</t>
    <phoneticPr fontId="9" type="noConversion"/>
  </si>
  <si>
    <t>보조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</si>
  <si>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</si>
  <si>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</si>
  <si>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</si>
  <si>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</si>
  <si>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</si>
  <si>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회</t>
    <phoneticPr fontId="9" type="noConversion"/>
  </si>
  <si>
    <t>보조</t>
    <phoneticPr fontId="9" type="noConversion"/>
  </si>
  <si>
    <t>입소</t>
    <phoneticPr fontId="9" type="noConversion"/>
  </si>
  <si>
    <t>소계</t>
    <phoneticPr fontId="9" type="noConversion"/>
  </si>
  <si>
    <t>(단위:원)</t>
    <phoneticPr fontId="29" type="noConversion"/>
  </si>
  <si>
    <t>예 산 액
(단위:천원)</t>
    <phoneticPr fontId="9" type="noConversion"/>
  </si>
  <si>
    <t>예 산 액
(단위:원)</t>
    <phoneticPr fontId="9" type="noConversion"/>
  </si>
  <si>
    <t>&lt;비지정후원금&gt;</t>
    <phoneticPr fontId="9" type="noConversion"/>
  </si>
  <si>
    <t>수용비및수수료</t>
    <phoneticPr fontId="9" type="noConversion"/>
  </si>
  <si>
    <t>보조</t>
    <phoneticPr fontId="9" type="noConversion"/>
  </si>
  <si>
    <t>후원</t>
    <phoneticPr fontId="9" type="noConversion"/>
  </si>
  <si>
    <t>사업비</t>
    <phoneticPr fontId="9" type="noConversion"/>
  </si>
  <si>
    <t>프로그램</t>
    <phoneticPr fontId="9" type="noConversion"/>
  </si>
  <si>
    <t>기타</t>
    <phoneticPr fontId="9" type="noConversion"/>
  </si>
  <si>
    <t>회</t>
    <phoneticPr fontId="9" type="noConversion"/>
  </si>
  <si>
    <t>기타
지원금</t>
    <phoneticPr fontId="9" type="noConversion"/>
  </si>
  <si>
    <t xml:space="preserve">* </t>
    <phoneticPr fontId="9" type="noConversion"/>
  </si>
  <si>
    <t>보조금</t>
    <phoneticPr fontId="9" type="noConversion"/>
  </si>
  <si>
    <t>* 환경개선사업비(7종)</t>
    <phoneticPr fontId="9" type="noConversion"/>
  </si>
  <si>
    <t>* 종사자근무수당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</si>
  <si>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</si>
  <si>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</si>
  <si>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</si>
  <si>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</si>
  <si>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</si>
  <si>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* 시설당 기본지원</t>
    <phoneticPr fontId="9" type="noConversion"/>
  </si>
  <si>
    <t xml:space="preserve"> * 직원 건강진단비</t>
    <phoneticPr fontId="9" type="noConversion"/>
  </si>
  <si>
    <t xml:space="preserve">  *공동모금회 환경개선사업비</t>
    <phoneticPr fontId="9" type="noConversion"/>
  </si>
  <si>
    <t>(후원)</t>
    <phoneticPr fontId="9" type="noConversion"/>
  </si>
  <si>
    <t>※ 체크카드환급</t>
    <phoneticPr fontId="9" type="noConversion"/>
  </si>
  <si>
    <t>합계:</t>
    <phoneticPr fontId="9" type="noConversion"/>
  </si>
  <si>
    <t>※ 예금이자수입</t>
    <phoneticPr fontId="9" type="noConversion"/>
  </si>
  <si>
    <t>원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</si>
  <si>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</si>
  <si>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</si>
  <si>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</si>
  <si>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* 직원 축일 및 생일 축하 문화상품권</t>
    <phoneticPr fontId="9" type="noConversion"/>
  </si>
  <si>
    <t>후원</t>
    <phoneticPr fontId="9" type="noConversion"/>
  </si>
  <si>
    <t>* 대체인건비 인건비(직원 연차, 교육 등)</t>
    <phoneticPr fontId="9" type="noConversion"/>
  </si>
  <si>
    <t>보조</t>
    <phoneticPr fontId="9" type="noConversion"/>
  </si>
  <si>
    <t>* 입소자 건강진단비</t>
    <phoneticPr fontId="9" type="noConversion"/>
  </si>
  <si>
    <t>* 외래 진료비 및 의약품비</t>
    <phoneticPr fontId="9" type="noConversion"/>
  </si>
  <si>
    <t>입소</t>
    <phoneticPr fontId="9" type="noConversion"/>
  </si>
  <si>
    <t>* 이용인 독감예방접종</t>
    <phoneticPr fontId="9" type="noConversion"/>
  </si>
  <si>
    <t>* 기타 의료비</t>
    <phoneticPr fontId="9" type="noConversion"/>
  </si>
  <si>
    <t>* 이용인 직장 방문 경비(음료 등)</t>
    <phoneticPr fontId="9" type="noConversion"/>
  </si>
  <si>
    <t>입소</t>
    <phoneticPr fontId="9" type="noConversion"/>
  </si>
  <si>
    <t>* 사무용품비(문구류 )</t>
    <phoneticPr fontId="9" type="noConversion"/>
  </si>
  <si>
    <t>* 기타 수용비 및 수수료</t>
    <phoneticPr fontId="9" type="noConversion"/>
  </si>
  <si>
    <t>* 전화료 및 인터넷 요금</t>
    <phoneticPr fontId="9" type="noConversion"/>
  </si>
  <si>
    <t>입소</t>
    <phoneticPr fontId="9" type="noConversion"/>
  </si>
  <si>
    <t>* 아파트관리비</t>
    <phoneticPr fontId="9" type="noConversion"/>
  </si>
  <si>
    <t>* 소방안전점검비</t>
    <phoneticPr fontId="9" type="noConversion"/>
  </si>
  <si>
    <t>* 전기안전점검비</t>
    <phoneticPr fontId="9" type="noConversion"/>
  </si>
  <si>
    <t>* 가스안전점검비</t>
    <phoneticPr fontId="9" type="noConversion"/>
  </si>
  <si>
    <t>* 신원보증보험갱신</t>
    <phoneticPr fontId="9" type="noConversion"/>
  </si>
  <si>
    <t>* 차량보험료</t>
    <phoneticPr fontId="9" type="noConversion"/>
  </si>
  <si>
    <t>회</t>
    <phoneticPr fontId="9" type="noConversion"/>
  </si>
  <si>
    <t xml:space="preserve"> * 국립재활원, 한장협, 경장협, 등 </t>
    <phoneticPr fontId="9" type="noConversion"/>
  </si>
  <si>
    <t>* 차량유류대</t>
    <phoneticPr fontId="9" type="noConversion"/>
  </si>
  <si>
    <t>* 차량 정기검사/ 차량수리 및 정비비</t>
    <phoneticPr fontId="9" type="noConversion"/>
  </si>
  <si>
    <t>*</t>
    <phoneticPr fontId="9" type="noConversion"/>
  </si>
  <si>
    <t>* 기타 시설물 관리유지비</t>
    <phoneticPr fontId="9" type="noConversion"/>
  </si>
  <si>
    <t>* 주부식비</t>
    <phoneticPr fontId="9" type="noConversion"/>
  </si>
  <si>
    <t>* 주부식비(보충액)</t>
    <phoneticPr fontId="9" type="noConversion"/>
  </si>
  <si>
    <t>* 월동대책비(김장)</t>
    <phoneticPr fontId="9" type="noConversion"/>
  </si>
  <si>
    <t>후원</t>
    <phoneticPr fontId="9" type="noConversion"/>
  </si>
  <si>
    <t>원</t>
    <phoneticPr fontId="9" type="noConversion"/>
  </si>
  <si>
    <t>잡수</t>
    <phoneticPr fontId="9" type="noConversion"/>
  </si>
  <si>
    <t>법인</t>
    <phoneticPr fontId="9" type="noConversion"/>
  </si>
  <si>
    <t>입소</t>
    <phoneticPr fontId="9" type="noConversion"/>
  </si>
  <si>
    <t>* 정수기 임대료 및 수질검사 등</t>
    <phoneticPr fontId="9" type="noConversion"/>
  </si>
  <si>
    <t>* 주방식기류 및 그릇 보강</t>
    <phoneticPr fontId="9" type="noConversion"/>
  </si>
  <si>
    <t>* 기타 수용기관경비</t>
    <phoneticPr fontId="9" type="noConversion"/>
  </si>
  <si>
    <t>* 취사용 연료비</t>
    <phoneticPr fontId="9" type="noConversion"/>
  </si>
  <si>
    <t>일상생활</t>
    <phoneticPr fontId="9" type="noConversion"/>
  </si>
  <si>
    <t>지원사업비</t>
    <phoneticPr fontId="9" type="noConversion"/>
  </si>
  <si>
    <t>* 이용인 생일</t>
    <phoneticPr fontId="9" type="noConversion"/>
  </si>
  <si>
    <t>명</t>
    <phoneticPr fontId="9" type="noConversion"/>
  </si>
  <si>
    <t>* 찜질방 이용</t>
    <phoneticPr fontId="9" type="noConversion"/>
  </si>
  <si>
    <t>회</t>
    <phoneticPr fontId="9" type="noConversion"/>
  </si>
  <si>
    <t>* 요리활동 및 외식</t>
    <phoneticPr fontId="9" type="noConversion"/>
  </si>
  <si>
    <t>* 노래방 이용</t>
    <phoneticPr fontId="9" type="noConversion"/>
  </si>
  <si>
    <t>교육지원</t>
    <phoneticPr fontId="9" type="noConversion"/>
  </si>
  <si>
    <t>* 성교육</t>
    <phoneticPr fontId="9" type="noConversion"/>
  </si>
  <si>
    <t>* 인권교육</t>
    <phoneticPr fontId="9" type="noConversion"/>
  </si>
  <si>
    <t>* 금전관리교육</t>
    <phoneticPr fontId="9" type="noConversion"/>
  </si>
  <si>
    <t>* 독서치료교육</t>
    <phoneticPr fontId="9" type="noConversion"/>
  </si>
  <si>
    <t>* 교육(학습)지원 비용</t>
    <phoneticPr fontId="9" type="noConversion"/>
  </si>
  <si>
    <t>자치회의</t>
    <phoneticPr fontId="9" type="noConversion"/>
  </si>
  <si>
    <t>* 자치회의</t>
    <phoneticPr fontId="9" type="noConversion"/>
  </si>
  <si>
    <t>* 봄</t>
    <phoneticPr fontId="9" type="noConversion"/>
  </si>
  <si>
    <t>* 여름캠프</t>
    <phoneticPr fontId="9" type="noConversion"/>
  </si>
  <si>
    <t>* 가을여행</t>
    <phoneticPr fontId="9" type="noConversion"/>
  </si>
  <si>
    <t>* 겨울</t>
    <phoneticPr fontId="9" type="noConversion"/>
  </si>
  <si>
    <t>계절별</t>
    <phoneticPr fontId="9" type="noConversion"/>
  </si>
  <si>
    <t>나들이</t>
    <phoneticPr fontId="9" type="noConversion"/>
  </si>
  <si>
    <t>문화생활</t>
    <phoneticPr fontId="9" type="noConversion"/>
  </si>
  <si>
    <t>* 영화 및 뮤지컬 관람</t>
    <phoneticPr fontId="9" type="noConversion"/>
  </si>
  <si>
    <t>* 문화생활비</t>
    <phoneticPr fontId="9" type="noConversion"/>
  </si>
  <si>
    <t>운동지원</t>
    <phoneticPr fontId="9" type="noConversion"/>
  </si>
  <si>
    <t>* 등산프로그램</t>
    <phoneticPr fontId="9" type="noConversion"/>
  </si>
  <si>
    <t>* 헬스프로그램</t>
    <phoneticPr fontId="9" type="noConversion"/>
  </si>
  <si>
    <t>* 수영프로그램</t>
    <phoneticPr fontId="9" type="noConversion"/>
  </si>
  <si>
    <t>* 헬스용품 구입비</t>
    <phoneticPr fontId="9" type="noConversion"/>
  </si>
  <si>
    <t>* 송년회</t>
    <phoneticPr fontId="9" type="noConversion"/>
  </si>
  <si>
    <t>* 개원기념일</t>
    <phoneticPr fontId="9" type="noConversion"/>
  </si>
  <si>
    <t>* 보조금 운영비 잔액</t>
    <phoneticPr fontId="9" type="noConversion"/>
  </si>
  <si>
    <t>* 보조금 운영비 예금이자</t>
    <phoneticPr fontId="9" type="noConversion"/>
  </si>
  <si>
    <t>* 7종 보조금 잔액</t>
    <phoneticPr fontId="9" type="noConversion"/>
  </si>
  <si>
    <t>* 7종 보조금 예금이자</t>
    <phoneticPr fontId="9" type="noConversion"/>
  </si>
  <si>
    <t>* 보조금(시비) 예금이자</t>
    <phoneticPr fontId="9" type="noConversion"/>
  </si>
  <si>
    <t>* 보조금 체크카드 환급액</t>
    <phoneticPr fontId="9" type="noConversion"/>
  </si>
  <si>
    <t>보조</t>
    <phoneticPr fontId="9" type="noConversion"/>
  </si>
  <si>
    <t>* 입소비용 예금이자</t>
    <phoneticPr fontId="9" type="noConversion"/>
  </si>
  <si>
    <t>* 간식비(우유대금)</t>
    <phoneticPr fontId="9" type="noConversion"/>
  </si>
  <si>
    <t>* 주민세 등 기타 공과금</t>
    <phoneticPr fontId="9" type="noConversion"/>
  </si>
  <si>
    <t>입소</t>
    <phoneticPr fontId="9" type="noConversion"/>
  </si>
  <si>
    <t>* 개별화장</t>
    <phoneticPr fontId="9" type="noConversion"/>
  </si>
  <si>
    <t>명</t>
    <phoneticPr fontId="9" type="noConversion"/>
  </si>
  <si>
    <t>=</t>
    <phoneticPr fontId="9" type="noConversion"/>
  </si>
  <si>
    <t>* 사회재활교사(이미현)</t>
    <phoneticPr fontId="9" type="noConversion"/>
  </si>
  <si>
    <t>6호봉</t>
    <phoneticPr fontId="9" type="noConversion"/>
  </si>
  <si>
    <t>입소</t>
    <phoneticPr fontId="9" type="noConversion"/>
  </si>
  <si>
    <t xml:space="preserve"> &lt;기타 보조금 합계&gt;</t>
    <phoneticPr fontId="9" type="noConversion"/>
  </si>
  <si>
    <t>* 경장연 대체인력 지원금</t>
    <phoneticPr fontId="9" type="noConversion"/>
  </si>
  <si>
    <t>기타 보조금</t>
    <phoneticPr fontId="29" type="noConversion"/>
  </si>
  <si>
    <t>지정   후원금</t>
    <phoneticPr fontId="29" type="noConversion"/>
  </si>
  <si>
    <t xml:space="preserve">* </t>
    <phoneticPr fontId="9" type="noConversion"/>
  </si>
  <si>
    <t>환경개선
사업비</t>
    <phoneticPr fontId="9" type="noConversion"/>
  </si>
  <si>
    <t>직원건강
진단비</t>
    <phoneticPr fontId="9" type="noConversion"/>
  </si>
  <si>
    <t>기타
보조금</t>
    <phoneticPr fontId="9" type="noConversion"/>
  </si>
  <si>
    <t>경장연
지원금</t>
    <phoneticPr fontId="9" type="noConversion"/>
  </si>
  <si>
    <t xml:space="preserve">* </t>
    <phoneticPr fontId="9" type="noConversion"/>
  </si>
  <si>
    <t>직책
보조비</t>
    <phoneticPr fontId="9" type="noConversion"/>
  </si>
  <si>
    <t>시설비</t>
    <phoneticPr fontId="9" type="noConversion"/>
  </si>
  <si>
    <t>* 예산조정으로 인한 증액</t>
    <phoneticPr fontId="9" type="noConversion"/>
  </si>
  <si>
    <t>2.건강보험부담금</t>
    <phoneticPr fontId="9" type="noConversion"/>
  </si>
  <si>
    <t>* 특수건강검진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</si>
  <si>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</si>
  <si>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</si>
  <si>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</si>
  <si>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1. 보조금 이자수입</t>
    <phoneticPr fontId="9" type="noConversion"/>
  </si>
  <si>
    <t>원</t>
    <phoneticPr fontId="9" type="noConversion"/>
  </si>
  <si>
    <t>1. 보조금 체크카드환급금</t>
    <phoneticPr fontId="9" type="noConversion"/>
  </si>
  <si>
    <t>2. 법인전입금 이자수입</t>
    <phoneticPr fontId="9" type="noConversion"/>
  </si>
  <si>
    <t>3. 입소비용 이자수입</t>
    <phoneticPr fontId="9" type="noConversion"/>
  </si>
  <si>
    <t>4. 잡수입 이자수입</t>
    <phoneticPr fontId="9" type="noConversion"/>
  </si>
  <si>
    <t>54. 후원금 이자수입</t>
    <phoneticPr fontId="9" type="noConversion"/>
  </si>
  <si>
    <t>2. 법인전입금 체크카드환급액</t>
    <phoneticPr fontId="9" type="noConversion"/>
  </si>
  <si>
    <t>3. 입소비용 체크카드환급액</t>
    <phoneticPr fontId="9" type="noConversion"/>
  </si>
  <si>
    <t>4. 잡수입 체크카드환급금</t>
    <phoneticPr fontId="9" type="noConversion"/>
  </si>
  <si>
    <t>5. 후원금 체크카드환급금</t>
    <phoneticPr fontId="9" type="noConversion"/>
  </si>
  <si>
    <t>원</t>
    <phoneticPr fontId="9" type="noConversion"/>
  </si>
  <si>
    <t>* 법인전입금 예금이자</t>
    <phoneticPr fontId="9" type="noConversion"/>
  </si>
  <si>
    <t>* 법인전입금 체크카드환급액</t>
    <phoneticPr fontId="9" type="noConversion"/>
  </si>
  <si>
    <t>* 입소비용 체크카드환급액</t>
    <phoneticPr fontId="9" type="noConversion"/>
  </si>
  <si>
    <t>* 잡수입 예금이자</t>
    <phoneticPr fontId="9" type="noConversion"/>
  </si>
  <si>
    <t>* 잡수입 체크카드환급액</t>
    <phoneticPr fontId="9" type="noConversion"/>
  </si>
  <si>
    <t>* 후원금 예금이자</t>
    <phoneticPr fontId="9" type="noConversion"/>
  </si>
  <si>
    <t>* 후원금 체크카드환급액</t>
    <phoneticPr fontId="9" type="noConversion"/>
  </si>
  <si>
    <t>일</t>
    <phoneticPr fontId="9" type="noConversion"/>
  </si>
  <si>
    <t>원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</si>
  <si>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</si>
  <si>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</si>
  <si>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</si>
  <si>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7호봉</t>
    <phoneticPr fontId="9" type="noConversion"/>
  </si>
  <si>
    <t>입소</t>
    <phoneticPr fontId="9" type="noConversion"/>
  </si>
  <si>
    <t>후원</t>
    <phoneticPr fontId="9" type="noConversion"/>
  </si>
  <si>
    <t>* 생활용품구입비(치약,치솔,화장지 등)</t>
    <phoneticPr fontId="9" type="noConversion"/>
  </si>
  <si>
    <t>* 우편물발송료 및 택배료 등 기타 공공요금</t>
    <phoneticPr fontId="9" type="noConversion"/>
  </si>
  <si>
    <t>회</t>
    <phoneticPr fontId="9" type="noConversion"/>
  </si>
  <si>
    <t>원</t>
    <phoneticPr fontId="9" type="noConversion"/>
  </si>
  <si>
    <t>* 환경개선사업(7종)</t>
    <phoneticPr fontId="9" type="noConversion"/>
  </si>
  <si>
    <t>=</t>
    <phoneticPr fontId="9" type="noConversion"/>
  </si>
  <si>
    <t>월</t>
    <phoneticPr fontId="9" type="noConversion"/>
  </si>
  <si>
    <t>명</t>
    <phoneticPr fontId="9" type="noConversion"/>
  </si>
  <si>
    <t>* 보조금(시비) 잔액 - 건강진단비</t>
    <phoneticPr fontId="9" type="noConversion"/>
  </si>
  <si>
    <t>* 비품구입비</t>
    <phoneticPr fontId="9" type="noConversion"/>
  </si>
  <si>
    <t>* 종사자처우개선비(경기도)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</si>
  <si>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</si>
  <si>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</si>
  <si>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</si>
  <si>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</si>
  <si>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</si>
  <si>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계
(B)</t>
    <phoneticPr fontId="9" type="noConversion"/>
  </si>
  <si>
    <t>보조금
(도비)</t>
    <phoneticPr fontId="9" type="noConversion"/>
  </si>
  <si>
    <t>보조금(7종)</t>
    <phoneticPr fontId="9" type="noConversion"/>
  </si>
  <si>
    <t>보조금
(시비)</t>
    <phoneticPr fontId="9" type="noConversion"/>
  </si>
  <si>
    <t>후원금</t>
    <phoneticPr fontId="9" type="noConversion"/>
  </si>
  <si>
    <t>입소자
부담금</t>
    <phoneticPr fontId="9" type="noConversion"/>
  </si>
  <si>
    <t>법인
전입금</t>
    <phoneticPr fontId="9" type="noConversion"/>
  </si>
  <si>
    <t>잡수입</t>
    <phoneticPr fontId="9" type="noConversion"/>
  </si>
  <si>
    <t>후원</t>
    <phoneticPr fontId="9" type="noConversion"/>
  </si>
  <si>
    <t>÷</t>
    <phoneticPr fontId="9" type="noConversion"/>
  </si>
  <si>
    <t>보조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</si>
  <si>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</si>
  <si>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</si>
  <si>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</si>
  <si>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</si>
  <si>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</si>
  <si>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</si>
  <si>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보조</t>
    <phoneticPr fontId="9" type="noConversion"/>
  </si>
  <si>
    <t>후원</t>
    <phoneticPr fontId="9" type="noConversion"/>
  </si>
  <si>
    <t>2017년
1추경 예산</t>
    <phoneticPr fontId="29" type="noConversion"/>
  </si>
  <si>
    <t>6. 사회보험부담금(정산보험)</t>
    <phoneticPr fontId="9" type="noConversion"/>
  </si>
  <si>
    <t xml:space="preserve"> </t>
    <phoneticPr fontId="9" type="noConversion"/>
  </si>
  <si>
    <t>입소</t>
    <phoneticPr fontId="9" type="noConversion"/>
  </si>
  <si>
    <t>몬띠</t>
    <phoneticPr fontId="9" type="noConversion"/>
  </si>
  <si>
    <t>마르따</t>
    <phoneticPr fontId="9" type="noConversion"/>
  </si>
  <si>
    <t>바르나바</t>
    <phoneticPr fontId="9" type="noConversion"/>
  </si>
  <si>
    <t>기타후생경비</t>
    <phoneticPr fontId="9" type="noConversion"/>
  </si>
  <si>
    <t>시설당 지원금</t>
    <phoneticPr fontId="9" type="noConversion"/>
  </si>
  <si>
    <t>환경개선사업비</t>
    <phoneticPr fontId="9" type="noConversion"/>
  </si>
  <si>
    <t>공공요금</t>
    <phoneticPr fontId="9" type="noConversion"/>
  </si>
  <si>
    <t>종사자근무수당</t>
    <phoneticPr fontId="9" type="noConversion"/>
  </si>
  <si>
    <t>제세공과금</t>
    <phoneticPr fontId="9" type="noConversion"/>
  </si>
  <si>
    <t>직원건강진단비</t>
    <phoneticPr fontId="9" type="noConversion"/>
  </si>
  <si>
    <t>차량비</t>
    <phoneticPr fontId="9" type="noConversion"/>
  </si>
  <si>
    <t>종사자처우개선비</t>
    <phoneticPr fontId="9" type="noConversion"/>
  </si>
  <si>
    <t>기타운영비</t>
    <phoneticPr fontId="9" type="noConversion"/>
  </si>
  <si>
    <t>경장연 대체인력</t>
    <phoneticPr fontId="9" type="noConversion"/>
  </si>
  <si>
    <t>생계비</t>
    <phoneticPr fontId="9" type="noConversion"/>
  </si>
  <si>
    <t>반환금</t>
    <phoneticPr fontId="9" type="noConversion"/>
  </si>
  <si>
    <t>수용기관경비</t>
    <phoneticPr fontId="9" type="noConversion"/>
  </si>
  <si>
    <t>피복비</t>
    <phoneticPr fontId="9" type="noConversion"/>
  </si>
  <si>
    <t>의료비</t>
    <phoneticPr fontId="9" type="noConversion"/>
  </si>
  <si>
    <t>연료비</t>
    <phoneticPr fontId="9" type="noConversion"/>
  </si>
  <si>
    <t>프로그램비</t>
    <phoneticPr fontId="9" type="noConversion"/>
  </si>
  <si>
    <t>운영비</t>
    <phoneticPr fontId="9" type="noConversion"/>
  </si>
  <si>
    <t>인건비</t>
    <phoneticPr fontId="9" type="noConversion"/>
  </si>
  <si>
    <t>1/4분기
신청액</t>
    <phoneticPr fontId="9" type="noConversion"/>
  </si>
  <si>
    <t>2/4분기
신청액</t>
    <phoneticPr fontId="9" type="noConversion"/>
  </si>
  <si>
    <t>3/4분기
신청액</t>
    <phoneticPr fontId="9" type="noConversion"/>
  </si>
  <si>
    <t>4/4분기
신청액</t>
    <phoneticPr fontId="9" type="noConversion"/>
  </si>
  <si>
    <t>검증</t>
    <phoneticPr fontId="9" type="noConversion"/>
  </si>
  <si>
    <t>공공요금</t>
    <phoneticPr fontId="9" type="noConversion"/>
  </si>
  <si>
    <t>제세공과금</t>
    <phoneticPr fontId="9" type="noConversion"/>
  </si>
  <si>
    <t>차량비</t>
    <phoneticPr fontId="9" type="noConversion"/>
  </si>
  <si>
    <t>기타운영비</t>
    <phoneticPr fontId="9" type="noConversion"/>
  </si>
  <si>
    <t>생계비</t>
    <phoneticPr fontId="9" type="noConversion"/>
  </si>
  <si>
    <t>수용기관경비</t>
    <phoneticPr fontId="9" type="noConversion"/>
  </si>
  <si>
    <t>프로그램비</t>
    <phoneticPr fontId="9" type="noConversion"/>
  </si>
  <si>
    <t>2017년 마르따의 집 분기별 운영비(보조금) 신청액</t>
    <phoneticPr fontId="9" type="noConversion"/>
  </si>
  <si>
    <t>* 운영위원회 참석수당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</si>
  <si>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</si>
  <si>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</si>
  <si>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</si>
  <si>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보조</t>
    <phoneticPr fontId="9" type="noConversion"/>
  </si>
  <si>
    <t>2017년
1차추경 예산</t>
    <phoneticPr fontId="9" type="noConversion"/>
  </si>
  <si>
    <t>회의비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</si>
  <si>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</si>
  <si>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</si>
  <si>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</si>
  <si>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* 회의 다과비</t>
    <phoneticPr fontId="9" type="noConversion"/>
  </si>
  <si>
    <t>회</t>
    <phoneticPr fontId="9" type="noConversion"/>
  </si>
  <si>
    <t>* 직원건강검진비(순수시비)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</si>
  <si>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</si>
  <si>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</si>
  <si>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</si>
  <si>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=</t>
    <phoneticPr fontId="9" type="noConversion"/>
  </si>
  <si>
    <t>&lt;마르따의 집 2017년도 2차추경예산 세출내역&gt;</t>
    <phoneticPr fontId="9" type="noConversion"/>
  </si>
  <si>
    <t>2017년
1차추경
예산액(A)
(단위:천원)</t>
    <phoneticPr fontId="9" type="noConversion"/>
  </si>
  <si>
    <t>2017년 2차추경 예산액(B)(단위:천원)</t>
    <phoneticPr fontId="9" type="noConversion"/>
  </si>
  <si>
    <t>2017년
2차추경
예산액(B)
(단위:천원)</t>
    <phoneticPr fontId="9" type="noConversion"/>
  </si>
  <si>
    <t>시비</t>
    <phoneticPr fontId="9" type="noConversion"/>
  </si>
  <si>
    <t>7종</t>
    <phoneticPr fontId="9" type="noConversion"/>
  </si>
  <si>
    <t>시비</t>
    <phoneticPr fontId="9" type="noConversion"/>
  </si>
  <si>
    <t>법인</t>
    <phoneticPr fontId="9" type="noConversion"/>
  </si>
  <si>
    <t>입소</t>
    <phoneticPr fontId="9" type="noConversion"/>
  </si>
  <si>
    <t>입소</t>
    <phoneticPr fontId="9" type="noConversion"/>
  </si>
  <si>
    <t>잡수</t>
    <phoneticPr fontId="9" type="noConversion"/>
  </si>
  <si>
    <t>후원</t>
    <phoneticPr fontId="9" type="noConversion"/>
  </si>
  <si>
    <t>후원</t>
    <phoneticPr fontId="9" type="noConversion"/>
  </si>
  <si>
    <t>4.지역사회 종사자수당</t>
    <phoneticPr fontId="9" type="noConversion"/>
  </si>
  <si>
    <t>* 사회재활교사</t>
    <phoneticPr fontId="9" type="noConversion"/>
  </si>
  <si>
    <t>5.종사자특수근무수당(7종)</t>
    <phoneticPr fontId="9" type="noConversion"/>
  </si>
  <si>
    <t>7종</t>
    <phoneticPr fontId="9" type="noConversion"/>
  </si>
  <si>
    <t>6.종사자처우개선비(경기도)</t>
    <phoneticPr fontId="9" type="noConversion"/>
  </si>
  <si>
    <t>시비</t>
    <phoneticPr fontId="9" type="noConversion"/>
  </si>
  <si>
    <t>법인</t>
    <phoneticPr fontId="9" type="noConversion"/>
  </si>
  <si>
    <t>보조</t>
    <phoneticPr fontId="9" type="noConversion"/>
  </si>
  <si>
    <t>* 종사자특수근무수당(7종)</t>
    <phoneticPr fontId="9" type="noConversion"/>
  </si>
  <si>
    <t>&lt;마르따의 집 2017년도 2차추경예산 세입내역&gt;</t>
    <phoneticPr fontId="9" type="noConversion"/>
  </si>
  <si>
    <t>보조</t>
    <phoneticPr fontId="9" type="noConversion"/>
  </si>
  <si>
    <t>* 환경개선사업(7종) : 제습기, 컴퓨터, 세탁기, 청소기 구입</t>
    <phoneticPr fontId="9" type="noConversion"/>
  </si>
  <si>
    <t>* 피복비(침구류 포함)</t>
    <phoneticPr fontId="9" type="noConversion"/>
  </si>
  <si>
    <t>□ 2017년도 2차추경예산 세 입 · 세 출 총  괄  표</t>
    <phoneticPr fontId="29" type="noConversion"/>
  </si>
  <si>
    <t>2017년
2추경 예산</t>
    <phoneticPr fontId="29" type="noConversion"/>
  </si>
  <si>
    <t>2017년 2차추경 예산 세입증감내역</t>
    <phoneticPr fontId="9" type="noConversion"/>
  </si>
  <si>
    <t>2017년
2차추경 예산</t>
    <phoneticPr fontId="9" type="noConversion"/>
  </si>
  <si>
    <t>2017년 2차추경 예산 세출증감내역</t>
    <phoneticPr fontId="9" type="noConversion"/>
  </si>
  <si>
    <t>종사자
근무수당</t>
    <phoneticPr fontId="9" type="noConversion"/>
  </si>
  <si>
    <t xml:space="preserve">* </t>
    <phoneticPr fontId="9" type="noConversion"/>
  </si>
  <si>
    <t>종사자
특수근무
수당(7종)</t>
    <phoneticPr fontId="9" type="noConversion"/>
  </si>
  <si>
    <t>* 경장연 대체인력지원 인건비(20일-&gt;1일) 삭감</t>
    <phoneticPr fontId="9" type="noConversion"/>
  </si>
  <si>
    <t>*종사자특수근무수당(7종) 신설반영</t>
    <phoneticPr fontId="9" type="noConversion"/>
  </si>
  <si>
    <t>* 3분기부터 보조금 지원 중단</t>
    <phoneticPr fontId="9" type="noConversion"/>
  </si>
  <si>
    <t>* 직원 변경으로 지원금 삭감</t>
    <phoneticPr fontId="9" type="noConversion"/>
  </si>
  <si>
    <t>* 직원 변동으로 급여 삭감</t>
    <phoneticPr fontId="9" type="noConversion"/>
  </si>
  <si>
    <t>*  대체인력 20일 -&gt;1일 이용 예산반영</t>
    <phoneticPr fontId="9" type="noConversion"/>
  </si>
  <si>
    <t>* 예산조정으로 인한 증액(침구류 포함)</t>
    <phoneticPr fontId="9" type="noConversion"/>
  </si>
  <si>
    <t>* 직원 변동으로 급여 삭감(채용 공백)</t>
    <phoneticPr fontId="9" type="noConversion"/>
  </si>
  <si>
    <t>* 자산취득비(제습기, 컴퓨터, 세탁기, 청소기 구입) 증액</t>
    <phoneticPr fontId="9" type="noConversion"/>
  </si>
  <si>
    <t>* 예산 계수조정으로 삭감</t>
    <phoneticPr fontId="9" type="noConversion"/>
  </si>
  <si>
    <t>* 환경개선사업비 보조금 미지원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</si>
</sst>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돋움"/>
      <family val="3"/>
      <charset val="129"/>
    </font>
    <font>
      <b/>
      <sz val="18"/>
      <color indexed="8"/>
      <name val="돋움"/>
      <family val="3"/>
      <charset val="129"/>
    </font>
    <font>
      <sz val="11"/>
      <color rgb="FFFF000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699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>
      <alignment vertical="center"/>
    </xf>
    <xf numFmtId="176" fontId="13" fillId="0" borderId="0" xfId="3" applyNumberFormat="1" applyFont="1" applyFill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6" fillId="0" borderId="16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9" fontId="17" fillId="0" borderId="3" xfId="3" applyNumberFormat="1" applyFont="1" applyFill="1" applyBorder="1" applyAlignment="1">
      <alignment horizontal="center" vertical="center"/>
    </xf>
    <xf numFmtId="0" fontId="19" fillId="0" borderId="22" xfId="3" applyFont="1" applyFill="1" applyBorder="1" applyAlignment="1">
      <alignment vertical="center"/>
    </xf>
    <xf numFmtId="176" fontId="19" fillId="0" borderId="22" xfId="3" applyNumberFormat="1" applyFont="1" applyFill="1" applyBorder="1" applyAlignment="1">
      <alignment horizontal="center" vertical="center"/>
    </xf>
    <xf numFmtId="176" fontId="19" fillId="0" borderId="24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1" xfId="3" applyNumberFormat="1" applyFont="1" applyFill="1" applyBorder="1" applyAlignment="1">
      <alignment vertical="center"/>
    </xf>
    <xf numFmtId="0" fontId="16" fillId="0" borderId="32" xfId="3" applyFont="1" applyFill="1" applyBorder="1" applyAlignment="1">
      <alignment horizontal="center" vertical="center" wrapText="1"/>
    </xf>
    <xf numFmtId="0" fontId="16" fillId="0" borderId="27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0" fontId="16" fillId="0" borderId="33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center" vertical="center"/>
    </xf>
    <xf numFmtId="41" fontId="16" fillId="0" borderId="0" xfId="2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32" xfId="3" applyFont="1" applyFill="1" applyBorder="1" applyAlignment="1">
      <alignment vertical="center" wrapText="1"/>
    </xf>
    <xf numFmtId="178" fontId="16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0" fontId="16" fillId="0" borderId="13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176" fontId="16" fillId="0" borderId="39" xfId="3" applyNumberFormat="1" applyFont="1" applyFill="1" applyBorder="1" applyAlignment="1">
      <alignment vertical="center"/>
    </xf>
    <xf numFmtId="0" fontId="16" fillId="0" borderId="33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178" fontId="16" fillId="0" borderId="0" xfId="3" applyNumberFormat="1" applyFont="1" applyFill="1" applyBorder="1" applyAlignment="1">
      <alignment horizontal="center" vertical="center"/>
    </xf>
    <xf numFmtId="9" fontId="16" fillId="0" borderId="27" xfId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42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9" fontId="16" fillId="0" borderId="0" xfId="1" applyFont="1" applyFill="1" applyBorder="1" applyAlignment="1">
      <alignment horizontal="center" vertical="center"/>
    </xf>
    <xf numFmtId="10" fontId="16" fillId="0" borderId="0" xfId="1" applyNumberFormat="1" applyFont="1" applyFill="1" applyBorder="1" applyAlignment="1">
      <alignment horizontal="center" vertical="center"/>
    </xf>
    <xf numFmtId="180" fontId="16" fillId="0" borderId="0" xfId="2" applyNumberFormat="1" applyFont="1" applyFill="1" applyBorder="1" applyAlignment="1">
      <alignment horizontal="center"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6" fillId="0" borderId="27" xfId="3" applyFont="1" applyFill="1" applyBorder="1" applyAlignment="1">
      <alignment vertical="center" wrapText="1"/>
    </xf>
    <xf numFmtId="0" fontId="16" fillId="0" borderId="11" xfId="3" applyFont="1" applyFill="1" applyBorder="1" applyAlignment="1">
      <alignment vertical="center" wrapText="1"/>
    </xf>
    <xf numFmtId="9" fontId="16" fillId="0" borderId="11" xfId="1" applyFont="1" applyFill="1" applyBorder="1" applyAlignment="1">
      <alignment horizontal="center" vertical="center"/>
    </xf>
    <xf numFmtId="0" fontId="16" fillId="0" borderId="14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/>
    </xf>
    <xf numFmtId="176" fontId="16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6" fillId="0" borderId="27" xfId="3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9" fontId="16" fillId="0" borderId="0" xfId="1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6" fillId="0" borderId="26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6" fillId="0" borderId="26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9" fontId="16" fillId="0" borderId="7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center" vertical="center"/>
    </xf>
    <xf numFmtId="38" fontId="16" fillId="0" borderId="13" xfId="3" applyNumberFormat="1" applyFont="1" applyFill="1" applyBorder="1" applyAlignment="1">
      <alignment vertical="center"/>
    </xf>
    <xf numFmtId="9" fontId="16" fillId="0" borderId="3" xfId="1" applyFont="1" applyFill="1" applyBorder="1" applyAlignment="1">
      <alignment horizontal="center" vertical="center"/>
    </xf>
    <xf numFmtId="38" fontId="16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38" fontId="16" fillId="0" borderId="11" xfId="3" applyNumberFormat="1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38" fontId="20" fillId="0" borderId="27" xfId="3" applyNumberFormat="1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9" fontId="16" fillId="0" borderId="1" xfId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38" fontId="16" fillId="0" borderId="14" xfId="3" applyNumberFormat="1" applyFont="1" applyFill="1" applyBorder="1" applyAlignment="1">
      <alignment vertical="center"/>
    </xf>
    <xf numFmtId="38" fontId="16" fillId="0" borderId="30" xfId="3" applyNumberFormat="1" applyFont="1" applyFill="1" applyBorder="1" applyAlignment="1">
      <alignment vertical="center"/>
    </xf>
    <xf numFmtId="38" fontId="16" fillId="0" borderId="0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16" fillId="0" borderId="6" xfId="3" applyFont="1" applyFill="1" applyBorder="1" applyAlignment="1">
      <alignment horizontal="center" vertical="center" wrapText="1"/>
    </xf>
    <xf numFmtId="38" fontId="16" fillId="0" borderId="7" xfId="3" applyNumberFormat="1" applyFont="1" applyFill="1" applyBorder="1" applyAlignment="1">
      <alignment vertical="center"/>
    </xf>
    <xf numFmtId="9" fontId="16" fillId="0" borderId="7" xfId="1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21" fillId="0" borderId="30" xfId="3" applyFont="1" applyFill="1" applyBorder="1" applyAlignment="1">
      <alignment vertical="center"/>
    </xf>
    <xf numFmtId="0" fontId="16" fillId="0" borderId="41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54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177" fontId="16" fillId="0" borderId="3" xfId="3" applyNumberFormat="1" applyFont="1" applyFill="1" applyBorder="1" applyAlignment="1">
      <alignment horizontal="center" vertical="center" wrapText="1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38" fontId="16" fillId="0" borderId="33" xfId="3" applyNumberFormat="1" applyFont="1" applyFill="1" applyBorder="1" applyAlignment="1">
      <alignment vertical="center"/>
    </xf>
    <xf numFmtId="38" fontId="16" fillId="0" borderId="36" xfId="3" applyNumberFormat="1" applyFont="1" applyFill="1" applyBorder="1" applyAlignment="1">
      <alignment vertical="center"/>
    </xf>
    <xf numFmtId="38" fontId="16" fillId="0" borderId="34" xfId="3" applyNumberFormat="1" applyFont="1" applyFill="1" applyBorder="1" applyAlignment="1">
      <alignment vertical="center"/>
    </xf>
    <xf numFmtId="3" fontId="26" fillId="0" borderId="33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vertical="center"/>
    </xf>
    <xf numFmtId="38" fontId="16" fillId="0" borderId="38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vertical="center"/>
    </xf>
    <xf numFmtId="0" fontId="18" fillId="0" borderId="44" xfId="3" applyFont="1" applyFill="1" applyBorder="1" applyAlignment="1">
      <alignment vertical="center"/>
    </xf>
    <xf numFmtId="176" fontId="18" fillId="0" borderId="44" xfId="3" applyNumberFormat="1" applyFont="1" applyFill="1" applyBorder="1" applyAlignment="1">
      <alignment vertical="center"/>
    </xf>
    <xf numFmtId="176" fontId="18" fillId="0" borderId="45" xfId="3" applyNumberFormat="1" applyFont="1" applyFill="1" applyBorder="1" applyAlignment="1">
      <alignment vertical="center"/>
    </xf>
    <xf numFmtId="9" fontId="18" fillId="0" borderId="20" xfId="1" applyFont="1" applyFill="1" applyBorder="1" applyAlignment="1">
      <alignment horizontal="center" vertical="center"/>
    </xf>
    <xf numFmtId="9" fontId="16" fillId="0" borderId="13" xfId="1" applyFont="1" applyFill="1" applyBorder="1" applyAlignment="1">
      <alignment horizontal="center" vertical="center"/>
    </xf>
    <xf numFmtId="0" fontId="16" fillId="0" borderId="20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8" fillId="0" borderId="54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horizontal="right"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78" fontId="17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8" fillId="0" borderId="53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 wrapText="1"/>
    </xf>
    <xf numFmtId="38" fontId="18" fillId="0" borderId="20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9" fontId="18" fillId="0" borderId="1" xfId="1" applyFont="1" applyFill="1" applyBorder="1" applyAlignment="1">
      <alignment horizontal="center" vertical="center"/>
    </xf>
    <xf numFmtId="38" fontId="16" fillId="0" borderId="8" xfId="3" applyNumberFormat="1" applyFont="1" applyFill="1" applyBorder="1" applyAlignment="1">
      <alignment vertical="center"/>
    </xf>
    <xf numFmtId="9" fontId="16" fillId="0" borderId="8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6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6" fillId="0" borderId="14" xfId="3" applyNumberFormat="1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 wrapText="1"/>
    </xf>
    <xf numFmtId="9" fontId="16" fillId="0" borderId="11" xfId="3" applyNumberFormat="1" applyFont="1" applyFill="1" applyBorder="1" applyAlignment="1">
      <alignment horizontal="center" vertical="center"/>
    </xf>
    <xf numFmtId="0" fontId="22" fillId="0" borderId="41" xfId="3" applyFont="1" applyFill="1" applyBorder="1" applyAlignment="1">
      <alignment vertical="center"/>
    </xf>
    <xf numFmtId="0" fontId="23" fillId="0" borderId="53" xfId="3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42" fontId="16" fillId="0" borderId="14" xfId="3" applyNumberFormat="1" applyFont="1" applyFill="1" applyBorder="1" applyAlignment="1">
      <alignment horizontal="center" vertical="center"/>
    </xf>
    <xf numFmtId="178" fontId="16" fillId="0" borderId="14" xfId="3" applyNumberFormat="1" applyFont="1" applyFill="1" applyBorder="1" applyAlignment="1">
      <alignment horizontal="center" vertical="center"/>
    </xf>
    <xf numFmtId="180" fontId="16" fillId="0" borderId="14" xfId="2" applyNumberFormat="1" applyFont="1" applyFill="1" applyBorder="1" applyAlignment="1">
      <alignment horizontal="center" vertical="center"/>
    </xf>
    <xf numFmtId="178" fontId="24" fillId="0" borderId="14" xfId="0" applyNumberFormat="1" applyFont="1" applyBorder="1">
      <alignment vertical="center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9" fillId="0" borderId="23" xfId="3" applyNumberFormat="1" applyFont="1" applyFill="1" applyBorder="1" applyAlignment="1">
      <alignment vertical="center"/>
    </xf>
    <xf numFmtId="9" fontId="19" fillId="0" borderId="23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9" fontId="21" fillId="0" borderId="11" xfId="3" applyNumberFormat="1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6" fillId="0" borderId="30" xfId="3" applyNumberFormat="1" applyFont="1" applyFill="1" applyBorder="1" applyAlignment="1">
      <alignment horizontal="left" vertical="center"/>
    </xf>
    <xf numFmtId="176" fontId="16" fillId="0" borderId="30" xfId="3" applyNumberFormat="1" applyFont="1" applyFill="1" applyBorder="1" applyAlignment="1">
      <alignment horizontal="left" vertical="center"/>
    </xf>
    <xf numFmtId="180" fontId="16" fillId="0" borderId="30" xfId="2" applyNumberFormat="1" applyFont="1" applyFill="1" applyBorder="1" applyAlignment="1">
      <alignment vertical="center"/>
    </xf>
    <xf numFmtId="41" fontId="16" fillId="0" borderId="30" xfId="2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0" fontId="16" fillId="0" borderId="29" xfId="3" applyFont="1" applyFill="1" applyBorder="1" applyAlignment="1">
      <alignment vertical="center"/>
    </xf>
    <xf numFmtId="9" fontId="16" fillId="0" borderId="55" xfId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7" fontId="16" fillId="0" borderId="30" xfId="3" applyNumberFormat="1" applyFont="1" applyFill="1" applyBorder="1" applyAlignment="1">
      <alignment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3" xfId="3" applyFont="1" applyFill="1" applyBorder="1" applyAlignment="1">
      <alignment horizontal="center" vertical="center"/>
    </xf>
    <xf numFmtId="0" fontId="35" fillId="0" borderId="53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78" fontId="34" fillId="0" borderId="0" xfId="3" applyNumberFormat="1" applyFont="1" applyFill="1" applyBorder="1" applyAlignment="1">
      <alignment vertical="center"/>
    </xf>
    <xf numFmtId="177" fontId="34" fillId="0" borderId="0" xfId="3" applyNumberFormat="1" applyFont="1" applyFill="1" applyBorder="1" applyAlignment="1">
      <alignment vertical="center"/>
    </xf>
    <xf numFmtId="9" fontId="34" fillId="0" borderId="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3" xfId="3" applyNumberFormat="1" applyFont="1" applyFill="1" applyBorder="1" applyAlignment="1">
      <alignment horizontal="right" vertical="center"/>
    </xf>
    <xf numFmtId="176" fontId="19" fillId="0" borderId="37" xfId="3" applyNumberFormat="1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16" fillId="0" borderId="35" xfId="3" applyNumberFormat="1" applyFont="1" applyFill="1" applyBorder="1" applyAlignment="1">
      <alignment vertical="center"/>
    </xf>
    <xf numFmtId="0" fontId="16" fillId="0" borderId="17" xfId="3" applyFont="1" applyFill="1" applyBorder="1" applyAlignment="1">
      <alignment vertical="center" wrapText="1"/>
    </xf>
    <xf numFmtId="0" fontId="34" fillId="0" borderId="54" xfId="3" applyFont="1" applyFill="1" applyBorder="1" applyAlignment="1">
      <alignment vertical="center" wrapText="1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8" fontId="19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9" fontId="16" fillId="0" borderId="33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vertical="center"/>
    </xf>
    <xf numFmtId="0" fontId="25" fillId="0" borderId="33" xfId="3" applyFont="1" applyFill="1" applyBorder="1" applyAlignment="1">
      <alignment vertical="center"/>
    </xf>
    <xf numFmtId="9" fontId="16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6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6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6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7" fillId="0" borderId="33" xfId="3" applyFont="1" applyFill="1" applyBorder="1" applyAlignment="1">
      <alignment horizontal="left" vertical="center"/>
    </xf>
    <xf numFmtId="0" fontId="27" fillId="0" borderId="33" xfId="3" applyFont="1" applyFill="1" applyBorder="1" applyAlignment="1">
      <alignment vertical="center"/>
    </xf>
    <xf numFmtId="0" fontId="27" fillId="0" borderId="36" xfId="3" applyFont="1" applyFill="1" applyBorder="1" applyAlignment="1">
      <alignment vertical="center"/>
    </xf>
    <xf numFmtId="0" fontId="27" fillId="0" borderId="41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92" fontId="19" fillId="0" borderId="2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right" vertical="center"/>
    </xf>
    <xf numFmtId="176" fontId="34" fillId="0" borderId="37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4" xfId="3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176" fontId="35" fillId="0" borderId="45" xfId="3" applyNumberFormat="1" applyFont="1" applyFill="1" applyBorder="1" applyAlignment="1">
      <alignment vertical="center"/>
    </xf>
    <xf numFmtId="41" fontId="33" fillId="0" borderId="27" xfId="0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1" fillId="0" borderId="20" xfId="3" applyFont="1" applyFill="1" applyBorder="1" applyAlignment="1">
      <alignment horizontal="center" vertical="center" wrapText="1"/>
    </xf>
    <xf numFmtId="176" fontId="41" fillId="0" borderId="20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53" xfId="3" applyFont="1" applyFill="1" applyBorder="1" applyAlignment="1">
      <alignment vertical="center"/>
    </xf>
    <xf numFmtId="176" fontId="42" fillId="0" borderId="53" xfId="3" applyNumberFormat="1" applyFont="1" applyFill="1" applyBorder="1" applyAlignment="1">
      <alignment vertical="center"/>
    </xf>
    <xf numFmtId="176" fontId="42" fillId="0" borderId="54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3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4" fillId="0" borderId="14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vertical="center"/>
    </xf>
    <xf numFmtId="176" fontId="44" fillId="0" borderId="53" xfId="3" applyNumberFormat="1" applyFont="1" applyFill="1" applyBorder="1" applyAlignment="1">
      <alignment horizontal="right" vertical="center"/>
    </xf>
    <xf numFmtId="176" fontId="44" fillId="0" borderId="54" xfId="3" applyNumberFormat="1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41" xfId="3" applyFont="1" applyFill="1" applyBorder="1" applyAlignment="1">
      <alignment vertical="center"/>
    </xf>
    <xf numFmtId="0" fontId="44" fillId="0" borderId="30" xfId="3" applyFont="1" applyFill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 wrapText="1"/>
    </xf>
    <xf numFmtId="0" fontId="25" fillId="0" borderId="36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7" xfId="3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87" fontId="25" fillId="0" borderId="0" xfId="1" applyNumberFormat="1" applyFont="1" applyFill="1" applyBorder="1" applyAlignment="1">
      <alignment horizontal="center"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46" fillId="0" borderId="14" xfId="0" applyFont="1" applyFill="1" applyBorder="1" applyAlignment="1">
      <alignment vertical="center"/>
    </xf>
    <xf numFmtId="3" fontId="34" fillId="0" borderId="14" xfId="0" applyNumberFormat="1" applyFont="1" applyFill="1" applyBorder="1" applyAlignment="1">
      <alignment vertical="center"/>
    </xf>
    <xf numFmtId="176" fontId="46" fillId="0" borderId="37" xfId="3" applyNumberFormat="1" applyFont="1" applyFill="1" applyBorder="1" applyAlignment="1">
      <alignment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6" fontId="25" fillId="0" borderId="0" xfId="1" applyNumberFormat="1" applyFont="1" applyFill="1" applyBorder="1" applyAlignment="1">
      <alignment horizontal="center"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76" fontId="27" fillId="0" borderId="31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14" xfId="3" applyFont="1" applyFill="1" applyBorder="1" applyAlignment="1">
      <alignment horizontal="center" vertical="center"/>
    </xf>
    <xf numFmtId="176" fontId="27" fillId="0" borderId="37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178" fontId="27" fillId="0" borderId="0" xfId="0" applyNumberFormat="1" applyFont="1" applyFill="1" applyAlignment="1">
      <alignment horizontal="right"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9" xfId="3" applyNumberFormat="1" applyFont="1" applyFill="1" applyBorder="1" applyAlignment="1">
      <alignment vertical="center"/>
    </xf>
    <xf numFmtId="41" fontId="48" fillId="0" borderId="11" xfId="8" applyFont="1" applyBorder="1" applyAlignment="1">
      <alignment vertical="center"/>
    </xf>
    <xf numFmtId="182" fontId="48" fillId="0" borderId="36" xfId="8" applyNumberFormat="1" applyFont="1" applyBorder="1" applyAlignment="1">
      <alignment vertical="center"/>
    </xf>
    <xf numFmtId="182" fontId="48" fillId="0" borderId="12" xfId="8" applyNumberFormat="1" applyFont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41" fontId="50" fillId="0" borderId="11" xfId="8" applyFont="1" applyBorder="1" applyAlignment="1">
      <alignment vertical="center"/>
    </xf>
    <xf numFmtId="182" fontId="50" fillId="0" borderId="36" xfId="8" applyNumberFormat="1" applyFont="1" applyBorder="1" applyAlignment="1">
      <alignment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182" fontId="50" fillId="0" borderId="41" xfId="8" applyNumberFormat="1" applyFont="1" applyBorder="1">
      <alignment vertical="center"/>
    </xf>
    <xf numFmtId="182" fontId="50" fillId="0" borderId="12" xfId="8" applyNumberFormat="1" applyFont="1" applyBorder="1" applyAlignment="1">
      <alignment vertical="center"/>
    </xf>
    <xf numFmtId="182" fontId="50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20" xfId="0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16" fillId="0" borderId="34" xfId="3" applyFont="1" applyFill="1" applyBorder="1" applyAlignment="1">
      <alignment vertical="center"/>
    </xf>
    <xf numFmtId="178" fontId="27" fillId="0" borderId="0" xfId="0" applyNumberFormat="1" applyFont="1" applyFill="1" applyBorder="1" applyAlignment="1">
      <alignment horizontal="right" vertical="center"/>
    </xf>
    <xf numFmtId="0" fontId="27" fillId="0" borderId="14" xfId="0" applyFont="1" applyFill="1" applyBorder="1">
      <alignment vertical="center"/>
    </xf>
    <xf numFmtId="178" fontId="27" fillId="0" borderId="14" xfId="0" applyNumberFormat="1" applyFont="1" applyFill="1" applyBorder="1" applyAlignment="1">
      <alignment horizontal="right" vertical="center"/>
    </xf>
    <xf numFmtId="0" fontId="27" fillId="0" borderId="37" xfId="0" applyFont="1" applyFill="1" applyBorder="1">
      <alignment vertical="center"/>
    </xf>
    <xf numFmtId="0" fontId="27" fillId="0" borderId="30" xfId="3" applyFont="1" applyFill="1" applyBorder="1" applyAlignment="1">
      <alignment vertical="center" wrapText="1"/>
    </xf>
    <xf numFmtId="176" fontId="27" fillId="0" borderId="53" xfId="3" applyNumberFormat="1" applyFont="1" applyFill="1" applyBorder="1" applyAlignment="1">
      <alignment vertical="center"/>
    </xf>
    <xf numFmtId="176" fontId="27" fillId="0" borderId="53" xfId="3" applyNumberFormat="1" applyFont="1" applyFill="1" applyBorder="1" applyAlignment="1">
      <alignment horizontal="right" vertical="center"/>
    </xf>
    <xf numFmtId="176" fontId="27" fillId="0" borderId="54" xfId="3" applyNumberFormat="1" applyFont="1" applyFill="1" applyBorder="1" applyAlignment="1">
      <alignment vertical="center"/>
    </xf>
    <xf numFmtId="178" fontId="27" fillId="0" borderId="14" xfId="3" applyNumberFormat="1" applyFont="1" applyFill="1" applyBorder="1" applyAlignment="1">
      <alignment horizontal="right" vertical="center"/>
    </xf>
    <xf numFmtId="0" fontId="34" fillId="0" borderId="0" xfId="0" applyFont="1" applyFill="1" applyBorder="1">
      <alignment vertical="center"/>
    </xf>
    <xf numFmtId="0" fontId="27" fillId="0" borderId="14" xfId="3" applyFont="1" applyFill="1" applyBorder="1" applyAlignment="1">
      <alignment vertical="center" wrapText="1"/>
    </xf>
    <xf numFmtId="3" fontId="16" fillId="0" borderId="34" xfId="0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left" vertical="center"/>
    </xf>
    <xf numFmtId="178" fontId="32" fillId="0" borderId="1" xfId="3" applyNumberFormat="1" applyFont="1" applyFill="1" applyBorder="1" applyAlignment="1">
      <alignment vertical="center"/>
    </xf>
    <xf numFmtId="177" fontId="32" fillId="0" borderId="1" xfId="3" applyNumberFormat="1" applyFont="1" applyFill="1" applyBorder="1" applyAlignment="1">
      <alignment vertical="center"/>
    </xf>
    <xf numFmtId="9" fontId="32" fillId="0" borderId="1" xfId="1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6" fontId="33" fillId="0" borderId="31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vertical="center"/>
    </xf>
    <xf numFmtId="178" fontId="25" fillId="0" borderId="0" xfId="3" applyNumberFormat="1" applyFont="1" applyFill="1" applyBorder="1" applyAlignment="1">
      <alignment horizontal="center" vertical="center"/>
    </xf>
    <xf numFmtId="183" fontId="25" fillId="0" borderId="0" xfId="3" applyNumberFormat="1" applyFont="1" applyFill="1" applyBorder="1" applyAlignment="1">
      <alignment horizontal="center" vertical="center"/>
    </xf>
    <xf numFmtId="184" fontId="25" fillId="0" borderId="0" xfId="3" applyNumberFormat="1" applyFont="1" applyFill="1" applyBorder="1" applyAlignment="1">
      <alignment vertical="center"/>
    </xf>
    <xf numFmtId="185" fontId="25" fillId="0" borderId="0" xfId="1" applyNumberFormat="1" applyFont="1" applyFill="1" applyBorder="1" applyAlignment="1">
      <alignment horizontal="center" vertical="center"/>
    </xf>
    <xf numFmtId="41" fontId="51" fillId="0" borderId="0" xfId="2" applyFont="1" applyFill="1" applyAlignment="1">
      <alignment vertical="center"/>
    </xf>
    <xf numFmtId="0" fontId="18" fillId="0" borderId="36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16" fillId="0" borderId="0" xfId="2" applyFont="1" applyFill="1" applyAlignment="1">
      <alignment vertical="center"/>
    </xf>
    <xf numFmtId="9" fontId="25" fillId="0" borderId="0" xfId="1" applyNumberFormat="1" applyFont="1" applyFill="1" applyBorder="1" applyAlignment="1">
      <alignment horizontal="center" vertical="center"/>
    </xf>
    <xf numFmtId="194" fontId="25" fillId="0" borderId="0" xfId="3" applyNumberFormat="1" applyFont="1" applyFill="1" applyBorder="1" applyAlignment="1">
      <alignment horizontal="left" vertical="center"/>
    </xf>
    <xf numFmtId="193" fontId="25" fillId="0" borderId="0" xfId="3" applyNumberFormat="1" applyFont="1" applyFill="1" applyBorder="1" applyAlignment="1">
      <alignment vertical="center"/>
    </xf>
    <xf numFmtId="195" fontId="25" fillId="0" borderId="0" xfId="3" applyNumberFormat="1" applyFont="1" applyFill="1" applyBorder="1" applyAlignment="1">
      <alignment vertical="center"/>
    </xf>
    <xf numFmtId="196" fontId="25" fillId="0" borderId="0" xfId="3" applyNumberFormat="1" applyFont="1" applyFill="1" applyBorder="1" applyAlignment="1">
      <alignment horizontal="lef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0" fontId="6" fillId="0" borderId="51" xfId="7" applyBorder="1" applyAlignment="1">
      <alignment vertical="center"/>
    </xf>
    <xf numFmtId="0" fontId="6" fillId="0" borderId="30" xfId="7" applyBorder="1" applyAlignment="1">
      <alignment vertical="center"/>
    </xf>
    <xf numFmtId="0" fontId="6" fillId="0" borderId="25" xfId="7" applyBorder="1" applyAlignment="1">
      <alignment vertical="center"/>
    </xf>
    <xf numFmtId="0" fontId="6" fillId="0" borderId="0" xfId="7" applyBorder="1" applyAlignment="1">
      <alignment vertical="center"/>
    </xf>
    <xf numFmtId="0" fontId="6" fillId="0" borderId="46" xfId="7" applyBorder="1" applyAlignment="1">
      <alignment vertical="center"/>
    </xf>
    <xf numFmtId="0" fontId="6" fillId="0" borderId="13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4" fillId="0" borderId="33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41" fontId="0" fillId="5" borderId="0" xfId="2" applyFont="1" applyFill="1" applyAlignment="1">
      <alignment vertical="center"/>
    </xf>
    <xf numFmtId="41" fontId="0" fillId="5" borderId="20" xfId="2" applyFont="1" applyFill="1" applyBorder="1" applyAlignment="1">
      <alignment vertical="center"/>
    </xf>
    <xf numFmtId="41" fontId="0" fillId="2" borderId="20" xfId="0" applyNumberFormat="1" applyFill="1" applyBorder="1" applyAlignment="1">
      <alignment vertical="center"/>
    </xf>
    <xf numFmtId="41" fontId="0" fillId="6" borderId="20" xfId="2" applyFont="1" applyFill="1" applyBorder="1" applyAlignment="1">
      <alignment vertical="center"/>
    </xf>
    <xf numFmtId="176" fontId="16" fillId="0" borderId="27" xfId="0" applyNumberFormat="1" applyFont="1" applyFill="1" applyBorder="1" applyAlignment="1">
      <alignment vertical="center"/>
    </xf>
    <xf numFmtId="197" fontId="27" fillId="0" borderId="0" xfId="3" applyNumberFormat="1" applyFont="1" applyFill="1" applyBorder="1" applyAlignment="1">
      <alignment vertical="center"/>
    </xf>
    <xf numFmtId="198" fontId="27" fillId="0" borderId="0" xfId="3" applyNumberFormat="1" applyFont="1" applyFill="1" applyBorder="1" applyAlignment="1">
      <alignment vertical="center"/>
    </xf>
    <xf numFmtId="197" fontId="34" fillId="0" borderId="0" xfId="3" applyNumberFormat="1" applyFont="1" applyFill="1" applyBorder="1" applyAlignment="1">
      <alignment vertical="center"/>
    </xf>
    <xf numFmtId="198" fontId="34" fillId="0" borderId="0" xfId="3" applyNumberFormat="1" applyFont="1" applyFill="1" applyBorder="1" applyAlignment="1">
      <alignment vertical="center"/>
    </xf>
    <xf numFmtId="41" fontId="34" fillId="0" borderId="0" xfId="2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horizontal="center" vertical="center"/>
    </xf>
    <xf numFmtId="42" fontId="34" fillId="0" borderId="0" xfId="3" applyNumberFormat="1" applyFont="1" applyFill="1" applyBorder="1" applyAlignment="1">
      <alignment horizontal="center" vertical="center"/>
    </xf>
    <xf numFmtId="178" fontId="34" fillId="0" borderId="0" xfId="3" applyNumberFormat="1" applyFont="1" applyFill="1" applyBorder="1" applyAlignment="1">
      <alignment horizontal="center" vertical="center"/>
    </xf>
    <xf numFmtId="180" fontId="34" fillId="0" borderId="0" xfId="2" applyNumberFormat="1" applyFont="1" applyFill="1" applyBorder="1" applyAlignment="1">
      <alignment horizontal="center" vertical="center"/>
    </xf>
    <xf numFmtId="178" fontId="54" fillId="0" borderId="0" xfId="0" applyNumberFormat="1" applyFont="1" applyBorder="1">
      <alignment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7" xfId="7" applyFont="1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31" fillId="0" borderId="43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7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31" fillId="0" borderId="41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31" fillId="0" borderId="1" xfId="7" applyFont="1" applyBorder="1" applyAlignment="1">
      <alignment horizontal="center" vertical="center" wrapText="1"/>
    </xf>
    <xf numFmtId="0" fontId="31" fillId="0" borderId="80" xfId="7" applyFont="1" applyBorder="1" applyAlignment="1">
      <alignment horizontal="center" vertical="center" wrapText="1"/>
    </xf>
    <xf numFmtId="0" fontId="31" fillId="0" borderId="18" xfId="7" applyFont="1" applyBorder="1" applyAlignment="1">
      <alignment horizontal="center" vertical="center"/>
    </xf>
    <xf numFmtId="0" fontId="31" fillId="0" borderId="50" xfId="7" applyFont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 wrapText="1"/>
    </xf>
    <xf numFmtId="176" fontId="16" fillId="0" borderId="53" xfId="3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0" fontId="16" fillId="0" borderId="43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178" fontId="17" fillId="0" borderId="10" xfId="3" applyNumberFormat="1" applyFont="1" applyFill="1" applyBorder="1" applyAlignment="1">
      <alignment horizontal="center" vertical="center" wrapText="1"/>
    </xf>
    <xf numFmtId="178" fontId="17" fillId="0" borderId="29" xfId="3" applyNumberFormat="1" applyFont="1" applyFill="1" applyBorder="1" applyAlignment="1">
      <alignment horizontal="center" vertical="center" wrapText="1"/>
    </xf>
    <xf numFmtId="0" fontId="19" fillId="0" borderId="21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178" fontId="17" fillId="0" borderId="23" xfId="3" applyNumberFormat="1" applyFont="1" applyFill="1" applyBorder="1" applyAlignment="1">
      <alignment horizontal="center" vertical="center" wrapText="1"/>
    </xf>
    <xf numFmtId="178" fontId="17" fillId="0" borderId="7" xfId="3" applyNumberFormat="1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40" xfId="3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center"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0" fontId="33" fillId="0" borderId="33" xfId="3" applyFont="1" applyFill="1" applyBorder="1" applyAlignment="1">
      <alignment horizontal="center" vertical="center" wrapText="1"/>
    </xf>
    <xf numFmtId="0" fontId="33" fillId="0" borderId="26" xfId="3" applyFont="1" applyFill="1" applyBorder="1" applyAlignment="1">
      <alignment horizontal="center" vertical="center" wrapText="1"/>
    </xf>
    <xf numFmtId="0" fontId="35" fillId="0" borderId="43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178" fontId="17" fillId="0" borderId="44" xfId="3" applyNumberFormat="1" applyFont="1" applyFill="1" applyBorder="1" applyAlignment="1">
      <alignment horizontal="center" vertical="center" wrapText="1"/>
    </xf>
    <xf numFmtId="178" fontId="17" fillId="0" borderId="52" xfId="3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52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28" xfId="3" applyFont="1" applyFill="1" applyBorder="1" applyAlignment="1">
      <alignment horizontal="center" vertical="center" wrapText="1"/>
    </xf>
    <xf numFmtId="0" fontId="18" fillId="0" borderId="20" xfId="3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69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&#46020;%201&#52264;&#52628;&#44221;&#50696;&#49328;&#50504;(&#47788;&#4694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J17" sqref="J17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653</v>
      </c>
      <c r="K2" s="203" t="s">
        <v>370</v>
      </c>
    </row>
    <row r="3" spans="2:11" ht="9.9499999999999993" customHeight="1" thickBot="1"/>
    <row r="4" spans="2:11" ht="30" customHeight="1">
      <c r="B4" s="628" t="s">
        <v>163</v>
      </c>
      <c r="C4" s="629"/>
      <c r="D4" s="629"/>
      <c r="E4" s="629"/>
      <c r="F4" s="630"/>
      <c r="G4" s="628" t="s">
        <v>164</v>
      </c>
      <c r="H4" s="629"/>
      <c r="I4" s="629"/>
      <c r="J4" s="629"/>
      <c r="K4" s="631"/>
    </row>
    <row r="5" spans="2:11" ht="16.5" customHeight="1">
      <c r="B5" s="632" t="s">
        <v>165</v>
      </c>
      <c r="C5" s="633"/>
      <c r="D5" s="636" t="s">
        <v>570</v>
      </c>
      <c r="E5" s="636" t="s">
        <v>654</v>
      </c>
      <c r="F5" s="638" t="s">
        <v>166</v>
      </c>
      <c r="G5" s="632" t="s">
        <v>165</v>
      </c>
      <c r="H5" s="633"/>
      <c r="I5" s="640" t="s">
        <v>570</v>
      </c>
      <c r="J5" s="640" t="s">
        <v>654</v>
      </c>
      <c r="K5" s="642" t="s">
        <v>166</v>
      </c>
    </row>
    <row r="6" spans="2:11" ht="22.5" customHeight="1" thickBot="1">
      <c r="B6" s="634"/>
      <c r="C6" s="635"/>
      <c r="D6" s="637"/>
      <c r="E6" s="637"/>
      <c r="F6" s="639"/>
      <c r="G6" s="634"/>
      <c r="H6" s="635"/>
      <c r="I6" s="641"/>
      <c r="J6" s="641"/>
      <c r="K6" s="643"/>
    </row>
    <row r="7" spans="2:11" ht="24.95" customHeight="1" thickTop="1">
      <c r="B7" s="626" t="s">
        <v>167</v>
      </c>
      <c r="C7" s="627"/>
      <c r="D7" s="510">
        <f>SUM(D8:D23)/2</f>
        <v>75410000</v>
      </c>
      <c r="E7" s="510">
        <f>SUM(E8:E23)/2</f>
        <v>73790000</v>
      </c>
      <c r="F7" s="511">
        <f>SUM(F8:F23)/2</f>
        <v>-1620000</v>
      </c>
      <c r="G7" s="626" t="s">
        <v>167</v>
      </c>
      <c r="H7" s="627"/>
      <c r="I7" s="510">
        <f>SUM(I8:I28)/2</f>
        <v>75410000</v>
      </c>
      <c r="J7" s="510">
        <f>SUM(J8:J28)/2</f>
        <v>73790000</v>
      </c>
      <c r="K7" s="512">
        <f>SUM(K8:K28)/2</f>
        <v>-1620000</v>
      </c>
    </row>
    <row r="8" spans="2:11" ht="24.95" customHeight="1">
      <c r="B8" s="620" t="s">
        <v>168</v>
      </c>
      <c r="C8" s="513" t="s">
        <v>369</v>
      </c>
      <c r="D8" s="514">
        <f>D9</f>
        <v>7200000</v>
      </c>
      <c r="E8" s="514">
        <f>E9</f>
        <v>7200000</v>
      </c>
      <c r="F8" s="515">
        <f>F9</f>
        <v>0</v>
      </c>
      <c r="G8" s="620" t="s">
        <v>170</v>
      </c>
      <c r="H8" s="513" t="s">
        <v>369</v>
      </c>
      <c r="I8" s="514">
        <f>SUM(I9:I11)</f>
        <v>53962000</v>
      </c>
      <c r="J8" s="514">
        <f>SUM(J9:J11)</f>
        <v>46420000</v>
      </c>
      <c r="K8" s="519">
        <f>SUM(K9:K11)</f>
        <v>-7542000</v>
      </c>
    </row>
    <row r="9" spans="2:11" ht="24.95" customHeight="1">
      <c r="B9" s="621"/>
      <c r="C9" s="204" t="s">
        <v>169</v>
      </c>
      <c r="D9" s="205">
        <v>7200000</v>
      </c>
      <c r="E9" s="205">
        <v>7200000</v>
      </c>
      <c r="F9" s="206">
        <f>E9-D9</f>
        <v>0</v>
      </c>
      <c r="G9" s="622"/>
      <c r="H9" s="204" t="s">
        <v>171</v>
      </c>
      <c r="I9" s="205">
        <v>45717000</v>
      </c>
      <c r="J9" s="205">
        <v>37434000</v>
      </c>
      <c r="K9" s="207">
        <f>J9-I9</f>
        <v>-8283000</v>
      </c>
    </row>
    <row r="10" spans="2:11" ht="24.95" customHeight="1">
      <c r="B10" s="620" t="s">
        <v>172</v>
      </c>
      <c r="C10" s="516" t="s">
        <v>369</v>
      </c>
      <c r="D10" s="517">
        <f>SUM(D11:D14)</f>
        <v>59205000</v>
      </c>
      <c r="E10" s="517">
        <f>SUM(E11:E14)</f>
        <v>57585000</v>
      </c>
      <c r="F10" s="518">
        <f>SUM(F11:F14)</f>
        <v>-1620000</v>
      </c>
      <c r="G10" s="622"/>
      <c r="H10" s="204" t="s">
        <v>173</v>
      </c>
      <c r="I10" s="205">
        <v>350000</v>
      </c>
      <c r="J10" s="205">
        <v>350000</v>
      </c>
      <c r="K10" s="207">
        <f t="shared" ref="K10:K11" si="0">J10-I10</f>
        <v>0</v>
      </c>
    </row>
    <row r="11" spans="2:11" ht="24.95" customHeight="1">
      <c r="B11" s="622"/>
      <c r="C11" s="287" t="s">
        <v>258</v>
      </c>
      <c r="D11" s="205">
        <v>0</v>
      </c>
      <c r="E11" s="205">
        <v>0</v>
      </c>
      <c r="F11" s="206">
        <f t="shared" ref="F11:F23" si="1">E11-D11</f>
        <v>0</v>
      </c>
      <c r="G11" s="621"/>
      <c r="H11" s="204" t="s">
        <v>100</v>
      </c>
      <c r="I11" s="205">
        <v>7895000</v>
      </c>
      <c r="J11" s="205">
        <v>8636000</v>
      </c>
      <c r="K11" s="207">
        <f t="shared" si="0"/>
        <v>741000</v>
      </c>
    </row>
    <row r="12" spans="2:11" ht="24.95" customHeight="1">
      <c r="B12" s="622"/>
      <c r="C12" s="287" t="s">
        <v>259</v>
      </c>
      <c r="D12" s="205">
        <v>57305000</v>
      </c>
      <c r="E12" s="205">
        <v>57205000</v>
      </c>
      <c r="F12" s="206">
        <f t="shared" si="1"/>
        <v>-100000</v>
      </c>
      <c r="G12" s="620" t="s">
        <v>101</v>
      </c>
      <c r="H12" s="516" t="s">
        <v>369</v>
      </c>
      <c r="I12" s="517">
        <f>SUM(I13:I15)</f>
        <v>2200000</v>
      </c>
      <c r="J12" s="517">
        <f>SUM(J13:J15)</f>
        <v>4300000</v>
      </c>
      <c r="K12" s="520">
        <f>SUM(K13:K15)</f>
        <v>2100000</v>
      </c>
    </row>
    <row r="13" spans="2:11" ht="24.95" customHeight="1">
      <c r="B13" s="622"/>
      <c r="C13" s="287" t="s">
        <v>260</v>
      </c>
      <c r="D13" s="205">
        <v>300000</v>
      </c>
      <c r="E13" s="205">
        <v>300000</v>
      </c>
      <c r="F13" s="206">
        <f t="shared" ref="F13" si="2">E13-D13</f>
        <v>0</v>
      </c>
      <c r="G13" s="622"/>
      <c r="H13" s="204" t="s">
        <v>102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621"/>
      <c r="C14" s="580" t="s">
        <v>492</v>
      </c>
      <c r="D14" s="205">
        <v>1600000</v>
      </c>
      <c r="E14" s="205">
        <v>80000</v>
      </c>
      <c r="F14" s="206">
        <f t="shared" si="1"/>
        <v>-1520000</v>
      </c>
      <c r="G14" s="622"/>
      <c r="H14" s="204" t="s">
        <v>104</v>
      </c>
      <c r="I14" s="205">
        <v>1600000</v>
      </c>
      <c r="J14" s="205">
        <v>3700000</v>
      </c>
      <c r="K14" s="207">
        <f t="shared" ref="K14:K15" si="4">J14-I14</f>
        <v>2100000</v>
      </c>
    </row>
    <row r="15" spans="2:11" ht="24.95" customHeight="1">
      <c r="B15" s="620" t="s">
        <v>103</v>
      </c>
      <c r="C15" s="516" t="s">
        <v>369</v>
      </c>
      <c r="D15" s="517">
        <f>SUM(D16:D17)</f>
        <v>600000</v>
      </c>
      <c r="E15" s="517">
        <f>SUM(E16:E17)</f>
        <v>600000</v>
      </c>
      <c r="F15" s="518">
        <f>SUM(F16:F17)</f>
        <v>0</v>
      </c>
      <c r="G15" s="621"/>
      <c r="H15" s="204" t="s">
        <v>106</v>
      </c>
      <c r="I15" s="205">
        <v>600000</v>
      </c>
      <c r="J15" s="205">
        <v>600000</v>
      </c>
      <c r="K15" s="207">
        <f t="shared" si="4"/>
        <v>0</v>
      </c>
    </row>
    <row r="16" spans="2:11" ht="24.95" customHeight="1">
      <c r="B16" s="622"/>
      <c r="C16" s="587" t="s">
        <v>493</v>
      </c>
      <c r="D16" s="205">
        <v>0</v>
      </c>
      <c r="E16" s="205">
        <v>0</v>
      </c>
      <c r="F16" s="206">
        <f t="shared" si="1"/>
        <v>0</v>
      </c>
      <c r="G16" s="620" t="s">
        <v>109</v>
      </c>
      <c r="H16" s="516" t="s">
        <v>369</v>
      </c>
      <c r="I16" s="517">
        <f>SUM(I17:I22)</f>
        <v>19210000</v>
      </c>
      <c r="J16" s="517">
        <f>SUM(J17:J22)</f>
        <v>23036000</v>
      </c>
      <c r="K16" s="520">
        <f>SUM(K17:K22)</f>
        <v>3826000</v>
      </c>
    </row>
    <row r="17" spans="2:11" ht="24.95" customHeight="1">
      <c r="B17" s="621"/>
      <c r="C17" s="204" t="s">
        <v>105</v>
      </c>
      <c r="D17" s="205">
        <v>600000</v>
      </c>
      <c r="E17" s="205">
        <v>600000</v>
      </c>
      <c r="F17" s="206">
        <f t="shared" si="1"/>
        <v>0</v>
      </c>
      <c r="G17" s="622"/>
      <c r="H17" s="204" t="s">
        <v>110</v>
      </c>
      <c r="I17" s="205">
        <v>11556000</v>
      </c>
      <c r="J17" s="205">
        <v>13086000</v>
      </c>
      <c r="K17" s="207">
        <f t="shared" ref="K17:K22" si="5">J17-I17</f>
        <v>1530000</v>
      </c>
    </row>
    <row r="18" spans="2:11" ht="24.95" customHeight="1">
      <c r="B18" s="620" t="s">
        <v>107</v>
      </c>
      <c r="C18" s="516" t="s">
        <v>369</v>
      </c>
      <c r="D18" s="517">
        <f>D19</f>
        <v>0</v>
      </c>
      <c r="E18" s="517">
        <f>E19</f>
        <v>0</v>
      </c>
      <c r="F18" s="518">
        <f>F19</f>
        <v>0</v>
      </c>
      <c r="G18" s="622"/>
      <c r="H18" s="204" t="s">
        <v>113</v>
      </c>
      <c r="I18" s="205">
        <v>998000</v>
      </c>
      <c r="J18" s="205">
        <v>1348000</v>
      </c>
      <c r="K18" s="207">
        <f t="shared" si="5"/>
        <v>350000</v>
      </c>
    </row>
    <row r="19" spans="2:11" ht="24.95" customHeight="1">
      <c r="B19" s="621"/>
      <c r="C19" s="204" t="s">
        <v>108</v>
      </c>
      <c r="D19" s="205">
        <v>0</v>
      </c>
      <c r="E19" s="205">
        <v>0</v>
      </c>
      <c r="F19" s="206">
        <f t="shared" si="1"/>
        <v>0</v>
      </c>
      <c r="G19" s="622"/>
      <c r="H19" s="204" t="s">
        <v>116</v>
      </c>
      <c r="I19" s="205">
        <v>1200000</v>
      </c>
      <c r="J19" s="205">
        <v>2946000</v>
      </c>
      <c r="K19" s="207">
        <f t="shared" si="5"/>
        <v>1746000</v>
      </c>
    </row>
    <row r="20" spans="2:11" ht="24.95" customHeight="1">
      <c r="B20" s="620" t="s">
        <v>111</v>
      </c>
      <c r="C20" s="516" t="s">
        <v>369</v>
      </c>
      <c r="D20" s="517">
        <f>D21</f>
        <v>8367000</v>
      </c>
      <c r="E20" s="517">
        <f>E21</f>
        <v>8367000</v>
      </c>
      <c r="F20" s="518">
        <f>F21</f>
        <v>0</v>
      </c>
      <c r="G20" s="622"/>
      <c r="H20" s="204" t="s">
        <v>117</v>
      </c>
      <c r="I20" s="205">
        <v>485000</v>
      </c>
      <c r="J20" s="205">
        <v>685000</v>
      </c>
      <c r="K20" s="207">
        <f t="shared" si="5"/>
        <v>200000</v>
      </c>
    </row>
    <row r="21" spans="2:11" ht="24.95" customHeight="1">
      <c r="B21" s="621"/>
      <c r="C21" s="204" t="s">
        <v>112</v>
      </c>
      <c r="D21" s="205">
        <v>8367000</v>
      </c>
      <c r="E21" s="205">
        <v>8367000</v>
      </c>
      <c r="F21" s="206">
        <f t="shared" si="1"/>
        <v>0</v>
      </c>
      <c r="G21" s="622"/>
      <c r="H21" s="204" t="s">
        <v>118</v>
      </c>
      <c r="I21" s="205">
        <v>120000</v>
      </c>
      <c r="J21" s="205">
        <v>120000</v>
      </c>
      <c r="K21" s="207">
        <f t="shared" si="5"/>
        <v>0</v>
      </c>
    </row>
    <row r="22" spans="2:11" ht="24.95" customHeight="1">
      <c r="B22" s="620" t="s">
        <v>114</v>
      </c>
      <c r="C22" s="516" t="s">
        <v>369</v>
      </c>
      <c r="D22" s="517">
        <f>D23</f>
        <v>38000</v>
      </c>
      <c r="E22" s="517">
        <f>E23</f>
        <v>38000</v>
      </c>
      <c r="F22" s="518">
        <f>F23</f>
        <v>0</v>
      </c>
      <c r="G22" s="621"/>
      <c r="H22" s="204" t="s">
        <v>119</v>
      </c>
      <c r="I22" s="205">
        <v>4851000</v>
      </c>
      <c r="J22" s="205">
        <v>4851000</v>
      </c>
      <c r="K22" s="207">
        <f t="shared" si="5"/>
        <v>0</v>
      </c>
    </row>
    <row r="23" spans="2:11" ht="24.95" customHeight="1">
      <c r="B23" s="621"/>
      <c r="C23" s="204" t="s">
        <v>115</v>
      </c>
      <c r="D23" s="205">
        <v>38000</v>
      </c>
      <c r="E23" s="205">
        <v>38000</v>
      </c>
      <c r="F23" s="206">
        <f t="shared" si="1"/>
        <v>0</v>
      </c>
      <c r="G23" s="624" t="s">
        <v>158</v>
      </c>
      <c r="H23" s="516" t="s">
        <v>369</v>
      </c>
      <c r="I23" s="517">
        <f>I24</f>
        <v>9000</v>
      </c>
      <c r="J23" s="517">
        <f>J24</f>
        <v>5000</v>
      </c>
      <c r="K23" s="520">
        <f>K24</f>
        <v>-4000</v>
      </c>
    </row>
    <row r="24" spans="2:11" ht="24.95" customHeight="1">
      <c r="B24" s="581"/>
      <c r="C24" s="582"/>
      <c r="D24" s="582"/>
      <c r="E24" s="582"/>
      <c r="F24" s="582"/>
      <c r="G24" s="625"/>
      <c r="H24" s="204" t="s">
        <v>120</v>
      </c>
      <c r="I24" s="205">
        <v>9000</v>
      </c>
      <c r="J24" s="205">
        <v>5000</v>
      </c>
      <c r="K24" s="207">
        <f t="shared" ref="K24" si="6">J24-I24</f>
        <v>-4000</v>
      </c>
    </row>
    <row r="25" spans="2:11" ht="24.95" customHeight="1">
      <c r="B25" s="583"/>
      <c r="C25" s="584"/>
      <c r="D25" s="584"/>
      <c r="E25" s="584"/>
      <c r="F25" s="584"/>
      <c r="G25" s="620" t="s">
        <v>121</v>
      </c>
      <c r="H25" s="516" t="s">
        <v>369</v>
      </c>
      <c r="I25" s="517">
        <f>I26</f>
        <v>0</v>
      </c>
      <c r="J25" s="517">
        <f>J26</f>
        <v>0</v>
      </c>
      <c r="K25" s="520">
        <f>K26</f>
        <v>0</v>
      </c>
    </row>
    <row r="26" spans="2:11" ht="24.95" customHeight="1">
      <c r="B26" s="583"/>
      <c r="C26" s="584"/>
      <c r="D26" s="584"/>
      <c r="E26" s="584"/>
      <c r="F26" s="584"/>
      <c r="G26" s="621"/>
      <c r="H26" s="204" t="s">
        <v>122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583"/>
      <c r="C27" s="584"/>
      <c r="D27" s="584"/>
      <c r="E27" s="584"/>
      <c r="F27" s="584"/>
      <c r="G27" s="620" t="s">
        <v>123</v>
      </c>
      <c r="H27" s="516" t="s">
        <v>369</v>
      </c>
      <c r="I27" s="517">
        <f>I28</f>
        <v>29000</v>
      </c>
      <c r="J27" s="517">
        <f>J28</f>
        <v>29000</v>
      </c>
      <c r="K27" s="520">
        <f>K28</f>
        <v>0</v>
      </c>
    </row>
    <row r="28" spans="2:11" ht="24.95" customHeight="1" thickBot="1">
      <c r="B28" s="585"/>
      <c r="C28" s="586"/>
      <c r="D28" s="586"/>
      <c r="E28" s="586"/>
      <c r="F28" s="586"/>
      <c r="G28" s="623"/>
      <c r="H28" s="208" t="s">
        <v>124</v>
      </c>
      <c r="I28" s="209">
        <v>29000</v>
      </c>
      <c r="J28" s="209">
        <v>29000</v>
      </c>
      <c r="K28" s="210">
        <f>J28-I28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8"/>
  <sheetViews>
    <sheetView zoomScale="85" zoomScaleNormal="85" workbookViewId="0">
      <pane xSplit="3" ySplit="4" topLeftCell="D68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44" t="s">
        <v>649</v>
      </c>
      <c r="B1" s="644"/>
      <c r="C1" s="644"/>
      <c r="D1" s="644"/>
      <c r="E1" s="644"/>
      <c r="F1" s="644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7" t="s">
        <v>65</v>
      </c>
      <c r="B2" s="648"/>
      <c r="C2" s="648"/>
      <c r="D2" s="649" t="s">
        <v>628</v>
      </c>
      <c r="E2" s="653" t="s">
        <v>630</v>
      </c>
      <c r="F2" s="655" t="s">
        <v>23</v>
      </c>
      <c r="G2" s="655"/>
      <c r="H2" s="655" t="s">
        <v>55</v>
      </c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6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174</v>
      </c>
      <c r="D3" s="650"/>
      <c r="E3" s="654"/>
      <c r="F3" s="152" t="s">
        <v>129</v>
      </c>
      <c r="G3" s="27" t="s">
        <v>4</v>
      </c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8"/>
      <c r="Y3" s="8"/>
    </row>
    <row r="4" spans="1:25" s="3" customFormat="1" ht="19.5" customHeight="1">
      <c r="A4" s="651" t="s">
        <v>24</v>
      </c>
      <c r="B4" s="652"/>
      <c r="C4" s="652"/>
      <c r="D4" s="229">
        <f>SUM(D5,D7,D9,D11,D29,D39,D46,D54,D77)</f>
        <v>75410</v>
      </c>
      <c r="E4" s="229">
        <f>SUM(E5,E7,E9,E11,E29,E39,E46,E54,E77)</f>
        <v>73790</v>
      </c>
      <c r="F4" s="377">
        <f>SUM(F5,F7,F9,F11,F29,F39,F46,F54,F77)</f>
        <v>-1620</v>
      </c>
      <c r="G4" s="230">
        <f t="shared" ref="G4" si="0">IF(D4=0,0,F4/D4)</f>
        <v>-2.1482561994430448E-2</v>
      </c>
      <c r="H4" s="28" t="s">
        <v>160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6">
        <f>SUM(W5,W7,W9,W11,W29,W39,W46,W54,W77)</f>
        <v>73790000</v>
      </c>
      <c r="X4" s="30" t="s">
        <v>161</v>
      </c>
      <c r="Y4" s="8"/>
    </row>
    <row r="5" spans="1:25" ht="21" customHeight="1" thickBot="1">
      <c r="A5" s="35" t="s">
        <v>60</v>
      </c>
      <c r="B5" s="36" t="s">
        <v>60</v>
      </c>
      <c r="C5" s="212" t="s">
        <v>128</v>
      </c>
      <c r="D5" s="223">
        <v>7200</v>
      </c>
      <c r="E5" s="223">
        <f>ROUND(W5/1000,0)</f>
        <v>7200</v>
      </c>
      <c r="F5" s="224">
        <f>E5-D5</f>
        <v>0</v>
      </c>
      <c r="G5" s="225">
        <f>IF(D5=0,0,F5/D5)</f>
        <v>0</v>
      </c>
      <c r="H5" s="40" t="s">
        <v>159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126</v>
      </c>
      <c r="C6" s="47" t="s">
        <v>126</v>
      </c>
      <c r="D6" s="48"/>
      <c r="E6" s="48"/>
      <c r="F6" s="49"/>
      <c r="G6" s="31"/>
      <c r="H6" s="371" t="s">
        <v>300</v>
      </c>
      <c r="I6" s="54"/>
      <c r="J6" s="55"/>
      <c r="K6" s="55"/>
      <c r="L6" s="231">
        <v>150000</v>
      </c>
      <c r="M6" s="231" t="s">
        <v>57</v>
      </c>
      <c r="N6" s="232" t="s">
        <v>58</v>
      </c>
      <c r="O6" s="135">
        <v>4</v>
      </c>
      <c r="P6" s="231" t="s">
        <v>56</v>
      </c>
      <c r="Q6" s="232" t="s">
        <v>58</v>
      </c>
      <c r="R6" s="56">
        <v>12</v>
      </c>
      <c r="S6" s="257" t="s">
        <v>0</v>
      </c>
      <c r="T6" s="257" t="s">
        <v>53</v>
      </c>
      <c r="U6" s="257"/>
      <c r="V6" s="231"/>
      <c r="W6" s="231">
        <f>L6*O6*R6</f>
        <v>7200000</v>
      </c>
      <c r="X6" s="57" t="s">
        <v>57</v>
      </c>
    </row>
    <row r="7" spans="1:25" s="11" customFormat="1" ht="19.5" customHeight="1" thickBot="1">
      <c r="A7" s="35" t="s">
        <v>175</v>
      </c>
      <c r="B7" s="36" t="s">
        <v>177</v>
      </c>
      <c r="C7" s="36" t="s">
        <v>175</v>
      </c>
      <c r="D7" s="223">
        <v>0</v>
      </c>
      <c r="E7" s="223">
        <f>ROUND(W7/1000,0)</f>
        <v>0</v>
      </c>
      <c r="F7" s="224">
        <f>E7-D7</f>
        <v>0</v>
      </c>
      <c r="G7" s="225">
        <f>IF(D7=0,0,F7/D7)</f>
        <v>0</v>
      </c>
      <c r="H7" s="40" t="s">
        <v>179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176</v>
      </c>
      <c r="B8" s="59" t="s">
        <v>178</v>
      </c>
      <c r="C8" s="59" t="s">
        <v>176</v>
      </c>
      <c r="D8" s="48"/>
      <c r="E8" s="48"/>
      <c r="F8" s="49"/>
      <c r="G8" s="31"/>
      <c r="H8" s="53" t="s">
        <v>261</v>
      </c>
      <c r="I8" s="54"/>
      <c r="J8" s="55"/>
      <c r="K8" s="55"/>
      <c r="L8" s="231"/>
      <c r="M8" s="231"/>
      <c r="N8" s="232"/>
      <c r="O8" s="231"/>
      <c r="P8" s="231"/>
      <c r="Q8" s="232"/>
      <c r="R8" s="56"/>
      <c r="S8" s="257"/>
      <c r="T8" s="257"/>
      <c r="U8" s="257"/>
      <c r="V8" s="231"/>
      <c r="W8" s="231">
        <v>0</v>
      </c>
      <c r="X8" s="57" t="s">
        <v>57</v>
      </c>
    </row>
    <row r="9" spans="1:25" ht="21" customHeight="1" thickBot="1">
      <c r="A9" s="35" t="s">
        <v>181</v>
      </c>
      <c r="B9" s="36" t="s">
        <v>183</v>
      </c>
      <c r="C9" s="36" t="s">
        <v>181</v>
      </c>
      <c r="D9" s="223">
        <v>0</v>
      </c>
      <c r="E9" s="223">
        <f>ROUND(W9/1000,0)</f>
        <v>0</v>
      </c>
      <c r="F9" s="224">
        <f>E9-D9</f>
        <v>0</v>
      </c>
      <c r="G9" s="225">
        <f>IF(D9=0,0,F9/D9)</f>
        <v>0</v>
      </c>
      <c r="H9" s="40" t="s">
        <v>226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223</v>
      </c>
      <c r="B10" s="59" t="s">
        <v>224</v>
      </c>
      <c r="C10" s="59" t="s">
        <v>224</v>
      </c>
      <c r="D10" s="235"/>
      <c r="E10" s="236"/>
      <c r="F10" s="237"/>
      <c r="G10" s="238"/>
      <c r="H10" s="239"/>
      <c r="I10" s="240"/>
      <c r="J10" s="241"/>
      <c r="K10" s="241"/>
      <c r="L10" s="241"/>
      <c r="M10" s="241"/>
      <c r="N10" s="241"/>
      <c r="O10" s="242"/>
      <c r="P10" s="242"/>
      <c r="Q10" s="242"/>
      <c r="R10" s="242"/>
      <c r="S10" s="242"/>
      <c r="T10" s="242"/>
      <c r="U10" s="242"/>
      <c r="V10" s="243"/>
      <c r="W10" s="243">
        <v>0</v>
      </c>
      <c r="X10" s="276" t="s">
        <v>225</v>
      </c>
    </row>
    <row r="11" spans="1:25" s="11" customFormat="1" ht="19.5" customHeight="1">
      <c r="A11" s="35" t="s">
        <v>180</v>
      </c>
      <c r="B11" s="36" t="s">
        <v>180</v>
      </c>
      <c r="C11" s="550" t="s">
        <v>243</v>
      </c>
      <c r="D11" s="259">
        <f>SUM(D12,D15,D23,D26)</f>
        <v>59205</v>
      </c>
      <c r="E11" s="259">
        <f>SUM(E12,E15,E23,E26)</f>
        <v>57585</v>
      </c>
      <c r="F11" s="260">
        <f t="shared" ref="F11:F12" si="1">E11-D11</f>
        <v>-1620</v>
      </c>
      <c r="G11" s="261">
        <f t="shared" ref="G11:G12" si="2">IF(D11=0,0,F11/D11)</f>
        <v>-2.7362553838358245E-2</v>
      </c>
      <c r="H11" s="262" t="s">
        <v>244</v>
      </c>
      <c r="I11" s="263"/>
      <c r="J11" s="264"/>
      <c r="K11" s="264"/>
      <c r="L11" s="263"/>
      <c r="M11" s="263"/>
      <c r="N11" s="263"/>
      <c r="O11" s="263"/>
      <c r="P11" s="263"/>
      <c r="Q11" s="265"/>
      <c r="R11" s="265"/>
      <c r="S11" s="265"/>
      <c r="T11" s="265"/>
      <c r="U11" s="265"/>
      <c r="V11" s="265"/>
      <c r="W11" s="266">
        <f>SUM(W12,W15,W23,W26)</f>
        <v>57585000</v>
      </c>
      <c r="X11" s="277" t="s">
        <v>25</v>
      </c>
      <c r="Y11" s="6"/>
    </row>
    <row r="12" spans="1:25" s="11" customFormat="1" ht="19.5" customHeight="1">
      <c r="A12" s="45" t="s">
        <v>182</v>
      </c>
      <c r="B12" s="46" t="s">
        <v>178</v>
      </c>
      <c r="C12" s="36" t="s">
        <v>184</v>
      </c>
      <c r="D12" s="226">
        <v>0</v>
      </c>
      <c r="E12" s="226">
        <v>0</v>
      </c>
      <c r="F12" s="227">
        <f t="shared" si="1"/>
        <v>0</v>
      </c>
      <c r="G12" s="228">
        <f t="shared" si="2"/>
        <v>0</v>
      </c>
      <c r="H12" s="214" t="s">
        <v>185</v>
      </c>
      <c r="I12" s="215"/>
      <c r="J12" s="216"/>
      <c r="K12" s="216"/>
      <c r="L12" s="216"/>
      <c r="M12" s="216"/>
      <c r="N12" s="216"/>
      <c r="O12" s="217"/>
      <c r="P12" s="217"/>
      <c r="Q12" s="217"/>
      <c r="R12" s="217"/>
      <c r="S12" s="217"/>
      <c r="T12" s="217"/>
      <c r="U12" s="244" t="s">
        <v>227</v>
      </c>
      <c r="V12" s="245"/>
      <c r="W12" s="246">
        <v>0</v>
      </c>
      <c r="X12" s="278" t="s">
        <v>228</v>
      </c>
      <c r="Y12" s="6"/>
    </row>
    <row r="13" spans="1:25" s="11" customFormat="1" ht="19.5" customHeight="1">
      <c r="A13" s="45"/>
      <c r="B13" s="46"/>
      <c r="C13" s="46" t="s">
        <v>383</v>
      </c>
      <c r="D13" s="552"/>
      <c r="E13" s="552"/>
      <c r="F13" s="553"/>
      <c r="G13" s="554"/>
      <c r="H13" s="555"/>
      <c r="I13" s="556"/>
      <c r="J13" s="557"/>
      <c r="K13" s="557"/>
      <c r="L13" s="557"/>
      <c r="M13" s="557"/>
      <c r="N13" s="557"/>
      <c r="O13" s="558"/>
      <c r="P13" s="558"/>
      <c r="Q13" s="558"/>
      <c r="R13" s="558"/>
      <c r="S13" s="558"/>
      <c r="T13" s="558"/>
      <c r="U13" s="559"/>
      <c r="V13" s="560"/>
      <c r="W13" s="560"/>
      <c r="X13" s="561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0"/>
      <c r="I14" s="442"/>
      <c r="J14" s="462"/>
      <c r="K14" s="462"/>
      <c r="L14" s="441"/>
      <c r="M14" s="441"/>
      <c r="N14" s="463"/>
      <c r="O14" s="441"/>
      <c r="P14" s="464"/>
      <c r="Q14" s="465"/>
      <c r="R14" s="466"/>
      <c r="S14" s="467"/>
      <c r="T14" s="467"/>
      <c r="U14" s="468"/>
      <c r="V14" s="469"/>
      <c r="W14" s="442"/>
      <c r="X14" s="443"/>
      <c r="Y14" s="6"/>
    </row>
    <row r="15" spans="1:25" s="11" customFormat="1" ht="19.5" customHeight="1">
      <c r="A15" s="60"/>
      <c r="B15" s="46"/>
      <c r="C15" s="36" t="s">
        <v>186</v>
      </c>
      <c r="D15" s="226">
        <f>SUM(D16:D22)</f>
        <v>57305</v>
      </c>
      <c r="E15" s="226">
        <f>SUM(E16:E22)</f>
        <v>57205</v>
      </c>
      <c r="F15" s="227">
        <f t="shared" ref="F15" si="3">E15-D15</f>
        <v>-100</v>
      </c>
      <c r="G15" s="228">
        <f t="shared" ref="G15" si="4">IF(D15=0,0,F15/D15)</f>
        <v>-1.7450484250937964E-3</v>
      </c>
      <c r="H15" s="214" t="s">
        <v>229</v>
      </c>
      <c r="I15" s="215"/>
      <c r="J15" s="216"/>
      <c r="K15" s="216"/>
      <c r="L15" s="216"/>
      <c r="M15" s="216"/>
      <c r="N15" s="216"/>
      <c r="O15" s="217"/>
      <c r="P15" s="217"/>
      <c r="Q15" s="217"/>
      <c r="R15" s="217"/>
      <c r="S15" s="217"/>
      <c r="T15" s="217"/>
      <c r="U15" s="244" t="s">
        <v>69</v>
      </c>
      <c r="V15" s="245"/>
      <c r="W15" s="245">
        <f>W16</f>
        <v>57205000</v>
      </c>
      <c r="X15" s="278" t="s">
        <v>57</v>
      </c>
      <c r="Y15" s="6"/>
    </row>
    <row r="16" spans="1:25" s="11" customFormat="1" ht="19.5" customHeight="1" thickBot="1">
      <c r="A16" s="60"/>
      <c r="B16" s="46"/>
      <c r="C16" s="46" t="s">
        <v>383</v>
      </c>
      <c r="D16" s="37">
        <v>57305</v>
      </c>
      <c r="E16" s="247">
        <f>ROUND(W16/1000,0)</f>
        <v>57205</v>
      </c>
      <c r="F16" s="38">
        <f t="shared" ref="F16" si="5">E16-D16</f>
        <v>-100</v>
      </c>
      <c r="G16" s="121">
        <f t="shared" ref="G16" si="6">IF(D16=0,0,F16/D16)</f>
        <v>-1.7450484250937964E-3</v>
      </c>
      <c r="H16" s="253" t="s">
        <v>232</v>
      </c>
      <c r="I16" s="252"/>
      <c r="J16" s="258"/>
      <c r="K16" s="258"/>
      <c r="L16" s="88"/>
      <c r="M16" s="88"/>
      <c r="N16" s="248"/>
      <c r="O16" s="88"/>
      <c r="P16" s="249"/>
      <c r="Q16" s="250"/>
      <c r="R16" s="251"/>
      <c r="S16" s="256"/>
      <c r="T16" s="256"/>
      <c r="U16" s="254" t="s">
        <v>222</v>
      </c>
      <c r="V16" s="255"/>
      <c r="W16" s="255">
        <f>SUM(W17:W21)</f>
        <v>57205000</v>
      </c>
      <c r="X16" s="27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3" t="s">
        <v>391</v>
      </c>
      <c r="I17" s="68"/>
      <c r="J17" s="218"/>
      <c r="K17" s="218"/>
      <c r="L17" s="288"/>
      <c r="M17" s="288"/>
      <c r="N17" s="458"/>
      <c r="O17" s="459"/>
      <c r="P17" s="460"/>
      <c r="Q17" s="420"/>
      <c r="R17" s="461"/>
      <c r="S17" s="423"/>
      <c r="T17" s="421"/>
      <c r="U17" s="646"/>
      <c r="V17" s="646"/>
      <c r="W17" s="68">
        <v>54505000</v>
      </c>
      <c r="X17" s="57" t="s">
        <v>230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3" t="s">
        <v>384</v>
      </c>
      <c r="I18" s="68"/>
      <c r="J18" s="218"/>
      <c r="K18" s="218"/>
      <c r="L18" s="288"/>
      <c r="M18" s="288"/>
      <c r="N18" s="458"/>
      <c r="O18" s="459"/>
      <c r="P18" s="460"/>
      <c r="Q18" s="420"/>
      <c r="R18" s="461"/>
      <c r="S18" s="423"/>
      <c r="T18" s="421"/>
      <c r="U18" s="646"/>
      <c r="V18" s="646"/>
      <c r="W18" s="68">
        <v>0</v>
      </c>
      <c r="X18" s="57" t="s">
        <v>230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3" t="s">
        <v>648</v>
      </c>
      <c r="I19" s="68"/>
      <c r="J19" s="218"/>
      <c r="K19" s="218"/>
      <c r="L19" s="382">
        <v>200000</v>
      </c>
      <c r="M19" s="382" t="s">
        <v>57</v>
      </c>
      <c r="N19" s="383" t="s">
        <v>58</v>
      </c>
      <c r="O19" s="382">
        <v>1</v>
      </c>
      <c r="P19" s="382" t="s">
        <v>56</v>
      </c>
      <c r="Q19" s="383" t="s">
        <v>58</v>
      </c>
      <c r="R19" s="382">
        <v>8</v>
      </c>
      <c r="S19" s="382" t="s">
        <v>162</v>
      </c>
      <c r="T19" s="382" t="s">
        <v>53</v>
      </c>
      <c r="U19" s="382"/>
      <c r="V19" s="68"/>
      <c r="W19" s="68">
        <f>SUM(L19*O19*R19)-50000</f>
        <v>1550000</v>
      </c>
      <c r="X19" s="57" t="s">
        <v>57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293" t="s">
        <v>385</v>
      </c>
      <c r="I20" s="68"/>
      <c r="J20" s="218"/>
      <c r="K20" s="218"/>
      <c r="L20" s="382">
        <v>100000</v>
      </c>
      <c r="M20" s="382" t="s">
        <v>386</v>
      </c>
      <c r="N20" s="383" t="s">
        <v>387</v>
      </c>
      <c r="O20" s="382">
        <v>1</v>
      </c>
      <c r="P20" s="382" t="s">
        <v>388</v>
      </c>
      <c r="Q20" s="383" t="s">
        <v>387</v>
      </c>
      <c r="R20" s="382">
        <v>6</v>
      </c>
      <c r="S20" s="382" t="s">
        <v>389</v>
      </c>
      <c r="T20" s="382" t="s">
        <v>390</v>
      </c>
      <c r="U20" s="382"/>
      <c r="V20" s="68"/>
      <c r="W20" s="68">
        <f>SUM(L20*O20*R20)</f>
        <v>600000</v>
      </c>
      <c r="X20" s="57" t="s">
        <v>386</v>
      </c>
      <c r="Y20" s="6"/>
    </row>
    <row r="21" spans="1:25" s="11" customFormat="1" ht="19.5" customHeight="1">
      <c r="A21" s="60"/>
      <c r="B21" s="46"/>
      <c r="C21" s="46"/>
      <c r="D21" s="48"/>
      <c r="E21" s="48"/>
      <c r="F21" s="49"/>
      <c r="G21" s="70"/>
      <c r="H21" s="594" t="s">
        <v>545</v>
      </c>
      <c r="I21" s="595"/>
      <c r="J21" s="269"/>
      <c r="K21" s="269"/>
      <c r="L21" s="596">
        <v>50000</v>
      </c>
      <c r="M21" s="596" t="s">
        <v>546</v>
      </c>
      <c r="N21" s="597" t="s">
        <v>547</v>
      </c>
      <c r="O21" s="596">
        <v>1</v>
      </c>
      <c r="P21" s="596" t="s">
        <v>548</v>
      </c>
      <c r="Q21" s="597" t="s">
        <v>547</v>
      </c>
      <c r="R21" s="596">
        <v>11</v>
      </c>
      <c r="S21" s="596" t="s">
        <v>549</v>
      </c>
      <c r="T21" s="596" t="s">
        <v>550</v>
      </c>
      <c r="U21" s="596"/>
      <c r="V21" s="595"/>
      <c r="W21" s="595">
        <f>SUM(L21*O21*R21)</f>
        <v>550000</v>
      </c>
      <c r="X21" s="598" t="s">
        <v>546</v>
      </c>
      <c r="Y21" s="6"/>
    </row>
    <row r="22" spans="1:25" s="11" customFormat="1" ht="19.5" customHeight="1">
      <c r="A22" s="60"/>
      <c r="B22" s="82"/>
      <c r="C22" s="83"/>
      <c r="D22" s="61"/>
      <c r="E22" s="61"/>
      <c r="F22" s="62"/>
      <c r="G22" s="84"/>
      <c r="H22" s="234"/>
      <c r="I22" s="233"/>
      <c r="J22" s="85"/>
      <c r="K22" s="85"/>
      <c r="L22" s="233"/>
      <c r="M22" s="233"/>
      <c r="N22" s="234"/>
      <c r="O22" s="233"/>
      <c r="P22" s="233"/>
      <c r="Q22" s="234"/>
      <c r="R22" s="234"/>
      <c r="S22" s="234"/>
      <c r="T22" s="234"/>
      <c r="U22" s="234"/>
      <c r="V22" s="234"/>
      <c r="W22" s="233"/>
      <c r="X22" s="73"/>
      <c r="Y22" s="6"/>
    </row>
    <row r="23" spans="1:25" s="11" customFormat="1" ht="19.5" customHeight="1">
      <c r="A23" s="45"/>
      <c r="B23" s="46"/>
      <c r="C23" s="46" t="s">
        <v>188</v>
      </c>
      <c r="D23" s="226">
        <f>SUM(D24:D25)</f>
        <v>300</v>
      </c>
      <c r="E23" s="226">
        <f>W23/1000</f>
        <v>300</v>
      </c>
      <c r="F23" s="227">
        <f t="shared" ref="F23:F24" si="7">E23-D23</f>
        <v>0</v>
      </c>
      <c r="G23" s="228">
        <f t="shared" ref="G23:G24" si="8">IF(D23=0,0,F23/D23)</f>
        <v>0</v>
      </c>
      <c r="H23" s="214" t="s">
        <v>189</v>
      </c>
      <c r="I23" s="215"/>
      <c r="J23" s="216"/>
      <c r="K23" s="216"/>
      <c r="L23" s="216"/>
      <c r="M23" s="216"/>
      <c r="N23" s="216"/>
      <c r="O23" s="217"/>
      <c r="P23" s="217"/>
      <c r="Q23" s="217"/>
      <c r="R23" s="217"/>
      <c r="S23" s="217"/>
      <c r="T23" s="217"/>
      <c r="U23" s="244" t="s">
        <v>69</v>
      </c>
      <c r="V23" s="245"/>
      <c r="W23" s="246">
        <f>W24</f>
        <v>300000</v>
      </c>
      <c r="X23" s="278" t="s">
        <v>57</v>
      </c>
      <c r="Y23" s="6"/>
    </row>
    <row r="24" spans="1:25" ht="21" customHeight="1">
      <c r="A24" s="45"/>
      <c r="B24" s="46"/>
      <c r="C24" s="46"/>
      <c r="D24" s="48">
        <v>300</v>
      </c>
      <c r="E24" s="247">
        <f>ROUND(W24/1000,0)</f>
        <v>300</v>
      </c>
      <c r="F24" s="38">
        <f t="shared" si="7"/>
        <v>0</v>
      </c>
      <c r="G24" s="121">
        <f t="shared" si="8"/>
        <v>0</v>
      </c>
      <c r="H24" s="293" t="s">
        <v>392</v>
      </c>
      <c r="I24" s="290"/>
      <c r="J24" s="288"/>
      <c r="K24" s="288"/>
      <c r="L24" s="562">
        <v>300000</v>
      </c>
      <c r="M24" s="563" t="s">
        <v>386</v>
      </c>
      <c r="N24" s="563" t="s">
        <v>387</v>
      </c>
      <c r="O24" s="564">
        <v>1</v>
      </c>
      <c r="P24" s="565"/>
      <c r="Q24" s="563"/>
      <c r="R24" s="566"/>
      <c r="S24" s="563"/>
      <c r="T24" s="563" t="s">
        <v>390</v>
      </c>
      <c r="U24" s="288"/>
      <c r="V24" s="291"/>
      <c r="W24" s="288">
        <f>ROUND(L24*O24,-3)</f>
        <v>300000</v>
      </c>
      <c r="X24" s="390" t="s">
        <v>386</v>
      </c>
      <c r="Y24" s="567"/>
    </row>
    <row r="25" spans="1:25" ht="21" customHeight="1">
      <c r="A25" s="45"/>
      <c r="B25" s="46"/>
      <c r="C25" s="46"/>
      <c r="D25" s="48"/>
      <c r="E25" s="48"/>
      <c r="F25" s="49"/>
      <c r="G25" s="70"/>
      <c r="H25" s="67"/>
      <c r="I25" s="232"/>
      <c r="J25" s="231"/>
      <c r="K25" s="231"/>
      <c r="L25" s="231"/>
      <c r="M25" s="54"/>
      <c r="N25" s="74"/>
      <c r="O25" s="78"/>
      <c r="P25" s="74"/>
      <c r="Q25" s="74"/>
      <c r="R25" s="77"/>
      <c r="S25" s="76"/>
      <c r="T25" s="257"/>
      <c r="U25" s="231"/>
      <c r="V25" s="68"/>
      <c r="W25" s="68"/>
      <c r="X25" s="57"/>
    </row>
    <row r="26" spans="1:25" ht="21" customHeight="1">
      <c r="A26" s="45"/>
      <c r="B26" s="46"/>
      <c r="C26" s="36" t="s">
        <v>190</v>
      </c>
      <c r="D26" s="226">
        <f>D27</f>
        <v>1600</v>
      </c>
      <c r="E26" s="226">
        <f>E27</f>
        <v>80</v>
      </c>
      <c r="F26" s="227">
        <f t="shared" ref="F26:F27" si="9">E26-D26</f>
        <v>-1520</v>
      </c>
      <c r="G26" s="228">
        <f t="shared" ref="G26:G27" si="10">IF(D26=0,0,F26/D26)</f>
        <v>-0.95</v>
      </c>
      <c r="H26" s="214" t="s">
        <v>490</v>
      </c>
      <c r="I26" s="215"/>
      <c r="J26" s="216"/>
      <c r="K26" s="216"/>
      <c r="L26" s="216"/>
      <c r="M26" s="216"/>
      <c r="N26" s="216"/>
      <c r="O26" s="217"/>
      <c r="P26" s="217"/>
      <c r="Q26" s="217"/>
      <c r="R26" s="217"/>
      <c r="S26" s="217"/>
      <c r="T26" s="217"/>
      <c r="U26" s="244" t="s">
        <v>69</v>
      </c>
      <c r="V26" s="245"/>
      <c r="W26" s="245">
        <f>SUM(W27:W27)</f>
        <v>80000</v>
      </c>
      <c r="X26" s="278" t="s">
        <v>57</v>
      </c>
    </row>
    <row r="27" spans="1:25" ht="21" customHeight="1">
      <c r="A27" s="45"/>
      <c r="B27" s="46"/>
      <c r="C27" s="46" t="s">
        <v>187</v>
      </c>
      <c r="D27" s="48">
        <v>1600</v>
      </c>
      <c r="E27" s="48">
        <f>ROUND(W27/1000,0)</f>
        <v>80</v>
      </c>
      <c r="F27" s="284">
        <f t="shared" si="9"/>
        <v>-1520</v>
      </c>
      <c r="G27" s="193">
        <f t="shared" si="10"/>
        <v>-0.95</v>
      </c>
      <c r="H27" s="67" t="s">
        <v>491</v>
      </c>
      <c r="I27" s="232"/>
      <c r="J27" s="231"/>
      <c r="K27" s="231"/>
      <c r="L27" s="382">
        <v>80000</v>
      </c>
      <c r="M27" s="382" t="s">
        <v>57</v>
      </c>
      <c r="N27" s="383" t="s">
        <v>58</v>
      </c>
      <c r="O27" s="382">
        <v>1</v>
      </c>
      <c r="P27" s="382" t="s">
        <v>56</v>
      </c>
      <c r="Q27" s="383" t="s">
        <v>58</v>
      </c>
      <c r="R27" s="382">
        <v>1</v>
      </c>
      <c r="S27" s="382" t="s">
        <v>527</v>
      </c>
      <c r="T27" s="382" t="s">
        <v>53</v>
      </c>
      <c r="U27" s="382"/>
      <c r="V27" s="68"/>
      <c r="W27" s="68">
        <f>SUM(L27*O27*R27)</f>
        <v>80000</v>
      </c>
      <c r="X27" s="57" t="s">
        <v>57</v>
      </c>
    </row>
    <row r="28" spans="1:25" ht="21" customHeight="1">
      <c r="A28" s="280"/>
      <c r="B28" s="83"/>
      <c r="C28" s="83"/>
      <c r="D28" s="61"/>
      <c r="E28" s="61"/>
      <c r="F28" s="62"/>
      <c r="G28" s="84"/>
      <c r="H28" s="71"/>
      <c r="I28" s="233"/>
      <c r="J28" s="85"/>
      <c r="K28" s="85"/>
      <c r="L28" s="86"/>
      <c r="M28" s="233"/>
      <c r="N28" s="85"/>
      <c r="O28" s="233"/>
      <c r="P28" s="233"/>
      <c r="Q28" s="233"/>
      <c r="R28" s="233"/>
      <c r="S28" s="233"/>
      <c r="T28" s="233"/>
      <c r="U28" s="233"/>
      <c r="V28" s="233"/>
      <c r="W28" s="233"/>
      <c r="X28" s="73"/>
    </row>
    <row r="29" spans="1:25" s="11" customFormat="1" ht="19.5" customHeight="1">
      <c r="A29" s="35" t="s">
        <v>72</v>
      </c>
      <c r="B29" s="36" t="s">
        <v>30</v>
      </c>
      <c r="C29" s="550" t="s">
        <v>245</v>
      </c>
      <c r="D29" s="259">
        <f>SUM(D30,D35)</f>
        <v>600</v>
      </c>
      <c r="E29" s="259">
        <f>SUM(E30,E35)</f>
        <v>600</v>
      </c>
      <c r="F29" s="260">
        <f t="shared" ref="F29" si="11">E29-D29</f>
        <v>0</v>
      </c>
      <c r="G29" s="261">
        <f t="shared" ref="G29" si="12">IF(D29=0,0,F29/D29)</f>
        <v>0</v>
      </c>
      <c r="H29" s="262" t="s">
        <v>246</v>
      </c>
      <c r="I29" s="263"/>
      <c r="J29" s="264"/>
      <c r="K29" s="264"/>
      <c r="L29" s="263"/>
      <c r="M29" s="263"/>
      <c r="N29" s="263"/>
      <c r="O29" s="263"/>
      <c r="P29" s="263" t="s">
        <v>68</v>
      </c>
      <c r="Q29" s="265"/>
      <c r="R29" s="265"/>
      <c r="S29" s="265"/>
      <c r="T29" s="265"/>
      <c r="U29" s="265"/>
      <c r="V29" s="265"/>
      <c r="W29" s="266">
        <f>W30+W35</f>
        <v>600000</v>
      </c>
      <c r="X29" s="277" t="s">
        <v>25</v>
      </c>
      <c r="Y29" s="6"/>
    </row>
    <row r="30" spans="1:25" ht="21" customHeight="1">
      <c r="A30" s="45" t="s">
        <v>178</v>
      </c>
      <c r="B30" s="46" t="s">
        <v>178</v>
      </c>
      <c r="C30" s="36" t="s">
        <v>191</v>
      </c>
      <c r="D30" s="226">
        <f>D31+D33</f>
        <v>0</v>
      </c>
      <c r="E30" s="226">
        <f>E31+E33</f>
        <v>0</v>
      </c>
      <c r="F30" s="227">
        <f t="shared" ref="F30:F31" si="13">E30-D30</f>
        <v>0</v>
      </c>
      <c r="G30" s="228">
        <v>1</v>
      </c>
      <c r="H30" s="214" t="s">
        <v>251</v>
      </c>
      <c r="I30" s="215"/>
      <c r="J30" s="216"/>
      <c r="K30" s="216"/>
      <c r="L30" s="216"/>
      <c r="M30" s="216"/>
      <c r="N30" s="216"/>
      <c r="O30" s="217"/>
      <c r="P30" s="217"/>
      <c r="Q30" s="217"/>
      <c r="R30" s="217"/>
      <c r="S30" s="217"/>
      <c r="T30" s="217"/>
      <c r="U30" s="244" t="s">
        <v>241</v>
      </c>
      <c r="V30" s="245"/>
      <c r="W30" s="246">
        <f>SUM(W31,W33)</f>
        <v>0</v>
      </c>
      <c r="X30" s="278" t="s">
        <v>240</v>
      </c>
    </row>
    <row r="31" spans="1:25" ht="21" customHeight="1">
      <c r="A31" s="45"/>
      <c r="B31" s="46"/>
      <c r="C31" s="46" t="s">
        <v>192</v>
      </c>
      <c r="D31" s="37">
        <v>0</v>
      </c>
      <c r="E31" s="48">
        <f>ROUND(W31/1000,0)</f>
        <v>0</v>
      </c>
      <c r="F31" s="284">
        <f t="shared" si="13"/>
        <v>0</v>
      </c>
      <c r="G31" s="193">
        <v>1</v>
      </c>
      <c r="H31" s="147" t="s">
        <v>193</v>
      </c>
      <c r="I31" s="165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645" t="s">
        <v>69</v>
      </c>
      <c r="V31" s="645"/>
      <c r="W31" s="149">
        <f>SUM(W32:W32)</f>
        <v>0</v>
      </c>
      <c r="X31" s="150" t="s">
        <v>66</v>
      </c>
    </row>
    <row r="32" spans="1:25" ht="21.75" customHeight="1">
      <c r="A32" s="45"/>
      <c r="B32" s="46"/>
      <c r="C32" s="46"/>
      <c r="D32" s="48"/>
      <c r="E32" s="61"/>
      <c r="F32" s="49"/>
      <c r="G32" s="31"/>
      <c r="H32" s="67" t="s">
        <v>393</v>
      </c>
      <c r="I32" s="232"/>
      <c r="J32" s="231"/>
      <c r="K32" s="231"/>
      <c r="L32" s="231"/>
      <c r="M32" s="257"/>
      <c r="N32" s="74"/>
      <c r="O32" s="69"/>
      <c r="P32" s="74"/>
      <c r="Q32" s="79"/>
      <c r="R32" s="76"/>
      <c r="S32" s="76"/>
      <c r="T32" s="257"/>
      <c r="U32" s="231"/>
      <c r="V32" s="68"/>
      <c r="W32" s="136">
        <v>0</v>
      </c>
      <c r="X32" s="57" t="s">
        <v>66</v>
      </c>
    </row>
    <row r="33" spans="1:26" ht="18" customHeight="1">
      <c r="A33" s="45"/>
      <c r="B33" s="46"/>
      <c r="C33" s="46"/>
      <c r="D33" s="37">
        <v>0</v>
      </c>
      <c r="E33" s="48">
        <f>ROUND(W33/1000,0)</f>
        <v>0</v>
      </c>
      <c r="F33" s="38">
        <f t="shared" ref="F33" si="14">E33-D33</f>
        <v>0</v>
      </c>
      <c r="G33" s="39">
        <f t="shared" ref="G33" si="15">IF(D33=0,0,F33/D33)</f>
        <v>0</v>
      </c>
      <c r="H33" s="147" t="s">
        <v>193</v>
      </c>
      <c r="I33" s="165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645" t="s">
        <v>69</v>
      </c>
      <c r="V33" s="645"/>
      <c r="W33" s="149">
        <f>W34</f>
        <v>0</v>
      </c>
      <c r="X33" s="150" t="s">
        <v>57</v>
      </c>
    </row>
    <row r="34" spans="1:26" ht="18" customHeight="1">
      <c r="A34" s="45"/>
      <c r="B34" s="46"/>
      <c r="C34" s="59"/>
      <c r="D34" s="61"/>
      <c r="E34" s="61"/>
      <c r="F34" s="62"/>
      <c r="G34" s="213"/>
      <c r="H34" s="67" t="s">
        <v>242</v>
      </c>
      <c r="I34" s="232"/>
      <c r="J34" s="231"/>
      <c r="K34" s="231"/>
      <c r="L34" s="231">
        <v>0</v>
      </c>
      <c r="M34" s="257" t="s">
        <v>57</v>
      </c>
      <c r="N34" s="74" t="s">
        <v>58</v>
      </c>
      <c r="O34" s="69">
        <v>12</v>
      </c>
      <c r="P34" s="74" t="s">
        <v>0</v>
      </c>
      <c r="Q34" s="79"/>
      <c r="R34" s="76"/>
      <c r="S34" s="76"/>
      <c r="T34" s="257" t="s">
        <v>53</v>
      </c>
      <c r="U34" s="231"/>
      <c r="V34" s="68"/>
      <c r="W34" s="68">
        <f>L34*O34</f>
        <v>0</v>
      </c>
      <c r="X34" s="57" t="s">
        <v>57</v>
      </c>
    </row>
    <row r="35" spans="1:26" ht="18" customHeight="1">
      <c r="A35" s="45"/>
      <c r="B35" s="46"/>
      <c r="C35" s="46" t="s">
        <v>194</v>
      </c>
      <c r="D35" s="226">
        <f>D36</f>
        <v>600</v>
      </c>
      <c r="E35" s="226">
        <f>E36</f>
        <v>600</v>
      </c>
      <c r="F35" s="227">
        <f t="shared" ref="F35:F36" si="16">E35-D35</f>
        <v>0</v>
      </c>
      <c r="G35" s="228">
        <f t="shared" ref="G35:G36" si="17">IF(D35=0,0,F35/D35)</f>
        <v>0</v>
      </c>
      <c r="H35" s="214" t="s">
        <v>195</v>
      </c>
      <c r="I35" s="215"/>
      <c r="J35" s="216"/>
      <c r="K35" s="216"/>
      <c r="L35" s="216"/>
      <c r="M35" s="216"/>
      <c r="N35" s="216"/>
      <c r="O35" s="217"/>
      <c r="P35" s="217"/>
      <c r="Q35" s="217"/>
      <c r="R35" s="217"/>
      <c r="S35" s="217"/>
      <c r="T35" s="217"/>
      <c r="U35" s="244" t="s">
        <v>69</v>
      </c>
      <c r="V35" s="245"/>
      <c r="W35" s="245">
        <f>W36</f>
        <v>600000</v>
      </c>
      <c r="X35" s="278" t="s">
        <v>57</v>
      </c>
    </row>
    <row r="36" spans="1:26" ht="25.5" customHeight="1">
      <c r="A36" s="45"/>
      <c r="B36" s="46"/>
      <c r="C36" s="46" t="s">
        <v>192</v>
      </c>
      <c r="D36" s="48">
        <v>600</v>
      </c>
      <c r="E36" s="48">
        <f>ROUND(W36/1000,0)</f>
        <v>600</v>
      </c>
      <c r="F36" s="284">
        <f t="shared" si="16"/>
        <v>0</v>
      </c>
      <c r="G36" s="193">
        <f t="shared" si="17"/>
        <v>0</v>
      </c>
      <c r="H36" s="147" t="s">
        <v>373</v>
      </c>
      <c r="I36" s="165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645" t="s">
        <v>69</v>
      </c>
      <c r="V36" s="645"/>
      <c r="W36" s="149">
        <f>SUM(W37:W37)</f>
        <v>600000</v>
      </c>
      <c r="X36" s="150" t="s">
        <v>66</v>
      </c>
    </row>
    <row r="37" spans="1:26" ht="21" customHeight="1">
      <c r="A37" s="45"/>
      <c r="B37" s="46"/>
      <c r="C37" s="46"/>
      <c r="D37" s="48"/>
      <c r="E37" s="48"/>
      <c r="F37" s="282"/>
      <c r="G37" s="283"/>
      <c r="H37" s="67" t="s">
        <v>73</v>
      </c>
      <c r="I37" s="383"/>
      <c r="J37" s="382"/>
      <c r="K37" s="382"/>
      <c r="L37" s="562">
        <v>50000</v>
      </c>
      <c r="M37" s="563" t="s">
        <v>528</v>
      </c>
      <c r="N37" s="563" t="s">
        <v>529</v>
      </c>
      <c r="O37" s="382">
        <v>12</v>
      </c>
      <c r="P37" s="382" t="s">
        <v>530</v>
      </c>
      <c r="Q37" s="563"/>
      <c r="R37" s="566"/>
      <c r="S37" s="563"/>
      <c r="T37" s="563" t="s">
        <v>531</v>
      </c>
      <c r="U37" s="288"/>
      <c r="V37" s="291"/>
      <c r="W37" s="288">
        <f>L37*O37</f>
        <v>600000</v>
      </c>
      <c r="X37" s="390" t="s">
        <v>528</v>
      </c>
    </row>
    <row r="38" spans="1:26" ht="21" customHeight="1">
      <c r="A38" s="58"/>
      <c r="B38" s="59"/>
      <c r="C38" s="59"/>
      <c r="D38" s="61"/>
      <c r="E38" s="61"/>
      <c r="F38" s="62"/>
      <c r="G38" s="213"/>
      <c r="H38" s="71"/>
      <c r="I38" s="234"/>
      <c r="J38" s="233"/>
      <c r="K38" s="233"/>
      <c r="L38" s="233"/>
      <c r="M38" s="211"/>
      <c r="N38" s="219"/>
      <c r="O38" s="220"/>
      <c r="P38" s="219"/>
      <c r="Q38" s="221"/>
      <c r="R38" s="222"/>
      <c r="S38" s="222"/>
      <c r="T38" s="211"/>
      <c r="U38" s="233"/>
      <c r="V38" s="72"/>
      <c r="W38" s="72"/>
      <c r="X38" s="73"/>
    </row>
    <row r="39" spans="1:26" ht="21" customHeight="1">
      <c r="A39" s="35" t="s">
        <v>196</v>
      </c>
      <c r="B39" s="36" t="s">
        <v>196</v>
      </c>
      <c r="C39" s="550" t="s">
        <v>245</v>
      </c>
      <c r="D39" s="259">
        <f>D40+D43</f>
        <v>0</v>
      </c>
      <c r="E39" s="259">
        <f>E40+E43</f>
        <v>0</v>
      </c>
      <c r="F39" s="260">
        <f t="shared" ref="F39:F41" si="18">E39-D39</f>
        <v>0</v>
      </c>
      <c r="G39" s="261">
        <f t="shared" ref="G39:G41" si="19">IF(D39=0,0,F39/D39)</f>
        <v>0</v>
      </c>
      <c r="H39" s="262" t="s">
        <v>247</v>
      </c>
      <c r="I39" s="263"/>
      <c r="J39" s="264"/>
      <c r="K39" s="264"/>
      <c r="L39" s="263"/>
      <c r="M39" s="263"/>
      <c r="N39" s="263"/>
      <c r="O39" s="263"/>
      <c r="P39" s="263" t="s">
        <v>67</v>
      </c>
      <c r="Q39" s="265"/>
      <c r="R39" s="265"/>
      <c r="S39" s="265"/>
      <c r="T39" s="265"/>
      <c r="U39" s="265"/>
      <c r="V39" s="265"/>
      <c r="W39" s="266">
        <f>W40+W43</f>
        <v>0</v>
      </c>
      <c r="X39" s="277" t="s">
        <v>25</v>
      </c>
    </row>
    <row r="40" spans="1:26" ht="21" customHeight="1">
      <c r="A40" s="45"/>
      <c r="B40" s="46"/>
      <c r="C40" s="36" t="s">
        <v>197</v>
      </c>
      <c r="D40" s="226">
        <f>D41</f>
        <v>0</v>
      </c>
      <c r="E40" s="226">
        <f>E41</f>
        <v>0</v>
      </c>
      <c r="F40" s="227">
        <f t="shared" si="18"/>
        <v>0</v>
      </c>
      <c r="G40" s="228">
        <f t="shared" si="19"/>
        <v>0</v>
      </c>
      <c r="H40" s="214" t="s">
        <v>199</v>
      </c>
      <c r="I40" s="215"/>
      <c r="J40" s="216"/>
      <c r="K40" s="216"/>
      <c r="L40" s="216"/>
      <c r="M40" s="216"/>
      <c r="N40" s="216"/>
      <c r="O40" s="217"/>
      <c r="P40" s="217"/>
      <c r="Q40" s="217"/>
      <c r="R40" s="217"/>
      <c r="S40" s="217"/>
      <c r="T40" s="217"/>
      <c r="U40" s="244" t="s">
        <v>69</v>
      </c>
      <c r="V40" s="245"/>
      <c r="W40" s="246">
        <f>W41</f>
        <v>0</v>
      </c>
      <c r="X40" s="278" t="s">
        <v>57</v>
      </c>
    </row>
    <row r="41" spans="1:26" ht="21" customHeight="1">
      <c r="A41" s="45"/>
      <c r="B41" s="46"/>
      <c r="C41" s="46" t="s">
        <v>198</v>
      </c>
      <c r="D41" s="37">
        <v>0</v>
      </c>
      <c r="E41" s="48">
        <f>ROUND(W41/1000,0)</f>
        <v>0</v>
      </c>
      <c r="F41" s="38">
        <f t="shared" si="18"/>
        <v>0</v>
      </c>
      <c r="G41" s="39">
        <f t="shared" si="19"/>
        <v>0</v>
      </c>
      <c r="H41" s="147" t="s">
        <v>199</v>
      </c>
      <c r="I41" s="165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645" t="s">
        <v>69</v>
      </c>
      <c r="V41" s="645"/>
      <c r="W41" s="149">
        <f>W42</f>
        <v>0</v>
      </c>
      <c r="X41" s="150" t="s">
        <v>57</v>
      </c>
    </row>
    <row r="42" spans="1:26" ht="21" customHeight="1">
      <c r="A42" s="45"/>
      <c r="B42" s="46"/>
      <c r="C42" s="46" t="s">
        <v>196</v>
      </c>
      <c r="D42" s="48"/>
      <c r="E42" s="48"/>
      <c r="F42" s="49"/>
      <c r="G42" s="31"/>
      <c r="H42" s="67" t="s">
        <v>200</v>
      </c>
      <c r="I42" s="232"/>
      <c r="J42" s="231"/>
      <c r="K42" s="231"/>
      <c r="L42" s="231"/>
      <c r="M42" s="257"/>
      <c r="N42" s="74"/>
      <c r="O42" s="69"/>
      <c r="P42" s="74"/>
      <c r="Q42" s="79"/>
      <c r="R42" s="76"/>
      <c r="S42" s="76"/>
      <c r="T42" s="257"/>
      <c r="U42" s="231"/>
      <c r="V42" s="68"/>
      <c r="W42" s="68">
        <v>0</v>
      </c>
      <c r="X42" s="57" t="s">
        <v>57</v>
      </c>
    </row>
    <row r="43" spans="1:26" ht="21" customHeight="1">
      <c r="A43" s="45"/>
      <c r="B43" s="46"/>
      <c r="C43" s="36" t="s">
        <v>190</v>
      </c>
      <c r="D43" s="226">
        <f>D44</f>
        <v>0</v>
      </c>
      <c r="E43" s="226">
        <f>E44</f>
        <v>0</v>
      </c>
      <c r="F43" s="227">
        <f t="shared" ref="F43:F44" si="20">E43-D43</f>
        <v>0</v>
      </c>
      <c r="G43" s="228">
        <f t="shared" ref="G43:G44" si="21">IF(D43=0,0,F43/D43)</f>
        <v>0</v>
      </c>
      <c r="H43" s="214" t="s">
        <v>201</v>
      </c>
      <c r="I43" s="215"/>
      <c r="J43" s="216"/>
      <c r="K43" s="216"/>
      <c r="L43" s="216"/>
      <c r="M43" s="216"/>
      <c r="N43" s="216"/>
      <c r="O43" s="217"/>
      <c r="P43" s="217"/>
      <c r="Q43" s="217"/>
      <c r="R43" s="217"/>
      <c r="S43" s="217"/>
      <c r="T43" s="217"/>
      <c r="U43" s="244" t="s">
        <v>69</v>
      </c>
      <c r="V43" s="245"/>
      <c r="W43" s="245">
        <f>W44</f>
        <v>0</v>
      </c>
      <c r="X43" s="278" t="s">
        <v>57</v>
      </c>
    </row>
    <row r="44" spans="1:26" ht="21" customHeight="1">
      <c r="A44" s="45"/>
      <c r="B44" s="46"/>
      <c r="C44" s="46" t="s">
        <v>196</v>
      </c>
      <c r="D44" s="48">
        <v>0</v>
      </c>
      <c r="E44" s="48">
        <f>ROUND(W44/1000,0)</f>
        <v>0</v>
      </c>
      <c r="F44" s="38">
        <f t="shared" si="20"/>
        <v>0</v>
      </c>
      <c r="G44" s="39">
        <f t="shared" si="21"/>
        <v>0</v>
      </c>
      <c r="H44" s="67" t="s">
        <v>202</v>
      </c>
      <c r="I44" s="232"/>
      <c r="J44" s="231"/>
      <c r="K44" s="231"/>
      <c r="L44" s="231"/>
      <c r="M44" s="257"/>
      <c r="N44" s="74"/>
      <c r="O44" s="69"/>
      <c r="P44" s="74"/>
      <c r="Q44" s="79"/>
      <c r="R44" s="76"/>
      <c r="S44" s="76"/>
      <c r="T44" s="257"/>
      <c r="U44" s="231"/>
      <c r="V44" s="68"/>
      <c r="W44" s="68">
        <v>0</v>
      </c>
      <c r="X44" s="57" t="s">
        <v>57</v>
      </c>
    </row>
    <row r="45" spans="1:26" ht="21" customHeight="1">
      <c r="A45" s="58"/>
      <c r="B45" s="59"/>
      <c r="C45" s="59"/>
      <c r="D45" s="61"/>
      <c r="E45" s="61"/>
      <c r="F45" s="62"/>
      <c r="G45" s="213"/>
      <c r="H45" s="71"/>
      <c r="I45" s="234"/>
      <c r="J45" s="233"/>
      <c r="K45" s="233"/>
      <c r="L45" s="233"/>
      <c r="M45" s="211"/>
      <c r="N45" s="219"/>
      <c r="O45" s="220"/>
      <c r="P45" s="219"/>
      <c r="Q45" s="221"/>
      <c r="R45" s="222"/>
      <c r="S45" s="222"/>
      <c r="T45" s="211"/>
      <c r="U45" s="233"/>
      <c r="V45" s="72"/>
      <c r="W45" s="72"/>
      <c r="X45" s="73"/>
    </row>
    <row r="46" spans="1:26" ht="21" customHeight="1">
      <c r="A46" s="35" t="s">
        <v>74</v>
      </c>
      <c r="B46" s="36" t="s">
        <v>13</v>
      </c>
      <c r="C46" s="550" t="s">
        <v>245</v>
      </c>
      <c r="D46" s="259">
        <f>SUM(D47,D50)</f>
        <v>0</v>
      </c>
      <c r="E46" s="259">
        <f>SUM(E47,E50)</f>
        <v>0</v>
      </c>
      <c r="F46" s="260">
        <f t="shared" ref="F46:F48" si="22">E46-D46</f>
        <v>0</v>
      </c>
      <c r="G46" s="261">
        <f t="shared" ref="G46:G48" si="23">IF(D46=0,0,F46/D46)</f>
        <v>0</v>
      </c>
      <c r="H46" s="262" t="s">
        <v>248</v>
      </c>
      <c r="I46" s="263"/>
      <c r="J46" s="264"/>
      <c r="K46" s="264"/>
      <c r="L46" s="263"/>
      <c r="M46" s="263"/>
      <c r="N46" s="263"/>
      <c r="O46" s="263"/>
      <c r="P46" s="263" t="s">
        <v>67</v>
      </c>
      <c r="Q46" s="265"/>
      <c r="R46" s="265"/>
      <c r="S46" s="265"/>
      <c r="T46" s="265"/>
      <c r="U46" s="265"/>
      <c r="V46" s="265"/>
      <c r="W46" s="266">
        <f>W48+W50</f>
        <v>0</v>
      </c>
      <c r="X46" s="277" t="s">
        <v>25</v>
      </c>
    </row>
    <row r="47" spans="1:26" ht="21" customHeight="1">
      <c r="A47" s="45"/>
      <c r="B47" s="46"/>
      <c r="C47" s="36" t="s">
        <v>203</v>
      </c>
      <c r="D47" s="226">
        <f>D48</f>
        <v>0</v>
      </c>
      <c r="E47" s="226">
        <f>E48</f>
        <v>0</v>
      </c>
      <c r="F47" s="227">
        <f t="shared" si="22"/>
        <v>0</v>
      </c>
      <c r="G47" s="228">
        <f t="shared" si="23"/>
        <v>0</v>
      </c>
      <c r="H47" s="214" t="s">
        <v>252</v>
      </c>
      <c r="I47" s="215"/>
      <c r="J47" s="216"/>
      <c r="K47" s="216"/>
      <c r="L47" s="216"/>
      <c r="M47" s="216"/>
      <c r="N47" s="216"/>
      <c r="O47" s="217"/>
      <c r="P47" s="217"/>
      <c r="Q47" s="217"/>
      <c r="R47" s="217"/>
      <c r="S47" s="217"/>
      <c r="T47" s="217"/>
      <c r="U47" s="244" t="s">
        <v>241</v>
      </c>
      <c r="V47" s="245"/>
      <c r="W47" s="246">
        <f>SUM(W48:W48)</f>
        <v>0</v>
      </c>
      <c r="X47" s="278" t="s">
        <v>240</v>
      </c>
      <c r="Y47" s="23"/>
      <c r="Z47" s="24"/>
    </row>
    <row r="48" spans="1:26" ht="21" customHeight="1">
      <c r="A48" s="45"/>
      <c r="B48" s="46"/>
      <c r="C48" s="46" t="s">
        <v>204</v>
      </c>
      <c r="D48" s="37">
        <v>0</v>
      </c>
      <c r="E48" s="48">
        <f>ROUND(W48/1000,0)</f>
        <v>0</v>
      </c>
      <c r="F48" s="38">
        <f t="shared" si="22"/>
        <v>0</v>
      </c>
      <c r="G48" s="39">
        <f t="shared" si="23"/>
        <v>0</v>
      </c>
      <c r="H48" s="147" t="s">
        <v>207</v>
      </c>
      <c r="I48" s="165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645" t="s">
        <v>69</v>
      </c>
      <c r="V48" s="645"/>
      <c r="W48" s="149">
        <v>0</v>
      </c>
      <c r="X48" s="150" t="s">
        <v>57</v>
      </c>
      <c r="Y48" s="23"/>
      <c r="Z48" s="24"/>
    </row>
    <row r="49" spans="1:26" ht="21" customHeight="1">
      <c r="A49" s="45"/>
      <c r="B49" s="46"/>
      <c r="C49" s="46"/>
      <c r="D49" s="48"/>
      <c r="E49" s="48"/>
      <c r="F49" s="49"/>
      <c r="G49" s="31"/>
      <c r="H49" s="67" t="s">
        <v>233</v>
      </c>
      <c r="I49" s="232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57"/>
      <c r="V49" s="257"/>
      <c r="W49" s="68"/>
      <c r="X49" s="57" t="s">
        <v>234</v>
      </c>
      <c r="Y49" s="23"/>
      <c r="Z49" s="24"/>
    </row>
    <row r="50" spans="1:26" ht="21" customHeight="1">
      <c r="A50" s="45"/>
      <c r="B50" s="46"/>
      <c r="C50" s="36" t="s">
        <v>205</v>
      </c>
      <c r="D50" s="226">
        <f>D51</f>
        <v>0</v>
      </c>
      <c r="E50" s="226">
        <f>E51</f>
        <v>0</v>
      </c>
      <c r="F50" s="227">
        <f t="shared" ref="F50:F51" si="24">E50-D50</f>
        <v>0</v>
      </c>
      <c r="G50" s="228">
        <f t="shared" ref="G50:G51" si="25">IF(D50=0,0,F50/D50)</f>
        <v>0</v>
      </c>
      <c r="H50" s="214" t="s">
        <v>253</v>
      </c>
      <c r="I50" s="215"/>
      <c r="J50" s="216"/>
      <c r="K50" s="216"/>
      <c r="L50" s="216"/>
      <c r="M50" s="216"/>
      <c r="N50" s="216"/>
      <c r="O50" s="217"/>
      <c r="P50" s="217"/>
      <c r="Q50" s="217"/>
      <c r="R50" s="217"/>
      <c r="S50" s="217"/>
      <c r="T50" s="217"/>
      <c r="U50" s="244" t="s">
        <v>241</v>
      </c>
      <c r="V50" s="245"/>
      <c r="W50" s="245">
        <f>SUM(W51:W51)</f>
        <v>0</v>
      </c>
      <c r="X50" s="278" t="s">
        <v>240</v>
      </c>
      <c r="Y50" s="23"/>
      <c r="Z50" s="24"/>
    </row>
    <row r="51" spans="1:26" ht="21" customHeight="1">
      <c r="A51" s="45"/>
      <c r="B51" s="46"/>
      <c r="C51" s="46" t="s">
        <v>204</v>
      </c>
      <c r="D51" s="48">
        <v>0</v>
      </c>
      <c r="E51" s="48">
        <f>ROUND(W51/1000,0)</f>
        <v>0</v>
      </c>
      <c r="F51" s="38">
        <f t="shared" si="24"/>
        <v>0</v>
      </c>
      <c r="G51" s="39">
        <f t="shared" si="25"/>
        <v>0</v>
      </c>
      <c r="H51" s="147" t="s">
        <v>208</v>
      </c>
      <c r="I51" s="151"/>
      <c r="J51" s="231"/>
      <c r="K51" s="231"/>
      <c r="L51" s="231"/>
      <c r="M51" s="257"/>
      <c r="N51" s="74"/>
      <c r="O51" s="69"/>
      <c r="P51" s="74"/>
      <c r="Q51" s="79"/>
      <c r="R51" s="76"/>
      <c r="S51" s="76"/>
      <c r="T51" s="257"/>
      <c r="U51" s="645" t="s">
        <v>69</v>
      </c>
      <c r="V51" s="645"/>
      <c r="W51" s="149">
        <v>0</v>
      </c>
      <c r="X51" s="150" t="s">
        <v>57</v>
      </c>
      <c r="Y51" s="23"/>
      <c r="Z51" s="24"/>
    </row>
    <row r="52" spans="1:26" ht="21" customHeight="1">
      <c r="A52" s="45"/>
      <c r="B52" s="46"/>
      <c r="C52" s="46" t="s">
        <v>394</v>
      </c>
      <c r="D52" s="48"/>
      <c r="E52" s="48"/>
      <c r="F52" s="49"/>
      <c r="G52" s="31"/>
      <c r="H52" s="71"/>
      <c r="I52" s="456"/>
      <c r="J52" s="382"/>
      <c r="K52" s="382"/>
      <c r="L52" s="382"/>
      <c r="M52" s="549"/>
      <c r="N52" s="74"/>
      <c r="O52" s="69"/>
      <c r="P52" s="74"/>
      <c r="Q52" s="79"/>
      <c r="R52" s="76"/>
      <c r="S52" s="76"/>
      <c r="T52" s="549"/>
      <c r="U52" s="211"/>
      <c r="V52" s="211"/>
      <c r="W52" s="72"/>
      <c r="X52" s="73"/>
      <c r="Y52" s="23"/>
      <c r="Z52" s="24"/>
    </row>
    <row r="53" spans="1:26" ht="21" customHeight="1">
      <c r="A53" s="58"/>
      <c r="B53" s="59"/>
      <c r="C53" s="59"/>
      <c r="D53" s="61"/>
      <c r="E53" s="61"/>
      <c r="F53" s="62"/>
      <c r="G53" s="213"/>
      <c r="H53" s="71"/>
      <c r="I53" s="234"/>
      <c r="J53" s="233"/>
      <c r="K53" s="233"/>
      <c r="L53" s="233"/>
      <c r="M53" s="211"/>
      <c r="N53" s="219"/>
      <c r="O53" s="220"/>
      <c r="P53" s="219"/>
      <c r="Q53" s="221"/>
      <c r="R53" s="222"/>
      <c r="S53" s="222"/>
      <c r="T53" s="211"/>
      <c r="U53" s="233"/>
      <c r="V53" s="72"/>
      <c r="W53" s="72"/>
      <c r="X53" s="73"/>
    </row>
    <row r="54" spans="1:26" ht="21" customHeight="1">
      <c r="A54" s="35" t="s">
        <v>14</v>
      </c>
      <c r="B54" s="36" t="s">
        <v>14</v>
      </c>
      <c r="C54" s="550" t="s">
        <v>245</v>
      </c>
      <c r="D54" s="259">
        <f>SUM(D55,D70,D74)</f>
        <v>8367</v>
      </c>
      <c r="E54" s="259">
        <f>SUM(E55,E70,E74)</f>
        <v>8367</v>
      </c>
      <c r="F54" s="260">
        <f t="shared" ref="F54:F56" si="26">E54-D54</f>
        <v>0</v>
      </c>
      <c r="G54" s="261">
        <f t="shared" ref="G54:G56" si="27">IF(D54=0,0,F54/D54)</f>
        <v>0</v>
      </c>
      <c r="H54" s="262" t="s">
        <v>249</v>
      </c>
      <c r="I54" s="263"/>
      <c r="J54" s="264"/>
      <c r="K54" s="264"/>
      <c r="L54" s="263"/>
      <c r="M54" s="263"/>
      <c r="N54" s="263"/>
      <c r="O54" s="263"/>
      <c r="P54" s="263" t="s">
        <v>67</v>
      </c>
      <c r="Q54" s="265"/>
      <c r="R54" s="265"/>
      <c r="S54" s="265"/>
      <c r="T54" s="265"/>
      <c r="U54" s="265"/>
      <c r="V54" s="265"/>
      <c r="W54" s="266">
        <f>SUM(W55,W70,W74)</f>
        <v>8367000</v>
      </c>
      <c r="X54" s="277" t="s">
        <v>25</v>
      </c>
    </row>
    <row r="55" spans="1:26" ht="21" customHeight="1">
      <c r="A55" s="45"/>
      <c r="B55" s="46"/>
      <c r="C55" s="36" t="s">
        <v>209</v>
      </c>
      <c r="D55" s="226">
        <f>SUM(D56,D59,D62,D66)</f>
        <v>7392</v>
      </c>
      <c r="E55" s="226">
        <f>SUM(E56,E59,E62,E66)</f>
        <v>7392</v>
      </c>
      <c r="F55" s="227">
        <f t="shared" si="26"/>
        <v>0</v>
      </c>
      <c r="G55" s="228">
        <f t="shared" si="27"/>
        <v>0</v>
      </c>
      <c r="H55" s="214" t="s">
        <v>254</v>
      </c>
      <c r="I55" s="215"/>
      <c r="J55" s="216"/>
      <c r="K55" s="216"/>
      <c r="L55" s="216"/>
      <c r="M55" s="216"/>
      <c r="N55" s="216"/>
      <c r="O55" s="217"/>
      <c r="P55" s="217"/>
      <c r="Q55" s="217"/>
      <c r="R55" s="217"/>
      <c r="S55" s="217"/>
      <c r="T55" s="217"/>
      <c r="U55" s="244" t="s">
        <v>241</v>
      </c>
      <c r="V55" s="245"/>
      <c r="W55" s="246">
        <f>SUM(W56,W59,W62,W66)</f>
        <v>7392000</v>
      </c>
      <c r="X55" s="278" t="s">
        <v>240</v>
      </c>
    </row>
    <row r="56" spans="1:26" ht="21" customHeight="1">
      <c r="A56" s="45"/>
      <c r="B56" s="46"/>
      <c r="C56" s="46" t="s">
        <v>210</v>
      </c>
      <c r="D56" s="37">
        <v>7068</v>
      </c>
      <c r="E56" s="48">
        <f>ROUND(W56/1000,0)</f>
        <v>7068</v>
      </c>
      <c r="F56" s="38">
        <f t="shared" si="26"/>
        <v>0</v>
      </c>
      <c r="G56" s="39">
        <f t="shared" si="27"/>
        <v>0</v>
      </c>
      <c r="H56" s="147" t="s">
        <v>235</v>
      </c>
      <c r="I56" s="165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645" t="s">
        <v>69</v>
      </c>
      <c r="V56" s="645"/>
      <c r="W56" s="149">
        <f>ROUND(SUM(V57:W58),-3)</f>
        <v>7068000</v>
      </c>
      <c r="X56" s="150" t="s">
        <v>57</v>
      </c>
    </row>
    <row r="57" spans="1:26" ht="21" customHeight="1">
      <c r="A57" s="45"/>
      <c r="B57" s="46"/>
      <c r="C57" s="46"/>
      <c r="D57" s="48"/>
      <c r="E57" s="48"/>
      <c r="F57" s="49"/>
      <c r="G57" s="31"/>
      <c r="H57" s="372" t="s">
        <v>301</v>
      </c>
      <c r="I57" s="232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57"/>
      <c r="V57" s="257"/>
      <c r="W57" s="68">
        <v>7067502</v>
      </c>
      <c r="X57" s="57" t="s">
        <v>234</v>
      </c>
    </row>
    <row r="58" spans="1:26" ht="21" customHeight="1">
      <c r="A58" s="45"/>
      <c r="B58" s="46"/>
      <c r="C58" s="46"/>
      <c r="D58" s="61"/>
      <c r="E58" s="61"/>
      <c r="F58" s="62"/>
      <c r="G58" s="213"/>
      <c r="H58" s="373" t="s">
        <v>302</v>
      </c>
      <c r="I58" s="234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11"/>
      <c r="V58" s="211"/>
      <c r="W58" s="72">
        <v>0</v>
      </c>
      <c r="X58" s="73" t="s">
        <v>234</v>
      </c>
    </row>
    <row r="59" spans="1:26" ht="21" customHeight="1">
      <c r="A59" s="45"/>
      <c r="B59" s="46"/>
      <c r="C59" s="46"/>
      <c r="D59" s="37">
        <v>0</v>
      </c>
      <c r="E59" s="48">
        <f>ROUND(W59/1000,0)</f>
        <v>0</v>
      </c>
      <c r="F59" s="38">
        <f t="shared" ref="F59" si="28">E59-D59</f>
        <v>0</v>
      </c>
      <c r="G59" s="39">
        <f t="shared" ref="G59" si="29">IF(D59=0,0,F59/D59)</f>
        <v>0</v>
      </c>
      <c r="H59" s="147" t="s">
        <v>236</v>
      </c>
      <c r="I59" s="165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645" t="s">
        <v>69</v>
      </c>
      <c r="V59" s="645"/>
      <c r="W59" s="149">
        <f>ROUNDUP(SUM(V60:W60),-3)</f>
        <v>0</v>
      </c>
      <c r="X59" s="150" t="s">
        <v>57</v>
      </c>
    </row>
    <row r="60" spans="1:26" ht="21" customHeight="1">
      <c r="A60" s="45"/>
      <c r="B60" s="46"/>
      <c r="C60" s="46"/>
      <c r="D60" s="48"/>
      <c r="E60" s="48"/>
      <c r="F60" s="49"/>
      <c r="G60" s="31"/>
      <c r="H60" s="372" t="s">
        <v>303</v>
      </c>
      <c r="I60" s="232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57"/>
      <c r="V60" s="257"/>
      <c r="W60" s="68">
        <v>0</v>
      </c>
      <c r="X60" s="57" t="s">
        <v>234</v>
      </c>
    </row>
    <row r="61" spans="1:26" ht="21" customHeight="1">
      <c r="A61" s="45"/>
      <c r="B61" s="46"/>
      <c r="C61" s="46"/>
      <c r="D61" s="61"/>
      <c r="E61" s="61"/>
      <c r="F61" s="62"/>
      <c r="G61" s="213"/>
      <c r="H61" s="71"/>
      <c r="I61" s="234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11"/>
      <c r="V61" s="211"/>
      <c r="W61" s="72"/>
      <c r="X61" s="73"/>
    </row>
    <row r="62" spans="1:26" ht="21" customHeight="1">
      <c r="A62" s="45"/>
      <c r="B62" s="46"/>
      <c r="C62" s="46"/>
      <c r="D62" s="37">
        <v>324</v>
      </c>
      <c r="E62" s="37">
        <f>ROUND(W62/1000,0)</f>
        <v>324</v>
      </c>
      <c r="F62" s="38">
        <f t="shared" ref="F62" si="30">E62-D62</f>
        <v>0</v>
      </c>
      <c r="G62" s="39">
        <f t="shared" ref="G62" si="31">IF(D62=0,0,F62/D62)</f>
        <v>0</v>
      </c>
      <c r="H62" s="147" t="s">
        <v>237</v>
      </c>
      <c r="I62" s="165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645" t="s">
        <v>69</v>
      </c>
      <c r="V62" s="645"/>
      <c r="W62" s="149">
        <f>ROUNDUP(SUM(V63:W64),-3)</f>
        <v>324000</v>
      </c>
      <c r="X62" s="150" t="s">
        <v>57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2" t="s">
        <v>304</v>
      </c>
      <c r="I63" s="232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57"/>
      <c r="V63" s="257"/>
      <c r="W63" s="68">
        <v>323285</v>
      </c>
      <c r="X63" s="57" t="s">
        <v>234</v>
      </c>
    </row>
    <row r="64" spans="1:26" ht="21" customHeight="1">
      <c r="A64" s="45"/>
      <c r="B64" s="46"/>
      <c r="C64" s="46"/>
      <c r="D64" s="48"/>
      <c r="E64" s="48"/>
      <c r="F64" s="49"/>
      <c r="G64" s="31"/>
      <c r="H64" s="372" t="s">
        <v>305</v>
      </c>
      <c r="I64" s="232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57"/>
      <c r="V64" s="257"/>
      <c r="W64" s="68">
        <v>0</v>
      </c>
      <c r="X64" s="57" t="s">
        <v>234</v>
      </c>
    </row>
    <row r="65" spans="1:46" ht="21" customHeight="1">
      <c r="A65" s="45"/>
      <c r="B65" s="46"/>
      <c r="C65" s="46"/>
      <c r="D65" s="61"/>
      <c r="E65" s="61"/>
      <c r="F65" s="62"/>
      <c r="G65" s="213"/>
      <c r="H65" s="71"/>
      <c r="I65" s="234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11"/>
      <c r="V65" s="211"/>
      <c r="W65" s="72"/>
      <c r="X65" s="73"/>
    </row>
    <row r="66" spans="1:46" ht="21" customHeight="1">
      <c r="A66" s="45"/>
      <c r="B66" s="46"/>
      <c r="C66" s="46"/>
      <c r="D66" s="48">
        <v>0</v>
      </c>
      <c r="E66" s="37">
        <f>ROUND(W66/1000,0)</f>
        <v>0</v>
      </c>
      <c r="F66" s="38">
        <f t="shared" ref="F66" si="32">E66-D66</f>
        <v>0</v>
      </c>
      <c r="G66" s="39">
        <f t="shared" ref="G66" si="33">IF(D66=0,0,F66/D66)</f>
        <v>0</v>
      </c>
      <c r="H66" s="147" t="s">
        <v>238</v>
      </c>
      <c r="I66" s="165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645" t="s">
        <v>69</v>
      </c>
      <c r="V66" s="645"/>
      <c r="W66" s="149">
        <f>ROUND(SUM(V67:W68),-3)</f>
        <v>0</v>
      </c>
      <c r="X66" s="150" t="s">
        <v>57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2" t="s">
        <v>306</v>
      </c>
      <c r="I67" s="232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57"/>
      <c r="V67" s="257"/>
      <c r="W67" s="68">
        <v>126</v>
      </c>
      <c r="X67" s="57" t="s">
        <v>234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372" t="s">
        <v>307</v>
      </c>
      <c r="I68" s="232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57"/>
      <c r="V68" s="257"/>
      <c r="W68" s="68">
        <v>0</v>
      </c>
      <c r="X68" s="57" t="s">
        <v>234</v>
      </c>
    </row>
    <row r="69" spans="1:46" ht="21" customHeight="1">
      <c r="A69" s="45"/>
      <c r="B69" s="46"/>
      <c r="C69" s="46"/>
      <c r="D69" s="48"/>
      <c r="E69" s="48"/>
      <c r="F69" s="49"/>
      <c r="G69" s="31"/>
      <c r="H69" s="67"/>
      <c r="I69" s="232"/>
      <c r="J69" s="231"/>
      <c r="K69" s="231"/>
      <c r="L69" s="231"/>
      <c r="M69" s="257"/>
      <c r="N69" s="74"/>
      <c r="O69" s="69"/>
      <c r="P69" s="74"/>
      <c r="Q69" s="79"/>
      <c r="R69" s="76"/>
      <c r="S69" s="76"/>
      <c r="T69" s="257"/>
      <c r="U69" s="231"/>
      <c r="V69" s="68"/>
      <c r="W69" s="68"/>
      <c r="X69" s="57"/>
    </row>
    <row r="70" spans="1:46" ht="21" customHeight="1">
      <c r="A70" s="45"/>
      <c r="B70" s="46"/>
      <c r="C70" s="36" t="s">
        <v>209</v>
      </c>
      <c r="D70" s="226">
        <f>D71</f>
        <v>975</v>
      </c>
      <c r="E70" s="226">
        <f>E71</f>
        <v>975</v>
      </c>
      <c r="F70" s="227">
        <f t="shared" ref="F70:F71" si="34">E70-D70</f>
        <v>0</v>
      </c>
      <c r="G70" s="228">
        <f t="shared" ref="G70:G71" si="35">IF(D70=0,0,F70/D70)</f>
        <v>0</v>
      </c>
      <c r="H70" s="214" t="s">
        <v>211</v>
      </c>
      <c r="I70" s="215"/>
      <c r="J70" s="216"/>
      <c r="K70" s="216"/>
      <c r="L70" s="216"/>
      <c r="M70" s="216"/>
      <c r="N70" s="216"/>
      <c r="O70" s="217"/>
      <c r="P70" s="217"/>
      <c r="Q70" s="217"/>
      <c r="R70" s="217"/>
      <c r="S70" s="217"/>
      <c r="T70" s="217"/>
      <c r="U70" s="244" t="s">
        <v>69</v>
      </c>
      <c r="V70" s="245"/>
      <c r="W70" s="245">
        <f>W71</f>
        <v>975000</v>
      </c>
      <c r="X70" s="278" t="s">
        <v>57</v>
      </c>
    </row>
    <row r="71" spans="1:46" ht="21" customHeight="1">
      <c r="A71" s="45"/>
      <c r="B71" s="46"/>
      <c r="C71" s="46" t="s">
        <v>210</v>
      </c>
      <c r="D71" s="48">
        <v>975</v>
      </c>
      <c r="E71" s="48">
        <f>ROUND(W71/1000,0)</f>
        <v>975</v>
      </c>
      <c r="F71" s="38">
        <f t="shared" si="34"/>
        <v>0</v>
      </c>
      <c r="G71" s="39">
        <f t="shared" si="35"/>
        <v>0</v>
      </c>
      <c r="H71" s="374" t="s">
        <v>308</v>
      </c>
      <c r="I71" s="165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645"/>
      <c r="V71" s="645"/>
      <c r="W71" s="149">
        <f>ROUNDUP(SUM(V72:W72),-3)</f>
        <v>975000</v>
      </c>
      <c r="X71" s="150" t="s">
        <v>57</v>
      </c>
    </row>
    <row r="72" spans="1:46" ht="21" customHeight="1">
      <c r="A72" s="45"/>
      <c r="B72" s="46"/>
      <c r="C72" s="46" t="s">
        <v>206</v>
      </c>
      <c r="D72" s="48"/>
      <c r="E72" s="48"/>
      <c r="F72" s="49"/>
      <c r="G72" s="70"/>
      <c r="H72" s="372" t="s">
        <v>309</v>
      </c>
      <c r="I72" s="232"/>
      <c r="J72" s="231"/>
      <c r="K72" s="231"/>
      <c r="L72" s="231"/>
      <c r="M72" s="231"/>
      <c r="N72" s="231"/>
      <c r="O72" s="231"/>
      <c r="P72" s="54"/>
      <c r="Q72" s="54"/>
      <c r="R72" s="54"/>
      <c r="S72" s="231"/>
      <c r="T72" s="231"/>
      <c r="U72" s="231"/>
      <c r="V72" s="68"/>
      <c r="W72" s="68">
        <v>974375</v>
      </c>
      <c r="X72" s="57" t="s">
        <v>135</v>
      </c>
    </row>
    <row r="73" spans="1:46" ht="21" customHeight="1">
      <c r="A73" s="45"/>
      <c r="B73" s="46"/>
      <c r="C73" s="46"/>
      <c r="D73" s="48"/>
      <c r="E73" s="48"/>
      <c r="F73" s="49"/>
      <c r="G73" s="70"/>
      <c r="H73" s="67"/>
      <c r="I73" s="232"/>
      <c r="J73" s="231"/>
      <c r="K73" s="231"/>
      <c r="L73" s="231"/>
      <c r="M73" s="231"/>
      <c r="N73" s="231"/>
      <c r="O73" s="231"/>
      <c r="P73" s="54"/>
      <c r="Q73" s="54"/>
      <c r="R73" s="54"/>
      <c r="S73" s="231"/>
      <c r="T73" s="231"/>
      <c r="U73" s="231"/>
      <c r="V73" s="68"/>
      <c r="W73" s="68"/>
      <c r="X73" s="57"/>
    </row>
    <row r="74" spans="1:46" ht="21" customHeight="1">
      <c r="A74" s="45"/>
      <c r="B74" s="46"/>
      <c r="C74" s="36" t="s">
        <v>212</v>
      </c>
      <c r="D74" s="226">
        <f>D75</f>
        <v>0</v>
      </c>
      <c r="E74" s="226">
        <f>E75</f>
        <v>0</v>
      </c>
      <c r="F74" s="227">
        <f t="shared" ref="F74:F75" si="36">E74-D74</f>
        <v>0</v>
      </c>
      <c r="G74" s="228">
        <f t="shared" ref="G74:G75" si="37">IF(D74=0,0,F74/D74)</f>
        <v>0</v>
      </c>
      <c r="H74" s="214" t="s">
        <v>214</v>
      </c>
      <c r="I74" s="215"/>
      <c r="J74" s="216"/>
      <c r="K74" s="216"/>
      <c r="L74" s="216"/>
      <c r="M74" s="216"/>
      <c r="N74" s="216"/>
      <c r="O74" s="217"/>
      <c r="P74" s="217"/>
      <c r="Q74" s="217"/>
      <c r="R74" s="217"/>
      <c r="S74" s="217"/>
      <c r="T74" s="217"/>
      <c r="U74" s="244" t="s">
        <v>69</v>
      </c>
      <c r="V74" s="245"/>
      <c r="W74" s="245">
        <f>ROUND(SUM(V75:W76),-3)</f>
        <v>0</v>
      </c>
      <c r="X74" s="278" t="s">
        <v>57</v>
      </c>
    </row>
    <row r="75" spans="1:46" ht="21" customHeight="1">
      <c r="A75" s="45"/>
      <c r="B75" s="46"/>
      <c r="C75" s="46" t="s">
        <v>213</v>
      </c>
      <c r="D75" s="48">
        <v>0</v>
      </c>
      <c r="E75" s="48">
        <f>ROUND(W75/1000,0)</f>
        <v>0</v>
      </c>
      <c r="F75" s="38">
        <f t="shared" si="36"/>
        <v>0</v>
      </c>
      <c r="G75" s="39">
        <f t="shared" si="37"/>
        <v>0</v>
      </c>
      <c r="H75" s="67"/>
      <c r="I75" s="232"/>
      <c r="J75" s="231"/>
      <c r="K75" s="231"/>
      <c r="L75" s="231"/>
      <c r="M75" s="257"/>
      <c r="N75" s="74"/>
      <c r="O75" s="69"/>
      <c r="P75" s="74"/>
      <c r="Q75" s="79"/>
      <c r="R75" s="76"/>
      <c r="S75" s="76"/>
      <c r="T75" s="257"/>
      <c r="U75" s="231"/>
      <c r="V75" s="68"/>
      <c r="W75" s="68">
        <f>L75*O75</f>
        <v>0</v>
      </c>
      <c r="X75" s="57" t="s">
        <v>57</v>
      </c>
    </row>
    <row r="76" spans="1:46" ht="21" customHeight="1">
      <c r="A76" s="58"/>
      <c r="B76" s="59"/>
      <c r="C76" s="59"/>
      <c r="D76" s="61"/>
      <c r="E76" s="61"/>
      <c r="F76" s="62"/>
      <c r="G76" s="84"/>
      <c r="H76" s="71"/>
      <c r="I76" s="234"/>
      <c r="J76" s="233"/>
      <c r="K76" s="233"/>
      <c r="L76" s="233"/>
      <c r="M76" s="233"/>
      <c r="N76" s="233"/>
      <c r="O76" s="233"/>
      <c r="P76" s="131"/>
      <c r="Q76" s="131"/>
      <c r="R76" s="131"/>
      <c r="S76" s="233"/>
      <c r="T76" s="233"/>
      <c r="U76" s="233"/>
      <c r="V76" s="72"/>
      <c r="W76" s="72">
        <v>0</v>
      </c>
      <c r="X76" s="73" t="s">
        <v>57</v>
      </c>
    </row>
    <row r="77" spans="1:46" ht="21" customHeight="1">
      <c r="A77" s="45" t="s">
        <v>75</v>
      </c>
      <c r="B77" s="87" t="s">
        <v>16</v>
      </c>
      <c r="C77" s="550" t="s">
        <v>245</v>
      </c>
      <c r="D77" s="259">
        <f>SUM(D78,D81,D89)</f>
        <v>38</v>
      </c>
      <c r="E77" s="259">
        <f>SUM(E78,E81,E89)</f>
        <v>38</v>
      </c>
      <c r="F77" s="260">
        <f t="shared" ref="F77:F79" si="38">E77-D77</f>
        <v>0</v>
      </c>
      <c r="G77" s="261">
        <f t="shared" ref="G77:G79" si="39">IF(D77=0,0,F77/D77)</f>
        <v>0</v>
      </c>
      <c r="H77" s="262" t="s">
        <v>250</v>
      </c>
      <c r="I77" s="263"/>
      <c r="J77" s="264"/>
      <c r="K77" s="264"/>
      <c r="L77" s="263"/>
      <c r="M77" s="263"/>
      <c r="N77" s="263"/>
      <c r="O77" s="263"/>
      <c r="P77" s="263" t="s">
        <v>67</v>
      </c>
      <c r="Q77" s="265"/>
      <c r="R77" s="265"/>
      <c r="S77" s="265"/>
      <c r="T77" s="265"/>
      <c r="U77" s="265"/>
      <c r="V77" s="265"/>
      <c r="W77" s="275">
        <f>SUM(W78,W81,W89)</f>
        <v>38000</v>
      </c>
      <c r="X77" s="281" t="s">
        <v>240</v>
      </c>
    </row>
    <row r="78" spans="1:46" s="4" customFormat="1" ht="21" customHeight="1">
      <c r="A78" s="45"/>
      <c r="B78" s="96"/>
      <c r="C78" s="36" t="s">
        <v>215</v>
      </c>
      <c r="D78" s="226">
        <f>D79</f>
        <v>0</v>
      </c>
      <c r="E78" s="226">
        <f>E79</f>
        <v>0</v>
      </c>
      <c r="F78" s="227">
        <f t="shared" si="38"/>
        <v>0</v>
      </c>
      <c r="G78" s="228">
        <f t="shared" si="39"/>
        <v>0</v>
      </c>
      <c r="H78" s="214" t="s">
        <v>220</v>
      </c>
      <c r="I78" s="215"/>
      <c r="J78" s="216"/>
      <c r="K78" s="216"/>
      <c r="L78" s="216"/>
      <c r="M78" s="216"/>
      <c r="N78" s="216"/>
      <c r="O78" s="217"/>
      <c r="P78" s="217"/>
      <c r="Q78" s="217"/>
      <c r="R78" s="217"/>
      <c r="S78" s="217"/>
      <c r="T78" s="217"/>
      <c r="U78" s="244" t="s">
        <v>69</v>
      </c>
      <c r="V78" s="245"/>
      <c r="W78" s="246">
        <f>SUM(W79:W79)</f>
        <v>0</v>
      </c>
      <c r="X78" s="278" t="s">
        <v>57</v>
      </c>
      <c r="Y78" s="267"/>
      <c r="Z78" s="268"/>
      <c r="AA78" s="268"/>
      <c r="AB78" s="269"/>
      <c r="AC78" s="270"/>
      <c r="AD78" s="271"/>
      <c r="AE78" s="272"/>
      <c r="AF78" s="273"/>
      <c r="AG78" s="273"/>
      <c r="AH78" s="272"/>
      <c r="AI78" s="272"/>
      <c r="AJ78" s="272"/>
      <c r="AK78" s="272"/>
      <c r="AL78" s="272"/>
      <c r="AM78" s="271"/>
      <c r="AN78" s="271"/>
      <c r="AO78" s="271"/>
      <c r="AP78" s="271"/>
      <c r="AQ78" s="271"/>
      <c r="AR78" s="271"/>
      <c r="AS78" s="274"/>
      <c r="AT78" s="272"/>
    </row>
    <row r="79" spans="1:46" ht="21" customHeight="1">
      <c r="A79" s="60"/>
      <c r="B79" s="98"/>
      <c r="C79" s="46" t="s">
        <v>216</v>
      </c>
      <c r="D79" s="37">
        <v>0</v>
      </c>
      <c r="E79" s="48">
        <f>ROUND(W79/1000,0)</f>
        <v>0</v>
      </c>
      <c r="F79" s="38">
        <f t="shared" si="38"/>
        <v>0</v>
      </c>
      <c r="G79" s="39">
        <f t="shared" si="39"/>
        <v>0</v>
      </c>
      <c r="H79" s="147" t="s">
        <v>220</v>
      </c>
      <c r="I79" s="165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645" t="s">
        <v>69</v>
      </c>
      <c r="V79" s="645"/>
      <c r="W79" s="149">
        <f>SUM(W80:W80)</f>
        <v>0</v>
      </c>
      <c r="X79" s="150" t="s">
        <v>57</v>
      </c>
    </row>
    <row r="80" spans="1:46" s="11" customFormat="1" ht="19.5" customHeight="1">
      <c r="A80" s="60"/>
      <c r="B80" s="90"/>
      <c r="C80" s="46"/>
      <c r="D80" s="48"/>
      <c r="E80" s="48"/>
      <c r="F80" s="49"/>
      <c r="G80" s="31"/>
      <c r="H80" s="67"/>
      <c r="I80" s="232"/>
      <c r="J80" s="231"/>
      <c r="K80" s="231"/>
      <c r="L80" s="231"/>
      <c r="M80" s="257"/>
      <c r="N80" s="74"/>
      <c r="O80" s="69"/>
      <c r="P80" s="74"/>
      <c r="Q80" s="79"/>
      <c r="R80" s="76"/>
      <c r="S80" s="76"/>
      <c r="T80" s="257"/>
      <c r="U80" s="231"/>
      <c r="V80" s="68"/>
      <c r="W80" s="68">
        <f>L80*O80</f>
        <v>0</v>
      </c>
      <c r="X80" s="57" t="s">
        <v>57</v>
      </c>
      <c r="Y80" s="6"/>
    </row>
    <row r="81" spans="1:25" s="11" customFormat="1" ht="19.5" customHeight="1">
      <c r="A81" s="60"/>
      <c r="B81" s="90"/>
      <c r="C81" s="36" t="s">
        <v>217</v>
      </c>
      <c r="D81" s="226">
        <f>D82</f>
        <v>16</v>
      </c>
      <c r="E81" s="226">
        <f>E82</f>
        <v>16</v>
      </c>
      <c r="F81" s="227">
        <f t="shared" ref="F81:F82" si="40">E81-D81</f>
        <v>0</v>
      </c>
      <c r="G81" s="228">
        <f t="shared" ref="G81:G82" si="41">IF(D81=0,0,F81/D81)</f>
        <v>0</v>
      </c>
      <c r="H81" s="214" t="s">
        <v>221</v>
      </c>
      <c r="I81" s="215"/>
      <c r="J81" s="216"/>
      <c r="K81" s="216"/>
      <c r="L81" s="216"/>
      <c r="M81" s="216"/>
      <c r="N81" s="216"/>
      <c r="O81" s="217"/>
      <c r="P81" s="217"/>
      <c r="Q81" s="217"/>
      <c r="R81" s="217"/>
      <c r="S81" s="217"/>
      <c r="T81" s="217"/>
      <c r="U81" s="244" t="s">
        <v>69</v>
      </c>
      <c r="V81" s="245"/>
      <c r="W81" s="245">
        <f>SUM(W82:W82)</f>
        <v>16000</v>
      </c>
      <c r="X81" s="278" t="s">
        <v>57</v>
      </c>
      <c r="Y81" s="6"/>
    </row>
    <row r="82" spans="1:25" s="11" customFormat="1" ht="19.5" customHeight="1">
      <c r="A82" s="60"/>
      <c r="B82" s="90"/>
      <c r="C82" s="46" t="s">
        <v>218</v>
      </c>
      <c r="D82" s="48">
        <v>16</v>
      </c>
      <c r="E82" s="48">
        <f>ROUND(W82/1000,0)</f>
        <v>16</v>
      </c>
      <c r="F82" s="38">
        <f t="shared" si="40"/>
        <v>0</v>
      </c>
      <c r="G82" s="39">
        <f t="shared" si="41"/>
        <v>0</v>
      </c>
      <c r="H82" s="568" t="s">
        <v>397</v>
      </c>
      <c r="I82" s="186"/>
      <c r="J82" s="185"/>
      <c r="K82" s="185"/>
      <c r="L82" s="185"/>
      <c r="M82" s="185"/>
      <c r="N82" s="185"/>
      <c r="O82" s="185"/>
      <c r="P82" s="185" t="s">
        <v>396</v>
      </c>
      <c r="Q82" s="185"/>
      <c r="R82" s="185"/>
      <c r="S82" s="185"/>
      <c r="T82" s="185"/>
      <c r="U82" s="645" t="s">
        <v>69</v>
      </c>
      <c r="V82" s="645"/>
      <c r="W82" s="149">
        <f>SUM(W83:W87)</f>
        <v>16000</v>
      </c>
      <c r="X82" s="150" t="s">
        <v>57</v>
      </c>
      <c r="Y82" s="6"/>
    </row>
    <row r="83" spans="1:25" s="11" customFormat="1" ht="19.5" customHeight="1">
      <c r="A83" s="60"/>
      <c r="B83" s="90"/>
      <c r="C83" s="46" t="s">
        <v>178</v>
      </c>
      <c r="D83" s="48"/>
      <c r="E83" s="48"/>
      <c r="F83" s="49"/>
      <c r="G83" s="70"/>
      <c r="H83" s="536" t="s">
        <v>508</v>
      </c>
      <c r="I83" s="383"/>
      <c r="J83" s="382"/>
      <c r="K83" s="382"/>
      <c r="L83" s="382"/>
      <c r="M83" s="382"/>
      <c r="N83" s="382"/>
      <c r="O83" s="382"/>
      <c r="P83" s="382"/>
      <c r="Q83" s="382"/>
      <c r="R83" s="382"/>
      <c r="S83" s="382"/>
      <c r="T83" s="382"/>
      <c r="U83" s="382"/>
      <c r="V83" s="68"/>
      <c r="W83" s="68">
        <v>8000</v>
      </c>
      <c r="X83" s="57" t="s">
        <v>25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511</v>
      </c>
      <c r="I84" s="383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68"/>
      <c r="W84" s="68">
        <v>1000</v>
      </c>
      <c r="X84" s="57" t="s">
        <v>509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512</v>
      </c>
      <c r="I85" s="383"/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2"/>
      <c r="U85" s="382"/>
      <c r="V85" s="68"/>
      <c r="W85" s="68">
        <v>5000</v>
      </c>
      <c r="X85" s="57" t="s">
        <v>519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513</v>
      </c>
      <c r="I86" s="383"/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68"/>
      <c r="W86" s="68">
        <v>1000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 t="s">
        <v>514</v>
      </c>
      <c r="I87" s="382"/>
      <c r="J87" s="382"/>
      <c r="K87" s="382"/>
      <c r="L87" s="382"/>
      <c r="M87" s="382"/>
      <c r="N87" s="382"/>
      <c r="O87" s="382"/>
      <c r="P87" s="646"/>
      <c r="Q87" s="646"/>
      <c r="R87" s="382"/>
      <c r="S87" s="382"/>
      <c r="T87" s="382"/>
      <c r="U87" s="382"/>
      <c r="V87" s="382"/>
      <c r="W87" s="382">
        <v>1000</v>
      </c>
      <c r="X87" s="57" t="s">
        <v>25</v>
      </c>
      <c r="Y87" s="6"/>
    </row>
    <row r="88" spans="1:25" s="11" customFormat="1" ht="19.5" customHeight="1">
      <c r="A88" s="60"/>
      <c r="B88" s="90"/>
      <c r="C88" s="46"/>
      <c r="D88" s="48"/>
      <c r="E88" s="48"/>
      <c r="F88" s="49"/>
      <c r="G88" s="70"/>
      <c r="H88" s="67"/>
      <c r="I88" s="232"/>
      <c r="J88" s="231"/>
      <c r="K88" s="231"/>
      <c r="L88" s="231"/>
      <c r="M88" s="231"/>
      <c r="N88" s="231"/>
      <c r="O88" s="231"/>
      <c r="P88" s="54"/>
      <c r="Q88" s="54"/>
      <c r="R88" s="54"/>
      <c r="S88" s="231"/>
      <c r="T88" s="231"/>
      <c r="U88" s="231"/>
      <c r="V88" s="68"/>
      <c r="W88" s="68"/>
      <c r="X88" s="57"/>
      <c r="Y88" s="6"/>
    </row>
    <row r="89" spans="1:25" s="11" customFormat="1" ht="19.5" customHeight="1">
      <c r="A89" s="60"/>
      <c r="B89" s="90"/>
      <c r="C89" s="36" t="s">
        <v>190</v>
      </c>
      <c r="D89" s="226">
        <f>D90</f>
        <v>22</v>
      </c>
      <c r="E89" s="226">
        <f>E90</f>
        <v>22</v>
      </c>
      <c r="F89" s="227">
        <f t="shared" ref="F89:F90" si="42">E89-D89</f>
        <v>0</v>
      </c>
      <c r="G89" s="228">
        <f t="shared" ref="G89:G90" si="43">IF(D89=0,0,F89/D89)</f>
        <v>0</v>
      </c>
      <c r="H89" s="214" t="s">
        <v>239</v>
      </c>
      <c r="I89" s="215"/>
      <c r="J89" s="216"/>
      <c r="K89" s="216"/>
      <c r="L89" s="216"/>
      <c r="M89" s="216"/>
      <c r="N89" s="216"/>
      <c r="O89" s="217"/>
      <c r="P89" s="217"/>
      <c r="Q89" s="217"/>
      <c r="R89" s="217"/>
      <c r="S89" s="217"/>
      <c r="T89" s="217"/>
      <c r="U89" s="244" t="s">
        <v>241</v>
      </c>
      <c r="V89" s="245"/>
      <c r="W89" s="245">
        <f>SUM(W90:W90)</f>
        <v>22000</v>
      </c>
      <c r="X89" s="278" t="s">
        <v>240</v>
      </c>
      <c r="Y89" s="6"/>
    </row>
    <row r="90" spans="1:25" s="11" customFormat="1" ht="19.5" customHeight="1">
      <c r="A90" s="60"/>
      <c r="B90" s="90"/>
      <c r="C90" s="46" t="s">
        <v>219</v>
      </c>
      <c r="D90" s="48">
        <v>22</v>
      </c>
      <c r="E90" s="48">
        <f>ROUND(W90/1000,0)</f>
        <v>22</v>
      </c>
      <c r="F90" s="38">
        <f t="shared" si="42"/>
        <v>0</v>
      </c>
      <c r="G90" s="39">
        <f t="shared" si="43"/>
        <v>0</v>
      </c>
      <c r="H90" s="97" t="s">
        <v>395</v>
      </c>
      <c r="I90" s="190"/>
      <c r="J90" s="189"/>
      <c r="K90" s="189"/>
      <c r="L90" s="189"/>
      <c r="M90" s="189"/>
      <c r="N90" s="189"/>
      <c r="O90" s="189"/>
      <c r="P90" s="189" t="s">
        <v>396</v>
      </c>
      <c r="Q90" s="189"/>
      <c r="R90" s="189"/>
      <c r="S90" s="189"/>
      <c r="T90" s="189"/>
      <c r="U90" s="645" t="s">
        <v>69</v>
      </c>
      <c r="V90" s="645"/>
      <c r="W90" s="149">
        <f>SUM(W91:W95)</f>
        <v>22000</v>
      </c>
      <c r="X90" s="150" t="s">
        <v>57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536" t="s">
        <v>510</v>
      </c>
      <c r="I91" s="383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68"/>
      <c r="W91" s="68">
        <v>1000</v>
      </c>
      <c r="X91" s="57" t="s">
        <v>25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515</v>
      </c>
      <c r="I92" s="383"/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68"/>
      <c r="W92" s="68">
        <v>1000</v>
      </c>
      <c r="X92" s="57" t="s">
        <v>509</v>
      </c>
      <c r="Y92" s="6"/>
    </row>
    <row r="93" spans="1:25" s="11" customFormat="1" ht="19.5" customHeight="1">
      <c r="A93" s="60"/>
      <c r="B93" s="90"/>
      <c r="C93" s="46"/>
      <c r="D93" s="48"/>
      <c r="E93" s="48"/>
      <c r="F93" s="49"/>
      <c r="G93" s="31"/>
      <c r="H93" s="67" t="s">
        <v>516</v>
      </c>
      <c r="I93" s="383"/>
      <c r="J93" s="382"/>
      <c r="K93" s="382"/>
      <c r="L93" s="382"/>
      <c r="M93" s="382"/>
      <c r="N93" s="382"/>
      <c r="O93" s="382"/>
      <c r="P93" s="382"/>
      <c r="Q93" s="382"/>
      <c r="R93" s="382"/>
      <c r="S93" s="382"/>
      <c r="T93" s="382"/>
      <c r="U93" s="382"/>
      <c r="V93" s="68"/>
      <c r="W93" s="68">
        <v>15000</v>
      </c>
      <c r="X93" s="57" t="s">
        <v>519</v>
      </c>
      <c r="Y93" s="6"/>
    </row>
    <row r="94" spans="1:25" s="11" customFormat="1" ht="19.5" customHeight="1">
      <c r="A94" s="60"/>
      <c r="B94" s="90"/>
      <c r="C94" s="46"/>
      <c r="D94" s="48"/>
      <c r="E94" s="48"/>
      <c r="F94" s="49"/>
      <c r="G94" s="31"/>
      <c r="H94" s="67" t="s">
        <v>517</v>
      </c>
      <c r="I94" s="383"/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68"/>
      <c r="W94" s="68">
        <v>3000</v>
      </c>
      <c r="X94" s="57" t="s">
        <v>25</v>
      </c>
      <c r="Y94" s="6"/>
    </row>
    <row r="95" spans="1:25" s="11" customFormat="1" ht="19.5" customHeight="1">
      <c r="A95" s="60"/>
      <c r="B95" s="90"/>
      <c r="C95" s="46"/>
      <c r="D95" s="48"/>
      <c r="E95" s="48"/>
      <c r="F95" s="49"/>
      <c r="G95" s="31"/>
      <c r="H95" s="67" t="s">
        <v>518</v>
      </c>
      <c r="I95" s="382"/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2">
        <v>2000</v>
      </c>
      <c r="X95" s="57" t="s">
        <v>25</v>
      </c>
      <c r="Y95" s="6"/>
    </row>
    <row r="96" spans="1:25" s="11" customFormat="1" ht="19.5" customHeight="1" thickBot="1">
      <c r="A96" s="100"/>
      <c r="B96" s="101"/>
      <c r="C96" s="101"/>
      <c r="D96" s="103"/>
      <c r="E96" s="103"/>
      <c r="F96" s="104"/>
      <c r="G96" s="105"/>
      <c r="H96" s="63"/>
      <c r="I96" s="65"/>
      <c r="J96" s="65"/>
      <c r="K96" s="65"/>
      <c r="L96" s="65"/>
      <c r="M96" s="65"/>
      <c r="N96" s="64"/>
      <c r="O96" s="65"/>
      <c r="P96" s="64"/>
      <c r="Q96" s="64"/>
      <c r="R96" s="65"/>
      <c r="S96" s="65"/>
      <c r="T96" s="106"/>
      <c r="U96" s="106"/>
      <c r="V96" s="64"/>
      <c r="W96" s="65"/>
      <c r="X96" s="66"/>
      <c r="Y96" s="6"/>
    </row>
    <row r="97" spans="1:25" s="11" customFormat="1" ht="19.5" customHeight="1">
      <c r="A97" s="7"/>
      <c r="B97" s="7"/>
      <c r="C97" s="7"/>
      <c r="D97" s="9"/>
      <c r="E97" s="9"/>
      <c r="F97" s="10"/>
      <c r="G97" s="1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6"/>
    </row>
    <row r="108" spans="1:25" ht="19.5" customHeight="1">
      <c r="Y108" s="6" t="s">
        <v>64</v>
      </c>
    </row>
  </sheetData>
  <mergeCells count="24">
    <mergeCell ref="P87:Q87"/>
    <mergeCell ref="U90:V90"/>
    <mergeCell ref="U17:V17"/>
    <mergeCell ref="U18:V18"/>
    <mergeCell ref="A2:C2"/>
    <mergeCell ref="D2:D3"/>
    <mergeCell ref="A4:C4"/>
    <mergeCell ref="U56:V56"/>
    <mergeCell ref="U79:V79"/>
    <mergeCell ref="E2:E3"/>
    <mergeCell ref="U41:V41"/>
    <mergeCell ref="F2:G2"/>
    <mergeCell ref="H2:X3"/>
    <mergeCell ref="U31:V31"/>
    <mergeCell ref="U48:V48"/>
    <mergeCell ref="A1:F1"/>
    <mergeCell ref="U82:V82"/>
    <mergeCell ref="U36:V36"/>
    <mergeCell ref="U33:V33"/>
    <mergeCell ref="U51:V51"/>
    <mergeCell ref="U59:V59"/>
    <mergeCell ref="U71:V71"/>
    <mergeCell ref="U62:V62"/>
    <mergeCell ref="U66:V66"/>
  </mergeCells>
  <phoneticPr fontId="9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2"/>
  <sheetViews>
    <sheetView tabSelected="1" zoomScale="75" zoomScaleNormal="75" workbookViewId="0">
      <pane xSplit="3" ySplit="5" topLeftCell="J33" activePane="bottomRight" state="frozen"/>
      <selection pane="topRight" activeCell="D1" sqref="D1"/>
      <selection pane="bottomLeft" activeCell="A6" sqref="A6"/>
      <selection pane="bottomRight" activeCell="AD44" sqref="AD4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4.1093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44" t="s">
        <v>627</v>
      </c>
      <c r="B1" s="644"/>
      <c r="C1" s="644"/>
      <c r="D1" s="644"/>
      <c r="E1" s="644"/>
      <c r="F1" s="107"/>
      <c r="G1" s="107"/>
      <c r="H1" s="107"/>
      <c r="I1" s="107"/>
      <c r="J1" s="107"/>
      <c r="K1" s="107"/>
      <c r="L1" s="107"/>
      <c r="M1" s="107"/>
      <c r="N1" s="172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7" t="s">
        <v>22</v>
      </c>
      <c r="B2" s="648"/>
      <c r="C2" s="648"/>
      <c r="D2" s="649" t="s">
        <v>628</v>
      </c>
      <c r="E2" s="649" t="s">
        <v>629</v>
      </c>
      <c r="F2" s="673"/>
      <c r="G2" s="673"/>
      <c r="H2" s="673"/>
      <c r="I2" s="673"/>
      <c r="J2" s="673"/>
      <c r="K2" s="673"/>
      <c r="L2" s="674"/>
      <c r="M2" s="655" t="s">
        <v>23</v>
      </c>
      <c r="N2" s="655"/>
      <c r="O2" s="659" t="s">
        <v>54</v>
      </c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1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50"/>
      <c r="E3" s="183" t="s">
        <v>551</v>
      </c>
      <c r="F3" s="183" t="s">
        <v>552</v>
      </c>
      <c r="G3" s="183" t="s">
        <v>553</v>
      </c>
      <c r="H3" s="183" t="s">
        <v>554</v>
      </c>
      <c r="I3" s="183" t="s">
        <v>555</v>
      </c>
      <c r="J3" s="183" t="s">
        <v>556</v>
      </c>
      <c r="K3" s="183" t="s">
        <v>557</v>
      </c>
      <c r="L3" s="183" t="s">
        <v>558</v>
      </c>
      <c r="M3" s="152" t="s">
        <v>129</v>
      </c>
      <c r="N3" s="108" t="s">
        <v>4</v>
      </c>
      <c r="O3" s="662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4"/>
    </row>
    <row r="4" spans="1:32" s="11" customFormat="1" ht="21" customHeight="1">
      <c r="A4" s="671" t="s">
        <v>31</v>
      </c>
      <c r="B4" s="672"/>
      <c r="C4" s="672"/>
      <c r="D4" s="400">
        <f t="shared" ref="D4:L4" si="0">SUM(D5,D112,D125,D192,D202,D205)</f>
        <v>75410</v>
      </c>
      <c r="E4" s="400">
        <f t="shared" si="0"/>
        <v>73790</v>
      </c>
      <c r="F4" s="400">
        <f t="shared" si="0"/>
        <v>55664</v>
      </c>
      <c r="G4" s="400">
        <f t="shared" si="0"/>
        <v>1550</v>
      </c>
      <c r="H4" s="400">
        <f t="shared" si="0"/>
        <v>380</v>
      </c>
      <c r="I4" s="400">
        <f t="shared" si="0"/>
        <v>1578</v>
      </c>
      <c r="J4" s="400">
        <f t="shared" si="0"/>
        <v>14288</v>
      </c>
      <c r="K4" s="400">
        <f t="shared" si="0"/>
        <v>326</v>
      </c>
      <c r="L4" s="400">
        <f t="shared" si="0"/>
        <v>4</v>
      </c>
      <c r="M4" s="401">
        <f>E4-D4</f>
        <v>-1620</v>
      </c>
      <c r="N4" s="402">
        <f>IF(D4=0,0,M4/D4)</f>
        <v>-2.1482561994430448E-2</v>
      </c>
      <c r="O4" s="403" t="s">
        <v>319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SUM(AD5,AD112,AD125,AD192,AD202,AD205)</f>
        <v>73790000</v>
      </c>
      <c r="AE4" s="406" t="s">
        <v>25</v>
      </c>
      <c r="AF4" s="2"/>
    </row>
    <row r="5" spans="1:32" s="11" customFormat="1" ht="21" customHeight="1">
      <c r="A5" s="112" t="s">
        <v>6</v>
      </c>
      <c r="B5" s="669" t="s">
        <v>7</v>
      </c>
      <c r="C5" s="670"/>
      <c r="D5" s="407">
        <f t="shared" ref="D5:L5" si="1">SUM(D6,D70,D81)</f>
        <v>53962</v>
      </c>
      <c r="E5" s="407">
        <f t="shared" si="1"/>
        <v>46420</v>
      </c>
      <c r="F5" s="407">
        <f t="shared" si="1"/>
        <v>39646</v>
      </c>
      <c r="G5" s="407">
        <f t="shared" si="1"/>
        <v>1550</v>
      </c>
      <c r="H5" s="407">
        <f t="shared" si="1"/>
        <v>380</v>
      </c>
      <c r="I5" s="407">
        <f t="shared" si="1"/>
        <v>969</v>
      </c>
      <c r="J5" s="407">
        <f t="shared" si="1"/>
        <v>3675</v>
      </c>
      <c r="K5" s="407">
        <f t="shared" si="1"/>
        <v>200</v>
      </c>
      <c r="L5" s="407">
        <f t="shared" si="1"/>
        <v>0</v>
      </c>
      <c r="M5" s="408">
        <f>E5-D5</f>
        <v>-7542</v>
      </c>
      <c r="N5" s="409">
        <f>IF(D5=0,0,M5/D5)</f>
        <v>-0.13976501982876841</v>
      </c>
      <c r="O5" s="410" t="s">
        <v>320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SUM(AD6,AD70,AD81)</f>
        <v>46420000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29">
        <f t="shared" ref="D6:L6" si="2">SUM(D7,D11,D14,D37,D41,D65)</f>
        <v>45717</v>
      </c>
      <c r="E6" s="414">
        <f t="shared" si="2"/>
        <v>37434</v>
      </c>
      <c r="F6" s="414">
        <f t="shared" si="2"/>
        <v>34535</v>
      </c>
      <c r="G6" s="414">
        <f t="shared" si="2"/>
        <v>1550</v>
      </c>
      <c r="H6" s="414">
        <f t="shared" si="2"/>
        <v>380</v>
      </c>
      <c r="I6" s="414">
        <f t="shared" si="2"/>
        <v>969</v>
      </c>
      <c r="J6" s="414">
        <f t="shared" si="2"/>
        <v>0</v>
      </c>
      <c r="K6" s="414">
        <f t="shared" si="2"/>
        <v>0</v>
      </c>
      <c r="L6" s="414">
        <f t="shared" si="2"/>
        <v>0</v>
      </c>
      <c r="M6" s="415">
        <f>E6-D6</f>
        <v>-8283</v>
      </c>
      <c r="N6" s="416">
        <f>IF(D6=0,0,M6/D6)</f>
        <v>-0.18117986744537043</v>
      </c>
      <c r="O6" s="417" t="s">
        <v>321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SUM(AD7,AD11,AD14,AD37,AD41,AD65)</f>
        <v>37434000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1">
        <v>27027</v>
      </c>
      <c r="E7" s="114">
        <f>SUM(F7:L7)</f>
        <v>22626</v>
      </c>
      <c r="F7" s="114">
        <f>SUMIF($AB$8:$AB$10,"보조",$AD$8:$AD$10)/1000</f>
        <v>22626</v>
      </c>
      <c r="G7" s="114">
        <f>SUMIF($AB$8:$AB$10,"7종",$AD$8:$AD$10)/1000</f>
        <v>0</v>
      </c>
      <c r="H7" s="114">
        <f>SUMIF($AB$8:$AB$10,"시비",$AD$8:$AD$10)/1000</f>
        <v>0</v>
      </c>
      <c r="I7" s="114">
        <f>SUMIF($AB$8:$AB$10,"후원",$AD$8:$AD$10)/1000</f>
        <v>0</v>
      </c>
      <c r="J7" s="114">
        <f>SUMIF($AB$8:$AB$10,"입소",$AD$8:$AD$10)/1000</f>
        <v>0</v>
      </c>
      <c r="K7" s="114">
        <f>SUMIF($AB$8:$AB$10,"법인",$AD$8:$AD$10)/1000</f>
        <v>0</v>
      </c>
      <c r="L7" s="114">
        <f>SUMIF($AB$8:$AB$10,"잡수",$AD$8:$AD$10)/1000</f>
        <v>0</v>
      </c>
      <c r="M7" s="113">
        <f>E7-D7</f>
        <v>-4401</v>
      </c>
      <c r="N7" s="294">
        <f>IF(D7=0,0,M7/D7)</f>
        <v>-0.16283716283716285</v>
      </c>
      <c r="O7" s="116" t="s">
        <v>77</v>
      </c>
      <c r="P7" s="116"/>
      <c r="Q7" s="158"/>
      <c r="R7" s="158"/>
      <c r="S7" s="158"/>
      <c r="T7" s="157"/>
      <c r="U7" s="157"/>
      <c r="V7" s="157"/>
      <c r="W7" s="99" t="s">
        <v>130</v>
      </c>
      <c r="X7" s="99"/>
      <c r="Y7" s="99"/>
      <c r="Z7" s="99"/>
      <c r="AA7" s="99"/>
      <c r="AB7" s="99"/>
      <c r="AC7" s="118"/>
      <c r="AD7" s="118">
        <f>SUM(AD8:AD9)</f>
        <v>22626000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59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3" t="s">
        <v>487</v>
      </c>
      <c r="P8" s="551"/>
      <c r="Q8" s="551"/>
      <c r="R8" s="551" t="s">
        <v>488</v>
      </c>
      <c r="S8" s="288">
        <v>2227000</v>
      </c>
      <c r="T8" s="288" t="s">
        <v>57</v>
      </c>
      <c r="U8" s="290" t="s">
        <v>58</v>
      </c>
      <c r="V8" s="288">
        <v>8</v>
      </c>
      <c r="W8" s="288" t="s">
        <v>162</v>
      </c>
      <c r="X8" s="288"/>
      <c r="Y8" s="288"/>
      <c r="Z8" s="288" t="s">
        <v>53</v>
      </c>
      <c r="AA8" s="288"/>
      <c r="AB8" s="288" t="s">
        <v>85</v>
      </c>
      <c r="AC8" s="291"/>
      <c r="AD8" s="291">
        <f>S8*V8-503000</f>
        <v>17313000</v>
      </c>
      <c r="AE8" s="390" t="s">
        <v>57</v>
      </c>
      <c r="AF8" s="2"/>
    </row>
    <row r="9" spans="1:32" s="11" customFormat="1" ht="21" customHeight="1">
      <c r="A9" s="45"/>
      <c r="B9" s="46"/>
      <c r="C9" s="46"/>
      <c r="D9" s="159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3"/>
      <c r="P9" s="551"/>
      <c r="Q9" s="551"/>
      <c r="R9" s="551" t="s">
        <v>532</v>
      </c>
      <c r="S9" s="288">
        <v>1771000</v>
      </c>
      <c r="T9" s="288" t="s">
        <v>398</v>
      </c>
      <c r="U9" s="290" t="s">
        <v>58</v>
      </c>
      <c r="V9" s="288">
        <v>3</v>
      </c>
      <c r="W9" s="288" t="s">
        <v>399</v>
      </c>
      <c r="X9" s="288"/>
      <c r="Y9" s="288"/>
      <c r="Z9" s="288" t="s">
        <v>400</v>
      </c>
      <c r="AA9" s="288"/>
      <c r="AB9" s="288" t="s">
        <v>401</v>
      </c>
      <c r="AC9" s="291"/>
      <c r="AD9" s="291">
        <f>S9*V9</f>
        <v>5313000</v>
      </c>
      <c r="AE9" s="390" t="s">
        <v>398</v>
      </c>
      <c r="AF9" s="1"/>
    </row>
    <row r="10" spans="1:32" s="11" customFormat="1" ht="21" customHeight="1">
      <c r="A10" s="45"/>
      <c r="B10" s="46"/>
      <c r="C10" s="46"/>
      <c r="D10" s="159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3"/>
      <c r="W10" s="153"/>
      <c r="X10" s="153"/>
      <c r="Y10" s="153"/>
      <c r="Z10" s="153"/>
      <c r="AA10" s="153"/>
      <c r="AB10" s="153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76</v>
      </c>
      <c r="D11" s="161">
        <v>1600</v>
      </c>
      <c r="E11" s="114">
        <f>SUM(F11:L11)</f>
        <v>80</v>
      </c>
      <c r="F11" s="114">
        <f>SUMIF($AB$12:$AB$13,"보조",$AD$12:$AD$13)/1000</f>
        <v>0</v>
      </c>
      <c r="G11" s="114">
        <f>SUMIF($AB$12:$AB$13,"7종",$AD$12:$AD$13)/1000</f>
        <v>0</v>
      </c>
      <c r="H11" s="114">
        <f>SUMIF($AB$12:$AB$13,"시비",$AD$12:$AD$13)/1000</f>
        <v>80</v>
      </c>
      <c r="I11" s="114">
        <f>SUMIF($AB$12:$AB$13,"후원",$AD$12:$AD$13)/1000</f>
        <v>0</v>
      </c>
      <c r="J11" s="114">
        <f>SUMIF($AB$12:$AB$13,"입소",$AD$12:$AD$13)/1000</f>
        <v>0</v>
      </c>
      <c r="K11" s="114">
        <f>SUMIF($AB$12:$AB$13,"법인",$AD$12:$AD$13)/1000</f>
        <v>0</v>
      </c>
      <c r="L11" s="114">
        <f>SUMIF($AB$12:$AB$13,"잡수",$AD$12:$AD$13)/1000</f>
        <v>0</v>
      </c>
      <c r="M11" s="123">
        <f>E11-D11</f>
        <v>-1520</v>
      </c>
      <c r="N11" s="121">
        <f>IF(D11=0,0,M11/D11)</f>
        <v>-0.95</v>
      </c>
      <c r="O11" s="97" t="s">
        <v>79</v>
      </c>
      <c r="P11" s="176"/>
      <c r="Q11" s="93"/>
      <c r="R11" s="93"/>
      <c r="S11" s="93"/>
      <c r="T11" s="89"/>
      <c r="U11" s="89"/>
      <c r="V11" s="157"/>
      <c r="W11" s="99" t="s">
        <v>130</v>
      </c>
      <c r="X11" s="99"/>
      <c r="Y11" s="99"/>
      <c r="Z11" s="99"/>
      <c r="AA11" s="99"/>
      <c r="AB11" s="99"/>
      <c r="AC11" s="118"/>
      <c r="AD11" s="118">
        <f>SUM(AD12)</f>
        <v>80000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59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69" t="s">
        <v>404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85">
        <v>1</v>
      </c>
      <c r="Z12" s="91" t="s">
        <v>99</v>
      </c>
      <c r="AA12" s="91" t="s">
        <v>53</v>
      </c>
      <c r="AB12" s="382" t="s">
        <v>631</v>
      </c>
      <c r="AC12" s="68"/>
      <c r="AD12" s="135">
        <f>S12*V12*Y12</f>
        <v>80000</v>
      </c>
      <c r="AE12" s="57" t="s">
        <v>78</v>
      </c>
      <c r="AF12" s="1"/>
    </row>
    <row r="13" spans="1:32" s="11" customFormat="1" ht="21" customHeight="1">
      <c r="A13" s="45"/>
      <c r="B13" s="46"/>
      <c r="C13" s="46"/>
      <c r="D13" s="159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1">
        <v>9861</v>
      </c>
      <c r="E14" s="114">
        <f>SUM(F14:L14)</f>
        <v>8752</v>
      </c>
      <c r="F14" s="114">
        <f>SUMIF($AB$16:$AB$36,"보조",$AD$16:$AD$36)/1000</f>
        <v>6785</v>
      </c>
      <c r="G14" s="114">
        <f>SUMIF($AB$16:$AB$36,"7종",$AD$16:$AD$36)/1000</f>
        <v>1550</v>
      </c>
      <c r="H14" s="114">
        <f>SUMIF($AB$16:$AB$36,"시비",$AD$16:$AD$36)/1000</f>
        <v>0</v>
      </c>
      <c r="I14" s="114">
        <f>SUMIF($AB$16:$AB$36,"후원",$AD$16:$AD$36)/1000</f>
        <v>417</v>
      </c>
      <c r="J14" s="114">
        <f>SUMIF($AB$16:$AB$36,"입소",$AD$16:$AD$36)/1000</f>
        <v>0</v>
      </c>
      <c r="K14" s="114">
        <f>SUMIF($AB$16:$AB$36,"법인",$AD$16:$AD$36)/1000</f>
        <v>0</v>
      </c>
      <c r="L14" s="114">
        <f>SUMIF($AB$16:$AB$36,"잡수",$AD$16:$AD$36)/1000</f>
        <v>0</v>
      </c>
      <c r="M14" s="113">
        <f>E14-D14</f>
        <v>-1109</v>
      </c>
      <c r="N14" s="121">
        <f>IF(D14=0,0,M14/D14)</f>
        <v>-0.11246323902241152</v>
      </c>
      <c r="O14" s="97" t="s">
        <v>34</v>
      </c>
      <c r="P14" s="176"/>
      <c r="Q14" s="93"/>
      <c r="R14" s="93"/>
      <c r="S14" s="93"/>
      <c r="T14" s="89"/>
      <c r="U14" s="89"/>
      <c r="V14" s="89"/>
      <c r="W14" s="177" t="s">
        <v>130</v>
      </c>
      <c r="X14" s="177"/>
      <c r="Y14" s="177"/>
      <c r="Z14" s="177"/>
      <c r="AA14" s="177"/>
      <c r="AB14" s="177"/>
      <c r="AC14" s="179"/>
      <c r="AD14" s="179">
        <f>SUM(명절휴가비,가족수당,연장근로수당,AD27,AD30,AD34)</f>
        <v>8752000</v>
      </c>
      <c r="AE14" s="178" t="s">
        <v>57</v>
      </c>
      <c r="AF14" s="1"/>
    </row>
    <row r="15" spans="1:32" s="11" customFormat="1" ht="21" customHeight="1">
      <c r="A15" s="45"/>
      <c r="B15" s="46"/>
      <c r="C15" s="46"/>
      <c r="D15" s="159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469" t="s">
        <v>346</v>
      </c>
      <c r="P15" s="290"/>
      <c r="Q15" s="290"/>
      <c r="R15" s="290"/>
      <c r="S15" s="290"/>
      <c r="T15" s="288"/>
      <c r="U15" s="288"/>
      <c r="V15" s="288"/>
      <c r="W15" s="441" t="s">
        <v>345</v>
      </c>
      <c r="X15" s="441"/>
      <c r="Y15" s="441"/>
      <c r="Z15" s="441"/>
      <c r="AA15" s="441"/>
      <c r="AB15" s="441"/>
      <c r="AC15" s="442" t="s">
        <v>347</v>
      </c>
      <c r="AD15" s="442">
        <f>ROUNDDOWN(SUM(AD16:AD17),-3)</f>
        <v>1337000</v>
      </c>
      <c r="AE15" s="443" t="s">
        <v>339</v>
      </c>
      <c r="AF15" s="17"/>
    </row>
    <row r="16" spans="1:32" s="11" customFormat="1" ht="21" customHeight="1">
      <c r="A16" s="45"/>
      <c r="B16" s="46"/>
      <c r="C16" s="46"/>
      <c r="D16" s="159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3" t="s">
        <v>487</v>
      </c>
      <c r="P16" s="290"/>
      <c r="Q16" s="290"/>
      <c r="R16" s="551" t="s">
        <v>488</v>
      </c>
      <c r="S16" s="288">
        <v>2227000</v>
      </c>
      <c r="T16" s="288" t="s">
        <v>57</v>
      </c>
      <c r="U16" s="383" t="s">
        <v>58</v>
      </c>
      <c r="V16" s="573">
        <v>0.6</v>
      </c>
      <c r="W16" s="288"/>
      <c r="X16" s="288"/>
      <c r="Y16" s="288"/>
      <c r="Z16" s="288" t="s">
        <v>400</v>
      </c>
      <c r="AA16" s="288"/>
      <c r="AB16" s="288" t="s">
        <v>401</v>
      </c>
      <c r="AC16" s="291"/>
      <c r="AD16" s="291">
        <f>ROUNDUP(S16*V16,-3)</f>
        <v>1337000</v>
      </c>
      <c r="AE16" s="390" t="s">
        <v>339</v>
      </c>
      <c r="AF16" s="17"/>
    </row>
    <row r="17" spans="1:32" s="11" customFormat="1" ht="21" customHeight="1">
      <c r="A17" s="45"/>
      <c r="B17" s="46"/>
      <c r="C17" s="46"/>
      <c r="D17" s="159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0"/>
      <c r="P17" s="290"/>
      <c r="Q17" s="290"/>
      <c r="R17" s="551" t="s">
        <v>532</v>
      </c>
      <c r="S17" s="288">
        <v>0</v>
      </c>
      <c r="T17" s="288" t="s">
        <v>57</v>
      </c>
      <c r="U17" s="383" t="s">
        <v>58</v>
      </c>
      <c r="V17" s="573">
        <v>0.6</v>
      </c>
      <c r="W17" s="288"/>
      <c r="X17" s="288"/>
      <c r="Y17" s="288"/>
      <c r="Z17" s="288" t="s">
        <v>400</v>
      </c>
      <c r="AA17" s="288"/>
      <c r="AB17" s="288" t="s">
        <v>401</v>
      </c>
      <c r="AC17" s="291"/>
      <c r="AD17" s="291">
        <f>ROUND(S17*V17,-3)</f>
        <v>0</v>
      </c>
      <c r="AE17" s="390" t="s">
        <v>57</v>
      </c>
      <c r="AF17" s="17"/>
    </row>
    <row r="18" spans="1:32" s="11" customFormat="1" ht="21" customHeight="1">
      <c r="A18" s="45"/>
      <c r="B18" s="46"/>
      <c r="C18" s="46"/>
      <c r="D18" s="159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0"/>
      <c r="P18" s="290"/>
      <c r="Q18" s="290"/>
      <c r="R18" s="290"/>
      <c r="S18" s="290"/>
      <c r="T18" s="288"/>
      <c r="U18" s="288"/>
      <c r="V18" s="288"/>
      <c r="W18" s="288"/>
      <c r="X18" s="288"/>
      <c r="Y18" s="288"/>
      <c r="Z18" s="288"/>
      <c r="AA18" s="288"/>
      <c r="AB18" s="288"/>
      <c r="AC18" s="291"/>
      <c r="AD18" s="291"/>
      <c r="AE18" s="390"/>
      <c r="AF18" s="17"/>
    </row>
    <row r="19" spans="1:32" s="11" customFormat="1" ht="21" customHeight="1">
      <c r="A19" s="45"/>
      <c r="B19" s="46"/>
      <c r="C19" s="46"/>
      <c r="D19" s="159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69" t="s">
        <v>348</v>
      </c>
      <c r="P19" s="290"/>
      <c r="Q19" s="290"/>
      <c r="R19" s="290"/>
      <c r="S19" s="290"/>
      <c r="T19" s="288"/>
      <c r="U19" s="288"/>
      <c r="V19" s="288"/>
      <c r="W19" s="441" t="s">
        <v>345</v>
      </c>
      <c r="X19" s="441"/>
      <c r="Y19" s="441"/>
      <c r="Z19" s="441"/>
      <c r="AA19" s="441"/>
      <c r="AB19" s="441"/>
      <c r="AC19" s="442" t="s">
        <v>347</v>
      </c>
      <c r="AD19" s="442">
        <f>SUM(AD20:AD20)</f>
        <v>500000</v>
      </c>
      <c r="AE19" s="443" t="s">
        <v>339</v>
      </c>
      <c r="AF19" s="17"/>
    </row>
    <row r="20" spans="1:32" s="11" customFormat="1" ht="21" customHeight="1">
      <c r="A20" s="45"/>
      <c r="B20" s="46"/>
      <c r="C20" s="46"/>
      <c r="D20" s="159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0" t="s">
        <v>487</v>
      </c>
      <c r="P20" s="290"/>
      <c r="Q20" s="290"/>
      <c r="R20" s="290"/>
      <c r="S20" s="572">
        <v>40000</v>
      </c>
      <c r="T20" s="288" t="s">
        <v>398</v>
      </c>
      <c r="U20" s="383" t="s">
        <v>58</v>
      </c>
      <c r="V20" s="382">
        <v>12</v>
      </c>
      <c r="W20" s="382" t="s">
        <v>399</v>
      </c>
      <c r="X20" s="288"/>
      <c r="Y20" s="288"/>
      <c r="Z20" s="288" t="s">
        <v>400</v>
      </c>
      <c r="AA20" s="288"/>
      <c r="AB20" s="288" t="s">
        <v>401</v>
      </c>
      <c r="AC20" s="291"/>
      <c r="AD20" s="291">
        <f>S20*V20+20000</f>
        <v>500000</v>
      </c>
      <c r="AE20" s="390" t="s">
        <v>57</v>
      </c>
      <c r="AF20" s="17"/>
    </row>
    <row r="21" spans="1:32" s="11" customFormat="1" ht="21" customHeight="1">
      <c r="A21" s="45"/>
      <c r="B21" s="46"/>
      <c r="C21" s="46"/>
      <c r="D21" s="159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0"/>
      <c r="P21" s="290"/>
      <c r="Q21" s="290"/>
      <c r="R21" s="290"/>
      <c r="S21" s="290"/>
      <c r="T21" s="288"/>
      <c r="U21" s="288"/>
      <c r="V21" s="288"/>
      <c r="W21" s="288"/>
      <c r="X21" s="288"/>
      <c r="Y21" s="288"/>
      <c r="Z21" s="288"/>
      <c r="AA21" s="288"/>
      <c r="AB21" s="288"/>
      <c r="AC21" s="291"/>
      <c r="AD21" s="291"/>
      <c r="AE21" s="390"/>
      <c r="AF21" s="17"/>
    </row>
    <row r="22" spans="1:32" s="11" customFormat="1" ht="21" customHeight="1">
      <c r="A22" s="45"/>
      <c r="B22" s="46"/>
      <c r="C22" s="46"/>
      <c r="D22" s="159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469" t="s">
        <v>349</v>
      </c>
      <c r="P22" s="290"/>
      <c r="Q22" s="290"/>
      <c r="R22" s="290"/>
      <c r="S22" s="290"/>
      <c r="T22" s="288"/>
      <c r="U22" s="288"/>
      <c r="V22" s="288"/>
      <c r="W22" s="441" t="s">
        <v>345</v>
      </c>
      <c r="X22" s="441"/>
      <c r="Y22" s="441"/>
      <c r="Z22" s="441"/>
      <c r="AA22" s="441"/>
      <c r="AB22" s="441"/>
      <c r="AC22" s="442" t="s">
        <v>347</v>
      </c>
      <c r="AD22" s="442">
        <f>ROUNDDOWN(SUM(AD23:AD25),-3)</f>
        <v>4215000</v>
      </c>
      <c r="AE22" s="443" t="s">
        <v>339</v>
      </c>
      <c r="AF22" s="17"/>
    </row>
    <row r="23" spans="1:32" s="11" customFormat="1" ht="21" customHeight="1">
      <c r="A23" s="45"/>
      <c r="B23" s="46"/>
      <c r="C23" s="46"/>
      <c r="D23" s="159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0" t="s">
        <v>487</v>
      </c>
      <c r="P23" s="290"/>
      <c r="Q23" s="290"/>
      <c r="R23" s="551" t="s">
        <v>488</v>
      </c>
      <c r="S23" s="288">
        <v>2227000</v>
      </c>
      <c r="T23" s="288" t="s">
        <v>57</v>
      </c>
      <c r="U23" s="421" t="s">
        <v>70</v>
      </c>
      <c r="V23" s="574">
        <v>209</v>
      </c>
      <c r="W23" s="575">
        <v>1.5</v>
      </c>
      <c r="X23" s="290" t="s">
        <v>58</v>
      </c>
      <c r="Y23" s="577">
        <v>25</v>
      </c>
      <c r="Z23" s="576">
        <v>8</v>
      </c>
      <c r="AA23" s="288" t="s">
        <v>53</v>
      </c>
      <c r="AB23" s="288" t="s">
        <v>85</v>
      </c>
      <c r="AC23" s="291"/>
      <c r="AD23" s="291">
        <f>ROUNDDOWN(ROUNDDOWN(S23/V23*W23*Y23,-1)*Z23,-3)-33000</f>
        <v>3163000</v>
      </c>
      <c r="AE23" s="390" t="s">
        <v>57</v>
      </c>
      <c r="AF23" s="17"/>
    </row>
    <row r="24" spans="1:32" s="11" customFormat="1" ht="21" customHeight="1">
      <c r="A24" s="45"/>
      <c r="B24" s="46"/>
      <c r="C24" s="46"/>
      <c r="D24" s="159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0"/>
      <c r="P24" s="290"/>
      <c r="Q24" s="290"/>
      <c r="R24" s="551" t="s">
        <v>532</v>
      </c>
      <c r="S24" s="288">
        <v>1771000</v>
      </c>
      <c r="T24" s="288" t="s">
        <v>57</v>
      </c>
      <c r="U24" s="421" t="s">
        <v>70</v>
      </c>
      <c r="V24" s="574">
        <v>209</v>
      </c>
      <c r="W24" s="575">
        <v>1.5</v>
      </c>
      <c r="X24" s="290" t="s">
        <v>58</v>
      </c>
      <c r="Y24" s="577">
        <v>25</v>
      </c>
      <c r="Z24" s="576">
        <v>2</v>
      </c>
      <c r="AA24" s="288" t="s">
        <v>53</v>
      </c>
      <c r="AB24" s="288" t="s">
        <v>85</v>
      </c>
      <c r="AC24" s="291"/>
      <c r="AD24" s="291">
        <f>ROUNDDOWN(ROUNDDOWN(S24/V24*W24*Y24,-1)*Z24,-3)</f>
        <v>635000</v>
      </c>
      <c r="AE24" s="390" t="s">
        <v>57</v>
      </c>
      <c r="AF24" s="17"/>
    </row>
    <row r="25" spans="1:32" s="11" customFormat="1" ht="21" customHeight="1">
      <c r="A25" s="45"/>
      <c r="B25" s="46"/>
      <c r="C25" s="46"/>
      <c r="D25" s="159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0"/>
      <c r="P25" s="290"/>
      <c r="Q25" s="290"/>
      <c r="R25" s="551" t="s">
        <v>532</v>
      </c>
      <c r="S25" s="288">
        <v>2328000</v>
      </c>
      <c r="T25" s="288" t="s">
        <v>57</v>
      </c>
      <c r="U25" s="421" t="s">
        <v>70</v>
      </c>
      <c r="V25" s="574">
        <v>209</v>
      </c>
      <c r="W25" s="575">
        <v>1.5</v>
      </c>
      <c r="X25" s="290" t="s">
        <v>58</v>
      </c>
      <c r="Y25" s="577">
        <v>25</v>
      </c>
      <c r="Z25" s="576">
        <v>1</v>
      </c>
      <c r="AA25" s="288" t="s">
        <v>53</v>
      </c>
      <c r="AB25" s="288" t="s">
        <v>559</v>
      </c>
      <c r="AC25" s="291"/>
      <c r="AD25" s="291">
        <f t="shared" ref="AD25" si="3">ROUNDDOWN(ROUNDDOWN(S25/V25*W25*Y25,-1)*Z25,-3)</f>
        <v>417000</v>
      </c>
      <c r="AE25" s="390" t="s">
        <v>57</v>
      </c>
      <c r="AF25" s="17"/>
    </row>
    <row r="26" spans="1:32" s="11" customFormat="1" ht="21" customHeight="1">
      <c r="A26" s="45"/>
      <c r="B26" s="46"/>
      <c r="C26" s="46"/>
      <c r="D26" s="159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0"/>
      <c r="P26" s="290"/>
      <c r="Q26" s="290"/>
      <c r="R26" s="290"/>
      <c r="S26" s="290"/>
      <c r="T26" s="288"/>
      <c r="U26" s="288"/>
      <c r="V26" s="288"/>
      <c r="W26" s="288"/>
      <c r="X26" s="288"/>
      <c r="Y26" s="288"/>
      <c r="Z26" s="288"/>
      <c r="AA26" s="288"/>
      <c r="AB26" s="288"/>
      <c r="AC26" s="291"/>
      <c r="AD26" s="291"/>
      <c r="AE26" s="390"/>
      <c r="AF26" s="17"/>
    </row>
    <row r="27" spans="1:32" s="11" customFormat="1" ht="21" customHeight="1">
      <c r="A27" s="45"/>
      <c r="B27" s="46"/>
      <c r="C27" s="46"/>
      <c r="D27" s="159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69" t="s">
        <v>640</v>
      </c>
      <c r="P27" s="290"/>
      <c r="Q27" s="290"/>
      <c r="R27" s="290"/>
      <c r="S27" s="290"/>
      <c r="T27" s="288"/>
      <c r="U27" s="288"/>
      <c r="V27" s="288"/>
      <c r="W27" s="441" t="s">
        <v>345</v>
      </c>
      <c r="X27" s="441"/>
      <c r="Y27" s="441"/>
      <c r="Z27" s="441"/>
      <c r="AA27" s="441"/>
      <c r="AB27" s="441"/>
      <c r="AC27" s="442" t="s">
        <v>347</v>
      </c>
      <c r="AD27" s="442">
        <f>SUM(AD28:AD28)</f>
        <v>600000</v>
      </c>
      <c r="AE27" s="443" t="s">
        <v>339</v>
      </c>
      <c r="AF27" s="17"/>
    </row>
    <row r="28" spans="1:32" s="11" customFormat="1" ht="21" customHeight="1">
      <c r="A28" s="45"/>
      <c r="B28" s="46"/>
      <c r="C28" s="46"/>
      <c r="D28" s="159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0" t="s">
        <v>487</v>
      </c>
      <c r="P28" s="290"/>
      <c r="Q28" s="290"/>
      <c r="R28" s="290"/>
      <c r="S28" s="572">
        <v>100000</v>
      </c>
      <c r="T28" s="288" t="s">
        <v>398</v>
      </c>
      <c r="U28" s="383" t="s">
        <v>58</v>
      </c>
      <c r="V28" s="382">
        <v>6</v>
      </c>
      <c r="W28" s="382" t="s">
        <v>399</v>
      </c>
      <c r="X28" s="288"/>
      <c r="Y28" s="288"/>
      <c r="Z28" s="288" t="s">
        <v>400</v>
      </c>
      <c r="AA28" s="288"/>
      <c r="AB28" s="288" t="s">
        <v>401</v>
      </c>
      <c r="AC28" s="291"/>
      <c r="AD28" s="291">
        <f t="shared" ref="AD28" si="4">S28*V28</f>
        <v>600000</v>
      </c>
      <c r="AE28" s="390" t="s">
        <v>57</v>
      </c>
      <c r="AF28" s="17"/>
    </row>
    <row r="29" spans="1:32" s="11" customFormat="1" ht="21" customHeight="1">
      <c r="A29" s="45"/>
      <c r="B29" s="46"/>
      <c r="C29" s="46"/>
      <c r="D29" s="159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0"/>
      <c r="P29" s="290"/>
      <c r="Q29" s="290"/>
      <c r="R29" s="290"/>
      <c r="S29" s="572"/>
      <c r="T29" s="288"/>
      <c r="U29" s="383"/>
      <c r="V29" s="382"/>
      <c r="W29" s="382"/>
      <c r="X29" s="288"/>
      <c r="Y29" s="288"/>
      <c r="Z29" s="288"/>
      <c r="AA29" s="288"/>
      <c r="AB29" s="288"/>
      <c r="AC29" s="291"/>
      <c r="AD29" s="291"/>
      <c r="AE29" s="390"/>
      <c r="AF29" s="17"/>
    </row>
    <row r="30" spans="1:32" s="11" customFormat="1" ht="21" customHeight="1">
      <c r="A30" s="45"/>
      <c r="B30" s="46"/>
      <c r="C30" s="46"/>
      <c r="D30" s="159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469" t="s">
        <v>642</v>
      </c>
      <c r="P30" s="290"/>
      <c r="Q30" s="290"/>
      <c r="R30" s="290"/>
      <c r="S30" s="290"/>
      <c r="T30" s="288"/>
      <c r="U30" s="288"/>
      <c r="V30" s="288"/>
      <c r="W30" s="441" t="s">
        <v>255</v>
      </c>
      <c r="X30" s="441"/>
      <c r="Y30" s="441"/>
      <c r="Z30" s="441"/>
      <c r="AA30" s="441"/>
      <c r="AB30" s="441"/>
      <c r="AC30" s="442" t="s">
        <v>256</v>
      </c>
      <c r="AD30" s="442">
        <f>SUM(AD31:AD31)</f>
        <v>1550000</v>
      </c>
      <c r="AE30" s="443" t="s">
        <v>57</v>
      </c>
      <c r="AF30" s="17"/>
    </row>
    <row r="31" spans="1:32" s="11" customFormat="1" ht="21" customHeight="1">
      <c r="A31" s="45"/>
      <c r="B31" s="46"/>
      <c r="C31" s="46"/>
      <c r="D31" s="159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0" t="s">
        <v>641</v>
      </c>
      <c r="P31" s="290"/>
      <c r="Q31" s="290"/>
      <c r="R31" s="290"/>
      <c r="S31" s="572">
        <v>200000</v>
      </c>
      <c r="T31" s="288" t="s">
        <v>57</v>
      </c>
      <c r="U31" s="383" t="s">
        <v>58</v>
      </c>
      <c r="V31" s="382">
        <v>8</v>
      </c>
      <c r="W31" s="382" t="s">
        <v>162</v>
      </c>
      <c r="X31" s="288"/>
      <c r="Y31" s="288"/>
      <c r="Z31" s="288" t="s">
        <v>53</v>
      </c>
      <c r="AA31" s="288"/>
      <c r="AB31" s="288" t="s">
        <v>643</v>
      </c>
      <c r="AC31" s="291"/>
      <c r="AD31" s="291">
        <f>S31*V31-50000</f>
        <v>1550000</v>
      </c>
      <c r="AE31" s="390" t="s">
        <v>57</v>
      </c>
      <c r="AF31" s="17"/>
    </row>
    <row r="32" spans="1:32" s="11" customFormat="1" ht="21" customHeight="1">
      <c r="A32" s="45"/>
      <c r="B32" s="46"/>
      <c r="C32" s="46"/>
      <c r="D32" s="159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0"/>
      <c r="P32" s="290"/>
      <c r="Q32" s="290"/>
      <c r="R32" s="290"/>
      <c r="S32" s="572"/>
      <c r="T32" s="288"/>
      <c r="U32" s="383"/>
      <c r="V32" s="382"/>
      <c r="W32" s="382"/>
      <c r="X32" s="288"/>
      <c r="Y32" s="288"/>
      <c r="Z32" s="288"/>
      <c r="AA32" s="288"/>
      <c r="AB32" s="288"/>
      <c r="AC32" s="291"/>
      <c r="AD32" s="291"/>
      <c r="AE32" s="390"/>
      <c r="AF32" s="17"/>
    </row>
    <row r="33" spans="1:32" s="11" customFormat="1" ht="21" customHeight="1">
      <c r="A33" s="45"/>
      <c r="B33" s="46"/>
      <c r="C33" s="46"/>
      <c r="D33" s="159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0"/>
      <c r="P33" s="290"/>
      <c r="Q33" s="290"/>
      <c r="R33" s="290"/>
      <c r="S33" s="572"/>
      <c r="T33" s="288"/>
      <c r="U33" s="383"/>
      <c r="V33" s="382"/>
      <c r="W33" s="382"/>
      <c r="X33" s="288"/>
      <c r="Y33" s="288"/>
      <c r="Z33" s="288"/>
      <c r="AA33" s="288"/>
      <c r="AB33" s="288"/>
      <c r="AC33" s="291"/>
      <c r="AD33" s="291"/>
      <c r="AE33" s="390"/>
      <c r="AF33" s="17"/>
    </row>
    <row r="34" spans="1:32" s="11" customFormat="1" ht="21" customHeight="1">
      <c r="A34" s="45"/>
      <c r="B34" s="46"/>
      <c r="C34" s="46"/>
      <c r="D34" s="159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469" t="s">
        <v>644</v>
      </c>
      <c r="P34" s="290"/>
      <c r="Q34" s="290"/>
      <c r="R34" s="290"/>
      <c r="S34" s="290"/>
      <c r="T34" s="288"/>
      <c r="U34" s="288"/>
      <c r="V34" s="288"/>
      <c r="W34" s="441" t="s">
        <v>562</v>
      </c>
      <c r="X34" s="441"/>
      <c r="Y34" s="441"/>
      <c r="Z34" s="441"/>
      <c r="AA34" s="441"/>
      <c r="AB34" s="441"/>
      <c r="AC34" s="442" t="s">
        <v>563</v>
      </c>
      <c r="AD34" s="442">
        <f>SUM(AD35:AD35)</f>
        <v>550000</v>
      </c>
      <c r="AE34" s="443" t="s">
        <v>564</v>
      </c>
      <c r="AF34" s="17"/>
    </row>
    <row r="35" spans="1:32" s="11" customFormat="1" ht="21" customHeight="1">
      <c r="A35" s="45"/>
      <c r="B35" s="46"/>
      <c r="C35" s="46"/>
      <c r="D35" s="159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90" t="s">
        <v>641</v>
      </c>
      <c r="P35" s="290"/>
      <c r="Q35" s="290"/>
      <c r="R35" s="290"/>
      <c r="S35" s="572">
        <v>50000</v>
      </c>
      <c r="T35" s="288" t="s">
        <v>564</v>
      </c>
      <c r="U35" s="383" t="s">
        <v>565</v>
      </c>
      <c r="V35" s="382">
        <v>11</v>
      </c>
      <c r="W35" s="382" t="s">
        <v>566</v>
      </c>
      <c r="X35" s="288"/>
      <c r="Y35" s="288"/>
      <c r="Z35" s="288" t="s">
        <v>567</v>
      </c>
      <c r="AA35" s="288"/>
      <c r="AB35" s="288" t="s">
        <v>568</v>
      </c>
      <c r="AC35" s="291"/>
      <c r="AD35" s="291">
        <f t="shared" ref="AD35" si="5">S35*V35</f>
        <v>550000</v>
      </c>
      <c r="AE35" s="390" t="s">
        <v>564</v>
      </c>
      <c r="AF35" s="17"/>
    </row>
    <row r="36" spans="1:32" s="11" customFormat="1" ht="21" customHeight="1">
      <c r="A36" s="45"/>
      <c r="B36" s="46"/>
      <c r="C36" s="46"/>
      <c r="D36" s="159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290"/>
      <c r="P36" s="290"/>
      <c r="Q36" s="290"/>
      <c r="R36" s="290"/>
      <c r="S36" s="288"/>
      <c r="T36" s="424"/>
      <c r="U36" s="475"/>
      <c r="V36" s="424"/>
      <c r="W36" s="476"/>
      <c r="X36" s="476"/>
      <c r="Y36" s="288"/>
      <c r="Z36" s="288"/>
      <c r="AA36" s="288"/>
      <c r="AB36" s="288"/>
      <c r="AC36" s="288"/>
      <c r="AD36" s="288"/>
      <c r="AE36" s="390"/>
      <c r="AF36" s="17"/>
    </row>
    <row r="37" spans="1:32" s="11" customFormat="1" ht="21" customHeight="1">
      <c r="A37" s="45"/>
      <c r="B37" s="46"/>
      <c r="C37" s="36" t="s">
        <v>9</v>
      </c>
      <c r="D37" s="161">
        <v>3074</v>
      </c>
      <c r="E37" s="114">
        <f>SUM(F37:L37)</f>
        <v>2627</v>
      </c>
      <c r="F37" s="114">
        <f>SUMIF($AB$38:$AB$40,"보조",$AD$38:$AD$40)/1000</f>
        <v>2546</v>
      </c>
      <c r="G37" s="114">
        <f>SUMIF($AB$38:$AB$40,"7종",$AD$38:$AD$40)/1000</f>
        <v>0</v>
      </c>
      <c r="H37" s="114">
        <f>SUMIF($AB$38:$AB$40,"시비",$AD$38:$AD$40)/1000</f>
        <v>0</v>
      </c>
      <c r="I37" s="114">
        <f>SUMIF($AB$38:$AB$40,"후원",$AD$38:$AD$40)/1000</f>
        <v>81</v>
      </c>
      <c r="J37" s="114">
        <f>SUMIF($AB$38:$AB$40,"입소",$AD$38:$AD$40)/1000</f>
        <v>0</v>
      </c>
      <c r="K37" s="114">
        <f>SUMIF($AB$38:$AB$40,"법인",$AD$38:$AD$40)/1000</f>
        <v>0</v>
      </c>
      <c r="L37" s="114">
        <f>SUMIF($AB$38:$AB$40,"잡수",$AD$38:$AD$40)/1000</f>
        <v>0</v>
      </c>
      <c r="M37" s="113">
        <f>E37-D37</f>
        <v>-447</v>
      </c>
      <c r="N37" s="121">
        <f>IF(D37=0,0,M37/D37)</f>
        <v>-0.14541314248536108</v>
      </c>
      <c r="O37" s="97" t="s">
        <v>35</v>
      </c>
      <c r="P37" s="176"/>
      <c r="Q37" s="155"/>
      <c r="R37" s="93"/>
      <c r="S37" s="93"/>
      <c r="T37" s="89"/>
      <c r="U37" s="89"/>
      <c r="V37" s="89"/>
      <c r="W37" s="285" t="s">
        <v>255</v>
      </c>
      <c r="X37" s="285"/>
      <c r="Y37" s="285"/>
      <c r="Z37" s="285"/>
      <c r="AA37" s="285"/>
      <c r="AB37" s="285"/>
      <c r="AC37" s="179" t="s">
        <v>256</v>
      </c>
      <c r="AD37" s="179">
        <f>ROUNDDOWN(SUM(AD38:AD39),-3)</f>
        <v>2627000</v>
      </c>
      <c r="AE37" s="178" t="s">
        <v>257</v>
      </c>
      <c r="AF37" s="2"/>
    </row>
    <row r="38" spans="1:32" s="11" customFormat="1" ht="21" customHeight="1">
      <c r="A38" s="45"/>
      <c r="B38" s="46"/>
      <c r="C38" s="46"/>
      <c r="D38" s="162"/>
      <c r="E38" s="109"/>
      <c r="F38" s="109"/>
      <c r="G38" s="109"/>
      <c r="H38" s="109"/>
      <c r="I38" s="109"/>
      <c r="J38" s="109"/>
      <c r="K38" s="109"/>
      <c r="L38" s="109"/>
      <c r="M38" s="115"/>
      <c r="N38" s="70"/>
      <c r="O38" s="290"/>
      <c r="P38" s="290"/>
      <c r="Q38" s="290"/>
      <c r="R38" s="290"/>
      <c r="S38" s="288">
        <f>SUM(AD7,AD14)-AD25-AD34</f>
        <v>30411000</v>
      </c>
      <c r="T38" s="421" t="s">
        <v>339</v>
      </c>
      <c r="U38" s="421" t="s">
        <v>350</v>
      </c>
      <c r="V38" s="477">
        <v>12</v>
      </c>
      <c r="W38" s="420" t="s">
        <v>340</v>
      </c>
      <c r="X38" s="288"/>
      <c r="Y38" s="288"/>
      <c r="Z38" s="288"/>
      <c r="AA38" s="288" t="s">
        <v>343</v>
      </c>
      <c r="AB38" s="288" t="s">
        <v>401</v>
      </c>
      <c r="AC38" s="291"/>
      <c r="AD38" s="291">
        <f>ROUND(S38/V38,-3)+12000</f>
        <v>2546000</v>
      </c>
      <c r="AE38" s="390" t="s">
        <v>339</v>
      </c>
      <c r="AF38" s="2"/>
    </row>
    <row r="39" spans="1:32" s="11" customFormat="1" ht="21" customHeight="1">
      <c r="A39" s="45"/>
      <c r="B39" s="46"/>
      <c r="C39" s="46"/>
      <c r="D39" s="162"/>
      <c r="E39" s="109"/>
      <c r="F39" s="109"/>
      <c r="G39" s="109"/>
      <c r="H39" s="109"/>
      <c r="I39" s="109"/>
      <c r="J39" s="109"/>
      <c r="K39" s="109"/>
      <c r="L39" s="109"/>
      <c r="M39" s="115"/>
      <c r="N39" s="70"/>
      <c r="O39" s="290"/>
      <c r="P39" s="290"/>
      <c r="Q39" s="290"/>
      <c r="R39" s="290"/>
      <c r="S39" s="288">
        <f>SUM(AD25,AD34)</f>
        <v>967000</v>
      </c>
      <c r="T39" s="421" t="s">
        <v>546</v>
      </c>
      <c r="U39" s="421" t="s">
        <v>560</v>
      </c>
      <c r="V39" s="477">
        <v>12</v>
      </c>
      <c r="W39" s="420" t="s">
        <v>549</v>
      </c>
      <c r="X39" s="288"/>
      <c r="Y39" s="288"/>
      <c r="Z39" s="288"/>
      <c r="AA39" s="288" t="s">
        <v>550</v>
      </c>
      <c r="AB39" s="288" t="s">
        <v>559</v>
      </c>
      <c r="AC39" s="291"/>
      <c r="AD39" s="291">
        <f>ROUNDUP(S39/V39,-3)</f>
        <v>81000</v>
      </c>
      <c r="AE39" s="390" t="s">
        <v>546</v>
      </c>
      <c r="AF39" s="2"/>
    </row>
    <row r="40" spans="1:32" s="11" customFormat="1" ht="21" customHeight="1">
      <c r="A40" s="45"/>
      <c r="B40" s="46"/>
      <c r="C40" s="46"/>
      <c r="D40" s="163"/>
      <c r="E40" s="109"/>
      <c r="F40" s="109"/>
      <c r="G40" s="109"/>
      <c r="H40" s="109"/>
      <c r="I40" s="109"/>
      <c r="J40" s="109"/>
      <c r="K40" s="109"/>
      <c r="L40" s="109"/>
      <c r="M40" s="115"/>
      <c r="N40" s="70"/>
      <c r="O40" s="32"/>
      <c r="P40" s="32"/>
      <c r="Q40" s="32"/>
      <c r="R40" s="32"/>
      <c r="S40" s="32"/>
      <c r="T40" s="33"/>
      <c r="U40" s="33"/>
      <c r="V40" s="33"/>
      <c r="W40" s="33"/>
      <c r="X40" s="33"/>
      <c r="Y40" s="33"/>
      <c r="Z40" s="33"/>
      <c r="AA40" s="33"/>
      <c r="AB40" s="33"/>
      <c r="AC40" s="52"/>
      <c r="AD40" s="52"/>
      <c r="AE40" s="34"/>
      <c r="AF40" s="2"/>
    </row>
    <row r="41" spans="1:32" s="11" customFormat="1" ht="21" customHeight="1">
      <c r="A41" s="45"/>
      <c r="B41" s="46"/>
      <c r="C41" s="122" t="s">
        <v>80</v>
      </c>
      <c r="D41" s="161">
        <v>3785</v>
      </c>
      <c r="E41" s="114">
        <f>SUM(F41:L41)</f>
        <v>2979</v>
      </c>
      <c r="F41" s="114">
        <f>SUMIF($AB$44:$AB$64,"보조",$AD$44:$AD$64)/1000</f>
        <v>2578</v>
      </c>
      <c r="G41" s="114">
        <f>SUMIF($AB$44:$AB$64,"7종",$AD$44:$AD$64)/1000</f>
        <v>0</v>
      </c>
      <c r="H41" s="114">
        <f>SUMIF($AB$44:$AB$64,"시비",$AD$44:$AD$64)/1000</f>
        <v>0</v>
      </c>
      <c r="I41" s="114">
        <f>SUMIF($AB$44:$AB$64,"후원",$AD$44:$AD$64)/1000</f>
        <v>401</v>
      </c>
      <c r="J41" s="114">
        <f>SUMIF($AB$44:$AB$64,"입소",$AD$44:$AD$64)/1000</f>
        <v>0</v>
      </c>
      <c r="K41" s="114">
        <f>SUMIF($AB$44:$AB$64,"법인",$AD$44:$AD$64)/1000</f>
        <v>0</v>
      </c>
      <c r="L41" s="114">
        <f>SUMIF($AB$44:$AB$64,"잡수",$AD$44:$AD$64)/1000</f>
        <v>0</v>
      </c>
      <c r="M41" s="123">
        <f>E41-D41</f>
        <v>-806</v>
      </c>
      <c r="N41" s="121">
        <f>IF(D41=0,0,M41/D41)</f>
        <v>-0.2129458388375165</v>
      </c>
      <c r="O41" s="97" t="s">
        <v>36</v>
      </c>
      <c r="P41" s="176"/>
      <c r="Q41" s="93"/>
      <c r="R41" s="93"/>
      <c r="S41" s="93"/>
      <c r="T41" s="89"/>
      <c r="U41" s="89"/>
      <c r="V41" s="89"/>
      <c r="W41" s="177" t="s">
        <v>130</v>
      </c>
      <c r="X41" s="177"/>
      <c r="Y41" s="177"/>
      <c r="Z41" s="177"/>
      <c r="AA41" s="177"/>
      <c r="AB41" s="177"/>
      <c r="AC41" s="179"/>
      <c r="AD41" s="179">
        <f>SUM(AD43,AD47,AD51,AD55,AD59,AD63)</f>
        <v>2979000</v>
      </c>
      <c r="AE41" s="178" t="s">
        <v>25</v>
      </c>
    </row>
    <row r="42" spans="1:32" s="11" customFormat="1" ht="21" customHeight="1">
      <c r="A42" s="45"/>
      <c r="B42" s="46"/>
      <c r="C42" s="46" t="s">
        <v>131</v>
      </c>
      <c r="D42" s="159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158"/>
      <c r="P42" s="32"/>
      <c r="Q42" s="32"/>
      <c r="R42" s="32"/>
      <c r="S42" s="32"/>
      <c r="T42" s="33"/>
      <c r="U42" s="33"/>
      <c r="V42" s="33"/>
      <c r="W42" s="33"/>
      <c r="X42" s="33"/>
      <c r="Y42" s="33"/>
      <c r="Z42" s="33"/>
      <c r="AA42" s="33"/>
      <c r="AB42" s="33"/>
      <c r="AC42" s="52"/>
      <c r="AD42" s="52"/>
      <c r="AE42" s="34"/>
      <c r="AF42" s="2"/>
    </row>
    <row r="43" spans="1:32" s="11" customFormat="1" ht="21" customHeight="1">
      <c r="A43" s="45"/>
      <c r="B43" s="46"/>
      <c r="C43" s="46"/>
      <c r="D43" s="159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469" t="s">
        <v>354</v>
      </c>
      <c r="P43" s="290"/>
      <c r="Q43" s="290"/>
      <c r="R43" s="290"/>
      <c r="S43" s="290"/>
      <c r="T43" s="288"/>
      <c r="U43" s="288"/>
      <c r="V43" s="288"/>
      <c r="W43" s="441" t="s">
        <v>345</v>
      </c>
      <c r="X43" s="441"/>
      <c r="Y43" s="441"/>
      <c r="Z43" s="441"/>
      <c r="AA43" s="441"/>
      <c r="AB43" s="441"/>
      <c r="AC43" s="442"/>
      <c r="AD43" s="442">
        <f>ROUND(SUM(AD44:AD45),-3)</f>
        <v>1215000</v>
      </c>
      <c r="AE43" s="443" t="s">
        <v>339</v>
      </c>
      <c r="AF43" s="2"/>
    </row>
    <row r="44" spans="1:32" s="11" customFormat="1" ht="21" customHeight="1">
      <c r="A44" s="45"/>
      <c r="B44" s="46"/>
      <c r="C44" s="46"/>
      <c r="D44" s="159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290"/>
      <c r="P44" s="290"/>
      <c r="Q44" s="290"/>
      <c r="R44" s="290"/>
      <c r="S44" s="288">
        <f>S38</f>
        <v>30411000</v>
      </c>
      <c r="T44" s="421" t="s">
        <v>339</v>
      </c>
      <c r="U44" s="420" t="s">
        <v>342</v>
      </c>
      <c r="V44" s="478">
        <v>0.09</v>
      </c>
      <c r="W44" s="421" t="s">
        <v>350</v>
      </c>
      <c r="X44" s="479">
        <v>2</v>
      </c>
      <c r="Y44" s="423"/>
      <c r="Z44" s="423"/>
      <c r="AA44" s="421" t="s">
        <v>343</v>
      </c>
      <c r="AB44" s="288" t="s">
        <v>401</v>
      </c>
      <c r="AC44" s="291"/>
      <c r="AD44" s="291">
        <f>ROUND(S44*V44/X44,-3)-197000</f>
        <v>1171000</v>
      </c>
      <c r="AE44" s="390" t="s">
        <v>339</v>
      </c>
      <c r="AF44" s="2"/>
    </row>
    <row r="45" spans="1:32" s="11" customFormat="1" ht="21" customHeight="1">
      <c r="A45" s="45"/>
      <c r="B45" s="46"/>
      <c r="C45" s="46"/>
      <c r="D45" s="159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0"/>
      <c r="P45" s="290"/>
      <c r="Q45" s="290"/>
      <c r="R45" s="290"/>
      <c r="S45" s="288">
        <f>S39</f>
        <v>967000</v>
      </c>
      <c r="T45" s="421" t="s">
        <v>135</v>
      </c>
      <c r="U45" s="420" t="s">
        <v>317</v>
      </c>
      <c r="V45" s="478">
        <v>0.09</v>
      </c>
      <c r="W45" s="421" t="s">
        <v>350</v>
      </c>
      <c r="X45" s="479">
        <v>2</v>
      </c>
      <c r="Y45" s="423"/>
      <c r="Z45" s="423"/>
      <c r="AA45" s="421" t="s">
        <v>338</v>
      </c>
      <c r="AB45" s="288" t="s">
        <v>559</v>
      </c>
      <c r="AC45" s="291"/>
      <c r="AD45" s="291">
        <f>ROUND(S45*V45/X45,-3)</f>
        <v>44000</v>
      </c>
      <c r="AE45" s="390" t="s">
        <v>135</v>
      </c>
      <c r="AF45" s="2"/>
    </row>
    <row r="46" spans="1:32" s="11" customFormat="1" ht="21" customHeight="1">
      <c r="A46" s="45"/>
      <c r="B46" s="46"/>
      <c r="C46" s="46"/>
      <c r="D46" s="159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0"/>
      <c r="P46" s="290"/>
      <c r="Q46" s="290"/>
      <c r="R46" s="290"/>
      <c r="S46" s="290"/>
      <c r="T46" s="288"/>
      <c r="U46" s="288"/>
      <c r="V46" s="288"/>
      <c r="W46" s="288"/>
      <c r="X46" s="288"/>
      <c r="Y46" s="288"/>
      <c r="Z46" s="288"/>
      <c r="AA46" s="288"/>
      <c r="AB46" s="288"/>
      <c r="AC46" s="291"/>
      <c r="AD46" s="291"/>
      <c r="AE46" s="390"/>
      <c r="AF46" s="2"/>
    </row>
    <row r="47" spans="1:32" s="11" customFormat="1" ht="21" customHeight="1">
      <c r="A47" s="45"/>
      <c r="B47" s="46"/>
      <c r="C47" s="46"/>
      <c r="D47" s="159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469" t="s">
        <v>503</v>
      </c>
      <c r="P47" s="290"/>
      <c r="Q47" s="290"/>
      <c r="R47" s="290"/>
      <c r="S47" s="290"/>
      <c r="T47" s="288"/>
      <c r="U47" s="288"/>
      <c r="V47" s="288"/>
      <c r="W47" s="441" t="s">
        <v>344</v>
      </c>
      <c r="X47" s="441"/>
      <c r="Y47" s="441"/>
      <c r="Z47" s="441"/>
      <c r="AA47" s="441"/>
      <c r="AB47" s="441"/>
      <c r="AC47" s="442" t="s">
        <v>353</v>
      </c>
      <c r="AD47" s="442">
        <f>ROUND(SUM(AD48:AD49),-3)</f>
        <v>907000</v>
      </c>
      <c r="AE47" s="443" t="s">
        <v>341</v>
      </c>
      <c r="AF47" s="2"/>
    </row>
    <row r="48" spans="1:32" s="11" customFormat="1" ht="21" customHeight="1">
      <c r="A48" s="45"/>
      <c r="B48" s="46"/>
      <c r="C48" s="46"/>
      <c r="D48" s="159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290"/>
      <c r="P48" s="290"/>
      <c r="Q48" s="290"/>
      <c r="R48" s="290"/>
      <c r="S48" s="288">
        <f>S44</f>
        <v>30411000</v>
      </c>
      <c r="T48" s="421" t="s">
        <v>341</v>
      </c>
      <c r="U48" s="420" t="s">
        <v>355</v>
      </c>
      <c r="V48" s="480">
        <v>6.1199999999999997E-2</v>
      </c>
      <c r="W48" s="421" t="s">
        <v>351</v>
      </c>
      <c r="X48" s="481">
        <v>2</v>
      </c>
      <c r="Y48" s="423"/>
      <c r="Z48" s="423"/>
      <c r="AA48" s="421" t="s">
        <v>352</v>
      </c>
      <c r="AB48" s="288" t="s">
        <v>401</v>
      </c>
      <c r="AC48" s="291"/>
      <c r="AD48" s="291">
        <f>ROUND(S48*V48/X48,-3)-54000</f>
        <v>877000</v>
      </c>
      <c r="AE48" s="390" t="s">
        <v>341</v>
      </c>
      <c r="AF48" s="2"/>
    </row>
    <row r="49" spans="1:32" s="11" customFormat="1" ht="21" customHeight="1">
      <c r="A49" s="45"/>
      <c r="B49" s="46"/>
      <c r="C49" s="46"/>
      <c r="D49" s="159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0"/>
      <c r="P49" s="290"/>
      <c r="Q49" s="290"/>
      <c r="R49" s="290"/>
      <c r="S49" s="288">
        <f>S45</f>
        <v>967000</v>
      </c>
      <c r="T49" s="421" t="s">
        <v>135</v>
      </c>
      <c r="U49" s="420" t="s">
        <v>355</v>
      </c>
      <c r="V49" s="480">
        <v>6.1199999999999997E-2</v>
      </c>
      <c r="W49" s="421" t="s">
        <v>351</v>
      </c>
      <c r="X49" s="481">
        <v>2</v>
      </c>
      <c r="Y49" s="423"/>
      <c r="Z49" s="423"/>
      <c r="AA49" s="421" t="s">
        <v>352</v>
      </c>
      <c r="AB49" s="288" t="s">
        <v>559</v>
      </c>
      <c r="AC49" s="291"/>
      <c r="AD49" s="291">
        <f>ROUND(S49*V49/X49,-3)</f>
        <v>30000</v>
      </c>
      <c r="AE49" s="390" t="s">
        <v>135</v>
      </c>
      <c r="AF49" s="2"/>
    </row>
    <row r="50" spans="1:32" s="11" customFormat="1" ht="21" customHeight="1">
      <c r="A50" s="45"/>
      <c r="B50" s="46"/>
      <c r="C50" s="46"/>
      <c r="D50" s="159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0"/>
      <c r="P50" s="290"/>
      <c r="Q50" s="290"/>
      <c r="R50" s="290"/>
      <c r="S50" s="290"/>
      <c r="T50" s="288"/>
      <c r="U50" s="288"/>
      <c r="V50" s="288"/>
      <c r="W50" s="288"/>
      <c r="X50" s="288"/>
      <c r="Y50" s="288"/>
      <c r="Z50" s="288"/>
      <c r="AA50" s="288"/>
      <c r="AB50" s="288"/>
      <c r="AC50" s="291"/>
      <c r="AD50" s="291"/>
      <c r="AE50" s="390"/>
      <c r="AF50" s="2"/>
    </row>
    <row r="51" spans="1:32" s="11" customFormat="1" ht="21" customHeight="1">
      <c r="A51" s="45"/>
      <c r="B51" s="46"/>
      <c r="C51" s="46"/>
      <c r="D51" s="159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469" t="s">
        <v>356</v>
      </c>
      <c r="P51" s="290"/>
      <c r="Q51" s="290"/>
      <c r="R51" s="290"/>
      <c r="S51" s="290"/>
      <c r="T51" s="288"/>
      <c r="U51" s="288"/>
      <c r="V51" s="288"/>
      <c r="W51" s="441" t="s">
        <v>344</v>
      </c>
      <c r="X51" s="441"/>
      <c r="Y51" s="441"/>
      <c r="Z51" s="441"/>
      <c r="AA51" s="441"/>
      <c r="AB51" s="441"/>
      <c r="AC51" s="442" t="s">
        <v>353</v>
      </c>
      <c r="AD51" s="442">
        <f>ROUND(SUM(AD52:AD53),-3)</f>
        <v>63000</v>
      </c>
      <c r="AE51" s="443" t="s">
        <v>341</v>
      </c>
      <c r="AF51" s="2"/>
    </row>
    <row r="52" spans="1:32" s="11" customFormat="1" ht="21" customHeight="1">
      <c r="A52" s="45"/>
      <c r="B52" s="46"/>
      <c r="C52" s="46"/>
      <c r="D52" s="159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290"/>
      <c r="P52" s="290"/>
      <c r="Q52" s="290"/>
      <c r="R52" s="290"/>
      <c r="S52" s="482">
        <f>AD48</f>
        <v>877000</v>
      </c>
      <c r="T52" s="421" t="s">
        <v>341</v>
      </c>
      <c r="U52" s="420" t="s">
        <v>355</v>
      </c>
      <c r="V52" s="480">
        <v>6.5500000000000003E-2</v>
      </c>
      <c r="W52" s="420"/>
      <c r="X52" s="422"/>
      <c r="Y52" s="423"/>
      <c r="Z52" s="423"/>
      <c r="AA52" s="421" t="s">
        <v>352</v>
      </c>
      <c r="AB52" s="288" t="s">
        <v>401</v>
      </c>
      <c r="AC52" s="291"/>
      <c r="AD52" s="291">
        <f>ROUND(S52*V52,-3)+4000</f>
        <v>61000</v>
      </c>
      <c r="AE52" s="390" t="s">
        <v>341</v>
      </c>
      <c r="AF52" s="2"/>
    </row>
    <row r="53" spans="1:32" s="11" customFormat="1" ht="21" customHeight="1">
      <c r="A53" s="45"/>
      <c r="B53" s="46"/>
      <c r="C53" s="46"/>
      <c r="D53" s="159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0"/>
      <c r="P53" s="290"/>
      <c r="Q53" s="290"/>
      <c r="R53" s="290"/>
      <c r="S53" s="482">
        <f>AD49</f>
        <v>30000</v>
      </c>
      <c r="T53" s="421" t="s">
        <v>135</v>
      </c>
      <c r="U53" s="420" t="s">
        <v>355</v>
      </c>
      <c r="V53" s="480">
        <v>6.5500000000000003E-2</v>
      </c>
      <c r="W53" s="420"/>
      <c r="X53" s="422"/>
      <c r="Y53" s="423"/>
      <c r="Z53" s="423"/>
      <c r="AA53" s="421" t="s">
        <v>352</v>
      </c>
      <c r="AB53" s="288" t="s">
        <v>559</v>
      </c>
      <c r="AC53" s="291"/>
      <c r="AD53" s="291">
        <f>ROUND(S53*V53,-3)</f>
        <v>2000</v>
      </c>
      <c r="AE53" s="390" t="s">
        <v>135</v>
      </c>
      <c r="AF53" s="2"/>
    </row>
    <row r="54" spans="1:32" s="11" customFormat="1" ht="21" customHeight="1">
      <c r="A54" s="45"/>
      <c r="B54" s="46"/>
      <c r="C54" s="46"/>
      <c r="D54" s="159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0"/>
      <c r="P54" s="290"/>
      <c r="Q54" s="290"/>
      <c r="R54" s="290"/>
      <c r="S54" s="290"/>
      <c r="T54" s="288"/>
      <c r="U54" s="288"/>
      <c r="V54" s="288"/>
      <c r="W54" s="288"/>
      <c r="X54" s="288"/>
      <c r="Y54" s="288"/>
      <c r="Z54" s="288"/>
      <c r="AA54" s="288"/>
      <c r="AB54" s="288"/>
      <c r="AC54" s="291"/>
      <c r="AD54" s="291"/>
      <c r="AE54" s="390"/>
      <c r="AF54" s="2"/>
    </row>
    <row r="55" spans="1:32" s="11" customFormat="1" ht="21" customHeight="1">
      <c r="A55" s="45"/>
      <c r="B55" s="46"/>
      <c r="C55" s="46"/>
      <c r="D55" s="159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69" t="s">
        <v>357</v>
      </c>
      <c r="P55" s="290"/>
      <c r="Q55" s="290"/>
      <c r="R55" s="290"/>
      <c r="S55" s="290"/>
      <c r="T55" s="288"/>
      <c r="U55" s="288"/>
      <c r="V55" s="288"/>
      <c r="W55" s="441" t="s">
        <v>344</v>
      </c>
      <c r="X55" s="441"/>
      <c r="Y55" s="441"/>
      <c r="Z55" s="441"/>
      <c r="AA55" s="441"/>
      <c r="AB55" s="441"/>
      <c r="AC55" s="442" t="s">
        <v>353</v>
      </c>
      <c r="AD55" s="442">
        <f>ROUND(SUM(AD56:AD57),-3)</f>
        <v>263000</v>
      </c>
      <c r="AE55" s="443" t="s">
        <v>341</v>
      </c>
      <c r="AF55" s="2"/>
    </row>
    <row r="56" spans="1:32" s="11" customFormat="1" ht="21" customHeight="1">
      <c r="A56" s="45"/>
      <c r="B56" s="46"/>
      <c r="C56" s="46"/>
      <c r="D56" s="159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90"/>
      <c r="P56" s="290"/>
      <c r="Q56" s="290"/>
      <c r="R56" s="290"/>
      <c r="S56" s="288">
        <f>S48</f>
        <v>30411000</v>
      </c>
      <c r="T56" s="421" t="s">
        <v>341</v>
      </c>
      <c r="U56" s="420" t="s">
        <v>355</v>
      </c>
      <c r="V56" s="480">
        <v>8.9999999999999993E-3</v>
      </c>
      <c r="W56" s="420"/>
      <c r="X56" s="422"/>
      <c r="Y56" s="423"/>
      <c r="Z56" s="423"/>
      <c r="AA56" s="421" t="s">
        <v>352</v>
      </c>
      <c r="AB56" s="288" t="s">
        <v>401</v>
      </c>
      <c r="AC56" s="291"/>
      <c r="AD56" s="291">
        <f>ROUND(S56*V56,-3)-20000</f>
        <v>254000</v>
      </c>
      <c r="AE56" s="390" t="s">
        <v>341</v>
      </c>
      <c r="AF56" s="2"/>
    </row>
    <row r="57" spans="1:32" s="11" customFormat="1" ht="21" customHeight="1">
      <c r="A57" s="45"/>
      <c r="B57" s="46"/>
      <c r="C57" s="46"/>
      <c r="D57" s="159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0"/>
      <c r="P57" s="290"/>
      <c r="Q57" s="290"/>
      <c r="R57" s="290"/>
      <c r="S57" s="288">
        <f>S49</f>
        <v>967000</v>
      </c>
      <c r="T57" s="421" t="s">
        <v>135</v>
      </c>
      <c r="U57" s="420" t="s">
        <v>355</v>
      </c>
      <c r="V57" s="480">
        <v>8.9999999999999993E-3</v>
      </c>
      <c r="W57" s="420"/>
      <c r="X57" s="422"/>
      <c r="Y57" s="423"/>
      <c r="Z57" s="423"/>
      <c r="AA57" s="421" t="s">
        <v>352</v>
      </c>
      <c r="AB57" s="288" t="s">
        <v>559</v>
      </c>
      <c r="AC57" s="291"/>
      <c r="AD57" s="291">
        <f>ROUND(S57*V57,-3)</f>
        <v>9000</v>
      </c>
      <c r="AE57" s="390" t="s">
        <v>135</v>
      </c>
      <c r="AF57" s="2"/>
    </row>
    <row r="58" spans="1:32" s="11" customFormat="1" ht="21" customHeight="1">
      <c r="A58" s="45"/>
      <c r="B58" s="46"/>
      <c r="C58" s="46"/>
      <c r="D58" s="159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0"/>
      <c r="P58" s="290"/>
      <c r="Q58" s="290"/>
      <c r="R58" s="290"/>
      <c r="S58" s="290"/>
      <c r="T58" s="288"/>
      <c r="U58" s="288"/>
      <c r="V58" s="288"/>
      <c r="W58" s="288"/>
      <c r="X58" s="288"/>
      <c r="Y58" s="288"/>
      <c r="Z58" s="288"/>
      <c r="AA58" s="288"/>
      <c r="AB58" s="288"/>
      <c r="AC58" s="291"/>
      <c r="AD58" s="291"/>
      <c r="AE58" s="390"/>
      <c r="AF58" s="2"/>
    </row>
    <row r="59" spans="1:32" s="11" customFormat="1" ht="21" customHeight="1">
      <c r="A59" s="45"/>
      <c r="B59" s="46"/>
      <c r="C59" s="46"/>
      <c r="D59" s="159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69" t="s">
        <v>358</v>
      </c>
      <c r="P59" s="290"/>
      <c r="Q59" s="290"/>
      <c r="R59" s="290"/>
      <c r="S59" s="290"/>
      <c r="T59" s="288"/>
      <c r="U59" s="288"/>
      <c r="V59" s="288"/>
      <c r="W59" s="441" t="s">
        <v>344</v>
      </c>
      <c r="X59" s="441"/>
      <c r="Y59" s="441"/>
      <c r="Z59" s="441"/>
      <c r="AA59" s="441"/>
      <c r="AB59" s="441"/>
      <c r="AC59" s="442" t="s">
        <v>353</v>
      </c>
      <c r="AD59" s="442">
        <f>ROUNDUP(SUM(AD60:AD61),-3)</f>
        <v>222000</v>
      </c>
      <c r="AE59" s="443" t="s">
        <v>341</v>
      </c>
      <c r="AF59" s="2"/>
    </row>
    <row r="60" spans="1:32" s="11" customFormat="1" ht="21" customHeight="1">
      <c r="A60" s="45"/>
      <c r="B60" s="46"/>
      <c r="C60" s="46"/>
      <c r="D60" s="159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90"/>
      <c r="P60" s="290"/>
      <c r="Q60" s="290"/>
      <c r="R60" s="290"/>
      <c r="S60" s="288">
        <f>S56</f>
        <v>30411000</v>
      </c>
      <c r="T60" s="421" t="s">
        <v>341</v>
      </c>
      <c r="U60" s="420" t="s">
        <v>355</v>
      </c>
      <c r="V60" s="483">
        <v>7.6E-3</v>
      </c>
      <c r="W60" s="420"/>
      <c r="X60" s="422"/>
      <c r="Y60" s="423"/>
      <c r="Z60" s="423"/>
      <c r="AA60" s="421" t="s">
        <v>352</v>
      </c>
      <c r="AB60" s="288" t="s">
        <v>401</v>
      </c>
      <c r="AC60" s="291"/>
      <c r="AD60" s="291">
        <f>ROUND(S60*V60,-3)-16000</f>
        <v>215000</v>
      </c>
      <c r="AE60" s="390" t="s">
        <v>341</v>
      </c>
      <c r="AF60" s="2"/>
    </row>
    <row r="61" spans="1:32" s="11" customFormat="1" ht="21" customHeight="1">
      <c r="A61" s="45"/>
      <c r="B61" s="46"/>
      <c r="C61" s="46"/>
      <c r="D61" s="159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90"/>
      <c r="P61" s="290"/>
      <c r="Q61" s="290"/>
      <c r="R61" s="290"/>
      <c r="S61" s="288">
        <f>S57</f>
        <v>967000</v>
      </c>
      <c r="T61" s="421" t="s">
        <v>135</v>
      </c>
      <c r="U61" s="420" t="s">
        <v>355</v>
      </c>
      <c r="V61" s="483">
        <v>7.6E-3</v>
      </c>
      <c r="W61" s="420"/>
      <c r="X61" s="422"/>
      <c r="Y61" s="423"/>
      <c r="Z61" s="423"/>
      <c r="AA61" s="421" t="s">
        <v>352</v>
      </c>
      <c r="AB61" s="288" t="s">
        <v>559</v>
      </c>
      <c r="AC61" s="291"/>
      <c r="AD61" s="291">
        <f>ROUND(S61*V61,-3)</f>
        <v>7000</v>
      </c>
      <c r="AE61" s="390" t="s">
        <v>135</v>
      </c>
      <c r="AF61" s="2"/>
    </row>
    <row r="62" spans="1:32" s="11" customFormat="1" ht="21" customHeight="1">
      <c r="A62" s="45"/>
      <c r="B62" s="46"/>
      <c r="C62" s="46"/>
      <c r="D62" s="159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0"/>
      <c r="P62" s="290"/>
      <c r="Q62" s="290"/>
      <c r="R62" s="290"/>
      <c r="S62" s="288"/>
      <c r="T62" s="421"/>
      <c r="U62" s="420"/>
      <c r="V62" s="483"/>
      <c r="W62" s="420"/>
      <c r="X62" s="422"/>
      <c r="Y62" s="423"/>
      <c r="Z62" s="423"/>
      <c r="AA62" s="421"/>
      <c r="AB62" s="288"/>
      <c r="AC62" s="291"/>
      <c r="AD62" s="291"/>
      <c r="AE62" s="390"/>
      <c r="AF62" s="2"/>
    </row>
    <row r="63" spans="1:32" s="11" customFormat="1" ht="21" customHeight="1">
      <c r="A63" s="45"/>
      <c r="B63" s="46"/>
      <c r="C63" s="46"/>
      <c r="D63" s="159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69" t="s">
        <v>571</v>
      </c>
      <c r="P63" s="290"/>
      <c r="Q63" s="290"/>
      <c r="R63" s="290"/>
      <c r="S63" s="290"/>
      <c r="T63" s="288"/>
      <c r="U63" s="288"/>
      <c r="V63" s="288"/>
      <c r="W63" s="441" t="s">
        <v>562</v>
      </c>
      <c r="X63" s="441"/>
      <c r="Y63" s="441"/>
      <c r="Z63" s="441"/>
      <c r="AA63" s="441"/>
      <c r="AB63" s="441" t="s">
        <v>569</v>
      </c>
      <c r="AC63" s="442" t="s">
        <v>572</v>
      </c>
      <c r="AD63" s="442">
        <v>309000</v>
      </c>
      <c r="AE63" s="443" t="s">
        <v>546</v>
      </c>
      <c r="AF63" s="2"/>
    </row>
    <row r="64" spans="1:32" s="11" customFormat="1" ht="21" customHeight="1">
      <c r="A64" s="45"/>
      <c r="B64" s="46"/>
      <c r="C64" s="46"/>
      <c r="D64" s="159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90"/>
      <c r="P64" s="290"/>
      <c r="Q64" s="290"/>
      <c r="R64" s="290"/>
      <c r="S64" s="290"/>
      <c r="T64" s="288"/>
      <c r="U64" s="288"/>
      <c r="V64" s="288"/>
      <c r="W64" s="288"/>
      <c r="X64" s="288"/>
      <c r="Y64" s="288"/>
      <c r="Z64" s="288"/>
      <c r="AA64" s="288"/>
      <c r="AB64" s="288"/>
      <c r="AC64" s="291"/>
      <c r="AD64" s="291"/>
      <c r="AE64" s="390"/>
      <c r="AF64" s="2"/>
    </row>
    <row r="65" spans="1:32" s="11" customFormat="1" ht="21" customHeight="1">
      <c r="A65" s="45"/>
      <c r="B65" s="46"/>
      <c r="C65" s="36" t="s">
        <v>81</v>
      </c>
      <c r="D65" s="161">
        <v>370</v>
      </c>
      <c r="E65" s="114">
        <f>SUM(F65:L65)</f>
        <v>370</v>
      </c>
      <c r="F65" s="114">
        <f>SUMIF($AB$66:$AB$69,"보조",$AD$66:$AD$69)/1000</f>
        <v>0</v>
      </c>
      <c r="G65" s="114">
        <f>SUMIF($AB$66:$AB$69,"7종",$AD$66:$AD$69)/1000</f>
        <v>0</v>
      </c>
      <c r="H65" s="114">
        <f>SUMIF($AB$66:$AB$69,"시비",$AD$66:$AD$69)/1000</f>
        <v>300</v>
      </c>
      <c r="I65" s="114">
        <f>SUMIF($AB$66:$AB$69,"후원",$AD$66:$AD$69)/1000</f>
        <v>70</v>
      </c>
      <c r="J65" s="114">
        <f>SUMIF($AB$66:$AB$69,"입소",$AD$66:$AD$69)/1000</f>
        <v>0</v>
      </c>
      <c r="K65" s="114">
        <f>SUMIF($AB$66:$AB$69,"법인",$AD$66:$AD$69)/1000</f>
        <v>0</v>
      </c>
      <c r="L65" s="114">
        <f>SUMIF($AB$66:$AB$69,"잡수",$AD$66:$AD$69)/1000</f>
        <v>0</v>
      </c>
      <c r="M65" s="113">
        <f>E65-D65</f>
        <v>0</v>
      </c>
      <c r="N65" s="121">
        <f>IF(D65=0,0,M65/D65)</f>
        <v>0</v>
      </c>
      <c r="O65" s="97" t="s">
        <v>82</v>
      </c>
      <c r="P65" s="176"/>
      <c r="Q65" s="93"/>
      <c r="R65" s="93"/>
      <c r="S65" s="93"/>
      <c r="T65" s="89"/>
      <c r="U65" s="89"/>
      <c r="V65" s="89"/>
      <c r="W65" s="177" t="s">
        <v>130</v>
      </c>
      <c r="X65" s="177"/>
      <c r="Y65" s="177"/>
      <c r="Z65" s="177"/>
      <c r="AA65" s="177"/>
      <c r="AB65" s="177"/>
      <c r="AC65" s="179"/>
      <c r="AD65" s="179">
        <f>SUM(AD66:AD68)</f>
        <v>370000</v>
      </c>
      <c r="AE65" s="178" t="s">
        <v>25</v>
      </c>
      <c r="AF65" s="21"/>
    </row>
    <row r="66" spans="1:32" s="11" customFormat="1" ht="21" customHeight="1">
      <c r="A66" s="45"/>
      <c r="B66" s="46"/>
      <c r="C66" s="46" t="s">
        <v>133</v>
      </c>
      <c r="D66" s="159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597" t="s">
        <v>622</v>
      </c>
      <c r="P66" s="597"/>
      <c r="Q66" s="597"/>
      <c r="R66" s="597"/>
      <c r="S66" s="596">
        <v>300000</v>
      </c>
      <c r="T66" s="615" t="s">
        <v>623</v>
      </c>
      <c r="U66" s="616" t="s">
        <v>624</v>
      </c>
      <c r="V66" s="617">
        <v>1</v>
      </c>
      <c r="W66" s="616" t="s">
        <v>625</v>
      </c>
      <c r="X66" s="618"/>
      <c r="Y66" s="619"/>
      <c r="Z66" s="619"/>
      <c r="AA66" s="615" t="s">
        <v>626</v>
      </c>
      <c r="AB66" s="596" t="s">
        <v>645</v>
      </c>
      <c r="AC66" s="595"/>
      <c r="AD66" s="595">
        <f>ROUNDUP(S66*V66,-3)</f>
        <v>300000</v>
      </c>
      <c r="AE66" s="598" t="s">
        <v>623</v>
      </c>
      <c r="AF66" s="2"/>
    </row>
    <row r="67" spans="1:32" s="11" customFormat="1" ht="21" customHeight="1">
      <c r="A67" s="45"/>
      <c r="B67" s="46"/>
      <c r="C67" s="46"/>
      <c r="D67" s="159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579" t="s">
        <v>504</v>
      </c>
      <c r="P67" s="579"/>
      <c r="Q67" s="579"/>
      <c r="R67" s="579"/>
      <c r="S67" s="578">
        <v>50000</v>
      </c>
      <c r="T67" s="378" t="s">
        <v>505</v>
      </c>
      <c r="U67" s="484" t="s">
        <v>506</v>
      </c>
      <c r="V67" s="486">
        <v>1</v>
      </c>
      <c r="W67" s="484" t="s">
        <v>507</v>
      </c>
      <c r="X67" s="487"/>
      <c r="Y67" s="76"/>
      <c r="Z67" s="76"/>
      <c r="AA67" s="378"/>
      <c r="AB67" s="578" t="s">
        <v>534</v>
      </c>
      <c r="AC67" s="136"/>
      <c r="AD67" s="136">
        <f>ROUNDUP(S67*V67,-3)</f>
        <v>50000</v>
      </c>
      <c r="AE67" s="137" t="s">
        <v>505</v>
      </c>
      <c r="AF67" s="2"/>
    </row>
    <row r="68" spans="1:32" s="11" customFormat="1" ht="21" customHeight="1">
      <c r="A68" s="45"/>
      <c r="B68" s="46"/>
      <c r="C68" s="46"/>
      <c r="D68" s="159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71" t="s">
        <v>402</v>
      </c>
      <c r="P68" s="571"/>
      <c r="Q68" s="571"/>
      <c r="R68" s="571"/>
      <c r="S68" s="570">
        <v>20000</v>
      </c>
      <c r="T68" s="378" t="s">
        <v>57</v>
      </c>
      <c r="U68" s="484" t="s">
        <v>58</v>
      </c>
      <c r="V68" s="486">
        <v>1</v>
      </c>
      <c r="W68" s="484" t="s">
        <v>56</v>
      </c>
      <c r="X68" s="487"/>
      <c r="Y68" s="76"/>
      <c r="Z68" s="76"/>
      <c r="AA68" s="378" t="s">
        <v>53</v>
      </c>
      <c r="AB68" s="570" t="s">
        <v>403</v>
      </c>
      <c r="AC68" s="136"/>
      <c r="AD68" s="136">
        <f>ROUNDUP(S68*V68,-3)</f>
        <v>20000</v>
      </c>
      <c r="AE68" s="137" t="s">
        <v>57</v>
      </c>
      <c r="AF68" s="2"/>
    </row>
    <row r="69" spans="1:32" s="11" customFormat="1" ht="21" customHeight="1">
      <c r="A69" s="45"/>
      <c r="B69" s="59"/>
      <c r="C69" s="59"/>
      <c r="D69" s="160"/>
      <c r="E69" s="111"/>
      <c r="F69" s="111"/>
      <c r="G69" s="111"/>
      <c r="H69" s="111"/>
      <c r="I69" s="111"/>
      <c r="J69" s="111"/>
      <c r="K69" s="111"/>
      <c r="L69" s="111"/>
      <c r="M69" s="111"/>
      <c r="N69" s="84"/>
      <c r="O69" s="376"/>
      <c r="P69" s="376"/>
      <c r="Q69" s="376"/>
      <c r="R69" s="376"/>
      <c r="S69" s="488"/>
      <c r="T69" s="489"/>
      <c r="U69" s="489"/>
      <c r="V69" s="489"/>
      <c r="W69" s="488"/>
      <c r="X69" s="489"/>
      <c r="Y69" s="489"/>
      <c r="Z69" s="489"/>
      <c r="AA69" s="488"/>
      <c r="AB69" s="489"/>
      <c r="AC69" s="489"/>
      <c r="AD69" s="488"/>
      <c r="AE69" s="490"/>
      <c r="AF69" s="2"/>
    </row>
    <row r="70" spans="1:32" s="11" customFormat="1" ht="21" customHeight="1">
      <c r="A70" s="45"/>
      <c r="B70" s="46" t="s">
        <v>132</v>
      </c>
      <c r="C70" s="46" t="s">
        <v>5</v>
      </c>
      <c r="D70" s="109">
        <f>SUM(D71,D74,D76)</f>
        <v>350</v>
      </c>
      <c r="E70" s="109">
        <f>SUM(E71,E74,E76)</f>
        <v>350</v>
      </c>
      <c r="F70" s="109">
        <f t="shared" ref="F70:L70" si="6">SUM(F71,F74,F76)</f>
        <v>100</v>
      </c>
      <c r="G70" s="109">
        <f t="shared" si="6"/>
        <v>0</v>
      </c>
      <c r="H70" s="109">
        <f t="shared" si="6"/>
        <v>0</v>
      </c>
      <c r="I70" s="109">
        <f t="shared" si="6"/>
        <v>0</v>
      </c>
      <c r="J70" s="109">
        <f t="shared" si="6"/>
        <v>50</v>
      </c>
      <c r="K70" s="109">
        <f t="shared" si="6"/>
        <v>200</v>
      </c>
      <c r="L70" s="109">
        <f t="shared" si="6"/>
        <v>0</v>
      </c>
      <c r="M70" s="109">
        <f>E70-D70</f>
        <v>0</v>
      </c>
      <c r="N70" s="70">
        <f>IF(D70=0,0,M70/D70)</f>
        <v>0</v>
      </c>
      <c r="O70" s="186" t="s">
        <v>140</v>
      </c>
      <c r="P70" s="32"/>
      <c r="Q70" s="32"/>
      <c r="R70" s="32"/>
      <c r="S70" s="33"/>
      <c r="T70" s="33"/>
      <c r="U70" s="33"/>
      <c r="V70" s="33"/>
      <c r="W70" s="189"/>
      <c r="X70" s="189"/>
      <c r="Y70" s="189"/>
      <c r="Z70" s="189"/>
      <c r="AA70" s="189"/>
      <c r="AB70" s="189"/>
      <c r="AC70" s="94"/>
      <c r="AD70" s="94">
        <f>SUM(AD71,AD74,AD76)</f>
        <v>350000</v>
      </c>
      <c r="AE70" s="95" t="s">
        <v>25</v>
      </c>
      <c r="AF70" s="5"/>
    </row>
    <row r="71" spans="1:32" s="11" customFormat="1" ht="21" customHeight="1">
      <c r="A71" s="45"/>
      <c r="B71" s="46" t="s">
        <v>139</v>
      </c>
      <c r="C71" s="36" t="s">
        <v>10</v>
      </c>
      <c r="D71" s="161">
        <v>50</v>
      </c>
      <c r="E71" s="114">
        <f>SUM(F71:L71)</f>
        <v>50</v>
      </c>
      <c r="F71" s="114">
        <f>SUMIF($AB$72:$AB$73,"보조",$AD$72:$AD$73)/1000</f>
        <v>0</v>
      </c>
      <c r="G71" s="114">
        <f>SUMIF($AB$72:$AB$73,"7종",$AD$72:$AD$73)/1000</f>
        <v>0</v>
      </c>
      <c r="H71" s="114">
        <f>SUMIF($AB$72:$AB$73,"시비",$AD$72:$AD$73)/1000</f>
        <v>0</v>
      </c>
      <c r="I71" s="114">
        <f>SUMIF($AB$72:$AB$73,"후원",$AD$72:$AD$73)/1000</f>
        <v>0</v>
      </c>
      <c r="J71" s="114">
        <f>SUMIF($AB$72:$AB$73,"입소",$AD$72:$AD$73)/1000</f>
        <v>50</v>
      </c>
      <c r="K71" s="114">
        <f>SUMIF($AB$72:$AB$73,"법인",$AD$72:$AD$73)/1000</f>
        <v>0</v>
      </c>
      <c r="L71" s="114">
        <f>SUMIF($AB$72:$AB$73,"잡수",$AD$72:$AD$73)/1000</f>
        <v>0</v>
      </c>
      <c r="M71" s="113">
        <f>E71-D71</f>
        <v>0</v>
      </c>
      <c r="N71" s="121">
        <f>IF(D71=0,0,M71/D71)</f>
        <v>0</v>
      </c>
      <c r="O71" s="97" t="s">
        <v>37</v>
      </c>
      <c r="P71" s="151"/>
      <c r="Q71" s="165"/>
      <c r="R71" s="165"/>
      <c r="S71" s="165"/>
      <c r="T71" s="88"/>
      <c r="U71" s="88"/>
      <c r="V71" s="88"/>
      <c r="W71" s="88"/>
      <c r="X71" s="88"/>
      <c r="Y71" s="177" t="s">
        <v>142</v>
      </c>
      <c r="Z71" s="177"/>
      <c r="AA71" s="177"/>
      <c r="AB71" s="177"/>
      <c r="AC71" s="179"/>
      <c r="AD71" s="179">
        <f>AD72</f>
        <v>50000</v>
      </c>
      <c r="AE71" s="178" t="s">
        <v>25</v>
      </c>
    </row>
    <row r="72" spans="1:32" s="11" customFormat="1" ht="21" customHeight="1">
      <c r="A72" s="45"/>
      <c r="B72" s="46"/>
      <c r="C72" s="46"/>
      <c r="D72" s="159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579" t="s">
        <v>411</v>
      </c>
      <c r="P72" s="471"/>
      <c r="Q72" s="471"/>
      <c r="R72" s="471"/>
      <c r="S72" s="470"/>
      <c r="T72" s="384"/>
      <c r="U72" s="384"/>
      <c r="V72" s="470"/>
      <c r="W72" s="471"/>
      <c r="X72" s="470"/>
      <c r="Y72" s="470"/>
      <c r="Z72" s="470"/>
      <c r="AA72" s="470"/>
      <c r="AB72" s="578" t="s">
        <v>412</v>
      </c>
      <c r="AC72" s="470"/>
      <c r="AD72" s="528">
        <v>50000</v>
      </c>
      <c r="AE72" s="137" t="s">
        <v>361</v>
      </c>
      <c r="AF72" s="2"/>
    </row>
    <row r="73" spans="1:32" s="11" customFormat="1" ht="21" customHeight="1">
      <c r="A73" s="45"/>
      <c r="B73" s="46"/>
      <c r="C73" s="59"/>
      <c r="D73" s="160"/>
      <c r="E73" s="111"/>
      <c r="F73" s="111"/>
      <c r="G73" s="111"/>
      <c r="H73" s="111"/>
      <c r="I73" s="111"/>
      <c r="J73" s="111"/>
      <c r="K73" s="111"/>
      <c r="L73" s="111"/>
      <c r="M73" s="111"/>
      <c r="N73" s="84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124"/>
      <c r="AF73" s="1"/>
    </row>
    <row r="74" spans="1:32" s="11" customFormat="1" ht="21" customHeight="1">
      <c r="A74" s="45"/>
      <c r="B74" s="46"/>
      <c r="C74" s="46" t="s">
        <v>11</v>
      </c>
      <c r="D74" s="159">
        <v>0</v>
      </c>
      <c r="E74" s="114">
        <f>SUM(F74:L74)</f>
        <v>0</v>
      </c>
      <c r="F74" s="114">
        <f>SUMIF($AB$75:$AB$75,"보조",$AD$75:$AD$75)/1000</f>
        <v>0</v>
      </c>
      <c r="G74" s="114">
        <f>SUMIF($AB$75:$AB$75,"7종",$AD$75:$AD$75)/1000</f>
        <v>0</v>
      </c>
      <c r="H74" s="114">
        <f>SUMIF($AB$75:$AB$75,"시비",$AD$75:$AD$75)/1000</f>
        <v>0</v>
      </c>
      <c r="I74" s="114">
        <f>SUMIF($AB$75:$AB$75,"후원",$AD$75:$AD$75)/1000</f>
        <v>0</v>
      </c>
      <c r="J74" s="114">
        <f>SUMIF($AB$75:$AB$75,"입소",$AD$75:$AD$75)/1000</f>
        <v>0</v>
      </c>
      <c r="K74" s="114">
        <f>SUMIF($AB$75:$AB$75,"법인",$AD$75:$AD$75)/1000</f>
        <v>0</v>
      </c>
      <c r="L74" s="114">
        <f>SUMIF($AB$75:$AB$75,"잡수",$AD$75:$AD$75)/1000</f>
        <v>0</v>
      </c>
      <c r="M74" s="109">
        <f>E74-D74</f>
        <v>0</v>
      </c>
      <c r="N74" s="70">
        <f>IF(D74=0,0,M74/D74)</f>
        <v>0</v>
      </c>
      <c r="O74" s="97" t="s">
        <v>141</v>
      </c>
      <c r="P74" s="176"/>
      <c r="Q74" s="32"/>
      <c r="R74" s="32"/>
      <c r="S74" s="32"/>
      <c r="T74" s="33"/>
      <c r="U74" s="33"/>
      <c r="V74" s="33"/>
      <c r="W74" s="33"/>
      <c r="X74" s="33"/>
      <c r="Y74" s="177" t="s">
        <v>142</v>
      </c>
      <c r="Z74" s="177"/>
      <c r="AA74" s="177"/>
      <c r="AB74" s="177"/>
      <c r="AC74" s="179"/>
      <c r="AD74" s="179">
        <v>0</v>
      </c>
      <c r="AE74" s="178" t="s">
        <v>25</v>
      </c>
      <c r="AF74" s="1"/>
    </row>
    <row r="75" spans="1:32" s="11" customFormat="1" ht="21" customHeight="1">
      <c r="A75" s="45"/>
      <c r="B75" s="46"/>
      <c r="C75" s="59"/>
      <c r="D75" s="160"/>
      <c r="E75" s="111"/>
      <c r="F75" s="111"/>
      <c r="G75" s="111"/>
      <c r="H75" s="111"/>
      <c r="I75" s="111"/>
      <c r="J75" s="111"/>
      <c r="K75" s="111"/>
      <c r="L75" s="111"/>
      <c r="M75" s="111"/>
      <c r="N75" s="84"/>
      <c r="O75" s="154"/>
      <c r="P75" s="81"/>
      <c r="Q75" s="81"/>
      <c r="R75" s="81"/>
      <c r="S75" s="80"/>
      <c r="T75" s="85"/>
      <c r="U75" s="85"/>
      <c r="V75" s="80"/>
      <c r="W75" s="81"/>
      <c r="X75" s="80"/>
      <c r="Y75" s="80"/>
      <c r="Z75" s="80"/>
      <c r="AA75" s="80"/>
      <c r="AB75" s="80"/>
      <c r="AC75" s="80"/>
      <c r="AD75" s="80"/>
      <c r="AE75" s="73"/>
      <c r="AF75" s="1"/>
    </row>
    <row r="76" spans="1:32" s="11" customFormat="1" ht="21" customHeight="1">
      <c r="A76" s="45"/>
      <c r="B76" s="46"/>
      <c r="C76" s="46" t="s">
        <v>83</v>
      </c>
      <c r="D76" s="159">
        <v>300</v>
      </c>
      <c r="E76" s="114">
        <f>SUM(F76:L76)</f>
        <v>300</v>
      </c>
      <c r="F76" s="114">
        <f>SUMIF($AB$77:$AB$80,"보조",$AD$77:$AD$80)/1000</f>
        <v>100</v>
      </c>
      <c r="G76" s="114">
        <f>SUMIF($AB$77:$AB$80,"7종",$AD$77:$AD$80)/1000</f>
        <v>0</v>
      </c>
      <c r="H76" s="114">
        <f>SUMIF($AB$77:$AB$80,"시비",$AD$77:$AD$80)/1000</f>
        <v>0</v>
      </c>
      <c r="I76" s="114">
        <f>SUMIF($AB$77:$AB$80,"후원",$AD$77:$AD$80)/1000</f>
        <v>0</v>
      </c>
      <c r="J76" s="114">
        <f>SUMIF($AB$77:$AB$80,"입소",$AD$77:$AD$80)/1000</f>
        <v>0</v>
      </c>
      <c r="K76" s="114">
        <f>SUMIF($AB$77:$AB$80,"법인",$AD$77:$AD$80)/1000</f>
        <v>200</v>
      </c>
      <c r="L76" s="114">
        <f>SUMIF($AB$77:$AB$80,"잡수",$AD$77:$AD$80)/1000</f>
        <v>0</v>
      </c>
      <c r="M76" s="109">
        <f>E76-D76</f>
        <v>0</v>
      </c>
      <c r="N76" s="70">
        <f>IF(D76=0,0,M76/D76)</f>
        <v>0</v>
      </c>
      <c r="O76" s="116" t="s">
        <v>38</v>
      </c>
      <c r="P76" s="32"/>
      <c r="Q76" s="32"/>
      <c r="R76" s="32"/>
      <c r="S76" s="32"/>
      <c r="T76" s="33"/>
      <c r="U76" s="33"/>
      <c r="V76" s="33"/>
      <c r="W76" s="33"/>
      <c r="X76" s="33"/>
      <c r="Y76" s="177" t="s">
        <v>142</v>
      </c>
      <c r="Z76" s="177"/>
      <c r="AA76" s="177"/>
      <c r="AB76" s="177"/>
      <c r="AC76" s="179"/>
      <c r="AD76" s="179">
        <f>SUM(AD77:AD79)</f>
        <v>300000</v>
      </c>
      <c r="AE76" s="178" t="s">
        <v>25</v>
      </c>
      <c r="AF76" s="1"/>
    </row>
    <row r="77" spans="1:32" s="11" customFormat="1" ht="21" customHeight="1">
      <c r="A77" s="45"/>
      <c r="B77" s="46"/>
      <c r="C77" s="46"/>
      <c r="D77" s="159"/>
      <c r="E77" s="609"/>
      <c r="F77" s="109"/>
      <c r="G77" s="109"/>
      <c r="H77" s="109"/>
      <c r="I77" s="109"/>
      <c r="J77" s="109"/>
      <c r="K77" s="109"/>
      <c r="L77" s="109"/>
      <c r="M77" s="109"/>
      <c r="N77" s="70"/>
      <c r="O77" s="290" t="s">
        <v>610</v>
      </c>
      <c r="P77" s="290"/>
      <c r="Q77" s="290"/>
      <c r="R77" s="290"/>
      <c r="S77" s="578">
        <v>50000</v>
      </c>
      <c r="T77" s="578" t="s">
        <v>611</v>
      </c>
      <c r="U77" s="579" t="s">
        <v>612</v>
      </c>
      <c r="V77" s="610">
        <v>2</v>
      </c>
      <c r="W77" s="579" t="s">
        <v>612</v>
      </c>
      <c r="X77" s="611">
        <v>1</v>
      </c>
      <c r="Y77" s="385"/>
      <c r="Z77" s="378"/>
      <c r="AA77" s="378" t="s">
        <v>613</v>
      </c>
      <c r="AB77" s="378" t="s">
        <v>614</v>
      </c>
      <c r="AC77" s="578"/>
      <c r="AD77" s="578">
        <f>S77*V77*X77</f>
        <v>100000</v>
      </c>
      <c r="AE77" s="137" t="s">
        <v>611</v>
      </c>
      <c r="AF77" s="1"/>
    </row>
    <row r="78" spans="1:32" s="11" customFormat="1" ht="21" customHeight="1">
      <c r="A78" s="45"/>
      <c r="B78" s="46"/>
      <c r="C78" s="46"/>
      <c r="D78" s="159"/>
      <c r="E78" s="609"/>
      <c r="F78" s="109"/>
      <c r="G78" s="109"/>
      <c r="H78" s="109"/>
      <c r="I78" s="109"/>
      <c r="J78" s="109"/>
      <c r="K78" s="109"/>
      <c r="L78" s="109"/>
      <c r="M78" s="109"/>
      <c r="N78" s="70"/>
      <c r="O78" s="597"/>
      <c r="P78" s="597"/>
      <c r="Q78" s="597"/>
      <c r="R78" s="597"/>
      <c r="S78" s="596">
        <v>50000</v>
      </c>
      <c r="T78" s="596" t="s">
        <v>617</v>
      </c>
      <c r="U78" s="597" t="s">
        <v>618</v>
      </c>
      <c r="V78" s="612">
        <v>2</v>
      </c>
      <c r="W78" s="597" t="s">
        <v>618</v>
      </c>
      <c r="X78" s="613">
        <v>1</v>
      </c>
      <c r="Y78" s="614"/>
      <c r="Z78" s="615"/>
      <c r="AA78" s="615" t="s">
        <v>619</v>
      </c>
      <c r="AB78" s="615" t="s">
        <v>646</v>
      </c>
      <c r="AC78" s="596"/>
      <c r="AD78" s="596">
        <f>S78*V78*X78</f>
        <v>100000</v>
      </c>
      <c r="AE78" s="598" t="s">
        <v>617</v>
      </c>
      <c r="AF78" s="1"/>
    </row>
    <row r="79" spans="1:32" s="14" customFormat="1" ht="21" customHeight="1">
      <c r="A79" s="45"/>
      <c r="B79" s="46"/>
      <c r="C79" s="46"/>
      <c r="D79" s="159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597" t="s">
        <v>620</v>
      </c>
      <c r="P79" s="597"/>
      <c r="Q79" s="597"/>
      <c r="R79" s="597"/>
      <c r="S79" s="596">
        <v>25000</v>
      </c>
      <c r="T79" s="596" t="s">
        <v>617</v>
      </c>
      <c r="U79" s="597" t="s">
        <v>618</v>
      </c>
      <c r="V79" s="596">
        <v>4</v>
      </c>
      <c r="W79" s="596" t="s">
        <v>621</v>
      </c>
      <c r="X79" s="597"/>
      <c r="Y79" s="614"/>
      <c r="Z79" s="615"/>
      <c r="AA79" s="615" t="s">
        <v>619</v>
      </c>
      <c r="AB79" s="615" t="s">
        <v>646</v>
      </c>
      <c r="AC79" s="596"/>
      <c r="AD79" s="596">
        <f>S79*V79</f>
        <v>100000</v>
      </c>
      <c r="AE79" s="598" t="s">
        <v>617</v>
      </c>
      <c r="AF79" s="4"/>
    </row>
    <row r="80" spans="1:32" s="14" customFormat="1" ht="21" customHeight="1">
      <c r="A80" s="45"/>
      <c r="B80" s="46"/>
      <c r="C80" s="46"/>
      <c r="D80" s="159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471"/>
      <c r="P80" s="471"/>
      <c r="Q80" s="471"/>
      <c r="R80" s="471"/>
      <c r="S80" s="470"/>
      <c r="T80" s="384"/>
      <c r="U80" s="384"/>
      <c r="V80" s="470"/>
      <c r="W80" s="471"/>
      <c r="X80" s="470"/>
      <c r="Y80" s="470"/>
      <c r="Z80" s="470"/>
      <c r="AA80" s="470"/>
      <c r="AB80" s="470"/>
      <c r="AC80" s="470"/>
      <c r="AD80" s="470"/>
      <c r="AE80" s="137"/>
      <c r="AF80" s="4"/>
    </row>
    <row r="81" spans="1:34" s="11" customFormat="1" ht="21" customHeight="1">
      <c r="A81" s="45"/>
      <c r="B81" s="36" t="s">
        <v>12</v>
      </c>
      <c r="C81" s="173" t="s">
        <v>5</v>
      </c>
      <c r="D81" s="174">
        <f t="shared" ref="D81:L81" si="7">SUM(D82,D85,D91,D96,D104,D108)</f>
        <v>7895</v>
      </c>
      <c r="E81" s="174">
        <f t="shared" si="7"/>
        <v>8636</v>
      </c>
      <c r="F81" s="174">
        <f t="shared" si="7"/>
        <v>5011</v>
      </c>
      <c r="G81" s="174">
        <f t="shared" si="7"/>
        <v>0</v>
      </c>
      <c r="H81" s="174">
        <f t="shared" si="7"/>
        <v>0</v>
      </c>
      <c r="I81" s="174">
        <f t="shared" si="7"/>
        <v>0</v>
      </c>
      <c r="J81" s="174">
        <f t="shared" si="7"/>
        <v>3625</v>
      </c>
      <c r="K81" s="174">
        <f t="shared" si="7"/>
        <v>0</v>
      </c>
      <c r="L81" s="174">
        <f t="shared" si="7"/>
        <v>0</v>
      </c>
      <c r="M81" s="174">
        <f>E81-D81</f>
        <v>741</v>
      </c>
      <c r="N81" s="175">
        <f>IF(D81=0,0,M81/D81)</f>
        <v>9.3856871437618741E-2</v>
      </c>
      <c r="O81" s="176" t="s">
        <v>143</v>
      </c>
      <c r="P81" s="176"/>
      <c r="Q81" s="176"/>
      <c r="R81" s="176"/>
      <c r="S81" s="177"/>
      <c r="T81" s="191"/>
      <c r="U81" s="177"/>
      <c r="V81" s="667"/>
      <c r="W81" s="668"/>
      <c r="X81" s="177"/>
      <c r="Y81" s="177"/>
      <c r="Z81" s="177"/>
      <c r="AA81" s="177"/>
      <c r="AB81" s="177"/>
      <c r="AC81" s="177"/>
      <c r="AD81" s="177">
        <f>SUM(AD82,AD85,AD91,AD96,AD104,AD108)</f>
        <v>8636000</v>
      </c>
      <c r="AE81" s="178" t="s">
        <v>25</v>
      </c>
      <c r="AF81" s="1"/>
    </row>
    <row r="82" spans="1:34" s="11" customFormat="1" ht="21" customHeight="1">
      <c r="A82" s="45"/>
      <c r="B82" s="46"/>
      <c r="C82" s="46" t="s">
        <v>84</v>
      </c>
      <c r="D82" s="159">
        <v>100</v>
      </c>
      <c r="E82" s="114">
        <f>SUM(F82:L82)</f>
        <v>100</v>
      </c>
      <c r="F82" s="114">
        <f>SUMIF($AB$83:$AB$84,"보조",$AD$83:$AD$84)/1000</f>
        <v>0</v>
      </c>
      <c r="G82" s="114">
        <f>SUMIF($AB$83:$AB$84,"7종",$AD$83:$AD$84)/1000</f>
        <v>0</v>
      </c>
      <c r="H82" s="114">
        <f>SUMIF($AB$83:$AB$84,"시비",$AD$83:$AD$84)/1000</f>
        <v>0</v>
      </c>
      <c r="I82" s="114">
        <f>SUMIF($AB$83:$AB$84,"후원",$AD$83:$AD$84)/1000</f>
        <v>0</v>
      </c>
      <c r="J82" s="114">
        <f>SUMIF($AB$83:$AB$84,"입소",$AD$83:$AD$84)/1000</f>
        <v>100</v>
      </c>
      <c r="K82" s="114">
        <f>SUMIF($AB$83:$AB$84,"법인",$AD$83:$AD$84)/1000</f>
        <v>0</v>
      </c>
      <c r="L82" s="114">
        <f>SUMIF($AB$83:$AB$84,"잡수",$AD$83:$AD$84)/1000</f>
        <v>0</v>
      </c>
      <c r="M82" s="109">
        <f>E82-D82</f>
        <v>0</v>
      </c>
      <c r="N82" s="70">
        <f>IF(D82=0,0,M82/D82)</f>
        <v>0</v>
      </c>
      <c r="O82" s="116" t="s">
        <v>40</v>
      </c>
      <c r="P82" s="32"/>
      <c r="Q82" s="32"/>
      <c r="R82" s="32"/>
      <c r="S82" s="32"/>
      <c r="T82" s="33"/>
      <c r="U82" s="33"/>
      <c r="V82" s="33"/>
      <c r="W82" s="33"/>
      <c r="X82" s="33"/>
      <c r="Y82" s="457" t="s">
        <v>142</v>
      </c>
      <c r="Z82" s="457"/>
      <c r="AA82" s="457"/>
      <c r="AB82" s="457"/>
      <c r="AC82" s="179"/>
      <c r="AD82" s="179">
        <f>SUM(AD83:AD83)</f>
        <v>100000</v>
      </c>
      <c r="AE82" s="178" t="s">
        <v>25</v>
      </c>
      <c r="AF82" s="20"/>
      <c r="AG82" s="19"/>
      <c r="AH82" s="19"/>
    </row>
    <row r="83" spans="1:34" s="11" customFormat="1" ht="21" customHeight="1">
      <c r="A83" s="45"/>
      <c r="B83" s="46"/>
      <c r="C83" s="46"/>
      <c r="D83" s="159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290" t="s">
        <v>322</v>
      </c>
      <c r="P83" s="290"/>
      <c r="Q83" s="290"/>
      <c r="R83" s="290"/>
      <c r="S83" s="288">
        <v>50000</v>
      </c>
      <c r="T83" s="424" t="s">
        <v>25</v>
      </c>
      <c r="U83" s="424" t="s">
        <v>26</v>
      </c>
      <c r="V83" s="288">
        <v>1</v>
      </c>
      <c r="W83" s="424" t="s">
        <v>144</v>
      </c>
      <c r="X83" s="288" t="s">
        <v>26</v>
      </c>
      <c r="Y83" s="288">
        <v>2</v>
      </c>
      <c r="Z83" s="288" t="s">
        <v>312</v>
      </c>
      <c r="AA83" s="288" t="s">
        <v>27</v>
      </c>
      <c r="AB83" s="288" t="s">
        <v>533</v>
      </c>
      <c r="AC83" s="288"/>
      <c r="AD83" s="288">
        <f>S83*V83*Y83</f>
        <v>100000</v>
      </c>
      <c r="AE83" s="390" t="s">
        <v>311</v>
      </c>
      <c r="AF83" s="2"/>
    </row>
    <row r="84" spans="1:34" s="11" customFormat="1" ht="21" customHeight="1">
      <c r="A84" s="45"/>
      <c r="B84" s="46"/>
      <c r="C84" s="46"/>
      <c r="D84" s="159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188"/>
      <c r="P84" s="50"/>
      <c r="Q84" s="50"/>
      <c r="R84" s="50"/>
      <c r="S84" s="51"/>
      <c r="T84" s="55"/>
      <c r="U84" s="55"/>
      <c r="V84" s="51"/>
      <c r="W84" s="55"/>
      <c r="X84" s="51"/>
      <c r="Y84" s="51"/>
      <c r="Z84" s="187"/>
      <c r="AA84" s="51"/>
      <c r="AB84" s="187"/>
      <c r="AC84" s="51"/>
      <c r="AD84" s="51"/>
      <c r="AE84" s="57"/>
      <c r="AF84" s="2"/>
    </row>
    <row r="85" spans="1:34" s="11" customFormat="1" ht="21" customHeight="1">
      <c r="A85" s="45"/>
      <c r="B85" s="46"/>
      <c r="C85" s="36" t="s">
        <v>41</v>
      </c>
      <c r="D85" s="161">
        <v>3050</v>
      </c>
      <c r="E85" s="114">
        <f>SUM(F85:L85)</f>
        <v>3062</v>
      </c>
      <c r="F85" s="114">
        <f>SUMIF($AB$86:$AB$90,"보조",$AD$86:$AD$90)/1000</f>
        <v>1412</v>
      </c>
      <c r="G85" s="114">
        <f>SUMIF($AB$86:$AB$90,"7종",$AD$86:$AD$90)/1000</f>
        <v>0</v>
      </c>
      <c r="H85" s="114">
        <f>SUMIF($AB$86:$AB$90,"시비",$AD$86:$AD$90)/1000</f>
        <v>0</v>
      </c>
      <c r="I85" s="114">
        <f>SUMIF($AB$86:$AB$90,"후원",$AD$86:$AD$90)/1000</f>
        <v>0</v>
      </c>
      <c r="J85" s="114">
        <f>SUMIF($AB$86:$AB$90,"입소",$AD$86:$AD$90)/1000</f>
        <v>1650</v>
      </c>
      <c r="K85" s="114">
        <f>SUMIF($AB$86:$AB$90,"법인",$AD$86:$AD$90)/1000</f>
        <v>0</v>
      </c>
      <c r="L85" s="114">
        <f>SUMIF($AB$86:$AB$90,"잡수",$AD$86:$AD$90)/1000</f>
        <v>0</v>
      </c>
      <c r="M85" s="113">
        <f>E85-D85</f>
        <v>12</v>
      </c>
      <c r="N85" s="121">
        <f>IF(D85=0,0,M85/D85)</f>
        <v>3.9344262295081967E-3</v>
      </c>
      <c r="O85" s="391" t="s">
        <v>42</v>
      </c>
      <c r="P85" s="392"/>
      <c r="Q85" s="392"/>
      <c r="R85" s="392"/>
      <c r="S85" s="392"/>
      <c r="T85" s="393"/>
      <c r="U85" s="393"/>
      <c r="V85" s="393"/>
      <c r="W85" s="393"/>
      <c r="X85" s="393"/>
      <c r="Y85" s="394" t="s">
        <v>28</v>
      </c>
      <c r="Z85" s="394"/>
      <c r="AA85" s="394"/>
      <c r="AB85" s="394"/>
      <c r="AC85" s="395"/>
      <c r="AD85" s="395">
        <f>ROUND(SUM(AD86:AD89),-3)</f>
        <v>3062000</v>
      </c>
      <c r="AE85" s="178" t="s">
        <v>25</v>
      </c>
      <c r="AF85" s="1"/>
    </row>
    <row r="86" spans="1:34" s="11" customFormat="1" ht="21" customHeight="1">
      <c r="A86" s="45"/>
      <c r="B86" s="46"/>
      <c r="C86" s="46" t="s">
        <v>148</v>
      </c>
      <c r="D86" s="159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396" t="s">
        <v>413</v>
      </c>
      <c r="P86" s="471"/>
      <c r="Q86" s="471"/>
      <c r="R86" s="471"/>
      <c r="S86" s="470"/>
      <c r="T86" s="384"/>
      <c r="U86" s="470"/>
      <c r="V86" s="397">
        <v>50000</v>
      </c>
      <c r="W86" s="398" t="s">
        <v>57</v>
      </c>
      <c r="X86" s="398" t="s">
        <v>26</v>
      </c>
      <c r="Y86" s="397">
        <v>12</v>
      </c>
      <c r="Z86" s="399" t="s">
        <v>29</v>
      </c>
      <c r="AA86" s="397" t="s">
        <v>27</v>
      </c>
      <c r="AB86" s="380" t="s">
        <v>367</v>
      </c>
      <c r="AC86" s="380"/>
      <c r="AD86" s="526">
        <v>1200000</v>
      </c>
      <c r="AE86" s="491" t="s">
        <v>25</v>
      </c>
      <c r="AF86" s="1"/>
    </row>
    <row r="87" spans="1:34" s="11" customFormat="1" ht="21" customHeight="1">
      <c r="A87" s="45"/>
      <c r="B87" s="46"/>
      <c r="C87" s="46"/>
      <c r="D87" s="159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579" t="s">
        <v>437</v>
      </c>
      <c r="P87" s="579"/>
      <c r="Q87" s="579"/>
      <c r="R87" s="579"/>
      <c r="S87" s="578"/>
      <c r="T87" s="384"/>
      <c r="U87" s="384"/>
      <c r="V87" s="578"/>
      <c r="W87" s="578"/>
      <c r="X87" s="578"/>
      <c r="Y87" s="578"/>
      <c r="Z87" s="578"/>
      <c r="AA87" s="578"/>
      <c r="AB87" s="578" t="s">
        <v>85</v>
      </c>
      <c r="AC87" s="578"/>
      <c r="AD87" s="578">
        <v>212000</v>
      </c>
      <c r="AE87" s="137" t="s">
        <v>359</v>
      </c>
      <c r="AF87" s="1"/>
    </row>
    <row r="88" spans="1:34" s="11" customFormat="1" ht="21" customHeight="1">
      <c r="A88" s="45"/>
      <c r="B88" s="46"/>
      <c r="C88" s="46"/>
      <c r="D88" s="159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579" t="s">
        <v>438</v>
      </c>
      <c r="P88" s="579"/>
      <c r="Q88" s="579"/>
      <c r="R88" s="579"/>
      <c r="S88" s="578"/>
      <c r="T88" s="384"/>
      <c r="U88" s="384"/>
      <c r="V88" s="578"/>
      <c r="W88" s="578"/>
      <c r="X88" s="578"/>
      <c r="Y88" s="578"/>
      <c r="Z88" s="578"/>
      <c r="AA88" s="578"/>
      <c r="AB88" s="578" t="s">
        <v>573</v>
      </c>
      <c r="AC88" s="578"/>
      <c r="AD88" s="578">
        <v>150000</v>
      </c>
      <c r="AE88" s="137" t="s">
        <v>359</v>
      </c>
      <c r="AF88" s="1"/>
    </row>
    <row r="89" spans="1:34" s="11" customFormat="1" ht="21" customHeight="1">
      <c r="A89" s="45"/>
      <c r="B89" s="46"/>
      <c r="C89" s="46"/>
      <c r="D89" s="159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579" t="s">
        <v>414</v>
      </c>
      <c r="P89" s="471"/>
      <c r="Q89" s="471"/>
      <c r="R89" s="471"/>
      <c r="S89" s="470"/>
      <c r="T89" s="384"/>
      <c r="U89" s="384"/>
      <c r="V89" s="397">
        <v>70000</v>
      </c>
      <c r="W89" s="398" t="s">
        <v>57</v>
      </c>
      <c r="X89" s="398" t="s">
        <v>26</v>
      </c>
      <c r="Y89" s="397">
        <v>12</v>
      </c>
      <c r="Z89" s="399" t="s">
        <v>29</v>
      </c>
      <c r="AA89" s="397" t="s">
        <v>27</v>
      </c>
      <c r="AB89" s="578" t="s">
        <v>412</v>
      </c>
      <c r="AC89" s="470"/>
      <c r="AD89" s="578">
        <v>1500000</v>
      </c>
      <c r="AE89" s="137" t="s">
        <v>359</v>
      </c>
      <c r="AF89" s="20"/>
    </row>
    <row r="90" spans="1:34" s="11" customFormat="1" ht="21" customHeight="1">
      <c r="A90" s="45"/>
      <c r="B90" s="46"/>
      <c r="C90" s="59"/>
      <c r="D90" s="160"/>
      <c r="E90" s="111"/>
      <c r="F90" s="111"/>
      <c r="G90" s="111"/>
      <c r="H90" s="111"/>
      <c r="I90" s="111"/>
      <c r="J90" s="111"/>
      <c r="K90" s="111"/>
      <c r="L90" s="111"/>
      <c r="M90" s="111"/>
      <c r="N90" s="84"/>
      <c r="O90" s="472"/>
      <c r="P90" s="472"/>
      <c r="Q90" s="472"/>
      <c r="R90" s="472"/>
      <c r="S90" s="472"/>
      <c r="T90" s="472"/>
      <c r="U90" s="472"/>
      <c r="V90" s="472"/>
      <c r="W90" s="472"/>
      <c r="X90" s="472"/>
      <c r="Y90" s="472"/>
      <c r="Z90" s="472"/>
      <c r="AA90" s="472"/>
      <c r="AB90" s="472"/>
      <c r="AC90" s="472"/>
      <c r="AD90" s="473"/>
      <c r="AE90" s="474"/>
      <c r="AF90" s="1"/>
    </row>
    <row r="91" spans="1:34" s="11" customFormat="1" ht="21" customHeight="1">
      <c r="A91" s="45"/>
      <c r="B91" s="46"/>
      <c r="C91" s="46" t="s">
        <v>39</v>
      </c>
      <c r="D91" s="159">
        <v>3320</v>
      </c>
      <c r="E91" s="114">
        <f>SUM(F91:L91)</f>
        <v>3849</v>
      </c>
      <c r="F91" s="114">
        <f>SUMIF($AB$92:$AB$95,"보조",$AD$92:$AD$95)/1000</f>
        <v>2849</v>
      </c>
      <c r="G91" s="114">
        <f>SUMIF($AB$92:$AB$95,"7종",$AD$92:$AD$95)/1000</f>
        <v>0</v>
      </c>
      <c r="H91" s="114">
        <f>SUMIF($AB$92:$AB$95,"시비",$AD$92:$AD$95)/1000</f>
        <v>0</v>
      </c>
      <c r="I91" s="114">
        <f>SUMIF($AB$92:$AB$95,"후원",$AD$92:$AD$95)/1000</f>
        <v>0</v>
      </c>
      <c r="J91" s="114">
        <f>SUMIF($AB$92:$AB$95,"입소",$AD$92:$AD$95)/1000</f>
        <v>1000</v>
      </c>
      <c r="K91" s="114">
        <f>SUMIF($AB$92:$AB$95,"법인",$AD$92:$AD$95)/1000</f>
        <v>0</v>
      </c>
      <c r="L91" s="114">
        <f>SUMIF($AB$92:$AB$95,"잡수",$AD$92:$AD$95)/1000</f>
        <v>0</v>
      </c>
      <c r="M91" s="109">
        <f>E91-D91</f>
        <v>529</v>
      </c>
      <c r="N91" s="70">
        <f>IF(D91=0,0,M91/D91)</f>
        <v>0.15933734939759037</v>
      </c>
      <c r="O91" s="425" t="s">
        <v>43</v>
      </c>
      <c r="P91" s="426"/>
      <c r="Q91" s="426"/>
      <c r="R91" s="426"/>
      <c r="S91" s="426"/>
      <c r="T91" s="427"/>
      <c r="U91" s="427"/>
      <c r="V91" s="427"/>
      <c r="W91" s="427"/>
      <c r="X91" s="427"/>
      <c r="Y91" s="428" t="s">
        <v>315</v>
      </c>
      <c r="Z91" s="428"/>
      <c r="AA91" s="428"/>
      <c r="AB91" s="428"/>
      <c r="AC91" s="429"/>
      <c r="AD91" s="429">
        <f>ROUND(SUM(AD92:AD94),-3)</f>
        <v>3849000</v>
      </c>
      <c r="AE91" s="430" t="s">
        <v>25</v>
      </c>
      <c r="AF91" s="1"/>
    </row>
    <row r="92" spans="1:34" s="11" customFormat="1" ht="21" customHeight="1">
      <c r="A92" s="45"/>
      <c r="B92" s="46"/>
      <c r="C92" s="46"/>
      <c r="D92" s="159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431" t="s">
        <v>415</v>
      </c>
      <c r="P92" s="290"/>
      <c r="Q92" s="290"/>
      <c r="R92" s="290"/>
      <c r="S92" s="288">
        <v>40000</v>
      </c>
      <c r="T92" s="433" t="s">
        <v>25</v>
      </c>
      <c r="U92" s="433" t="s">
        <v>26</v>
      </c>
      <c r="V92" s="432">
        <v>12</v>
      </c>
      <c r="W92" s="434" t="s">
        <v>29</v>
      </c>
      <c r="X92" s="432" t="s">
        <v>27</v>
      </c>
      <c r="Y92" s="288"/>
      <c r="Z92" s="288"/>
      <c r="AA92" s="288"/>
      <c r="AB92" s="288" t="s">
        <v>318</v>
      </c>
      <c r="AC92" s="288"/>
      <c r="AD92" s="288">
        <f>S92*V92-31000</f>
        <v>449000</v>
      </c>
      <c r="AE92" s="390" t="s">
        <v>25</v>
      </c>
      <c r="AF92" s="1"/>
    </row>
    <row r="93" spans="1:34" s="11" customFormat="1" ht="21" customHeight="1">
      <c r="A93" s="45"/>
      <c r="B93" s="46"/>
      <c r="C93" s="46"/>
      <c r="D93" s="159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290" t="s">
        <v>417</v>
      </c>
      <c r="P93" s="290"/>
      <c r="Q93" s="290"/>
      <c r="R93" s="290"/>
      <c r="S93" s="288">
        <v>200000</v>
      </c>
      <c r="T93" s="424" t="s">
        <v>311</v>
      </c>
      <c r="U93" s="424" t="s">
        <v>26</v>
      </c>
      <c r="V93" s="288">
        <v>12</v>
      </c>
      <c r="W93" s="290" t="s">
        <v>313</v>
      </c>
      <c r="X93" s="288" t="s">
        <v>27</v>
      </c>
      <c r="Y93" s="288"/>
      <c r="Z93" s="288"/>
      <c r="AA93" s="288"/>
      <c r="AB93" s="288" t="s">
        <v>318</v>
      </c>
      <c r="AC93" s="288"/>
      <c r="AD93" s="288">
        <f>S93*V93</f>
        <v>2400000</v>
      </c>
      <c r="AE93" s="390" t="s">
        <v>25</v>
      </c>
      <c r="AF93" s="1"/>
    </row>
    <row r="94" spans="1:34" s="14" customFormat="1" ht="21" customHeight="1">
      <c r="A94" s="45"/>
      <c r="B94" s="46"/>
      <c r="C94" s="46"/>
      <c r="D94" s="159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290" t="s">
        <v>536</v>
      </c>
      <c r="P94" s="471"/>
      <c r="Q94" s="471"/>
      <c r="R94" s="471"/>
      <c r="S94" s="288"/>
      <c r="T94" s="424"/>
      <c r="U94" s="424"/>
      <c r="V94" s="288"/>
      <c r="W94" s="290"/>
      <c r="X94" s="288"/>
      <c r="Y94" s="288"/>
      <c r="Z94" s="288"/>
      <c r="AA94" s="288"/>
      <c r="AB94" s="288" t="s">
        <v>316</v>
      </c>
      <c r="AC94" s="288"/>
      <c r="AD94" s="288">
        <v>1000000</v>
      </c>
      <c r="AE94" s="390" t="s">
        <v>25</v>
      </c>
      <c r="AF94" s="4"/>
    </row>
    <row r="95" spans="1:34" s="14" customFormat="1" ht="21" customHeight="1">
      <c r="A95" s="45"/>
      <c r="B95" s="46"/>
      <c r="C95" s="46"/>
      <c r="D95" s="159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120"/>
      <c r="P95" s="50"/>
      <c r="Q95" s="50"/>
      <c r="R95" s="50"/>
      <c r="S95" s="51"/>
      <c r="T95" s="55"/>
      <c r="U95" s="55"/>
      <c r="V95" s="51"/>
      <c r="W95" s="50"/>
      <c r="X95" s="51"/>
      <c r="Y95" s="51"/>
      <c r="Z95" s="51"/>
      <c r="AA95" s="51"/>
      <c r="AB95" s="142"/>
      <c r="AC95" s="51"/>
      <c r="AD95" s="51"/>
      <c r="AE95" s="57"/>
      <c r="AF95" s="4"/>
    </row>
    <row r="96" spans="1:34" ht="21" customHeight="1">
      <c r="A96" s="45"/>
      <c r="B96" s="46"/>
      <c r="C96" s="36" t="s">
        <v>15</v>
      </c>
      <c r="D96" s="161">
        <v>725</v>
      </c>
      <c r="E96" s="114">
        <f>SUM(F96:L96)</f>
        <v>725</v>
      </c>
      <c r="F96" s="114">
        <f>SUMIF($AB$97:$AB$103,"보조",$AD$97:$AD$103)/1000</f>
        <v>450</v>
      </c>
      <c r="G96" s="114">
        <f>SUMIF($AB$97:$AB$103,"7종",$AD$97:$AD$103)/1000</f>
        <v>0</v>
      </c>
      <c r="H96" s="114">
        <f>SUMIF($AB$97:$AB$103,"시비",$AD$97:$AD$103)/1000</f>
        <v>0</v>
      </c>
      <c r="I96" s="114">
        <f>SUMIF($AB$97:$AB$103,"후원",$AD$97:$AD$103)/1000</f>
        <v>0</v>
      </c>
      <c r="J96" s="114">
        <f>SUMIF($AB$97:$AB$103,"입소",$AD$97:$AD$103)/1000</f>
        <v>275</v>
      </c>
      <c r="K96" s="114">
        <f>SUMIF($AB$97:$AB$103,"법인",$AD$97:$AD$103)/1000</f>
        <v>0</v>
      </c>
      <c r="L96" s="114">
        <f>SUMIF($AB$97:$AB$103,"잡수",$AD$97:$AD$103)/1000</f>
        <v>0</v>
      </c>
      <c r="M96" s="192">
        <f>E96-D96</f>
        <v>0</v>
      </c>
      <c r="N96" s="121">
        <f>IF(D96=0,0,M96/D96)</f>
        <v>0</v>
      </c>
      <c r="O96" s="435" t="s">
        <v>44</v>
      </c>
      <c r="P96" s="436"/>
      <c r="Q96" s="436"/>
      <c r="R96" s="436"/>
      <c r="S96" s="436"/>
      <c r="T96" s="437"/>
      <c r="U96" s="437"/>
      <c r="V96" s="437"/>
      <c r="W96" s="437"/>
      <c r="X96" s="437"/>
      <c r="Y96" s="428" t="s">
        <v>315</v>
      </c>
      <c r="Z96" s="428"/>
      <c r="AA96" s="428"/>
      <c r="AB96" s="428"/>
      <c r="AC96" s="429"/>
      <c r="AD96" s="429">
        <f>SUM(AD97:AD103)</f>
        <v>725000</v>
      </c>
      <c r="AE96" s="430" t="s">
        <v>25</v>
      </c>
    </row>
    <row r="97" spans="1:32" s="11" customFormat="1" ht="21" customHeight="1">
      <c r="A97" s="45"/>
      <c r="B97" s="46"/>
      <c r="C97" s="46"/>
      <c r="D97" s="159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579" t="s">
        <v>418</v>
      </c>
      <c r="P97" s="492"/>
      <c r="Q97" s="492"/>
      <c r="R97" s="492"/>
      <c r="S97" s="471"/>
      <c r="T97" s="136"/>
      <c r="U97" s="493"/>
      <c r="V97" s="397">
        <v>110000</v>
      </c>
      <c r="W97" s="398" t="s">
        <v>57</v>
      </c>
      <c r="X97" s="398" t="s">
        <v>26</v>
      </c>
      <c r="Y97" s="397">
        <v>1</v>
      </c>
      <c r="Z97" s="399" t="s">
        <v>423</v>
      </c>
      <c r="AA97" s="397" t="s">
        <v>27</v>
      </c>
      <c r="AB97" s="578" t="s">
        <v>650</v>
      </c>
      <c r="AC97" s="578"/>
      <c r="AD97" s="578">
        <f t="shared" ref="AD97" si="8">V97*Y97</f>
        <v>110000</v>
      </c>
      <c r="AE97" s="137" t="s">
        <v>57</v>
      </c>
      <c r="AF97" s="1"/>
    </row>
    <row r="98" spans="1:32" s="11" customFormat="1" ht="21" customHeight="1">
      <c r="A98" s="45"/>
      <c r="B98" s="46"/>
      <c r="C98" s="46"/>
      <c r="D98" s="159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0" t="s">
        <v>419</v>
      </c>
      <c r="P98" s="439"/>
      <c r="Q98" s="439"/>
      <c r="R98" s="439"/>
      <c r="S98" s="290"/>
      <c r="T98" s="291"/>
      <c r="U98" s="438"/>
      <c r="V98" s="397">
        <v>54000</v>
      </c>
      <c r="W98" s="398" t="s">
        <v>57</v>
      </c>
      <c r="X98" s="398" t="s">
        <v>26</v>
      </c>
      <c r="Y98" s="397">
        <v>1</v>
      </c>
      <c r="Z98" s="399" t="s">
        <v>423</v>
      </c>
      <c r="AA98" s="397" t="s">
        <v>27</v>
      </c>
      <c r="AB98" s="578" t="s">
        <v>561</v>
      </c>
      <c r="AC98" s="578"/>
      <c r="AD98" s="578">
        <f t="shared" ref="AD98" si="9">V98*Y98</f>
        <v>54000</v>
      </c>
      <c r="AE98" s="137" t="s">
        <v>57</v>
      </c>
      <c r="AF98" s="1"/>
    </row>
    <row r="99" spans="1:32" s="11" customFormat="1" ht="21" customHeight="1">
      <c r="A99" s="45"/>
      <c r="B99" s="46"/>
      <c r="C99" s="46"/>
      <c r="D99" s="159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0" t="s">
        <v>420</v>
      </c>
      <c r="P99" s="439"/>
      <c r="Q99" s="439"/>
      <c r="R99" s="439"/>
      <c r="S99" s="290"/>
      <c r="T99" s="291"/>
      <c r="U99" s="438"/>
      <c r="V99" s="397">
        <v>30000</v>
      </c>
      <c r="W99" s="398" t="s">
        <v>57</v>
      </c>
      <c r="X99" s="398" t="s">
        <v>26</v>
      </c>
      <c r="Y99" s="397">
        <v>1</v>
      </c>
      <c r="Z99" s="399" t="s">
        <v>423</v>
      </c>
      <c r="AA99" s="397" t="s">
        <v>27</v>
      </c>
      <c r="AB99" s="578" t="s">
        <v>650</v>
      </c>
      <c r="AC99" s="578"/>
      <c r="AD99" s="578">
        <f t="shared" ref="AD99" si="10">V99*Y99</f>
        <v>30000</v>
      </c>
      <c r="AE99" s="137" t="s">
        <v>57</v>
      </c>
      <c r="AF99" s="1"/>
    </row>
    <row r="100" spans="1:32" s="11" customFormat="1" ht="21" customHeight="1">
      <c r="A100" s="45"/>
      <c r="B100" s="46"/>
      <c r="C100" s="46"/>
      <c r="D100" s="159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0" t="s">
        <v>421</v>
      </c>
      <c r="P100" s="439"/>
      <c r="Q100" s="439"/>
      <c r="R100" s="439"/>
      <c r="S100" s="290"/>
      <c r="T100" s="291"/>
      <c r="U100" s="438"/>
      <c r="V100" s="397">
        <v>6000</v>
      </c>
      <c r="W100" s="398" t="s">
        <v>57</v>
      </c>
      <c r="X100" s="398" t="s">
        <v>26</v>
      </c>
      <c r="Y100" s="397">
        <v>1</v>
      </c>
      <c r="Z100" s="399" t="s">
        <v>423</v>
      </c>
      <c r="AA100" s="397" t="s">
        <v>27</v>
      </c>
      <c r="AB100" s="578" t="s">
        <v>85</v>
      </c>
      <c r="AC100" s="578"/>
      <c r="AD100" s="578">
        <f t="shared" ref="AD100" si="11">V100*Y100</f>
        <v>6000</v>
      </c>
      <c r="AE100" s="137" t="s">
        <v>57</v>
      </c>
      <c r="AF100" s="1"/>
    </row>
    <row r="101" spans="1:32" s="11" customFormat="1" ht="21" customHeight="1">
      <c r="A101" s="45"/>
      <c r="B101" s="46"/>
      <c r="C101" s="46"/>
      <c r="D101" s="159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0" t="s">
        <v>422</v>
      </c>
      <c r="P101" s="439"/>
      <c r="Q101" s="439"/>
      <c r="R101" s="439"/>
      <c r="S101" s="578">
        <v>755710</v>
      </c>
      <c r="T101" s="384" t="s">
        <v>57</v>
      </c>
      <c r="U101" s="384" t="s">
        <v>26</v>
      </c>
      <c r="V101" s="578">
        <v>1</v>
      </c>
      <c r="W101" s="579" t="s">
        <v>71</v>
      </c>
      <c r="X101" s="421" t="s">
        <v>70</v>
      </c>
      <c r="Y101" s="481">
        <v>3</v>
      </c>
      <c r="Z101" s="578"/>
      <c r="AA101" s="578" t="s">
        <v>27</v>
      </c>
      <c r="AB101" s="578" t="s">
        <v>85</v>
      </c>
      <c r="AC101" s="578"/>
      <c r="AD101" s="578">
        <f>ROUNDDOWN(S101*V101/Y101,-4)</f>
        <v>250000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59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290" t="s">
        <v>482</v>
      </c>
      <c r="P102" s="439"/>
      <c r="Q102" s="439"/>
      <c r="R102" s="439"/>
      <c r="S102" s="290"/>
      <c r="T102" s="291"/>
      <c r="U102" s="438"/>
      <c r="V102" s="397"/>
      <c r="W102" s="398"/>
      <c r="X102" s="398"/>
      <c r="Y102" s="397"/>
      <c r="Z102" s="399"/>
      <c r="AA102" s="397" t="s">
        <v>27</v>
      </c>
      <c r="AB102" s="578" t="s">
        <v>416</v>
      </c>
      <c r="AC102" s="578"/>
      <c r="AD102" s="578">
        <v>275000</v>
      </c>
      <c r="AE102" s="137" t="s">
        <v>57</v>
      </c>
      <c r="AF102" s="1"/>
    </row>
    <row r="103" spans="1:32" s="11" customFormat="1" ht="21" customHeight="1">
      <c r="A103" s="45"/>
      <c r="B103" s="46"/>
      <c r="C103" s="46"/>
      <c r="D103" s="159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126"/>
      <c r="P103" s="127"/>
      <c r="Q103" s="127"/>
      <c r="R103" s="127"/>
      <c r="S103" s="127"/>
      <c r="T103" s="127"/>
      <c r="U103" s="127"/>
      <c r="V103" s="127"/>
      <c r="W103" s="127"/>
      <c r="X103" s="127"/>
      <c r="Y103" s="75"/>
      <c r="Z103" s="75"/>
      <c r="AA103" s="75"/>
      <c r="AB103" s="75"/>
      <c r="AC103" s="75"/>
      <c r="AD103" s="51"/>
      <c r="AE103" s="57"/>
      <c r="AF103" s="1"/>
    </row>
    <row r="104" spans="1:32" s="11" customFormat="1" ht="21" customHeight="1">
      <c r="A104" s="45"/>
      <c r="B104" s="46"/>
      <c r="C104" s="36" t="s">
        <v>45</v>
      </c>
      <c r="D104" s="161">
        <v>500</v>
      </c>
      <c r="E104" s="114">
        <f>SUM(F104:L104)</f>
        <v>700</v>
      </c>
      <c r="F104" s="114">
        <f>SUMIF($AB$105:$AB$107,"보조",$AD$105:$AD$107)/1000</f>
        <v>300</v>
      </c>
      <c r="G104" s="114">
        <f>SUMIF($AB$105:$AB$107,"7종",$AD$105:$AD$107)/1000</f>
        <v>0</v>
      </c>
      <c r="H104" s="114">
        <f>SUMIF($AB$105:$AB$107,"시비",$AD$105:$AD$107)/1000</f>
        <v>0</v>
      </c>
      <c r="I104" s="114">
        <f>SUMIF($AB$105:$AB$107,"후원",$AD$105:$AD$107)/1000</f>
        <v>0</v>
      </c>
      <c r="J104" s="114">
        <f>SUMIF($AB$105:$AB$107,"입소",$AD$105:$AD$107)/1000</f>
        <v>400</v>
      </c>
      <c r="K104" s="114">
        <f>SUMIF($AB$105:$AB$107,"법인",$AD$105:$AD$107)/1000</f>
        <v>0</v>
      </c>
      <c r="L104" s="114">
        <f>SUMIF($AB$105:$AB$107,"잡수",$AD$105:$AD$107)/1000</f>
        <v>0</v>
      </c>
      <c r="M104" s="113">
        <f>E104-D104</f>
        <v>200</v>
      </c>
      <c r="N104" s="121">
        <f>IF(D104=0,0,M104/D104)</f>
        <v>0.4</v>
      </c>
      <c r="O104" s="97" t="s">
        <v>46</v>
      </c>
      <c r="P104" s="93"/>
      <c r="Q104" s="93"/>
      <c r="R104" s="93"/>
      <c r="S104" s="93"/>
      <c r="T104" s="89"/>
      <c r="U104" s="89"/>
      <c r="V104" s="89"/>
      <c r="W104" s="89"/>
      <c r="X104" s="89"/>
      <c r="Y104" s="177" t="s">
        <v>142</v>
      </c>
      <c r="Z104" s="177"/>
      <c r="AA104" s="177"/>
      <c r="AB104" s="177"/>
      <c r="AC104" s="179"/>
      <c r="AD104" s="179">
        <f>SUM(AD105:AD106)</f>
        <v>700000</v>
      </c>
      <c r="AE104" s="178" t="s">
        <v>25</v>
      </c>
      <c r="AF104" s="1"/>
    </row>
    <row r="105" spans="1:32" s="11" customFormat="1" ht="21" customHeight="1">
      <c r="A105" s="45"/>
      <c r="B105" s="46"/>
      <c r="C105" s="46"/>
      <c r="D105" s="11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579" t="s">
        <v>425</v>
      </c>
      <c r="P105" s="471"/>
      <c r="Q105" s="471"/>
      <c r="R105" s="471"/>
      <c r="S105" s="470"/>
      <c r="T105" s="384"/>
      <c r="U105" s="384"/>
      <c r="V105" s="470"/>
      <c r="W105" s="471"/>
      <c r="X105" s="470"/>
      <c r="Y105" s="470"/>
      <c r="Z105" s="470"/>
      <c r="AA105" s="470"/>
      <c r="AB105" s="470" t="s">
        <v>367</v>
      </c>
      <c r="AC105" s="470"/>
      <c r="AD105" s="470">
        <v>300000</v>
      </c>
      <c r="AE105" s="137" t="s">
        <v>25</v>
      </c>
      <c r="AF105" s="1"/>
    </row>
    <row r="106" spans="1:32" ht="21" customHeight="1">
      <c r="A106" s="45"/>
      <c r="B106" s="46"/>
      <c r="C106" s="46"/>
      <c r="D106" s="159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579" t="s">
        <v>426</v>
      </c>
      <c r="P106" s="471"/>
      <c r="Q106" s="471"/>
      <c r="R106" s="471"/>
      <c r="S106" s="470"/>
      <c r="T106" s="384"/>
      <c r="U106" s="384"/>
      <c r="V106" s="470"/>
      <c r="W106" s="471"/>
      <c r="X106" s="470"/>
      <c r="Y106" s="470"/>
      <c r="Z106" s="470"/>
      <c r="AA106" s="470"/>
      <c r="AB106" s="578" t="s">
        <v>416</v>
      </c>
      <c r="AC106" s="470"/>
      <c r="AD106" s="470">
        <v>400000</v>
      </c>
      <c r="AE106" s="137" t="s">
        <v>25</v>
      </c>
    </row>
    <row r="107" spans="1:32" s="11" customFormat="1" ht="21" customHeight="1">
      <c r="A107" s="45"/>
      <c r="B107" s="46"/>
      <c r="C107" s="59"/>
      <c r="D107" s="128"/>
      <c r="E107" s="111"/>
      <c r="F107" s="111"/>
      <c r="G107" s="111"/>
      <c r="H107" s="111"/>
      <c r="I107" s="111"/>
      <c r="J107" s="111"/>
      <c r="K107" s="111"/>
      <c r="L107" s="111"/>
      <c r="M107" s="111"/>
      <c r="N107" s="84"/>
      <c r="O107" s="376"/>
      <c r="P107" s="376"/>
      <c r="Q107" s="376"/>
      <c r="R107" s="376"/>
      <c r="S107" s="488"/>
      <c r="T107" s="494"/>
      <c r="U107" s="488"/>
      <c r="V107" s="665"/>
      <c r="W107" s="666"/>
      <c r="X107" s="488"/>
      <c r="Y107" s="488"/>
      <c r="Z107" s="488"/>
      <c r="AA107" s="488"/>
      <c r="AB107" s="488"/>
      <c r="AC107" s="488"/>
      <c r="AD107" s="488"/>
      <c r="AE107" s="495"/>
      <c r="AF107" s="1"/>
    </row>
    <row r="108" spans="1:32" s="11" customFormat="1" ht="21" customHeight="1">
      <c r="A108" s="45"/>
      <c r="B108" s="46"/>
      <c r="C108" s="36" t="s">
        <v>86</v>
      </c>
      <c r="D108" s="129">
        <v>200</v>
      </c>
      <c r="E108" s="114">
        <f>SUM(F108:L108)</f>
        <v>200</v>
      </c>
      <c r="F108" s="114">
        <f>SUMIF($AB$109:$AB$111,"보조",$AD$109:$AD$111)/1000</f>
        <v>0</v>
      </c>
      <c r="G108" s="114">
        <f>SUMIF($AB$109:$AB$111,"7종",$AD$109:$AD$111)/1000</f>
        <v>0</v>
      </c>
      <c r="H108" s="114">
        <f>SUMIF($AB$109:$AB$111,"시비",$AD$109:$AD$111)/1000</f>
        <v>0</v>
      </c>
      <c r="I108" s="114">
        <f>SUMIF($AB$109:$AB$111,"후원",$AD$109:$AD$111)/1000</f>
        <v>0</v>
      </c>
      <c r="J108" s="114">
        <f>SUMIF($AB$109:$AB$111,"입소",$AD$109:$AD$111)/1000</f>
        <v>200</v>
      </c>
      <c r="K108" s="114">
        <f>SUMIF($AB$109:$AB$111,"법인",$AD$109:$AD$111)/1000</f>
        <v>0</v>
      </c>
      <c r="L108" s="114">
        <f>SUMIF($AB$109:$AB$111,"잡수",$AD$109:$AD$111)/1000</f>
        <v>0</v>
      </c>
      <c r="M108" s="113">
        <f>E108-D108</f>
        <v>0</v>
      </c>
      <c r="N108" s="121">
        <f>IF(D108=0,0,M108/D108)</f>
        <v>0</v>
      </c>
      <c r="O108" s="116" t="s">
        <v>87</v>
      </c>
      <c r="P108" s="93"/>
      <c r="Q108" s="93"/>
      <c r="R108" s="93"/>
      <c r="S108" s="93"/>
      <c r="T108" s="89"/>
      <c r="U108" s="89"/>
      <c r="V108" s="89"/>
      <c r="W108" s="89"/>
      <c r="X108" s="89"/>
      <c r="Y108" s="177" t="s">
        <v>142</v>
      </c>
      <c r="Z108" s="177"/>
      <c r="AA108" s="177"/>
      <c r="AB108" s="177"/>
      <c r="AC108" s="179"/>
      <c r="AD108" s="179">
        <f>SUM(AD109:AD110)</f>
        <v>200000</v>
      </c>
      <c r="AE108" s="178" t="s">
        <v>25</v>
      </c>
      <c r="AF108" s="1"/>
    </row>
    <row r="109" spans="1:32" s="11" customFormat="1" ht="20.25" customHeight="1">
      <c r="A109" s="45"/>
      <c r="B109" s="46"/>
      <c r="C109" s="46"/>
      <c r="D109" s="13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290" t="s">
        <v>424</v>
      </c>
      <c r="P109" s="290"/>
      <c r="Q109" s="290"/>
      <c r="R109" s="290"/>
      <c r="S109" s="288">
        <v>50000</v>
      </c>
      <c r="T109" s="288" t="s">
        <v>311</v>
      </c>
      <c r="U109" s="420" t="s">
        <v>317</v>
      </c>
      <c r="V109" s="288">
        <v>0</v>
      </c>
      <c r="W109" s="288" t="s">
        <v>537</v>
      </c>
      <c r="X109" s="420"/>
      <c r="Y109" s="288"/>
      <c r="Z109" s="288"/>
      <c r="AA109" s="288" t="s">
        <v>314</v>
      </c>
      <c r="AB109" s="288" t="s">
        <v>375</v>
      </c>
      <c r="AC109" s="291"/>
      <c r="AD109" s="136">
        <f>S109*V109</f>
        <v>0</v>
      </c>
      <c r="AE109" s="390" t="s">
        <v>311</v>
      </c>
      <c r="AF109" s="2"/>
    </row>
    <row r="110" spans="1:32" s="11" customFormat="1" ht="20.25" customHeight="1">
      <c r="A110" s="45"/>
      <c r="B110" s="46"/>
      <c r="C110" s="46"/>
      <c r="D110" s="13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290"/>
      <c r="P110" s="290"/>
      <c r="Q110" s="290"/>
      <c r="R110" s="290"/>
      <c r="S110" s="288">
        <v>50000</v>
      </c>
      <c r="T110" s="288" t="s">
        <v>57</v>
      </c>
      <c r="U110" s="420" t="s">
        <v>58</v>
      </c>
      <c r="V110" s="288">
        <v>4</v>
      </c>
      <c r="W110" s="288" t="s">
        <v>537</v>
      </c>
      <c r="X110" s="420"/>
      <c r="Y110" s="288"/>
      <c r="Z110" s="288"/>
      <c r="AA110" s="288" t="s">
        <v>231</v>
      </c>
      <c r="AB110" s="288" t="s">
        <v>416</v>
      </c>
      <c r="AC110" s="291"/>
      <c r="AD110" s="136">
        <f>S110*V110</f>
        <v>200000</v>
      </c>
      <c r="AE110" s="390" t="s">
        <v>57</v>
      </c>
      <c r="AF110" s="2"/>
    </row>
    <row r="111" spans="1:32" s="11" customFormat="1" ht="21" customHeight="1">
      <c r="A111" s="45"/>
      <c r="B111" s="46"/>
      <c r="C111" s="47"/>
      <c r="D111" s="159"/>
      <c r="E111" s="109"/>
      <c r="F111" s="109"/>
      <c r="G111" s="109"/>
      <c r="H111" s="109"/>
      <c r="I111" s="109"/>
      <c r="J111" s="109"/>
      <c r="K111" s="109"/>
      <c r="L111" s="109"/>
      <c r="M111" s="109"/>
      <c r="N111" s="84"/>
      <c r="O111" s="154"/>
      <c r="P111" s="81"/>
      <c r="Q111" s="81"/>
      <c r="R111" s="81"/>
      <c r="S111" s="80"/>
      <c r="T111" s="81"/>
      <c r="U111" s="80"/>
      <c r="V111" s="131"/>
      <c r="W111" s="131"/>
      <c r="X111" s="80"/>
      <c r="Y111" s="80"/>
      <c r="Z111" s="80"/>
      <c r="AA111" s="80"/>
      <c r="AB111" s="80"/>
      <c r="AC111" s="80"/>
      <c r="AD111" s="80"/>
      <c r="AE111" s="73"/>
      <c r="AF111" s="2"/>
    </row>
    <row r="112" spans="1:32" s="11" customFormat="1" ht="21" customHeight="1">
      <c r="A112" s="112" t="s">
        <v>47</v>
      </c>
      <c r="B112" s="681" t="s">
        <v>20</v>
      </c>
      <c r="C112" s="681"/>
      <c r="D112" s="195">
        <f>D113</f>
        <v>2200</v>
      </c>
      <c r="E112" s="195">
        <f>E113</f>
        <v>4300</v>
      </c>
      <c r="F112" s="195">
        <f t="shared" ref="F112:L112" si="12">F113</f>
        <v>3100</v>
      </c>
      <c r="G112" s="195">
        <f t="shared" si="12"/>
        <v>0</v>
      </c>
      <c r="H112" s="195">
        <f t="shared" si="12"/>
        <v>0</v>
      </c>
      <c r="I112" s="195">
        <f t="shared" si="12"/>
        <v>0</v>
      </c>
      <c r="J112" s="195">
        <f t="shared" si="12"/>
        <v>1200</v>
      </c>
      <c r="K112" s="195">
        <f t="shared" si="12"/>
        <v>0</v>
      </c>
      <c r="L112" s="195">
        <f t="shared" si="12"/>
        <v>0</v>
      </c>
      <c r="M112" s="195">
        <f>E112-D112</f>
        <v>2100</v>
      </c>
      <c r="N112" s="171">
        <f>IF(D112=0,0,M112/D112)</f>
        <v>0.95454545454545459</v>
      </c>
      <c r="O112" s="186" t="s">
        <v>145</v>
      </c>
      <c r="P112" s="32"/>
      <c r="Q112" s="32"/>
      <c r="R112" s="32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>
        <f>AD113</f>
        <v>4300000</v>
      </c>
      <c r="AE112" s="34" t="s">
        <v>25</v>
      </c>
      <c r="AF112" s="2"/>
    </row>
    <row r="113" spans="1:32" s="11" customFormat="1" ht="21" customHeight="1">
      <c r="A113" s="194" t="s">
        <v>152</v>
      </c>
      <c r="B113" s="46" t="s">
        <v>17</v>
      </c>
      <c r="C113" s="46" t="s">
        <v>146</v>
      </c>
      <c r="D113" s="109">
        <f t="shared" ref="D113:L113" si="13">SUM(D114,D117,D121)</f>
        <v>2200</v>
      </c>
      <c r="E113" s="109">
        <f t="shared" si="13"/>
        <v>4300</v>
      </c>
      <c r="F113" s="109">
        <f t="shared" si="13"/>
        <v>3100</v>
      </c>
      <c r="G113" s="109">
        <f t="shared" si="13"/>
        <v>0</v>
      </c>
      <c r="H113" s="109">
        <f t="shared" si="13"/>
        <v>0</v>
      </c>
      <c r="I113" s="109">
        <f t="shared" si="13"/>
        <v>0</v>
      </c>
      <c r="J113" s="109">
        <f t="shared" si="13"/>
        <v>1200</v>
      </c>
      <c r="K113" s="109">
        <f t="shared" si="13"/>
        <v>0</v>
      </c>
      <c r="L113" s="109">
        <f t="shared" si="13"/>
        <v>0</v>
      </c>
      <c r="M113" s="109">
        <f>E113-D113</f>
        <v>2100</v>
      </c>
      <c r="N113" s="70">
        <f>IF(D113=0,0,M113/D113)</f>
        <v>0.95454545454545459</v>
      </c>
      <c r="O113" s="190" t="s">
        <v>147</v>
      </c>
      <c r="P113" s="93"/>
      <c r="Q113" s="93"/>
      <c r="R113" s="93"/>
      <c r="S113" s="93"/>
      <c r="T113" s="89"/>
      <c r="U113" s="89"/>
      <c r="V113" s="89"/>
      <c r="W113" s="89"/>
      <c r="X113" s="89"/>
      <c r="Y113" s="89"/>
      <c r="Z113" s="89"/>
      <c r="AA113" s="89"/>
      <c r="AB113" s="89"/>
      <c r="AC113" s="94"/>
      <c r="AD113" s="94">
        <f>SUM(AD114,AD117,AD121)</f>
        <v>4300000</v>
      </c>
      <c r="AE113" s="95" t="s">
        <v>25</v>
      </c>
      <c r="AF113" s="1"/>
    </row>
    <row r="114" spans="1:32" s="11" customFormat="1" ht="21" customHeight="1">
      <c r="A114" s="45"/>
      <c r="B114" s="46"/>
      <c r="C114" s="36" t="s">
        <v>147</v>
      </c>
      <c r="D114" s="192">
        <v>0</v>
      </c>
      <c r="E114" s="114">
        <f>SUM(F114:L114)</f>
        <v>0</v>
      </c>
      <c r="F114" s="114">
        <f>SUMIF($AB$115:$AB$116,"보조",$AD$115:$AD$116)/1000</f>
        <v>0</v>
      </c>
      <c r="G114" s="114">
        <f>SUMIF($AB$115:$AB$116,"7종",$AD$115:$AD$116)/1000</f>
        <v>0</v>
      </c>
      <c r="H114" s="114">
        <f>SUMIF($AB$115:$AB$116,"시비",$AD$115:$AD$116)/1000</f>
        <v>0</v>
      </c>
      <c r="I114" s="114">
        <f>SUMIF($AB$115:$AB$116,"후원",$AD$115:$AD$116)/1000</f>
        <v>0</v>
      </c>
      <c r="J114" s="114">
        <f>SUMIF($AB$115:$AB$116,"입소",$AD$115:$AD$116)/1000</f>
        <v>0</v>
      </c>
      <c r="K114" s="114">
        <f>SUMIF($AB$115:$AB$116,"법인",$AD$115:$AD$116)/1000</f>
        <v>0</v>
      </c>
      <c r="L114" s="114">
        <f>SUMIF($AB$115:$AB$116,"잡수",$AD$115:$AD$116)/1000</f>
        <v>0</v>
      </c>
      <c r="M114" s="192">
        <f>E114-D114</f>
        <v>0</v>
      </c>
      <c r="N114" s="193">
        <f>IF(D114=0,0,M114/D114)</f>
        <v>0</v>
      </c>
      <c r="O114" s="97" t="s">
        <v>48</v>
      </c>
      <c r="P114" s="190"/>
      <c r="Q114" s="190"/>
      <c r="R114" s="190"/>
      <c r="S114" s="190"/>
      <c r="T114" s="189"/>
      <c r="U114" s="189"/>
      <c r="V114" s="189"/>
      <c r="W114" s="189"/>
      <c r="X114" s="189"/>
      <c r="Y114" s="177" t="s">
        <v>142</v>
      </c>
      <c r="Z114" s="177"/>
      <c r="AA114" s="177"/>
      <c r="AB114" s="177"/>
      <c r="AC114" s="179"/>
      <c r="AD114" s="179">
        <f>SUM(AD115:AD115)</f>
        <v>0</v>
      </c>
      <c r="AE114" s="178" t="s">
        <v>25</v>
      </c>
      <c r="AF114" s="1"/>
    </row>
    <row r="115" spans="1:32" s="11" customFormat="1" ht="21" customHeight="1">
      <c r="A115" s="45"/>
      <c r="B115" s="46"/>
      <c r="C115" s="46"/>
      <c r="D115" s="11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184" t="s">
        <v>427</v>
      </c>
      <c r="P115" s="144"/>
      <c r="Q115" s="144"/>
      <c r="R115" s="144"/>
      <c r="S115" s="144"/>
      <c r="T115" s="143"/>
      <c r="U115" s="143"/>
      <c r="V115" s="143"/>
      <c r="W115" s="143"/>
      <c r="X115" s="143"/>
      <c r="Y115" s="143"/>
      <c r="Z115" s="143"/>
      <c r="AA115" s="143"/>
      <c r="AB115" s="145"/>
      <c r="AC115" s="52"/>
      <c r="AD115" s="291">
        <v>0</v>
      </c>
      <c r="AE115" s="57" t="s">
        <v>125</v>
      </c>
      <c r="AF115" s="2"/>
    </row>
    <row r="116" spans="1:32" s="11" customFormat="1" ht="21" customHeight="1">
      <c r="A116" s="45"/>
      <c r="B116" s="46"/>
      <c r="C116" s="46"/>
      <c r="D116" s="159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32"/>
      <c r="AE116" s="124"/>
      <c r="AF116" s="2"/>
    </row>
    <row r="117" spans="1:32" s="11" customFormat="1" ht="21" customHeight="1">
      <c r="A117" s="45"/>
      <c r="B117" s="46"/>
      <c r="C117" s="36" t="s">
        <v>18</v>
      </c>
      <c r="D117" s="161">
        <v>1600</v>
      </c>
      <c r="E117" s="114">
        <f>SUM(F117:L117)</f>
        <v>3700</v>
      </c>
      <c r="F117" s="114">
        <f>SUMIF($AB$118:$AB$120,"보조",$AD$118:$AD$120)/1000</f>
        <v>3100</v>
      </c>
      <c r="G117" s="114">
        <f>SUMIF($AB$118:$AB$120,"7종",$AD$118:$AD$120)/1000</f>
        <v>0</v>
      </c>
      <c r="H117" s="114">
        <f>SUMIF($AB$118:$AB$120,"시비",$AD$118:$AD$120)/1000</f>
        <v>0</v>
      </c>
      <c r="I117" s="114">
        <f>SUMIF($AB$118:$AB$120,"후원",$AD$118:$AD$120)/1000</f>
        <v>0</v>
      </c>
      <c r="J117" s="114">
        <f>SUMIF($AB$118:$AB$120,"입소",$AD$118:$AD$120)/1000</f>
        <v>600</v>
      </c>
      <c r="K117" s="114">
        <f>SUMIF($AB$118:$AB$120,"법인",$AD$118:$AD$120)/1000</f>
        <v>0</v>
      </c>
      <c r="L117" s="114">
        <f>SUMIF($AB$118:$AB$120,"잡수",$AD$118:$AD$120)/1000</f>
        <v>0</v>
      </c>
      <c r="M117" s="113">
        <f>E117-D117</f>
        <v>2100</v>
      </c>
      <c r="N117" s="121">
        <f>IF(D117=0,0,M117/D117)</f>
        <v>1.3125</v>
      </c>
      <c r="O117" s="97" t="s">
        <v>49</v>
      </c>
      <c r="P117" s="93"/>
      <c r="Q117" s="93"/>
      <c r="R117" s="93"/>
      <c r="S117" s="93"/>
      <c r="T117" s="89"/>
      <c r="U117" s="89"/>
      <c r="V117" s="89"/>
      <c r="W117" s="89"/>
      <c r="X117" s="89"/>
      <c r="Y117" s="177" t="s">
        <v>142</v>
      </c>
      <c r="Z117" s="177"/>
      <c r="AA117" s="177"/>
      <c r="AB117" s="177"/>
      <c r="AC117" s="179"/>
      <c r="AD117" s="179">
        <f>SUM(AD118:AD119)</f>
        <v>3700000</v>
      </c>
      <c r="AE117" s="178" t="s">
        <v>25</v>
      </c>
      <c r="AF117" s="1"/>
    </row>
    <row r="118" spans="1:32" s="11" customFormat="1" ht="21" customHeight="1">
      <c r="A118" s="45"/>
      <c r="B118" s="46"/>
      <c r="C118" s="46"/>
      <c r="D118" s="11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79" t="s">
        <v>651</v>
      </c>
      <c r="P118" s="579"/>
      <c r="Q118" s="579"/>
      <c r="R118" s="579"/>
      <c r="S118" s="578"/>
      <c r="T118" s="384"/>
      <c r="U118" s="384"/>
      <c r="V118" s="578"/>
      <c r="W118" s="579"/>
      <c r="X118" s="578"/>
      <c r="Y118" s="578"/>
      <c r="Z118" s="578"/>
      <c r="AA118" s="578"/>
      <c r="AB118" s="578" t="s">
        <v>650</v>
      </c>
      <c r="AC118" s="578"/>
      <c r="AD118" s="578">
        <v>3100000</v>
      </c>
      <c r="AE118" s="137" t="s">
        <v>25</v>
      </c>
      <c r="AF118" s="2"/>
    </row>
    <row r="119" spans="1:32" s="11" customFormat="1" ht="21" customHeight="1">
      <c r="A119" s="45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579" t="s">
        <v>544</v>
      </c>
      <c r="P119" s="579"/>
      <c r="Q119" s="579"/>
      <c r="R119" s="496"/>
      <c r="S119" s="496"/>
      <c r="T119" s="497"/>
      <c r="U119" s="497"/>
      <c r="V119" s="497"/>
      <c r="W119" s="497"/>
      <c r="X119" s="497"/>
      <c r="Y119" s="497"/>
      <c r="Z119" s="497"/>
      <c r="AA119" s="497"/>
      <c r="AB119" s="578" t="s">
        <v>533</v>
      </c>
      <c r="AC119" s="498"/>
      <c r="AD119" s="136">
        <v>600000</v>
      </c>
      <c r="AE119" s="137" t="s">
        <v>538</v>
      </c>
      <c r="AF119" s="2"/>
    </row>
    <row r="120" spans="1:32" s="11" customFormat="1" ht="21" customHeight="1">
      <c r="A120" s="45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56"/>
      <c r="P120" s="50"/>
      <c r="Q120" s="50"/>
      <c r="R120" s="50"/>
      <c r="S120" s="51"/>
      <c r="T120" s="117"/>
      <c r="U120" s="55"/>
      <c r="V120" s="68"/>
      <c r="W120" s="68"/>
      <c r="X120" s="51"/>
      <c r="Y120" s="51"/>
      <c r="Z120" s="51"/>
      <c r="AA120" s="51"/>
      <c r="AB120" s="51"/>
      <c r="AC120" s="51"/>
      <c r="AD120" s="51"/>
      <c r="AE120" s="57"/>
      <c r="AF120" s="2"/>
    </row>
    <row r="121" spans="1:32" s="11" customFormat="1" ht="21" customHeight="1">
      <c r="A121" s="45"/>
      <c r="B121" s="46"/>
      <c r="C121" s="36" t="s">
        <v>50</v>
      </c>
      <c r="D121" s="161">
        <v>600</v>
      </c>
      <c r="E121" s="114">
        <f>SUM(F121:L121)</f>
        <v>600</v>
      </c>
      <c r="F121" s="114">
        <f>SUMIF($AB$122:$AB$124,"보조",$AD$122:$AD$124)/1000</f>
        <v>0</v>
      </c>
      <c r="G121" s="114">
        <f>SUMIF($AB$122:$AB$124,"7종",$AD$122:$AD$124)/1000</f>
        <v>0</v>
      </c>
      <c r="H121" s="114">
        <f>SUMIF($AB$122:$AB$124,"시비",$AD$122:$AD$124)/1000</f>
        <v>0</v>
      </c>
      <c r="I121" s="114">
        <f>SUMIF($AB$122:$AB$124,"후원",$AD$122:$AD$124)/1000</f>
        <v>0</v>
      </c>
      <c r="J121" s="114">
        <f>SUMIF($AB$122:$AB$124,"입소",$AD$122:$AD$124)/1000</f>
        <v>600</v>
      </c>
      <c r="K121" s="114">
        <f>SUMIF($AB$122:$AB$124,"법인",$AD$122:$AD$124)/1000</f>
        <v>0</v>
      </c>
      <c r="L121" s="114">
        <f>SUMIF($AB$122:$AB$124,"잡수",$AD$122:$AD$124)/1000</f>
        <v>0</v>
      </c>
      <c r="M121" s="113">
        <f>E121-D121</f>
        <v>0</v>
      </c>
      <c r="N121" s="121">
        <f>IF(D121=0,0,M121/D121)</f>
        <v>0</v>
      </c>
      <c r="O121" s="97" t="s">
        <v>51</v>
      </c>
      <c r="P121" s="93"/>
      <c r="Q121" s="93"/>
      <c r="R121" s="93"/>
      <c r="S121" s="93"/>
      <c r="T121" s="89"/>
      <c r="U121" s="89"/>
      <c r="V121" s="89"/>
      <c r="W121" s="89"/>
      <c r="X121" s="89"/>
      <c r="Y121" s="177" t="s">
        <v>142</v>
      </c>
      <c r="Z121" s="177"/>
      <c r="AA121" s="177"/>
      <c r="AB121" s="177"/>
      <c r="AC121" s="179"/>
      <c r="AD121" s="179">
        <f>SUM(AD122:AD123)</f>
        <v>600000</v>
      </c>
      <c r="AE121" s="178" t="s">
        <v>25</v>
      </c>
      <c r="AF121" s="1"/>
    </row>
    <row r="122" spans="1:32" s="1" customFormat="1" ht="21" customHeight="1">
      <c r="A122" s="45"/>
      <c r="B122" s="46"/>
      <c r="C122" s="46" t="s">
        <v>157</v>
      </c>
      <c r="D122" s="159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79" t="s">
        <v>539</v>
      </c>
      <c r="P122" s="471"/>
      <c r="Q122" s="471"/>
      <c r="R122" s="471"/>
      <c r="S122" s="470"/>
      <c r="T122" s="384"/>
      <c r="U122" s="384"/>
      <c r="V122" s="470"/>
      <c r="W122" s="471"/>
      <c r="X122" s="470"/>
      <c r="Y122" s="470"/>
      <c r="Z122" s="470"/>
      <c r="AA122" s="470"/>
      <c r="AB122" s="470" t="s">
        <v>367</v>
      </c>
      <c r="AC122" s="470"/>
      <c r="AD122" s="470">
        <v>0</v>
      </c>
      <c r="AE122" s="137" t="s">
        <v>25</v>
      </c>
      <c r="AF122" s="2"/>
    </row>
    <row r="123" spans="1:32" s="1" customFormat="1" ht="21" customHeight="1">
      <c r="A123" s="45"/>
      <c r="B123" s="46"/>
      <c r="C123" s="46"/>
      <c r="D123" s="159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79" t="s">
        <v>428</v>
      </c>
      <c r="P123" s="471"/>
      <c r="Q123" s="471"/>
      <c r="R123" s="471"/>
      <c r="S123" s="470"/>
      <c r="T123" s="384"/>
      <c r="U123" s="384"/>
      <c r="V123" s="470"/>
      <c r="W123" s="471"/>
      <c r="X123" s="470"/>
      <c r="Y123" s="470"/>
      <c r="Z123" s="470"/>
      <c r="AA123" s="470"/>
      <c r="AB123" s="578" t="s">
        <v>573</v>
      </c>
      <c r="AC123" s="470"/>
      <c r="AD123" s="470">
        <v>600000</v>
      </c>
      <c r="AE123" s="137" t="s">
        <v>359</v>
      </c>
      <c r="AF123" s="2"/>
    </row>
    <row r="124" spans="1:32" s="1" customFormat="1" ht="21" customHeight="1">
      <c r="A124" s="45"/>
      <c r="B124" s="46"/>
      <c r="C124" s="46"/>
      <c r="D124" s="159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156"/>
      <c r="P124" s="50"/>
      <c r="Q124" s="50"/>
      <c r="R124" s="50"/>
      <c r="S124" s="51"/>
      <c r="T124" s="55"/>
      <c r="U124" s="55"/>
      <c r="V124" s="51"/>
      <c r="W124" s="50"/>
      <c r="X124" s="51"/>
      <c r="Y124" s="51"/>
      <c r="Z124" s="51"/>
      <c r="AA124" s="51"/>
      <c r="AB124" s="125"/>
      <c r="AC124" s="51"/>
      <c r="AD124" s="51"/>
      <c r="AE124" s="57"/>
      <c r="AF124" s="2"/>
    </row>
    <row r="125" spans="1:32" s="11" customFormat="1" ht="21" customHeight="1">
      <c r="A125" s="196" t="s">
        <v>19</v>
      </c>
      <c r="B125" s="679" t="s">
        <v>20</v>
      </c>
      <c r="C125" s="680"/>
      <c r="D125" s="197">
        <f t="shared" ref="D125:L125" si="14">SUM(D126,D154)</f>
        <v>19210</v>
      </c>
      <c r="E125" s="197">
        <f t="shared" si="14"/>
        <v>23036</v>
      </c>
      <c r="F125" s="197">
        <f t="shared" si="14"/>
        <v>12913</v>
      </c>
      <c r="G125" s="197">
        <f t="shared" si="14"/>
        <v>0</v>
      </c>
      <c r="H125" s="197">
        <f t="shared" si="14"/>
        <v>0</v>
      </c>
      <c r="I125" s="197">
        <f t="shared" si="14"/>
        <v>606</v>
      </c>
      <c r="J125" s="197">
        <f t="shared" si="14"/>
        <v>9393</v>
      </c>
      <c r="K125" s="197">
        <f t="shared" si="14"/>
        <v>124</v>
      </c>
      <c r="L125" s="197">
        <f t="shared" si="14"/>
        <v>0</v>
      </c>
      <c r="M125" s="197">
        <f>SUM(M126,M136,M140,M144,M150)</f>
        <v>6122</v>
      </c>
      <c r="N125" s="198">
        <f>IF(D125=0,0,M125/D125)</f>
        <v>0.31868818323789694</v>
      </c>
      <c r="O125" s="190" t="s">
        <v>149</v>
      </c>
      <c r="P125" s="93"/>
      <c r="Q125" s="93"/>
      <c r="R125" s="93"/>
      <c r="S125" s="93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>
        <f>SUM(AD126,AD154)</f>
        <v>23036000</v>
      </c>
      <c r="AE125" s="95" t="s">
        <v>25</v>
      </c>
      <c r="AF125" s="13"/>
    </row>
    <row r="126" spans="1:32" s="11" customFormat="1" ht="21" customHeight="1">
      <c r="A126" s="46"/>
      <c r="B126" s="36" t="s">
        <v>91</v>
      </c>
      <c r="C126" s="36" t="s">
        <v>150</v>
      </c>
      <c r="D126" s="113">
        <f t="shared" ref="D126:L126" si="15">SUM(D127,D136,D140,D144,D150)</f>
        <v>14359</v>
      </c>
      <c r="E126" s="113">
        <f t="shared" si="15"/>
        <v>18185</v>
      </c>
      <c r="F126" s="113">
        <f t="shared" si="15"/>
        <v>12913</v>
      </c>
      <c r="G126" s="113">
        <f t="shared" si="15"/>
        <v>0</v>
      </c>
      <c r="H126" s="113">
        <f t="shared" si="15"/>
        <v>0</v>
      </c>
      <c r="I126" s="113">
        <f t="shared" si="15"/>
        <v>606</v>
      </c>
      <c r="J126" s="113">
        <f t="shared" si="15"/>
        <v>4542</v>
      </c>
      <c r="K126" s="113">
        <f t="shared" si="15"/>
        <v>124</v>
      </c>
      <c r="L126" s="113">
        <f t="shared" si="15"/>
        <v>0</v>
      </c>
      <c r="M126" s="113">
        <f>E126-D126</f>
        <v>3826</v>
      </c>
      <c r="N126" s="121">
        <f>IF(D126=0,0,M126/D126)</f>
        <v>0.26645309561947211</v>
      </c>
      <c r="O126" s="93"/>
      <c r="P126" s="93"/>
      <c r="Q126" s="93"/>
      <c r="R126" s="93"/>
      <c r="S126" s="93"/>
      <c r="T126" s="89"/>
      <c r="U126" s="89"/>
      <c r="V126" s="89"/>
      <c r="W126" s="89"/>
      <c r="X126" s="89"/>
      <c r="Y126" s="89" t="s">
        <v>28</v>
      </c>
      <c r="Z126" s="89"/>
      <c r="AA126" s="89"/>
      <c r="AB126" s="89"/>
      <c r="AC126" s="94"/>
      <c r="AD126" s="94">
        <f>SUM(AD127,AD136,AD140,AD144,AD150)</f>
        <v>18185000</v>
      </c>
      <c r="AE126" s="95" t="s">
        <v>25</v>
      </c>
      <c r="AF126" s="1"/>
    </row>
    <row r="127" spans="1:32" s="11" customFormat="1" ht="21" customHeight="1">
      <c r="A127" s="46"/>
      <c r="B127" s="46"/>
      <c r="C127" s="36" t="s">
        <v>59</v>
      </c>
      <c r="D127" s="161">
        <v>11556</v>
      </c>
      <c r="E127" s="114">
        <f>SUM(F127:L127)</f>
        <v>13086</v>
      </c>
      <c r="F127" s="114">
        <f>SUMIF($AB$128:$AB$135,"보조",$AD$128:$AD$135)/1000</f>
        <v>9743</v>
      </c>
      <c r="G127" s="114">
        <f>SUMIF($AB$128:$AB$135,"7종",$AD$128:$AD$135)/1000</f>
        <v>0</v>
      </c>
      <c r="H127" s="114">
        <f>SUMIF($AB$128:$AB$135,"시비",$AD$128:$AD$135)/1000</f>
        <v>0</v>
      </c>
      <c r="I127" s="114">
        <f>SUMIF($AB$128:$AB$135,"후원",$AD$128:$AD$135)/1000</f>
        <v>208</v>
      </c>
      <c r="J127" s="114">
        <f>SUMIF($AB$128:$AB$135,"입소",$AD$128:$AD$135)/1000</f>
        <v>3011</v>
      </c>
      <c r="K127" s="114">
        <f>SUMIF($AB$128:$AB$135,"법인",$AD$128:$AD$135)/1000</f>
        <v>124</v>
      </c>
      <c r="L127" s="114">
        <f>SUMIF($AB$128:$AB$135,"잡수",$AD$128:$AD$135)/1000</f>
        <v>0</v>
      </c>
      <c r="M127" s="113">
        <f>E127-D127</f>
        <v>1530</v>
      </c>
      <c r="N127" s="121">
        <f>IF(D127=0,0,M127/D127)</f>
        <v>0.13239875389408098</v>
      </c>
      <c r="O127" s="97" t="s">
        <v>92</v>
      </c>
      <c r="P127" s="190"/>
      <c r="Q127" s="190"/>
      <c r="R127" s="190"/>
      <c r="S127" s="190"/>
      <c r="T127" s="189"/>
      <c r="U127" s="189"/>
      <c r="V127" s="189"/>
      <c r="W127" s="189"/>
      <c r="X127" s="189"/>
      <c r="Y127" s="177" t="s">
        <v>142</v>
      </c>
      <c r="Z127" s="177"/>
      <c r="AA127" s="177"/>
      <c r="AB127" s="177"/>
      <c r="AC127" s="179"/>
      <c r="AD127" s="179">
        <f>ROUND(SUM(AD128:AD134),-3)</f>
        <v>13086000</v>
      </c>
      <c r="AE127" s="178" t="s">
        <v>25</v>
      </c>
      <c r="AF127" s="1"/>
    </row>
    <row r="128" spans="1:32" s="11" customFormat="1" ht="21" customHeight="1">
      <c r="A128" s="46"/>
      <c r="B128" s="46"/>
      <c r="C128" s="46"/>
      <c r="D128" s="11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79" t="s">
        <v>429</v>
      </c>
      <c r="P128" s="471"/>
      <c r="Q128" s="470"/>
      <c r="R128" s="470"/>
      <c r="S128" s="578">
        <v>200000</v>
      </c>
      <c r="T128" s="384" t="s">
        <v>57</v>
      </c>
      <c r="U128" s="384" t="s">
        <v>26</v>
      </c>
      <c r="V128" s="578">
        <v>12</v>
      </c>
      <c r="W128" s="579" t="s">
        <v>541</v>
      </c>
      <c r="X128" s="579" t="s">
        <v>58</v>
      </c>
      <c r="Y128" s="385">
        <v>4</v>
      </c>
      <c r="Z128" s="378" t="s">
        <v>542</v>
      </c>
      <c r="AA128" s="378" t="s">
        <v>540</v>
      </c>
      <c r="AB128" s="470" t="s">
        <v>367</v>
      </c>
      <c r="AC128" s="136"/>
      <c r="AD128" s="136">
        <f>S128*V128*Y128</f>
        <v>9600000</v>
      </c>
      <c r="AE128" s="137" t="s">
        <v>25</v>
      </c>
      <c r="AF128" s="2"/>
    </row>
    <row r="129" spans="1:32" s="11" customFormat="1" ht="21" customHeight="1">
      <c r="A129" s="46"/>
      <c r="B129" s="46"/>
      <c r="C129" s="46"/>
      <c r="D129" s="11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79" t="s">
        <v>481</v>
      </c>
      <c r="P129" s="579"/>
      <c r="Q129" s="578"/>
      <c r="R129" s="578"/>
      <c r="S129" s="578"/>
      <c r="T129" s="384"/>
      <c r="U129" s="384"/>
      <c r="V129" s="578"/>
      <c r="W129" s="579"/>
      <c r="X129" s="384"/>
      <c r="Y129" s="578"/>
      <c r="Z129" s="578"/>
      <c r="AA129" s="378"/>
      <c r="AB129" s="578" t="s">
        <v>479</v>
      </c>
      <c r="AC129" s="136"/>
      <c r="AD129" s="136">
        <v>143000</v>
      </c>
      <c r="AE129" s="137" t="s">
        <v>433</v>
      </c>
      <c r="AF129" s="2"/>
    </row>
    <row r="130" spans="1:32" s="11" customFormat="1" ht="21" customHeight="1">
      <c r="A130" s="46"/>
      <c r="B130" s="46"/>
      <c r="C130" s="46"/>
      <c r="D130" s="11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79" t="s">
        <v>430</v>
      </c>
      <c r="P130" s="471"/>
      <c r="Q130" s="471"/>
      <c r="R130" s="471"/>
      <c r="S130" s="470"/>
      <c r="T130" s="470"/>
      <c r="U130" s="384"/>
      <c r="V130" s="470"/>
      <c r="W130" s="470"/>
      <c r="X130" s="384"/>
      <c r="Y130" s="470"/>
      <c r="Z130" s="470"/>
      <c r="AA130" s="378"/>
      <c r="AB130" s="470" t="s">
        <v>368</v>
      </c>
      <c r="AC130" s="136"/>
      <c r="AD130" s="136">
        <v>2711000</v>
      </c>
      <c r="AE130" s="137" t="s">
        <v>25</v>
      </c>
      <c r="AF130" s="2"/>
    </row>
    <row r="131" spans="1:32" s="11" customFormat="1" ht="21" customHeight="1">
      <c r="A131" s="46"/>
      <c r="B131" s="46"/>
      <c r="C131" s="46"/>
      <c r="D131" s="11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579" t="s">
        <v>430</v>
      </c>
      <c r="P131" s="579"/>
      <c r="Q131" s="579"/>
      <c r="R131" s="579"/>
      <c r="S131" s="578"/>
      <c r="T131" s="578"/>
      <c r="U131" s="384"/>
      <c r="V131" s="578"/>
      <c r="W131" s="578"/>
      <c r="X131" s="384"/>
      <c r="Y131" s="578"/>
      <c r="Z131" s="578"/>
      <c r="AA131" s="378"/>
      <c r="AB131" s="578" t="s">
        <v>432</v>
      </c>
      <c r="AC131" s="136"/>
      <c r="AD131" s="136">
        <v>208000</v>
      </c>
      <c r="AE131" s="137" t="s">
        <v>433</v>
      </c>
      <c r="AF131" s="2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579" t="s">
        <v>430</v>
      </c>
      <c r="P132" s="579"/>
      <c r="Q132" s="579"/>
      <c r="R132" s="579"/>
      <c r="S132" s="578"/>
      <c r="T132" s="578"/>
      <c r="U132" s="384"/>
      <c r="V132" s="578"/>
      <c r="W132" s="578"/>
      <c r="X132" s="384"/>
      <c r="Y132" s="578"/>
      <c r="Z132" s="578"/>
      <c r="AA132" s="378"/>
      <c r="AB132" s="578" t="s">
        <v>434</v>
      </c>
      <c r="AC132" s="136"/>
      <c r="AD132" s="136">
        <v>0</v>
      </c>
      <c r="AE132" s="137" t="s">
        <v>433</v>
      </c>
      <c r="AF132" s="2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79" t="s">
        <v>430</v>
      </c>
      <c r="P133" s="579"/>
      <c r="Q133" s="579"/>
      <c r="R133" s="579"/>
      <c r="S133" s="578"/>
      <c r="T133" s="578"/>
      <c r="U133" s="384"/>
      <c r="V133" s="578"/>
      <c r="W133" s="578"/>
      <c r="X133" s="384"/>
      <c r="Y133" s="578"/>
      <c r="Z133" s="578"/>
      <c r="AA133" s="378"/>
      <c r="AB133" s="578" t="s">
        <v>435</v>
      </c>
      <c r="AC133" s="136"/>
      <c r="AD133" s="136">
        <v>124000</v>
      </c>
      <c r="AE133" s="137" t="s">
        <v>433</v>
      </c>
      <c r="AF133" s="2"/>
    </row>
    <row r="134" spans="1:32" s="11" customFormat="1" ht="21" customHeight="1">
      <c r="A134" s="46"/>
      <c r="B134" s="46"/>
      <c r="C134" s="46"/>
      <c r="D134" s="11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79" t="s">
        <v>431</v>
      </c>
      <c r="P134" s="471"/>
      <c r="Q134" s="470"/>
      <c r="R134" s="470"/>
      <c r="S134" s="470"/>
      <c r="T134" s="470"/>
      <c r="U134" s="384"/>
      <c r="V134" s="470"/>
      <c r="W134" s="470"/>
      <c r="X134" s="384"/>
      <c r="Y134" s="470"/>
      <c r="Z134" s="470"/>
      <c r="AA134" s="378"/>
      <c r="AB134" s="578" t="s">
        <v>483</v>
      </c>
      <c r="AC134" s="136"/>
      <c r="AD134" s="136">
        <v>300000</v>
      </c>
      <c r="AE134" s="137" t="s">
        <v>25</v>
      </c>
      <c r="AF134" s="2"/>
    </row>
    <row r="135" spans="1:32" s="11" customFormat="1" ht="21" customHeight="1">
      <c r="A135" s="46"/>
      <c r="B135" s="46"/>
      <c r="C135" s="59"/>
      <c r="D135" s="160"/>
      <c r="E135" s="111"/>
      <c r="F135" s="111"/>
      <c r="G135" s="111"/>
      <c r="H135" s="111"/>
      <c r="I135" s="111"/>
      <c r="J135" s="111"/>
      <c r="K135" s="111"/>
      <c r="L135" s="111"/>
      <c r="M135" s="111"/>
      <c r="N135" s="84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32"/>
      <c r="AE135" s="124"/>
      <c r="AF135" s="2"/>
    </row>
    <row r="136" spans="1:32" s="11" customFormat="1" ht="21" customHeight="1">
      <c r="A136" s="46"/>
      <c r="B136" s="46"/>
      <c r="C136" s="46" t="s">
        <v>93</v>
      </c>
      <c r="D136" s="159">
        <v>998</v>
      </c>
      <c r="E136" s="114">
        <f>SUM(F136:L136)</f>
        <v>1348</v>
      </c>
      <c r="F136" s="114">
        <f>SUMIF($AB$137:$AB$139,"보조",$AD$137:$AD$139)/1000</f>
        <v>950</v>
      </c>
      <c r="G136" s="114">
        <f>SUMIF($AB$137:$AB$139,"7종",$AD$137:$AD$139)/1000</f>
        <v>0</v>
      </c>
      <c r="H136" s="114">
        <f>SUMIF($AB$137:$AB$139,"시비",$AD$137:$AD$139)/1000</f>
        <v>0</v>
      </c>
      <c r="I136" s="114">
        <f>SUMIF($AB$137:$AB$139,"후원",$AD$137:$AD$139)/1000</f>
        <v>398</v>
      </c>
      <c r="J136" s="114">
        <f>SUMIF($AB$137:$AB$139,"입소",$AD$137:$AD$139)/1000</f>
        <v>0</v>
      </c>
      <c r="K136" s="114">
        <f>SUMIF($AB$137:$AB$139,"법인",$AD$137:$AD$139)/1000</f>
        <v>0</v>
      </c>
      <c r="L136" s="114">
        <f>SUMIF($AB$137:$AB$139,"잡수",$AD$137:$AD$139)/1000</f>
        <v>0</v>
      </c>
      <c r="M136" s="109">
        <f>E136-D136</f>
        <v>350</v>
      </c>
      <c r="N136" s="70">
        <f>IF(D136=0,0,M136/D136)</f>
        <v>0.35070140280561124</v>
      </c>
      <c r="O136" s="97" t="s">
        <v>94</v>
      </c>
      <c r="P136" s="93"/>
      <c r="Q136" s="93"/>
      <c r="R136" s="93"/>
      <c r="S136" s="93"/>
      <c r="T136" s="89"/>
      <c r="U136" s="89"/>
      <c r="V136" s="89"/>
      <c r="W136" s="89"/>
      <c r="X136" s="89"/>
      <c r="Y136" s="177" t="s">
        <v>142</v>
      </c>
      <c r="Z136" s="177"/>
      <c r="AA136" s="177"/>
      <c r="AB136" s="177"/>
      <c r="AC136" s="179"/>
      <c r="AD136" s="179">
        <f>ROUND(SUM(AD137:AD139),-3)</f>
        <v>1348000</v>
      </c>
      <c r="AE136" s="178" t="s">
        <v>25</v>
      </c>
      <c r="AF136" s="1"/>
    </row>
    <row r="137" spans="1:32" s="11" customFormat="1" ht="21" customHeight="1">
      <c r="A137" s="46"/>
      <c r="B137" s="46"/>
      <c r="C137" s="46" t="s">
        <v>151</v>
      </c>
      <c r="D137" s="159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79" t="s">
        <v>535</v>
      </c>
      <c r="P137" s="471"/>
      <c r="Q137" s="471"/>
      <c r="R137" s="471"/>
      <c r="S137" s="470"/>
      <c r="T137" s="384"/>
      <c r="U137" s="384"/>
      <c r="V137" s="470"/>
      <c r="W137" s="470"/>
      <c r="X137" s="470"/>
      <c r="Y137" s="470"/>
      <c r="Z137" s="470"/>
      <c r="AA137" s="470"/>
      <c r="AB137" s="470" t="s">
        <v>360</v>
      </c>
      <c r="AC137" s="470"/>
      <c r="AD137" s="470">
        <v>950000</v>
      </c>
      <c r="AE137" s="137" t="s">
        <v>359</v>
      </c>
      <c r="AF137" s="2"/>
    </row>
    <row r="138" spans="1:32" s="11" customFormat="1" ht="21" customHeight="1">
      <c r="A138" s="46"/>
      <c r="B138" s="46"/>
      <c r="C138" s="46"/>
      <c r="D138" s="159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79" t="s">
        <v>439</v>
      </c>
      <c r="P138" s="471"/>
      <c r="Q138" s="471"/>
      <c r="R138" s="471"/>
      <c r="S138" s="470"/>
      <c r="T138" s="384"/>
      <c r="U138" s="384"/>
      <c r="V138" s="470"/>
      <c r="W138" s="470"/>
      <c r="X138" s="470"/>
      <c r="Y138" s="470"/>
      <c r="Z138" s="470"/>
      <c r="AA138" s="470"/>
      <c r="AB138" s="528" t="s">
        <v>376</v>
      </c>
      <c r="AC138" s="470"/>
      <c r="AD138" s="470">
        <v>398000</v>
      </c>
      <c r="AE138" s="137" t="s">
        <v>359</v>
      </c>
      <c r="AF138" s="2"/>
    </row>
    <row r="139" spans="1:32" s="11" customFormat="1" ht="21" customHeight="1">
      <c r="A139" s="46"/>
      <c r="B139" s="46"/>
      <c r="C139" s="46"/>
      <c r="D139" s="159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92"/>
      <c r="P139" s="292"/>
      <c r="Q139" s="292"/>
      <c r="R139" s="292"/>
      <c r="S139" s="386"/>
      <c r="T139" s="387"/>
      <c r="U139" s="366"/>
      <c r="V139" s="388"/>
      <c r="W139" s="386"/>
      <c r="X139" s="386"/>
      <c r="Y139" s="386"/>
      <c r="Z139" s="386"/>
      <c r="AA139" s="386"/>
      <c r="AB139" s="386"/>
      <c r="AC139" s="386"/>
      <c r="AD139" s="386"/>
      <c r="AE139" s="389"/>
      <c r="AF139" s="1"/>
    </row>
    <row r="140" spans="1:32" s="11" customFormat="1" ht="21" customHeight="1">
      <c r="A140" s="46"/>
      <c r="B140" s="46"/>
      <c r="C140" s="36" t="s">
        <v>88</v>
      </c>
      <c r="D140" s="161">
        <v>1200</v>
      </c>
      <c r="E140" s="114">
        <f>SUM(F140:L140)</f>
        <v>2946</v>
      </c>
      <c r="F140" s="114">
        <f>SUMIF($AB$141:$AB$143,"보조",$AD$141:$AD$143)/1000</f>
        <v>1850</v>
      </c>
      <c r="G140" s="114">
        <f>SUMIF($AB$141:$AB$143,"7종",$AD$141:$AD$143)/1000</f>
        <v>0</v>
      </c>
      <c r="H140" s="114">
        <f>SUMIF($AB$141:$AB$143,"시비",$AD$141:$AD$143)/1000</f>
        <v>0</v>
      </c>
      <c r="I140" s="114">
        <f>SUMIF($AB$141:$AB$143,"후원",$AD$141:$AD$143)/1000</f>
        <v>0</v>
      </c>
      <c r="J140" s="114">
        <f>SUMIF($AB$141:$AB$143,"입소",$AD$141:$AD$143)/1000</f>
        <v>1096</v>
      </c>
      <c r="K140" s="114">
        <f>SUMIF($AB$141:$AB$143,"법인",$AD$141:$AD$143)/1000</f>
        <v>0</v>
      </c>
      <c r="L140" s="114">
        <f>SUMIF($AB$141:$AB$143,"잡수",$AD$141:$AD$143)/1000</f>
        <v>0</v>
      </c>
      <c r="M140" s="113">
        <f>E140-D140</f>
        <v>1746</v>
      </c>
      <c r="N140" s="121">
        <f>IF(D140=0,0,M140/D140)</f>
        <v>1.4550000000000001</v>
      </c>
      <c r="O140" s="97" t="s">
        <v>137</v>
      </c>
      <c r="P140" s="176"/>
      <c r="Q140" s="93"/>
      <c r="R140" s="93"/>
      <c r="S140" s="93"/>
      <c r="T140" s="89"/>
      <c r="U140" s="89"/>
      <c r="V140" s="89"/>
      <c r="W140" s="189"/>
      <c r="X140" s="189"/>
      <c r="Y140" s="177" t="s">
        <v>142</v>
      </c>
      <c r="Z140" s="177"/>
      <c r="AA140" s="177"/>
      <c r="AB140" s="177"/>
      <c r="AC140" s="179"/>
      <c r="AD140" s="179">
        <f>SUM(AD141:AD143)</f>
        <v>2946000</v>
      </c>
      <c r="AE140" s="178" t="s">
        <v>25</v>
      </c>
      <c r="AF140" s="1"/>
    </row>
    <row r="141" spans="1:32" s="11" customFormat="1" ht="21" customHeight="1">
      <c r="A141" s="46"/>
      <c r="B141" s="46"/>
      <c r="C141" s="46"/>
      <c r="D141" s="11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79" t="s">
        <v>652</v>
      </c>
      <c r="P141" s="471"/>
      <c r="Q141" s="470"/>
      <c r="R141" s="470"/>
      <c r="S141" s="470">
        <v>462500</v>
      </c>
      <c r="T141" s="470" t="s">
        <v>361</v>
      </c>
      <c r="U141" s="471" t="s">
        <v>362</v>
      </c>
      <c r="V141" s="570">
        <v>4</v>
      </c>
      <c r="W141" s="570" t="s">
        <v>56</v>
      </c>
      <c r="X141" s="471"/>
      <c r="Y141" s="470"/>
      <c r="Z141" s="470"/>
      <c r="AA141" s="470" t="s">
        <v>365</v>
      </c>
      <c r="AB141" s="570" t="s">
        <v>405</v>
      </c>
      <c r="AC141" s="136"/>
      <c r="AD141" s="136">
        <f>S141*V141</f>
        <v>1850000</v>
      </c>
      <c r="AE141" s="137" t="s">
        <v>25</v>
      </c>
      <c r="AF141" s="1"/>
    </row>
    <row r="142" spans="1:32" s="11" customFormat="1" ht="21" customHeight="1">
      <c r="A142" s="46"/>
      <c r="B142" s="46"/>
      <c r="C142" s="46"/>
      <c r="D142" s="11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579"/>
      <c r="P142" s="579"/>
      <c r="Q142" s="578"/>
      <c r="R142" s="578"/>
      <c r="S142" s="578">
        <v>274000</v>
      </c>
      <c r="T142" s="578" t="s">
        <v>57</v>
      </c>
      <c r="U142" s="579" t="s">
        <v>58</v>
      </c>
      <c r="V142" s="578">
        <v>4</v>
      </c>
      <c r="W142" s="578" t="s">
        <v>56</v>
      </c>
      <c r="X142" s="579"/>
      <c r="Y142" s="578"/>
      <c r="Z142" s="578"/>
      <c r="AA142" s="578" t="s">
        <v>53</v>
      </c>
      <c r="AB142" s="578" t="s">
        <v>489</v>
      </c>
      <c r="AC142" s="136"/>
      <c r="AD142" s="136">
        <f>S142*V142</f>
        <v>1096000</v>
      </c>
      <c r="AE142" s="137" t="s">
        <v>25</v>
      </c>
      <c r="AF142" s="1"/>
    </row>
    <row r="143" spans="1:32" s="11" customFormat="1" ht="21" customHeight="1">
      <c r="A143" s="46"/>
      <c r="B143" s="46"/>
      <c r="C143" s="46"/>
      <c r="D143" s="159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471"/>
      <c r="P143" s="471"/>
      <c r="Q143" s="470"/>
      <c r="R143" s="470"/>
      <c r="S143" s="470"/>
      <c r="T143" s="470"/>
      <c r="U143" s="471"/>
      <c r="V143" s="470"/>
      <c r="W143" s="470"/>
      <c r="X143" s="471"/>
      <c r="Y143" s="470"/>
      <c r="Z143" s="470"/>
      <c r="AA143" s="470"/>
      <c r="AB143" s="470"/>
      <c r="AC143" s="136"/>
      <c r="AD143" s="136"/>
      <c r="AE143" s="137"/>
      <c r="AF143" s="1"/>
    </row>
    <row r="144" spans="1:32" s="11" customFormat="1" ht="21" customHeight="1">
      <c r="A144" s="46"/>
      <c r="B144" s="46"/>
      <c r="C144" s="36" t="s">
        <v>89</v>
      </c>
      <c r="D144" s="161">
        <v>485</v>
      </c>
      <c r="E144" s="114">
        <f>SUM(F144:L144)</f>
        <v>685</v>
      </c>
      <c r="F144" s="114">
        <f>SUMIF($AB$145:$AB$149,"보조",$AD$145:$AD$149)/1000</f>
        <v>360</v>
      </c>
      <c r="G144" s="114">
        <f>SUMIF($AB$145:$AB$149,"7종",$AD$145:$AD$149)/1000</f>
        <v>0</v>
      </c>
      <c r="H144" s="114">
        <f>SUMIF($AB$145:$AB$149,"시비",$AD$145:$AD$149)/1000</f>
        <v>0</v>
      </c>
      <c r="I144" s="114">
        <f>SUMIF($AB$145:$AB$149,"후원",$AD$145:$AD$149)/1000</f>
        <v>0</v>
      </c>
      <c r="J144" s="114">
        <f>SUMIF($AB$145:$AB$149,"입소",$AD$145:$AD$149)/1000</f>
        <v>325</v>
      </c>
      <c r="K144" s="114">
        <f>SUMIF($AB$145:$AB$149,"법인",$AD$145:$AD$149)/1000</f>
        <v>0</v>
      </c>
      <c r="L144" s="114">
        <f>SUMIF($AB$145:$AB$149,"잡수",$AD$145:$AD$149)/1000</f>
        <v>0</v>
      </c>
      <c r="M144" s="113">
        <f>E144-D144</f>
        <v>200</v>
      </c>
      <c r="N144" s="121">
        <f>IF(D144=0,0,M144/D144)</f>
        <v>0.41237113402061853</v>
      </c>
      <c r="O144" s="97" t="s">
        <v>138</v>
      </c>
      <c r="P144" s="176"/>
      <c r="Q144" s="181"/>
      <c r="R144" s="181"/>
      <c r="S144" s="181"/>
      <c r="T144" s="180"/>
      <c r="U144" s="180"/>
      <c r="V144" s="180"/>
      <c r="W144" s="189"/>
      <c r="X144" s="189"/>
      <c r="Y144" s="177" t="s">
        <v>142</v>
      </c>
      <c r="Z144" s="177"/>
      <c r="AA144" s="177"/>
      <c r="AB144" s="177"/>
      <c r="AC144" s="179"/>
      <c r="AD144" s="179">
        <f>SUM(AD145:AD148)</f>
        <v>685000</v>
      </c>
      <c r="AE144" s="178" t="s">
        <v>25</v>
      </c>
      <c r="AF144" s="1"/>
    </row>
    <row r="145" spans="1:32" s="14" customFormat="1" ht="21" customHeight="1">
      <c r="A145" s="46"/>
      <c r="B145" s="46"/>
      <c r="C145" s="46"/>
      <c r="D145" s="159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571" t="s">
        <v>406</v>
      </c>
      <c r="P145" s="471"/>
      <c r="Q145" s="470"/>
      <c r="R145" s="470"/>
      <c r="S145" s="470">
        <v>40000</v>
      </c>
      <c r="T145" s="470" t="s">
        <v>361</v>
      </c>
      <c r="U145" s="471" t="s">
        <v>362</v>
      </c>
      <c r="V145" s="470">
        <v>1</v>
      </c>
      <c r="W145" s="470" t="s">
        <v>366</v>
      </c>
      <c r="X145" s="471" t="s">
        <v>362</v>
      </c>
      <c r="Y145" s="470">
        <v>4</v>
      </c>
      <c r="Z145" s="470" t="s">
        <v>363</v>
      </c>
      <c r="AA145" s="470" t="s">
        <v>365</v>
      </c>
      <c r="AB145" s="578" t="s">
        <v>561</v>
      </c>
      <c r="AC145" s="136"/>
      <c r="AD145" s="136">
        <f>S145*V145*Y145</f>
        <v>160000</v>
      </c>
      <c r="AE145" s="137" t="s">
        <v>25</v>
      </c>
      <c r="AF145" s="5"/>
    </row>
    <row r="146" spans="1:32" s="14" customFormat="1" ht="21" customHeight="1">
      <c r="A146" s="46"/>
      <c r="B146" s="46"/>
      <c r="C146" s="46"/>
      <c r="D146" s="159"/>
      <c r="E146" s="109"/>
      <c r="F146" s="109"/>
      <c r="G146" s="109"/>
      <c r="H146" s="109"/>
      <c r="I146" s="109"/>
      <c r="J146" s="109"/>
      <c r="K146" s="109"/>
      <c r="L146" s="109"/>
      <c r="M146" s="109"/>
      <c r="N146" s="289"/>
      <c r="O146" s="372" t="s">
        <v>407</v>
      </c>
      <c r="P146" s="471"/>
      <c r="Q146" s="471"/>
      <c r="R146" s="471"/>
      <c r="S146" s="470"/>
      <c r="T146" s="470"/>
      <c r="U146" s="471"/>
      <c r="V146" s="470"/>
      <c r="W146" s="470"/>
      <c r="X146" s="471"/>
      <c r="Y146" s="385"/>
      <c r="Z146" s="378"/>
      <c r="AA146" s="378"/>
      <c r="AB146" s="578" t="s">
        <v>647</v>
      </c>
      <c r="AC146" s="136"/>
      <c r="AD146" s="470">
        <v>200000</v>
      </c>
      <c r="AE146" s="137" t="s">
        <v>361</v>
      </c>
      <c r="AF146" s="5"/>
    </row>
    <row r="147" spans="1:32" s="14" customFormat="1" ht="21" customHeight="1">
      <c r="A147" s="46"/>
      <c r="B147" s="46"/>
      <c r="C147" s="46"/>
      <c r="D147" s="159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571" t="s">
        <v>409</v>
      </c>
      <c r="P147" s="571"/>
      <c r="Q147" s="571"/>
      <c r="R147" s="571"/>
      <c r="S147" s="570">
        <v>20000</v>
      </c>
      <c r="T147" s="570" t="s">
        <v>57</v>
      </c>
      <c r="U147" s="571" t="s">
        <v>58</v>
      </c>
      <c r="V147" s="570">
        <v>0</v>
      </c>
      <c r="W147" s="570" t="s">
        <v>56</v>
      </c>
      <c r="X147" s="571" t="s">
        <v>58</v>
      </c>
      <c r="Y147" s="385">
        <v>1</v>
      </c>
      <c r="Z147" s="378" t="s">
        <v>71</v>
      </c>
      <c r="AA147" s="378" t="s">
        <v>53</v>
      </c>
      <c r="AB147" s="570" t="s">
        <v>408</v>
      </c>
      <c r="AC147" s="136"/>
      <c r="AD147" s="570">
        <v>200000</v>
      </c>
      <c r="AE147" s="137" t="s">
        <v>57</v>
      </c>
      <c r="AF147" s="5"/>
    </row>
    <row r="148" spans="1:32" s="14" customFormat="1" ht="21" customHeight="1">
      <c r="A148" s="46"/>
      <c r="B148" s="46"/>
      <c r="C148" s="46"/>
      <c r="D148" s="159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571" t="s">
        <v>410</v>
      </c>
      <c r="P148" s="471"/>
      <c r="Q148" s="471"/>
      <c r="R148" s="471"/>
      <c r="S148" s="470"/>
      <c r="T148" s="470"/>
      <c r="U148" s="471"/>
      <c r="V148" s="470"/>
      <c r="W148" s="470"/>
      <c r="X148" s="471"/>
      <c r="Y148" s="499"/>
      <c r="Z148" s="485"/>
      <c r="AA148" s="501"/>
      <c r="AB148" s="570" t="s">
        <v>408</v>
      </c>
      <c r="AC148" s="470"/>
      <c r="AD148" s="470">
        <v>125000</v>
      </c>
      <c r="AE148" s="137" t="s">
        <v>359</v>
      </c>
      <c r="AF148" s="5"/>
    </row>
    <row r="149" spans="1:32" s="11" customFormat="1" ht="21" customHeight="1">
      <c r="A149" s="46"/>
      <c r="B149" s="46"/>
      <c r="C149" s="59"/>
      <c r="D149" s="160"/>
      <c r="E149" s="166"/>
      <c r="F149" s="166"/>
      <c r="G149" s="166"/>
      <c r="H149" s="166"/>
      <c r="I149" s="166"/>
      <c r="J149" s="166"/>
      <c r="K149" s="166"/>
      <c r="L149" s="166"/>
      <c r="M149" s="133"/>
      <c r="N149" s="84"/>
      <c r="O149" s="502"/>
      <c r="P149" s="502"/>
      <c r="Q149" s="502"/>
      <c r="R149" s="502"/>
      <c r="S149" s="502"/>
      <c r="T149" s="134"/>
      <c r="U149" s="470"/>
      <c r="V149" s="378"/>
      <c r="W149" s="470"/>
      <c r="X149" s="470"/>
      <c r="Y149" s="470"/>
      <c r="Z149" s="470"/>
      <c r="AA149" s="470"/>
      <c r="AB149" s="470"/>
      <c r="AC149" s="470"/>
      <c r="AD149" s="470"/>
      <c r="AE149" s="137"/>
      <c r="AF149" s="1"/>
    </row>
    <row r="150" spans="1:32" s="11" customFormat="1" ht="21" customHeight="1">
      <c r="A150" s="46"/>
      <c r="B150" s="46"/>
      <c r="C150" s="46" t="s">
        <v>90</v>
      </c>
      <c r="D150" s="130">
        <v>120</v>
      </c>
      <c r="E150" s="114">
        <f>SUM(F150:L150)</f>
        <v>120</v>
      </c>
      <c r="F150" s="114">
        <f>SUMIF($AB$151:$AB$153,"보조",$AD$151:$AD$153)/1000</f>
        <v>10</v>
      </c>
      <c r="G150" s="114">
        <f>SUMIF($AB$151:$AB$153,"7종",$AD$151:$AD$153)/1000</f>
        <v>0</v>
      </c>
      <c r="H150" s="114">
        <f>SUMIF($AB$151:$AB$153,"시비",$AD$151:$AD$153)/1000</f>
        <v>0</v>
      </c>
      <c r="I150" s="114">
        <f>SUMIF($AB$151:$AB$153,"후원",$AD$151:$AD$153)/1000</f>
        <v>0</v>
      </c>
      <c r="J150" s="114">
        <f>SUMIF($AB$151:$AB$153,"입소",$AD$151:$AD$153)/1000</f>
        <v>110</v>
      </c>
      <c r="K150" s="114">
        <f>SUMIF($AB$151:$AB$153,"법인",$AD$151:$AD$153)/1000</f>
        <v>0</v>
      </c>
      <c r="L150" s="114">
        <f>SUMIF($AB$151:$AB$153,"잡수",$AD$151:$AD$153)/1000</f>
        <v>0</v>
      </c>
      <c r="M150" s="109">
        <f>E150-D150</f>
        <v>0</v>
      </c>
      <c r="N150" s="70">
        <f>IF(D150=0,0,M150/D150)</f>
        <v>0</v>
      </c>
      <c r="O150" s="97" t="s">
        <v>95</v>
      </c>
      <c r="P150" s="93"/>
      <c r="Q150" s="93"/>
      <c r="R150" s="93"/>
      <c r="S150" s="93"/>
      <c r="T150" s="89"/>
      <c r="U150" s="89"/>
      <c r="V150" s="89"/>
      <c r="W150" s="89"/>
      <c r="X150" s="89"/>
      <c r="Y150" s="177" t="s">
        <v>142</v>
      </c>
      <c r="Z150" s="177"/>
      <c r="AA150" s="177"/>
      <c r="AB150" s="177"/>
      <c r="AC150" s="179"/>
      <c r="AD150" s="179">
        <f>ROUND(SUM(AD151:AD152),-3)</f>
        <v>120000</v>
      </c>
      <c r="AE150" s="178" t="s">
        <v>25</v>
      </c>
      <c r="AF150" s="1"/>
    </row>
    <row r="151" spans="1:32" s="11" customFormat="1" ht="21" customHeight="1">
      <c r="A151" s="46"/>
      <c r="B151" s="46"/>
      <c r="C151" s="46"/>
      <c r="D151" s="159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579" t="s">
        <v>440</v>
      </c>
      <c r="P151" s="471"/>
      <c r="Q151" s="471"/>
      <c r="R151" s="471"/>
      <c r="S151" s="470">
        <v>10000</v>
      </c>
      <c r="T151" s="384" t="s">
        <v>361</v>
      </c>
      <c r="U151" s="384" t="s">
        <v>26</v>
      </c>
      <c r="V151" s="470">
        <v>1</v>
      </c>
      <c r="W151" s="470" t="s">
        <v>364</v>
      </c>
      <c r="X151" s="378"/>
      <c r="Y151" s="499"/>
      <c r="Z151" s="485"/>
      <c r="AA151" s="500" t="s">
        <v>365</v>
      </c>
      <c r="AB151" s="470" t="s">
        <v>367</v>
      </c>
      <c r="AC151" s="470"/>
      <c r="AD151" s="470">
        <f>S151*V151</f>
        <v>10000</v>
      </c>
      <c r="AE151" s="137" t="s">
        <v>25</v>
      </c>
      <c r="AF151" s="1"/>
    </row>
    <row r="152" spans="1:32" s="11" customFormat="1" ht="21" customHeight="1">
      <c r="A152" s="46"/>
      <c r="B152" s="46"/>
      <c r="C152" s="46"/>
      <c r="D152" s="159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527"/>
      <c r="P152" s="527"/>
      <c r="Q152" s="527"/>
      <c r="R152" s="527"/>
      <c r="S152" s="526">
        <v>10000</v>
      </c>
      <c r="T152" s="384" t="s">
        <v>57</v>
      </c>
      <c r="U152" s="384" t="s">
        <v>26</v>
      </c>
      <c r="V152" s="526">
        <v>11</v>
      </c>
      <c r="W152" s="526" t="s">
        <v>162</v>
      </c>
      <c r="X152" s="378"/>
      <c r="Y152" s="499"/>
      <c r="Z152" s="485"/>
      <c r="AA152" s="500" t="s">
        <v>231</v>
      </c>
      <c r="AB152" s="578" t="s">
        <v>416</v>
      </c>
      <c r="AC152" s="526"/>
      <c r="AD152" s="526">
        <f>S152*V152</f>
        <v>110000</v>
      </c>
      <c r="AE152" s="137" t="s">
        <v>25</v>
      </c>
      <c r="AF152" s="1"/>
    </row>
    <row r="153" spans="1:32" s="11" customFormat="1" ht="21" customHeight="1">
      <c r="A153" s="46"/>
      <c r="B153" s="46"/>
      <c r="C153" s="46"/>
      <c r="D153" s="159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471"/>
      <c r="P153" s="471"/>
      <c r="Q153" s="471"/>
      <c r="R153" s="471"/>
      <c r="S153" s="470"/>
      <c r="T153" s="384"/>
      <c r="U153" s="471"/>
      <c r="V153" s="470"/>
      <c r="W153" s="471"/>
      <c r="X153" s="470"/>
      <c r="Y153" s="470"/>
      <c r="Z153" s="470"/>
      <c r="AA153" s="470"/>
      <c r="AB153" s="470"/>
      <c r="AC153" s="470"/>
      <c r="AD153" s="470"/>
      <c r="AE153" s="137"/>
      <c r="AF153" s="1"/>
    </row>
    <row r="154" spans="1:32" s="11" customFormat="1" ht="21" customHeight="1">
      <c r="A154" s="46"/>
      <c r="B154" s="36" t="s">
        <v>96</v>
      </c>
      <c r="C154" s="173" t="s">
        <v>146</v>
      </c>
      <c r="D154" s="174">
        <f t="shared" ref="D154:L154" si="16">SUM(D155,D162,D169,D172,D178,D182,D188)</f>
        <v>4851</v>
      </c>
      <c r="E154" s="174">
        <f t="shared" si="16"/>
        <v>4851</v>
      </c>
      <c r="F154" s="174">
        <f t="shared" si="16"/>
        <v>0</v>
      </c>
      <c r="G154" s="174">
        <f t="shared" si="16"/>
        <v>0</v>
      </c>
      <c r="H154" s="174">
        <f t="shared" si="16"/>
        <v>0</v>
      </c>
      <c r="I154" s="174">
        <f t="shared" si="16"/>
        <v>0</v>
      </c>
      <c r="J154" s="174">
        <f t="shared" si="16"/>
        <v>4851</v>
      </c>
      <c r="K154" s="174">
        <f t="shared" si="16"/>
        <v>0</v>
      </c>
      <c r="L154" s="174">
        <f t="shared" si="16"/>
        <v>0</v>
      </c>
      <c r="M154" s="174">
        <f>E154-D154</f>
        <v>0</v>
      </c>
      <c r="N154" s="175">
        <f>IF(D154=0,0,M154/D154)</f>
        <v>0</v>
      </c>
      <c r="O154" s="176"/>
      <c r="P154" s="176"/>
      <c r="Q154" s="176"/>
      <c r="R154" s="176"/>
      <c r="S154" s="176"/>
      <c r="T154" s="177"/>
      <c r="U154" s="177"/>
      <c r="V154" s="177"/>
      <c r="W154" s="177"/>
      <c r="X154" s="177"/>
      <c r="Y154" s="177" t="s">
        <v>28</v>
      </c>
      <c r="Z154" s="177"/>
      <c r="AA154" s="177"/>
      <c r="AB154" s="177"/>
      <c r="AC154" s="179"/>
      <c r="AD154" s="179">
        <f>SUM(AD155,AD162,AD169,AD172,AD178,AD182,AD188)</f>
        <v>4851000</v>
      </c>
      <c r="AE154" s="178" t="s">
        <v>25</v>
      </c>
      <c r="AF154" s="1"/>
    </row>
    <row r="155" spans="1:32" s="15" customFormat="1" ht="24" customHeight="1">
      <c r="A155" s="46"/>
      <c r="B155" s="46" t="s">
        <v>377</v>
      </c>
      <c r="C155" s="36" t="s">
        <v>441</v>
      </c>
      <c r="D155" s="548">
        <v>800</v>
      </c>
      <c r="E155" s="114">
        <f>SUM(F155:L155)</f>
        <v>800</v>
      </c>
      <c r="F155" s="114">
        <f>SUMIF($AB$156:$AB$161,"보조",$AD$156:$AD$161)/1000</f>
        <v>0</v>
      </c>
      <c r="G155" s="114">
        <f>SUMIF($AB$156:$AB$161,"7종",$AD$156:$AD$161)/1000</f>
        <v>0</v>
      </c>
      <c r="H155" s="114">
        <f>SUMIF($AB$156:$AB$161,"시비",$AD$156:$AD$161)/1000</f>
        <v>0</v>
      </c>
      <c r="I155" s="114">
        <f>SUMIF($AB$156:$AB$161,"후원",$AD$156:$AD$161)/1000</f>
        <v>0</v>
      </c>
      <c r="J155" s="114">
        <f>SUMIF($AB$156:$AB$161,"입소",$AD$156:$AD$161)/1000</f>
        <v>800</v>
      </c>
      <c r="K155" s="114">
        <f>SUMIF($AB$156:$AB$161,"법인",$AD$156:$AD$161)/1000</f>
        <v>0</v>
      </c>
      <c r="L155" s="114">
        <f>SUMIF($AB$156:$AB$161,"잡수",$AD$156:$AD$161)/1000</f>
        <v>0</v>
      </c>
      <c r="M155" s="109">
        <f>E155-D155</f>
        <v>0</v>
      </c>
      <c r="N155" s="70">
        <f>IF(D155=0,0,M155/D155)</f>
        <v>0</v>
      </c>
      <c r="O155" s="536"/>
      <c r="P155" s="165"/>
      <c r="Q155" s="165"/>
      <c r="R155" s="165"/>
      <c r="S155" s="165"/>
      <c r="T155" s="88"/>
      <c r="U155" s="88"/>
      <c r="V155" s="88"/>
      <c r="W155" s="148" t="s">
        <v>136</v>
      </c>
      <c r="X155" s="148"/>
      <c r="Y155" s="148"/>
      <c r="Z155" s="148"/>
      <c r="AA155" s="148"/>
      <c r="AB155" s="148"/>
      <c r="AC155" s="149"/>
      <c r="AD155" s="149">
        <f>SUM(AD156:AD160)</f>
        <v>800000</v>
      </c>
      <c r="AE155" s="150" t="s">
        <v>25</v>
      </c>
      <c r="AF155" s="16"/>
    </row>
    <row r="156" spans="1:32" s="15" customFormat="1" ht="24" customHeight="1">
      <c r="A156" s="46"/>
      <c r="B156" s="46"/>
      <c r="C156" s="46" t="s">
        <v>442</v>
      </c>
      <c r="D156" s="162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579" t="s">
        <v>443</v>
      </c>
      <c r="P156" s="533"/>
      <c r="Q156" s="533"/>
      <c r="R156" s="533"/>
      <c r="S156" s="578">
        <v>50000</v>
      </c>
      <c r="T156" s="384" t="s">
        <v>57</v>
      </c>
      <c r="U156" s="384" t="s">
        <v>26</v>
      </c>
      <c r="V156" s="578">
        <v>4</v>
      </c>
      <c r="W156" s="578" t="s">
        <v>444</v>
      </c>
      <c r="X156" s="378"/>
      <c r="Y156" s="499"/>
      <c r="Z156" s="485"/>
      <c r="AA156" s="500" t="s">
        <v>53</v>
      </c>
      <c r="AB156" s="578" t="s">
        <v>416</v>
      </c>
      <c r="AC156" s="578"/>
      <c r="AD156" s="578">
        <f t="shared" ref="AD156:AD160" si="17">S156*V156</f>
        <v>200000</v>
      </c>
      <c r="AE156" s="137" t="s">
        <v>25</v>
      </c>
      <c r="AF156" s="16"/>
    </row>
    <row r="157" spans="1:32" s="15" customFormat="1" ht="24" customHeight="1">
      <c r="A157" s="46"/>
      <c r="B157" s="46"/>
      <c r="C157" s="46"/>
      <c r="D157" s="162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579" t="s">
        <v>445</v>
      </c>
      <c r="P157" s="533"/>
      <c r="Q157" s="533"/>
      <c r="R157" s="533"/>
      <c r="S157" s="578">
        <v>50000</v>
      </c>
      <c r="T157" s="384" t="s">
        <v>57</v>
      </c>
      <c r="U157" s="384" t="s">
        <v>26</v>
      </c>
      <c r="V157" s="578">
        <v>2</v>
      </c>
      <c r="W157" s="578" t="s">
        <v>446</v>
      </c>
      <c r="X157" s="378"/>
      <c r="Y157" s="499"/>
      <c r="Z157" s="485"/>
      <c r="AA157" s="500" t="s">
        <v>53</v>
      </c>
      <c r="AB157" s="578" t="s">
        <v>416</v>
      </c>
      <c r="AC157" s="578"/>
      <c r="AD157" s="578">
        <f t="shared" si="17"/>
        <v>100000</v>
      </c>
      <c r="AE157" s="137" t="s">
        <v>25</v>
      </c>
      <c r="AF157" s="16"/>
    </row>
    <row r="158" spans="1:32" s="15" customFormat="1" ht="24" customHeight="1">
      <c r="A158" s="46"/>
      <c r="B158" s="46"/>
      <c r="C158" s="46"/>
      <c r="D158" s="162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579" t="s">
        <v>447</v>
      </c>
      <c r="P158" s="533"/>
      <c r="Q158" s="533"/>
      <c r="R158" s="533"/>
      <c r="S158" s="578">
        <v>50000</v>
      </c>
      <c r="T158" s="384" t="s">
        <v>57</v>
      </c>
      <c r="U158" s="384" t="s">
        <v>26</v>
      </c>
      <c r="V158" s="578">
        <v>6</v>
      </c>
      <c r="W158" s="578" t="s">
        <v>446</v>
      </c>
      <c r="X158" s="378"/>
      <c r="Y158" s="499"/>
      <c r="Z158" s="485"/>
      <c r="AA158" s="500" t="s">
        <v>53</v>
      </c>
      <c r="AB158" s="578" t="s">
        <v>416</v>
      </c>
      <c r="AC158" s="578"/>
      <c r="AD158" s="578">
        <f t="shared" si="17"/>
        <v>300000</v>
      </c>
      <c r="AE158" s="137" t="s">
        <v>25</v>
      </c>
      <c r="AF158" s="16"/>
    </row>
    <row r="159" spans="1:32" s="15" customFormat="1" ht="24" customHeight="1">
      <c r="A159" s="46"/>
      <c r="B159" s="46"/>
      <c r="C159" s="46"/>
      <c r="D159" s="159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579" t="s">
        <v>448</v>
      </c>
      <c r="P159" s="533"/>
      <c r="Q159" s="533"/>
      <c r="R159" s="533"/>
      <c r="S159" s="578">
        <v>50000</v>
      </c>
      <c r="T159" s="384" t="s">
        <v>57</v>
      </c>
      <c r="U159" s="384" t="s">
        <v>26</v>
      </c>
      <c r="V159" s="578">
        <v>2</v>
      </c>
      <c r="W159" s="578" t="s">
        <v>446</v>
      </c>
      <c r="X159" s="378"/>
      <c r="Y159" s="499"/>
      <c r="Z159" s="485"/>
      <c r="AA159" s="500" t="s">
        <v>53</v>
      </c>
      <c r="AB159" s="578" t="s">
        <v>416</v>
      </c>
      <c r="AC159" s="578"/>
      <c r="AD159" s="578">
        <f t="shared" si="17"/>
        <v>100000</v>
      </c>
      <c r="AE159" s="137" t="s">
        <v>25</v>
      </c>
      <c r="AF159" s="16"/>
    </row>
    <row r="160" spans="1:32" s="15" customFormat="1" ht="24" customHeight="1">
      <c r="A160" s="46"/>
      <c r="B160" s="46"/>
      <c r="C160" s="46"/>
      <c r="D160" s="159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79" t="s">
        <v>484</v>
      </c>
      <c r="P160" s="579"/>
      <c r="Q160" s="579"/>
      <c r="R160" s="579"/>
      <c r="S160" s="578">
        <v>50000</v>
      </c>
      <c r="T160" s="384" t="s">
        <v>57</v>
      </c>
      <c r="U160" s="384" t="s">
        <v>26</v>
      </c>
      <c r="V160" s="578">
        <v>2</v>
      </c>
      <c r="W160" s="578" t="s">
        <v>485</v>
      </c>
      <c r="X160" s="378"/>
      <c r="Y160" s="499"/>
      <c r="Z160" s="485"/>
      <c r="AA160" s="500" t="s">
        <v>53</v>
      </c>
      <c r="AB160" s="578" t="s">
        <v>316</v>
      </c>
      <c r="AC160" s="578"/>
      <c r="AD160" s="578">
        <f t="shared" si="17"/>
        <v>100000</v>
      </c>
      <c r="AE160" s="137" t="s">
        <v>25</v>
      </c>
      <c r="AF160" s="16"/>
    </row>
    <row r="161" spans="1:33" s="15" customFormat="1" ht="24" customHeight="1">
      <c r="A161" s="46"/>
      <c r="B161" s="46"/>
      <c r="C161" s="59"/>
      <c r="D161" s="160"/>
      <c r="E161" s="111"/>
      <c r="F161" s="111"/>
      <c r="G161" s="111"/>
      <c r="H161" s="111"/>
      <c r="I161" s="111"/>
      <c r="J161" s="111"/>
      <c r="K161" s="111"/>
      <c r="L161" s="111"/>
      <c r="M161" s="111"/>
      <c r="N161" s="84"/>
      <c r="O161" s="531"/>
      <c r="P161" s="531"/>
      <c r="Q161" s="531"/>
      <c r="R161" s="531"/>
      <c r="S161" s="530"/>
      <c r="T161" s="530"/>
      <c r="U161" s="531"/>
      <c r="V161" s="530"/>
      <c r="W161" s="530"/>
      <c r="X161" s="530"/>
      <c r="Y161" s="530"/>
      <c r="Z161" s="530"/>
      <c r="AA161" s="530"/>
      <c r="AB161" s="530"/>
      <c r="AC161" s="530"/>
      <c r="AD161" s="530"/>
      <c r="AE161" s="495"/>
      <c r="AF161" s="16"/>
    </row>
    <row r="162" spans="1:33" s="15" customFormat="1" ht="24" customHeight="1">
      <c r="A162" s="46"/>
      <c r="B162" s="46"/>
      <c r="C162" s="36" t="s">
        <v>449</v>
      </c>
      <c r="D162" s="161">
        <v>800</v>
      </c>
      <c r="E162" s="114">
        <f>SUM(F162:L162)</f>
        <v>800</v>
      </c>
      <c r="F162" s="114">
        <f>SUMIF($AB$163:$AB$168,"보조",$AD$163:$AD$168)/1000</f>
        <v>0</v>
      </c>
      <c r="G162" s="114">
        <f>SUMIF($AB$163:$AB$168,"7종",$AD$163:$AD$168)/1000</f>
        <v>0</v>
      </c>
      <c r="H162" s="114">
        <f>SUMIF($AB$163:$AB$168,"시비",$AD$163:$AD$168)/1000</f>
        <v>0</v>
      </c>
      <c r="I162" s="114">
        <f>SUMIF($AB$163:$AB$168,"후원",$AD$163:$AD$168)/1000</f>
        <v>0</v>
      </c>
      <c r="J162" s="114">
        <f>SUMIF($AB$163:$AB$168,"입소",$AD$163:$AD$168)/1000</f>
        <v>800</v>
      </c>
      <c r="K162" s="114">
        <f>SUMIF($AB$163:$AB$168,"법인",$AD$163:$AD$168)/1000</f>
        <v>0</v>
      </c>
      <c r="L162" s="114">
        <f>SUMIF($AB$163:$AB$168,"잡수",$AD$163:$AD$168)/1000</f>
        <v>0</v>
      </c>
      <c r="M162" s="109">
        <f>E162-D162</f>
        <v>0</v>
      </c>
      <c r="N162" s="70">
        <f>IF(D162=0,0,M162/D162)</f>
        <v>0</v>
      </c>
      <c r="O162" s="375"/>
      <c r="P162" s="392"/>
      <c r="Q162" s="392"/>
      <c r="R162" s="541"/>
      <c r="S162" s="541"/>
      <c r="T162" s="541"/>
      <c r="U162" s="541"/>
      <c r="V162" s="541"/>
      <c r="W162" s="542" t="s">
        <v>136</v>
      </c>
      <c r="X162" s="542"/>
      <c r="Y162" s="542"/>
      <c r="Z162" s="542"/>
      <c r="AA162" s="542"/>
      <c r="AB162" s="542"/>
      <c r="AC162" s="543"/>
      <c r="AD162" s="543">
        <f>SUM(AD163:AD167)</f>
        <v>800000</v>
      </c>
      <c r="AE162" s="544" t="s">
        <v>25</v>
      </c>
      <c r="AF162" s="16"/>
    </row>
    <row r="163" spans="1:33" s="15" customFormat="1" ht="24" customHeight="1">
      <c r="A163" s="46"/>
      <c r="B163" s="46"/>
      <c r="C163" s="46" t="s">
        <v>377</v>
      </c>
      <c r="D163" s="162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79" t="s">
        <v>450</v>
      </c>
      <c r="P163" s="533"/>
      <c r="Q163" s="533"/>
      <c r="R163" s="533"/>
      <c r="S163" s="578">
        <v>150000</v>
      </c>
      <c r="T163" s="384" t="s">
        <v>57</v>
      </c>
      <c r="U163" s="384" t="s">
        <v>26</v>
      </c>
      <c r="V163" s="578">
        <v>2</v>
      </c>
      <c r="W163" s="579" t="s">
        <v>71</v>
      </c>
      <c r="X163" s="578"/>
      <c r="Y163" s="503"/>
      <c r="Z163" s="503" t="s">
        <v>53</v>
      </c>
      <c r="AA163" s="503"/>
      <c r="AB163" s="503" t="s">
        <v>316</v>
      </c>
      <c r="AC163" s="503"/>
      <c r="AD163" s="504">
        <f>S163*V163</f>
        <v>300000</v>
      </c>
      <c r="AE163" s="505" t="s">
        <v>57</v>
      </c>
      <c r="AF163" s="16"/>
    </row>
    <row r="164" spans="1:33" s="15" customFormat="1" ht="24" customHeight="1">
      <c r="A164" s="46"/>
      <c r="B164" s="46"/>
      <c r="C164" s="46"/>
      <c r="D164" s="162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79" t="s">
        <v>451</v>
      </c>
      <c r="P164" s="496"/>
      <c r="Q164" s="496"/>
      <c r="R164" s="492"/>
      <c r="S164" s="534">
        <v>100000</v>
      </c>
      <c r="T164" s="384" t="s">
        <v>57</v>
      </c>
      <c r="U164" s="384" t="s">
        <v>26</v>
      </c>
      <c r="V164" s="534">
        <v>2</v>
      </c>
      <c r="W164" s="535" t="s">
        <v>380</v>
      </c>
      <c r="X164" s="534"/>
      <c r="Y164" s="503"/>
      <c r="Z164" s="503" t="s">
        <v>53</v>
      </c>
      <c r="AA164" s="503"/>
      <c r="AB164" s="503" t="s">
        <v>316</v>
      </c>
      <c r="AC164" s="503"/>
      <c r="AD164" s="504">
        <f>S164*V164</f>
        <v>200000</v>
      </c>
      <c r="AE164" s="505" t="s">
        <v>57</v>
      </c>
      <c r="AF164" s="16"/>
    </row>
    <row r="165" spans="1:33" s="15" customFormat="1" ht="24" customHeight="1">
      <c r="A165" s="46"/>
      <c r="B165" s="46"/>
      <c r="C165" s="46"/>
      <c r="D165" s="162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79" t="s">
        <v>452</v>
      </c>
      <c r="P165" s="496"/>
      <c r="Q165" s="496"/>
      <c r="R165" s="492"/>
      <c r="S165" s="578">
        <v>100000</v>
      </c>
      <c r="T165" s="384" t="s">
        <v>57</v>
      </c>
      <c r="U165" s="384" t="s">
        <v>26</v>
      </c>
      <c r="V165" s="578">
        <v>2</v>
      </c>
      <c r="W165" s="579" t="s">
        <v>71</v>
      </c>
      <c r="X165" s="578"/>
      <c r="Y165" s="503"/>
      <c r="Z165" s="503" t="s">
        <v>53</v>
      </c>
      <c r="AA165" s="503"/>
      <c r="AB165" s="503" t="s">
        <v>316</v>
      </c>
      <c r="AC165" s="503"/>
      <c r="AD165" s="504">
        <f>S165*V165</f>
        <v>200000</v>
      </c>
      <c r="AE165" s="505" t="s">
        <v>57</v>
      </c>
      <c r="AF165" s="16"/>
    </row>
    <row r="166" spans="1:33" s="15" customFormat="1" ht="24" customHeight="1">
      <c r="A166" s="46"/>
      <c r="B166" s="46"/>
      <c r="C166" s="46"/>
      <c r="D166" s="162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79" t="s">
        <v>453</v>
      </c>
      <c r="P166" s="496"/>
      <c r="Q166" s="496"/>
      <c r="R166" s="492"/>
      <c r="S166" s="578">
        <v>100000</v>
      </c>
      <c r="T166" s="384" t="s">
        <v>57</v>
      </c>
      <c r="U166" s="384" t="s">
        <v>26</v>
      </c>
      <c r="V166" s="578">
        <v>1</v>
      </c>
      <c r="W166" s="579" t="s">
        <v>71</v>
      </c>
      <c r="X166" s="578"/>
      <c r="Y166" s="503"/>
      <c r="Z166" s="503" t="s">
        <v>53</v>
      </c>
      <c r="AA166" s="503"/>
      <c r="AB166" s="503" t="s">
        <v>316</v>
      </c>
      <c r="AC166" s="503"/>
      <c r="AD166" s="504">
        <f>S166*V166</f>
        <v>100000</v>
      </c>
      <c r="AE166" s="505" t="s">
        <v>57</v>
      </c>
      <c r="AF166" s="16"/>
    </row>
    <row r="167" spans="1:33" s="15" customFormat="1" ht="24" customHeight="1">
      <c r="A167" s="46"/>
      <c r="B167" s="46"/>
      <c r="C167" s="46"/>
      <c r="D167" s="162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579" t="s">
        <v>454</v>
      </c>
      <c r="P167" s="496"/>
      <c r="Q167" s="496"/>
      <c r="R167" s="492"/>
      <c r="S167" s="578">
        <v>10000</v>
      </c>
      <c r="T167" s="384" t="s">
        <v>57</v>
      </c>
      <c r="U167" s="384" t="s">
        <v>26</v>
      </c>
      <c r="V167" s="578">
        <v>0</v>
      </c>
      <c r="W167" s="579" t="s">
        <v>444</v>
      </c>
      <c r="X167" s="578"/>
      <c r="Y167" s="503"/>
      <c r="Z167" s="503" t="s">
        <v>53</v>
      </c>
      <c r="AA167" s="503"/>
      <c r="AB167" s="503" t="s">
        <v>316</v>
      </c>
      <c r="AC167" s="503"/>
      <c r="AD167" s="504">
        <f>S167*V167</f>
        <v>0</v>
      </c>
      <c r="AE167" s="505" t="s">
        <v>57</v>
      </c>
      <c r="AF167" s="16"/>
    </row>
    <row r="168" spans="1:33" s="15" customFormat="1" ht="24" customHeight="1">
      <c r="A168" s="46"/>
      <c r="B168" s="46"/>
      <c r="C168" s="59"/>
      <c r="D168" s="163"/>
      <c r="E168" s="111"/>
      <c r="F168" s="111"/>
      <c r="G168" s="111"/>
      <c r="H168" s="111"/>
      <c r="I168" s="111"/>
      <c r="J168" s="111"/>
      <c r="K168" s="111"/>
      <c r="L168" s="111"/>
      <c r="M168" s="111"/>
      <c r="N168" s="84"/>
      <c r="O168" s="531"/>
      <c r="P168" s="531"/>
      <c r="Q168" s="531"/>
      <c r="R168" s="531"/>
      <c r="S168" s="531"/>
      <c r="T168" s="530"/>
      <c r="U168" s="530"/>
      <c r="V168" s="530"/>
      <c r="W168" s="530"/>
      <c r="X168" s="530"/>
      <c r="Y168" s="530"/>
      <c r="Z168" s="530"/>
      <c r="AA168" s="530"/>
      <c r="AB168" s="530"/>
      <c r="AC168" s="506"/>
      <c r="AD168" s="506"/>
      <c r="AE168" s="495"/>
      <c r="AF168" s="16"/>
      <c r="AG168" s="16"/>
    </row>
    <row r="169" spans="1:33" s="15" customFormat="1" ht="24" customHeight="1">
      <c r="A169" s="46"/>
      <c r="B169" s="46"/>
      <c r="C169" s="36" t="s">
        <v>455</v>
      </c>
      <c r="D169" s="548">
        <v>240</v>
      </c>
      <c r="E169" s="114">
        <f>SUM(F169:L169)</f>
        <v>240</v>
      </c>
      <c r="F169" s="114">
        <f>SUMIF($AB$170:$AB$171,"보조",$AD$170:$AD$171)/1000</f>
        <v>0</v>
      </c>
      <c r="G169" s="114">
        <f>SUMIF($AB$170:$AB$171,"7종",$AD$170:$AD$171)/1000</f>
        <v>0</v>
      </c>
      <c r="H169" s="114">
        <f>SUMIF($AB$170:$AB$171,"시비",$AD$170:$AD$171)/1000</f>
        <v>0</v>
      </c>
      <c r="I169" s="114">
        <f>SUMIF($AB$170:$AB$171,"후원",$AD$170:$AD$171)/1000</f>
        <v>0</v>
      </c>
      <c r="J169" s="114">
        <f>SUMIF($AB$170:$AB$171,"입소",$AD$170:$AD$171)/1000</f>
        <v>240</v>
      </c>
      <c r="K169" s="114">
        <f>SUMIF($AB$170:$AB$171,"법인",$AD$170:$AD$171)/1000</f>
        <v>0</v>
      </c>
      <c r="L169" s="114">
        <f>SUMIF($AB$170:$AB$171,"잡수",$AD$170:$AD$171)/1000</f>
        <v>0</v>
      </c>
      <c r="M169" s="113">
        <f>E169-D169</f>
        <v>0</v>
      </c>
      <c r="N169" s="121">
        <f>IF(D169=0,0,M169/D169)</f>
        <v>0</v>
      </c>
      <c r="O169" s="375"/>
      <c r="P169" s="392"/>
      <c r="Q169" s="392"/>
      <c r="R169" s="541"/>
      <c r="S169" s="541"/>
      <c r="T169" s="541"/>
      <c r="U169" s="541"/>
      <c r="V169" s="541"/>
      <c r="W169" s="542" t="s">
        <v>136</v>
      </c>
      <c r="X169" s="542"/>
      <c r="Y169" s="542"/>
      <c r="Z169" s="542"/>
      <c r="AA169" s="542"/>
      <c r="AB169" s="542"/>
      <c r="AC169" s="543"/>
      <c r="AD169" s="543">
        <f>SUM(AD170:AD170)</f>
        <v>240000</v>
      </c>
      <c r="AE169" s="544" t="s">
        <v>25</v>
      </c>
      <c r="AF169" s="16"/>
      <c r="AG169" s="16"/>
    </row>
    <row r="170" spans="1:33" s="15" customFormat="1" ht="24" customHeight="1">
      <c r="A170" s="46"/>
      <c r="B170" s="46"/>
      <c r="C170" s="46" t="s">
        <v>442</v>
      </c>
      <c r="D170" s="162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579" t="s">
        <v>456</v>
      </c>
      <c r="P170" s="496"/>
      <c r="Q170" s="496"/>
      <c r="R170" s="492"/>
      <c r="S170" s="578">
        <v>10000</v>
      </c>
      <c r="T170" s="578" t="s">
        <v>57</v>
      </c>
      <c r="U170" s="579" t="s">
        <v>58</v>
      </c>
      <c r="V170" s="578">
        <v>4</v>
      </c>
      <c r="W170" s="578" t="s">
        <v>56</v>
      </c>
      <c r="X170" s="579" t="s">
        <v>58</v>
      </c>
      <c r="Y170" s="385">
        <v>6</v>
      </c>
      <c r="Z170" s="378" t="s">
        <v>71</v>
      </c>
      <c r="AA170" s="378" t="s">
        <v>53</v>
      </c>
      <c r="AB170" s="578" t="s">
        <v>316</v>
      </c>
      <c r="AC170" s="136"/>
      <c r="AD170" s="578">
        <f>S170*V170*Y170</f>
        <v>240000</v>
      </c>
      <c r="AE170" s="137" t="s">
        <v>57</v>
      </c>
      <c r="AF170" s="16"/>
      <c r="AG170" s="16"/>
    </row>
    <row r="171" spans="1:33" s="15" customFormat="1" ht="24" customHeight="1">
      <c r="A171" s="46"/>
      <c r="B171" s="46"/>
      <c r="C171" s="59"/>
      <c r="D171" s="160"/>
      <c r="E171" s="111"/>
      <c r="F171" s="111"/>
      <c r="G171" s="111"/>
      <c r="H171" s="111"/>
      <c r="I171" s="111"/>
      <c r="J171" s="111"/>
      <c r="K171" s="111"/>
      <c r="L171" s="111"/>
      <c r="M171" s="111"/>
      <c r="N171" s="84"/>
      <c r="O171" s="531"/>
      <c r="P171" s="531"/>
      <c r="Q171" s="531"/>
      <c r="R171" s="531"/>
      <c r="S171" s="531"/>
      <c r="T171" s="530"/>
      <c r="U171" s="530"/>
      <c r="V171" s="530"/>
      <c r="W171" s="530"/>
      <c r="X171" s="530"/>
      <c r="Y171" s="530"/>
      <c r="Z171" s="530"/>
      <c r="AA171" s="530"/>
      <c r="AB171" s="530"/>
      <c r="AC171" s="506"/>
      <c r="AD171" s="545"/>
      <c r="AE171" s="495"/>
      <c r="AF171" s="16"/>
    </row>
    <row r="172" spans="1:33" s="15" customFormat="1" ht="24" customHeight="1">
      <c r="A172" s="46"/>
      <c r="B172" s="46"/>
      <c r="C172" s="36" t="s">
        <v>461</v>
      </c>
      <c r="D172" s="161">
        <v>1900</v>
      </c>
      <c r="E172" s="114">
        <f>SUM(F172:L172)</f>
        <v>1900</v>
      </c>
      <c r="F172" s="114">
        <f>SUMIF($AB$173:$AB$177,"보조",$AD$173:$AD$177)/1000</f>
        <v>0</v>
      </c>
      <c r="G172" s="114">
        <f>SUMIF($AB$173:$AB$177,"7종",$AD$173:$AD$177)/1000</f>
        <v>0</v>
      </c>
      <c r="H172" s="114">
        <f>SUMIF($AB$173:$AB$177,"시비",$AD$173:$AD$177)/1000</f>
        <v>0</v>
      </c>
      <c r="I172" s="114">
        <f>SUMIF($AB$173:$AB$177,"후원",$AD$173:$AD$177)/1000</f>
        <v>0</v>
      </c>
      <c r="J172" s="114">
        <f>SUMIF($AB$173:$AB$177,"입소",$AD$173:$AD$177)/1000</f>
        <v>1900</v>
      </c>
      <c r="K172" s="114">
        <f>SUMIF($AB$173:$AB$177,"법인",$AD$173:$AD$177)/1000</f>
        <v>0</v>
      </c>
      <c r="L172" s="114">
        <f>SUMIF($AB$173:$AB$177,"잡수",$AD$173:$AD$177)/1000</f>
        <v>0</v>
      </c>
      <c r="M172" s="113">
        <f>E172-D172</f>
        <v>0</v>
      </c>
      <c r="N172" s="121">
        <f>IF(D172=0,0,M172/D172)</f>
        <v>0</v>
      </c>
      <c r="O172" s="375"/>
      <c r="P172" s="392"/>
      <c r="Q172" s="392"/>
      <c r="R172" s="541"/>
      <c r="S172" s="541"/>
      <c r="T172" s="541"/>
      <c r="U172" s="541"/>
      <c r="V172" s="541"/>
      <c r="W172" s="542" t="s">
        <v>136</v>
      </c>
      <c r="X172" s="542"/>
      <c r="Y172" s="542"/>
      <c r="Z172" s="542"/>
      <c r="AA172" s="542"/>
      <c r="AB172" s="542"/>
      <c r="AC172" s="543"/>
      <c r="AD172" s="543">
        <f>SUM(AD173:AD176)</f>
        <v>1900000</v>
      </c>
      <c r="AE172" s="544" t="s">
        <v>25</v>
      </c>
      <c r="AF172" s="16"/>
    </row>
    <row r="173" spans="1:33" s="15" customFormat="1" ht="24" customHeight="1">
      <c r="A173" s="46"/>
      <c r="B173" s="46"/>
      <c r="C173" s="46" t="s">
        <v>462</v>
      </c>
      <c r="D173" s="159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02" t="s">
        <v>457</v>
      </c>
      <c r="P173" s="502"/>
      <c r="Q173" s="502"/>
      <c r="R173" s="502"/>
      <c r="S173" s="578">
        <v>50000</v>
      </c>
      <c r="T173" s="384" t="s">
        <v>57</v>
      </c>
      <c r="U173" s="384" t="s">
        <v>26</v>
      </c>
      <c r="V173" s="578">
        <v>4</v>
      </c>
      <c r="W173" s="579" t="s">
        <v>444</v>
      </c>
      <c r="X173" s="578"/>
      <c r="Y173" s="503"/>
      <c r="Z173" s="503"/>
      <c r="AA173" s="503" t="s">
        <v>53</v>
      </c>
      <c r="AB173" s="503" t="s">
        <v>316</v>
      </c>
      <c r="AC173" s="503"/>
      <c r="AD173" s="504">
        <f t="shared" ref="AD173:AD176" si="18">S173*V173</f>
        <v>200000</v>
      </c>
      <c r="AE173" s="505" t="s">
        <v>57</v>
      </c>
      <c r="AF173" s="16"/>
    </row>
    <row r="174" spans="1:33" s="15" customFormat="1" ht="24" customHeight="1">
      <c r="A174" s="46"/>
      <c r="B174" s="46"/>
      <c r="C174" s="46"/>
      <c r="D174" s="159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502" t="s">
        <v>458</v>
      </c>
      <c r="P174" s="502"/>
      <c r="Q174" s="502"/>
      <c r="R174" s="502"/>
      <c r="S174" s="578">
        <v>200000</v>
      </c>
      <c r="T174" s="384" t="s">
        <v>57</v>
      </c>
      <c r="U174" s="384" t="s">
        <v>26</v>
      </c>
      <c r="V174" s="578">
        <v>4</v>
      </c>
      <c r="W174" s="579" t="s">
        <v>444</v>
      </c>
      <c r="X174" s="578"/>
      <c r="Y174" s="503"/>
      <c r="Z174" s="503"/>
      <c r="AA174" s="503" t="s">
        <v>53</v>
      </c>
      <c r="AB174" s="503" t="s">
        <v>316</v>
      </c>
      <c r="AC174" s="503"/>
      <c r="AD174" s="504">
        <f t="shared" si="18"/>
        <v>800000</v>
      </c>
      <c r="AE174" s="505" t="s">
        <v>57</v>
      </c>
      <c r="AF174" s="16"/>
    </row>
    <row r="175" spans="1:33" s="15" customFormat="1" ht="24" customHeight="1">
      <c r="A175" s="46"/>
      <c r="B175" s="46"/>
      <c r="C175" s="46"/>
      <c r="D175" s="159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502" t="s">
        <v>459</v>
      </c>
      <c r="P175" s="502"/>
      <c r="Q175" s="502"/>
      <c r="R175" s="502"/>
      <c r="S175" s="578">
        <v>150000</v>
      </c>
      <c r="T175" s="384" t="s">
        <v>57</v>
      </c>
      <c r="U175" s="384" t="s">
        <v>26</v>
      </c>
      <c r="V175" s="578">
        <v>4</v>
      </c>
      <c r="W175" s="579" t="s">
        <v>444</v>
      </c>
      <c r="X175" s="578"/>
      <c r="Y175" s="503"/>
      <c r="Z175" s="503"/>
      <c r="AA175" s="503" t="s">
        <v>53</v>
      </c>
      <c r="AB175" s="503" t="s">
        <v>316</v>
      </c>
      <c r="AC175" s="503"/>
      <c r="AD175" s="504">
        <f t="shared" si="18"/>
        <v>600000</v>
      </c>
      <c r="AE175" s="505" t="s">
        <v>57</v>
      </c>
      <c r="AF175" s="16"/>
    </row>
    <row r="176" spans="1:33" s="15" customFormat="1" ht="24" customHeight="1">
      <c r="A176" s="46"/>
      <c r="B176" s="46"/>
      <c r="C176" s="46"/>
      <c r="D176" s="159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02" t="s">
        <v>460</v>
      </c>
      <c r="P176" s="502"/>
      <c r="Q176" s="502"/>
      <c r="R176" s="502"/>
      <c r="S176" s="578">
        <v>75000</v>
      </c>
      <c r="T176" s="384" t="s">
        <v>57</v>
      </c>
      <c r="U176" s="384" t="s">
        <v>26</v>
      </c>
      <c r="V176" s="578">
        <v>4</v>
      </c>
      <c r="W176" s="579" t="s">
        <v>444</v>
      </c>
      <c r="X176" s="579"/>
      <c r="Y176" s="385"/>
      <c r="Z176" s="378"/>
      <c r="AA176" s="503" t="s">
        <v>53</v>
      </c>
      <c r="AB176" s="503" t="s">
        <v>316</v>
      </c>
      <c r="AC176" s="503"/>
      <c r="AD176" s="504">
        <f t="shared" si="18"/>
        <v>300000</v>
      </c>
      <c r="AE176" s="505" t="s">
        <v>57</v>
      </c>
      <c r="AF176" s="16"/>
    </row>
    <row r="177" spans="1:32" s="15" customFormat="1" ht="24" customHeight="1">
      <c r="A177" s="46"/>
      <c r="B177" s="46"/>
      <c r="C177" s="59"/>
      <c r="D177" s="160"/>
      <c r="E177" s="111"/>
      <c r="F177" s="111"/>
      <c r="G177" s="111"/>
      <c r="H177" s="111"/>
      <c r="I177" s="111"/>
      <c r="J177" s="111"/>
      <c r="K177" s="111"/>
      <c r="L177" s="111"/>
      <c r="M177" s="111"/>
      <c r="N177" s="84"/>
      <c r="O177" s="538"/>
      <c r="P177" s="538"/>
      <c r="Q177" s="538"/>
      <c r="R177" s="538"/>
      <c r="S177" s="530"/>
      <c r="T177" s="494"/>
      <c r="U177" s="494"/>
      <c r="V177" s="530"/>
      <c r="W177" s="531"/>
      <c r="X177" s="530"/>
      <c r="Y177" s="538"/>
      <c r="Z177" s="538"/>
      <c r="AA177" s="538"/>
      <c r="AB177" s="538"/>
      <c r="AC177" s="538"/>
      <c r="AD177" s="539"/>
      <c r="AE177" s="540"/>
      <c r="AF177" s="16"/>
    </row>
    <row r="178" spans="1:32" s="15" customFormat="1" ht="24" customHeight="1">
      <c r="A178" s="46"/>
      <c r="B178" s="46"/>
      <c r="C178" s="36" t="s">
        <v>463</v>
      </c>
      <c r="D178" s="161">
        <v>400</v>
      </c>
      <c r="E178" s="114">
        <f>SUM(F178:L178)</f>
        <v>400</v>
      </c>
      <c r="F178" s="114">
        <f>SUMIF($AB$179:$AB$181,"보조",$AD$179:$AD$181)/1000</f>
        <v>0</v>
      </c>
      <c r="G178" s="114">
        <f>SUMIF($AB$179:$AB$181,"7종",$AD$179:$AD$181)/1000</f>
        <v>0</v>
      </c>
      <c r="H178" s="114">
        <f>SUMIF($AB$179:$AB$181,"시비",$AD$179:$AD$181)/1000</f>
        <v>0</v>
      </c>
      <c r="I178" s="114">
        <f>SUMIF($AB$179:$AB$181,"후원",$AD$179:$AD$181)/1000</f>
        <v>0</v>
      </c>
      <c r="J178" s="114">
        <f>SUMIF($AB$179:$AB$181,"입소",$AD$179:$AD$181)/1000</f>
        <v>400</v>
      </c>
      <c r="K178" s="114">
        <f>SUMIF($AB$179:$AB$181,"법인",$AD$179:$AD$181)/1000</f>
        <v>0</v>
      </c>
      <c r="L178" s="114">
        <f>SUMIF($AB$179:$AB$181,"잡수",$AD$179:$AD$181)/1000</f>
        <v>0</v>
      </c>
      <c r="M178" s="113">
        <f>E178-D178</f>
        <v>0</v>
      </c>
      <c r="N178" s="121">
        <f>IF(D178=0,0,M178/D178)</f>
        <v>0</v>
      </c>
      <c r="O178" s="375"/>
      <c r="P178" s="392"/>
      <c r="Q178" s="392"/>
      <c r="R178" s="541"/>
      <c r="S178" s="541"/>
      <c r="T178" s="541"/>
      <c r="U178" s="541"/>
      <c r="V178" s="541"/>
      <c r="W178" s="542" t="s">
        <v>136</v>
      </c>
      <c r="X178" s="542"/>
      <c r="Y178" s="542"/>
      <c r="Z178" s="542"/>
      <c r="AA178" s="542"/>
      <c r="AB178" s="542"/>
      <c r="AC178" s="543"/>
      <c r="AD178" s="543">
        <f>SUM(AD179:AD180)</f>
        <v>400000</v>
      </c>
      <c r="AE178" s="544" t="s">
        <v>25</v>
      </c>
      <c r="AF178" s="16"/>
    </row>
    <row r="179" spans="1:32" s="15" customFormat="1" ht="24" customHeight="1">
      <c r="A179" s="46"/>
      <c r="B179" s="46"/>
      <c r="C179" s="46" t="s">
        <v>442</v>
      </c>
      <c r="D179" s="159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579" t="s">
        <v>464</v>
      </c>
      <c r="P179" s="502"/>
      <c r="Q179" s="502"/>
      <c r="R179" s="502"/>
      <c r="S179" s="578">
        <v>0</v>
      </c>
      <c r="T179" s="384" t="s">
        <v>57</v>
      </c>
      <c r="U179" s="384" t="s">
        <v>26</v>
      </c>
      <c r="V179" s="578">
        <v>4</v>
      </c>
      <c r="W179" s="579" t="s">
        <v>444</v>
      </c>
      <c r="X179" s="578"/>
      <c r="Y179" s="503"/>
      <c r="Z179" s="503"/>
      <c r="AA179" s="503" t="s">
        <v>53</v>
      </c>
      <c r="AB179" s="503" t="s">
        <v>316</v>
      </c>
      <c r="AC179" s="503"/>
      <c r="AD179" s="504">
        <f t="shared" ref="AD179:AD180" si="19">S179*V179</f>
        <v>0</v>
      </c>
      <c r="AE179" s="505" t="s">
        <v>57</v>
      </c>
      <c r="AF179" s="16"/>
    </row>
    <row r="180" spans="1:32" s="15" customFormat="1" ht="24" customHeight="1">
      <c r="A180" s="46"/>
      <c r="B180" s="46"/>
      <c r="C180" s="46"/>
      <c r="D180" s="159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579" t="s">
        <v>465</v>
      </c>
      <c r="P180" s="546"/>
      <c r="Q180" s="546"/>
      <c r="R180" s="546"/>
      <c r="S180" s="578">
        <v>100000</v>
      </c>
      <c r="T180" s="384" t="s">
        <v>57</v>
      </c>
      <c r="U180" s="384" t="s">
        <v>26</v>
      </c>
      <c r="V180" s="578">
        <v>4</v>
      </c>
      <c r="W180" s="579" t="s">
        <v>444</v>
      </c>
      <c r="X180" s="579"/>
      <c r="Y180" s="385"/>
      <c r="Z180" s="378"/>
      <c r="AA180" s="503" t="s">
        <v>486</v>
      </c>
      <c r="AB180" s="503" t="s">
        <v>316</v>
      </c>
      <c r="AC180" s="503"/>
      <c r="AD180" s="504">
        <f t="shared" si="19"/>
        <v>400000</v>
      </c>
      <c r="AE180" s="505" t="s">
        <v>57</v>
      </c>
      <c r="AF180" s="16"/>
    </row>
    <row r="181" spans="1:32" s="15" customFormat="1" ht="24" customHeight="1">
      <c r="A181" s="46"/>
      <c r="B181" s="46"/>
      <c r="C181" s="59"/>
      <c r="D181" s="160"/>
      <c r="E181" s="111"/>
      <c r="F181" s="111"/>
      <c r="G181" s="111"/>
      <c r="H181" s="111"/>
      <c r="I181" s="111"/>
      <c r="J181" s="111"/>
      <c r="K181" s="111"/>
      <c r="L181" s="111"/>
      <c r="M181" s="111"/>
      <c r="N181" s="84"/>
      <c r="O181" s="531"/>
      <c r="P181" s="531"/>
      <c r="Q181" s="531"/>
      <c r="R181" s="531"/>
      <c r="S181" s="531"/>
      <c r="T181" s="530"/>
      <c r="U181" s="530"/>
      <c r="V181" s="530"/>
      <c r="W181" s="530"/>
      <c r="X181" s="530"/>
      <c r="Y181" s="530"/>
      <c r="Z181" s="530"/>
      <c r="AA181" s="530"/>
      <c r="AB181" s="530"/>
      <c r="AC181" s="506"/>
      <c r="AD181" s="545"/>
      <c r="AE181" s="495"/>
      <c r="AF181" s="16"/>
    </row>
    <row r="182" spans="1:32" s="15" customFormat="1" ht="24" customHeight="1">
      <c r="A182" s="46"/>
      <c r="B182" s="46"/>
      <c r="C182" s="36" t="s">
        <v>466</v>
      </c>
      <c r="D182" s="161">
        <v>611</v>
      </c>
      <c r="E182" s="114">
        <f>SUM(F182:L182)</f>
        <v>611</v>
      </c>
      <c r="F182" s="114">
        <f>SUMIF($AB$183:$AB$187,"보조",$AD$183:$AD$187)/1000</f>
        <v>0</v>
      </c>
      <c r="G182" s="114">
        <f>SUMIF($AB$183:$AB$187,"7종",$AD$183:$AD$187)/1000</f>
        <v>0</v>
      </c>
      <c r="H182" s="114">
        <f>SUMIF($AB$183:$AB$187,"시비",$AD$183:$AD$187)/1000</f>
        <v>0</v>
      </c>
      <c r="I182" s="114">
        <f>SUMIF($AB$183:$AB$187,"후원",$AD$183:$AD$187)/1000</f>
        <v>0</v>
      </c>
      <c r="J182" s="114">
        <f>SUMIF($AB$183:$AB$187,"입소",$AD$183:$AD$187)/1000</f>
        <v>611</v>
      </c>
      <c r="K182" s="114">
        <f>SUMIF($AB$183:$AB$187,"법인",$AD$183:$AD$187)/1000</f>
        <v>0</v>
      </c>
      <c r="L182" s="114">
        <f>SUMIF($AB$183:$AB$187,"잡수",$AD$183:$AD$187)/1000</f>
        <v>0</v>
      </c>
      <c r="M182" s="113">
        <f>E182-D182</f>
        <v>0</v>
      </c>
      <c r="N182" s="121">
        <f>IF(D182=0,0,M182/D182)</f>
        <v>0</v>
      </c>
      <c r="O182" s="396"/>
      <c r="P182" s="396"/>
      <c r="Q182" s="396"/>
      <c r="R182" s="396"/>
      <c r="S182" s="396"/>
      <c r="T182" s="380"/>
      <c r="U182" s="380"/>
      <c r="V182" s="380"/>
      <c r="W182" s="542" t="s">
        <v>136</v>
      </c>
      <c r="X182" s="542"/>
      <c r="Y182" s="542"/>
      <c r="Z182" s="542"/>
      <c r="AA182" s="542"/>
      <c r="AB182" s="542"/>
      <c r="AC182" s="543"/>
      <c r="AD182" s="543">
        <f>SUM(AD183:AD186)</f>
        <v>611000</v>
      </c>
      <c r="AE182" s="544" t="s">
        <v>25</v>
      </c>
      <c r="AF182" s="16"/>
    </row>
    <row r="183" spans="1:32" s="15" customFormat="1" ht="24" customHeight="1">
      <c r="A183" s="46"/>
      <c r="B183" s="46"/>
      <c r="C183" s="46" t="s">
        <v>377</v>
      </c>
      <c r="D183" s="159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579" t="s">
        <v>467</v>
      </c>
      <c r="P183" s="533"/>
      <c r="Q183" s="533"/>
      <c r="R183" s="533"/>
      <c r="S183" s="578">
        <v>10000</v>
      </c>
      <c r="T183" s="578" t="s">
        <v>57</v>
      </c>
      <c r="U183" s="579" t="s">
        <v>58</v>
      </c>
      <c r="V183" s="578">
        <v>4</v>
      </c>
      <c r="W183" s="578" t="s">
        <v>56</v>
      </c>
      <c r="X183" s="579" t="s">
        <v>58</v>
      </c>
      <c r="Y183" s="385">
        <v>4</v>
      </c>
      <c r="Z183" s="378" t="s">
        <v>71</v>
      </c>
      <c r="AA183" s="378" t="s">
        <v>53</v>
      </c>
      <c r="AB183" s="578" t="s">
        <v>316</v>
      </c>
      <c r="AC183" s="136"/>
      <c r="AD183" s="578">
        <f>S183*V183*Y183</f>
        <v>160000</v>
      </c>
      <c r="AE183" s="137" t="s">
        <v>57</v>
      </c>
      <c r="AF183" s="16"/>
    </row>
    <row r="184" spans="1:32" s="15" customFormat="1" ht="24" customHeight="1">
      <c r="A184" s="46"/>
      <c r="B184" s="46"/>
      <c r="C184" s="46"/>
      <c r="D184" s="159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502" t="s">
        <v>468</v>
      </c>
      <c r="P184" s="496"/>
      <c r="Q184" s="496"/>
      <c r="R184" s="492"/>
      <c r="S184" s="578">
        <v>10000</v>
      </c>
      <c r="T184" s="578" t="s">
        <v>57</v>
      </c>
      <c r="U184" s="579" t="s">
        <v>58</v>
      </c>
      <c r="V184" s="578">
        <v>4</v>
      </c>
      <c r="W184" s="578" t="s">
        <v>56</v>
      </c>
      <c r="X184" s="579" t="s">
        <v>58</v>
      </c>
      <c r="Y184" s="385">
        <v>5</v>
      </c>
      <c r="Z184" s="378" t="s">
        <v>71</v>
      </c>
      <c r="AA184" s="378" t="s">
        <v>53</v>
      </c>
      <c r="AB184" s="578" t="s">
        <v>316</v>
      </c>
      <c r="AC184" s="136"/>
      <c r="AD184" s="578">
        <f>S184*V184*Y184</f>
        <v>200000</v>
      </c>
      <c r="AE184" s="137" t="s">
        <v>57</v>
      </c>
      <c r="AF184" s="16"/>
    </row>
    <row r="185" spans="1:32" s="15" customFormat="1" ht="24" customHeight="1">
      <c r="A185" s="46"/>
      <c r="B185" s="46"/>
      <c r="C185" s="46"/>
      <c r="D185" s="159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502" t="s">
        <v>470</v>
      </c>
      <c r="P185" s="496"/>
      <c r="Q185" s="496"/>
      <c r="R185" s="492"/>
      <c r="S185" s="492"/>
      <c r="T185" s="492"/>
      <c r="U185" s="492"/>
      <c r="V185" s="492"/>
      <c r="W185" s="578"/>
      <c r="X185" s="578"/>
      <c r="Y185" s="578"/>
      <c r="Z185" s="578"/>
      <c r="AA185" s="578"/>
      <c r="AB185" s="578" t="s">
        <v>436</v>
      </c>
      <c r="AC185" s="136"/>
      <c r="AD185" s="136">
        <v>51000</v>
      </c>
      <c r="AE185" s="137" t="s">
        <v>433</v>
      </c>
      <c r="AF185" s="16"/>
    </row>
    <row r="186" spans="1:32" s="15" customFormat="1" ht="24" customHeight="1">
      <c r="A186" s="46"/>
      <c r="B186" s="46"/>
      <c r="C186" s="46"/>
      <c r="D186" s="159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02" t="s">
        <v>469</v>
      </c>
      <c r="P186" s="502"/>
      <c r="Q186" s="502"/>
      <c r="R186" s="502"/>
      <c r="S186" s="578">
        <v>10000</v>
      </c>
      <c r="T186" s="578" t="s">
        <v>57</v>
      </c>
      <c r="U186" s="579" t="s">
        <v>58</v>
      </c>
      <c r="V186" s="578">
        <v>4</v>
      </c>
      <c r="W186" s="578" t="s">
        <v>56</v>
      </c>
      <c r="X186" s="579" t="s">
        <v>58</v>
      </c>
      <c r="Y186" s="385">
        <v>5</v>
      </c>
      <c r="Z186" s="378" t="s">
        <v>71</v>
      </c>
      <c r="AA186" s="378"/>
      <c r="AB186" s="578" t="s">
        <v>316</v>
      </c>
      <c r="AC186" s="136"/>
      <c r="AD186" s="578">
        <f>S186*V186*Y186</f>
        <v>200000</v>
      </c>
      <c r="AE186" s="137" t="s">
        <v>57</v>
      </c>
      <c r="AF186" s="16"/>
    </row>
    <row r="187" spans="1:32" s="15" customFormat="1" ht="24" customHeight="1">
      <c r="A187" s="46"/>
      <c r="B187" s="46"/>
      <c r="C187" s="59"/>
      <c r="D187" s="160"/>
      <c r="E187" s="111"/>
      <c r="F187" s="111"/>
      <c r="G187" s="111"/>
      <c r="H187" s="111"/>
      <c r="I187" s="111"/>
      <c r="J187" s="111"/>
      <c r="K187" s="111"/>
      <c r="L187" s="111"/>
      <c r="M187" s="111"/>
      <c r="N187" s="84"/>
      <c r="O187" s="538"/>
      <c r="P187" s="538"/>
      <c r="Q187" s="538"/>
      <c r="R187" s="538"/>
      <c r="S187" s="538"/>
      <c r="T187" s="538"/>
      <c r="U187" s="538"/>
      <c r="V187" s="538"/>
      <c r="W187" s="538"/>
      <c r="X187" s="538"/>
      <c r="Y187" s="538"/>
      <c r="Z187" s="538"/>
      <c r="AA187" s="538"/>
      <c r="AB187" s="538"/>
      <c r="AC187" s="538"/>
      <c r="AD187" s="539"/>
      <c r="AE187" s="540"/>
      <c r="AF187" s="16"/>
    </row>
    <row r="188" spans="1:32" s="15" customFormat="1" ht="24" customHeight="1">
      <c r="A188" s="46"/>
      <c r="B188" s="46"/>
      <c r="C188" s="36" t="s">
        <v>379</v>
      </c>
      <c r="D188" s="161">
        <v>100</v>
      </c>
      <c r="E188" s="114">
        <f>SUM(F188:L188)</f>
        <v>100</v>
      </c>
      <c r="F188" s="114">
        <f>SUMIF($AB$189:$AB$191,"보조",$AD$189:$AD$191)/1000</f>
        <v>0</v>
      </c>
      <c r="G188" s="114">
        <f>SUMIF($AB$189:$AB$191,"7종",$AD$189:$AD$191)/1000</f>
        <v>0</v>
      </c>
      <c r="H188" s="114">
        <f>SUMIF($AB$189:$AB$191,"시비",$AD$189:$AD$191)/1000</f>
        <v>0</v>
      </c>
      <c r="I188" s="114">
        <f>SUMIF($AB$189:$AB$191,"후원",$AD$189:$AD$191)/1000</f>
        <v>0</v>
      </c>
      <c r="J188" s="114">
        <f>SUMIF($AB$189:$AB$191,"입소",$AD$189:$AD$191)/1000</f>
        <v>100</v>
      </c>
      <c r="K188" s="114">
        <f>SUMIF($AB$189:$AB$191,"법인",$AD$189:$AD$191)/1000</f>
        <v>0</v>
      </c>
      <c r="L188" s="114">
        <f>SUMIF($AB$189:$AB$191,"잡수",$AD$189:$AD$191)/1000</f>
        <v>0</v>
      </c>
      <c r="M188" s="113">
        <f>E188-D188</f>
        <v>0</v>
      </c>
      <c r="N188" s="121">
        <f>IF(D188=0,0,M188/D188)</f>
        <v>0</v>
      </c>
      <c r="O188" s="375"/>
      <c r="P188" s="392"/>
      <c r="Q188" s="392"/>
      <c r="R188" s="541"/>
      <c r="S188" s="541"/>
      <c r="T188" s="541"/>
      <c r="U188" s="541"/>
      <c r="V188" s="541"/>
      <c r="W188" s="542" t="s">
        <v>136</v>
      </c>
      <c r="X188" s="542"/>
      <c r="Y188" s="542"/>
      <c r="Z188" s="542"/>
      <c r="AA188" s="542"/>
      <c r="AB188" s="542"/>
      <c r="AC188" s="543"/>
      <c r="AD188" s="543">
        <f>SUM(AD189:AD190)</f>
        <v>100000</v>
      </c>
      <c r="AE188" s="544" t="s">
        <v>25</v>
      </c>
      <c r="AF188" s="16"/>
    </row>
    <row r="189" spans="1:32" s="15" customFormat="1" ht="24" customHeight="1">
      <c r="A189" s="46"/>
      <c r="B189" s="46"/>
      <c r="C189" s="46" t="s">
        <v>378</v>
      </c>
      <c r="D189" s="159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579" t="s">
        <v>471</v>
      </c>
      <c r="P189" s="496"/>
      <c r="Q189" s="496"/>
      <c r="R189" s="492"/>
      <c r="S189" s="578">
        <v>100000</v>
      </c>
      <c r="T189" s="384" t="s">
        <v>57</v>
      </c>
      <c r="U189" s="384" t="s">
        <v>26</v>
      </c>
      <c r="V189" s="578">
        <v>1</v>
      </c>
      <c r="W189" s="579" t="s">
        <v>71</v>
      </c>
      <c r="X189" s="578"/>
      <c r="Y189" s="502"/>
      <c r="Z189" s="502" t="s">
        <v>53</v>
      </c>
      <c r="AA189" s="502"/>
      <c r="AB189" s="502" t="s">
        <v>316</v>
      </c>
      <c r="AC189" s="502"/>
      <c r="AD189" s="537">
        <f>S189*V189</f>
        <v>100000</v>
      </c>
      <c r="AE189" s="505" t="s">
        <v>57</v>
      </c>
      <c r="AF189" s="16"/>
    </row>
    <row r="190" spans="1:32" s="15" customFormat="1" ht="24" customHeight="1">
      <c r="A190" s="46"/>
      <c r="B190" s="46"/>
      <c r="C190" s="46" t="s">
        <v>377</v>
      </c>
      <c r="D190" s="159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579" t="s">
        <v>472</v>
      </c>
      <c r="P190" s="496"/>
      <c r="Q190" s="496"/>
      <c r="R190" s="492"/>
      <c r="S190" s="532">
        <v>0</v>
      </c>
      <c r="T190" s="384" t="s">
        <v>57</v>
      </c>
      <c r="U190" s="384" t="s">
        <v>26</v>
      </c>
      <c r="V190" s="532">
        <v>0</v>
      </c>
      <c r="W190" s="533" t="s">
        <v>71</v>
      </c>
      <c r="X190" s="532"/>
      <c r="Y190" s="502"/>
      <c r="Z190" s="502" t="s">
        <v>53</v>
      </c>
      <c r="AA190" s="502"/>
      <c r="AB190" s="502" t="s">
        <v>316</v>
      </c>
      <c r="AC190" s="502"/>
      <c r="AD190" s="537">
        <f>S190*V190</f>
        <v>0</v>
      </c>
      <c r="AE190" s="505" t="s">
        <v>57</v>
      </c>
      <c r="AF190" s="16"/>
    </row>
    <row r="191" spans="1:32" s="15" customFormat="1" ht="24" customHeight="1">
      <c r="A191" s="46"/>
      <c r="B191" s="46"/>
      <c r="C191" s="59"/>
      <c r="D191" s="160"/>
      <c r="E191" s="111"/>
      <c r="F191" s="111"/>
      <c r="G191" s="111"/>
      <c r="H191" s="111"/>
      <c r="I191" s="111"/>
      <c r="J191" s="111"/>
      <c r="K191" s="111"/>
      <c r="L191" s="111"/>
      <c r="M191" s="111"/>
      <c r="N191" s="84"/>
      <c r="O191" s="531"/>
      <c r="P191" s="379"/>
      <c r="Q191" s="379"/>
      <c r="R191" s="547"/>
      <c r="S191" s="547"/>
      <c r="T191" s="547"/>
      <c r="U191" s="547"/>
      <c r="V191" s="547"/>
      <c r="W191" s="530"/>
      <c r="X191" s="530"/>
      <c r="Y191" s="530"/>
      <c r="Z191" s="530"/>
      <c r="AA191" s="530"/>
      <c r="AB191" s="530"/>
      <c r="AC191" s="506"/>
      <c r="AD191" s="506"/>
      <c r="AE191" s="495"/>
      <c r="AF191" s="16"/>
    </row>
    <row r="192" spans="1:32" s="11" customFormat="1" ht="21" customHeight="1">
      <c r="A192" s="112" t="s">
        <v>153</v>
      </c>
      <c r="B192" s="677" t="s">
        <v>20</v>
      </c>
      <c r="C192" s="678"/>
      <c r="D192" s="174">
        <f>SUM(D193)</f>
        <v>9</v>
      </c>
      <c r="E192" s="174">
        <f>SUM(E193)</f>
        <v>5</v>
      </c>
      <c r="F192" s="174">
        <f t="shared" ref="F192:L192" si="20">SUM(F193)</f>
        <v>5</v>
      </c>
      <c r="G192" s="174">
        <f t="shared" si="20"/>
        <v>0</v>
      </c>
      <c r="H192" s="174">
        <f t="shared" si="20"/>
        <v>0</v>
      </c>
      <c r="I192" s="174">
        <f t="shared" si="20"/>
        <v>0</v>
      </c>
      <c r="J192" s="174">
        <f t="shared" si="20"/>
        <v>0</v>
      </c>
      <c r="K192" s="174">
        <f t="shared" si="20"/>
        <v>0</v>
      </c>
      <c r="L192" s="174">
        <f t="shared" si="20"/>
        <v>0</v>
      </c>
      <c r="M192" s="174">
        <f>E192-D192</f>
        <v>-4</v>
      </c>
      <c r="N192" s="175">
        <f>IF(D192=0,0,M192/D192)</f>
        <v>-0.44444444444444442</v>
      </c>
      <c r="O192" s="97" t="s">
        <v>156</v>
      </c>
      <c r="P192" s="176"/>
      <c r="Q192" s="176"/>
      <c r="R192" s="176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>
        <f>SUM(AD193)</f>
        <v>5000</v>
      </c>
      <c r="AE192" s="178" t="s">
        <v>25</v>
      </c>
      <c r="AF192" s="1"/>
    </row>
    <row r="193" spans="1:32" s="11" customFormat="1" ht="21" customHeight="1">
      <c r="A193" s="194" t="s">
        <v>155</v>
      </c>
      <c r="B193" s="46" t="s">
        <v>153</v>
      </c>
      <c r="C193" s="46" t="s">
        <v>153</v>
      </c>
      <c r="D193" s="159">
        <v>9</v>
      </c>
      <c r="E193" s="114">
        <f>SUM(F193:L193)</f>
        <v>5</v>
      </c>
      <c r="F193" s="114">
        <f>SUMIF($AB$194:$AB$201,"보조",$AD$194:$AD$201)/1000</f>
        <v>5</v>
      </c>
      <c r="G193" s="114">
        <f>SUMIF($AB$194:$AB$201,"7종",$AD$194:$AD$201)/1000</f>
        <v>0</v>
      </c>
      <c r="H193" s="114">
        <f>SUMIF($AB$194:$AB$201,"시비",$AD$194:$AD$201)/1000</f>
        <v>0</v>
      </c>
      <c r="I193" s="114">
        <f>SUMIF($AB$194:$AB$201,"후원",$AD$194:$AD$201)/1000</f>
        <v>0</v>
      </c>
      <c r="J193" s="114">
        <f>SUMIF($AB$194:$AB$201,"입소",$AD$194:$AD$201)/1000</f>
        <v>0</v>
      </c>
      <c r="K193" s="114">
        <f>SUMIF($AB$194:$AB$201,"법인",$AD$194:$AD$201)/1000</f>
        <v>0</v>
      </c>
      <c r="L193" s="114">
        <f>SUMIF($AB$194:$AB$201,"잡수",$AD$194:$AD$201)/1000</f>
        <v>0</v>
      </c>
      <c r="M193" s="109">
        <f>E193-D193</f>
        <v>-4</v>
      </c>
      <c r="N193" s="70">
        <f>IF(D193=0,0,M193/D193)</f>
        <v>-0.44444444444444442</v>
      </c>
      <c r="O193" s="379" t="s">
        <v>310</v>
      </c>
      <c r="P193" s="32"/>
      <c r="Q193" s="32"/>
      <c r="R193" s="32"/>
      <c r="S193" s="32"/>
      <c r="T193" s="33"/>
      <c r="U193" s="33"/>
      <c r="V193" s="33"/>
      <c r="W193" s="33"/>
      <c r="X193" s="33"/>
      <c r="Y193" s="177" t="s">
        <v>142</v>
      </c>
      <c r="Z193" s="99"/>
      <c r="AA193" s="99"/>
      <c r="AB193" s="99"/>
      <c r="AC193" s="118"/>
      <c r="AD193" s="118">
        <f>ROUNDUP(SUM(AD194:AD199),-3)</f>
        <v>5000</v>
      </c>
      <c r="AE193" s="119" t="s">
        <v>25</v>
      </c>
      <c r="AF193" s="1"/>
    </row>
    <row r="194" spans="1:32" ht="21" customHeight="1">
      <c r="A194" s="45"/>
      <c r="B194" s="46" t="s">
        <v>154</v>
      </c>
      <c r="C194" s="46" t="s">
        <v>154</v>
      </c>
      <c r="D194" s="159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79" t="s">
        <v>473</v>
      </c>
      <c r="P194" s="471"/>
      <c r="Q194" s="471"/>
      <c r="R194" s="471"/>
      <c r="S194" s="470"/>
      <c r="T194" s="470"/>
      <c r="U194" s="470"/>
      <c r="V194" s="470"/>
      <c r="W194" s="470"/>
      <c r="X194" s="470"/>
      <c r="Y194" s="470"/>
      <c r="Z194" s="470"/>
      <c r="AA194" s="470"/>
      <c r="AB194" s="578" t="s">
        <v>479</v>
      </c>
      <c r="AC194" s="470"/>
      <c r="AD194" s="68">
        <v>0</v>
      </c>
      <c r="AE194" s="137" t="s">
        <v>25</v>
      </c>
    </row>
    <row r="195" spans="1:32" ht="21" customHeight="1">
      <c r="A195" s="45"/>
      <c r="B195" s="46"/>
      <c r="C195" s="46"/>
      <c r="D195" s="159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579" t="s">
        <v>474</v>
      </c>
      <c r="P195" s="471"/>
      <c r="Q195" s="471"/>
      <c r="R195" s="471"/>
      <c r="S195" s="470"/>
      <c r="T195" s="470"/>
      <c r="U195" s="470"/>
      <c r="V195" s="470"/>
      <c r="W195" s="470"/>
      <c r="X195" s="470"/>
      <c r="Y195" s="470"/>
      <c r="Z195" s="470"/>
      <c r="AA195" s="470"/>
      <c r="AB195" s="578" t="s">
        <v>479</v>
      </c>
      <c r="AC195" s="470"/>
      <c r="AD195" s="68">
        <v>4000</v>
      </c>
      <c r="AE195" s="137" t="s">
        <v>361</v>
      </c>
    </row>
    <row r="196" spans="1:32" ht="21" customHeight="1">
      <c r="A196" s="45"/>
      <c r="B196" s="46"/>
      <c r="C196" s="46"/>
      <c r="D196" s="159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79" t="s">
        <v>478</v>
      </c>
      <c r="P196" s="579"/>
      <c r="Q196" s="579"/>
      <c r="R196" s="579"/>
      <c r="S196" s="578"/>
      <c r="T196" s="578"/>
      <c r="U196" s="578"/>
      <c r="V196" s="578"/>
      <c r="W196" s="578"/>
      <c r="X196" s="578"/>
      <c r="Y196" s="578"/>
      <c r="Z196" s="578"/>
      <c r="AA196" s="578"/>
      <c r="AB196" s="578" t="s">
        <v>479</v>
      </c>
      <c r="AC196" s="578"/>
      <c r="AD196" s="68">
        <v>1000</v>
      </c>
      <c r="AE196" s="137" t="s">
        <v>433</v>
      </c>
    </row>
    <row r="197" spans="1:32" ht="21" customHeight="1">
      <c r="A197" s="45"/>
      <c r="B197" s="46"/>
      <c r="C197" s="46"/>
      <c r="D197" s="159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79" t="s">
        <v>475</v>
      </c>
      <c r="P197" s="471"/>
      <c r="Q197" s="471"/>
      <c r="R197" s="471"/>
      <c r="S197" s="470"/>
      <c r="T197" s="470"/>
      <c r="U197" s="470"/>
      <c r="V197" s="470"/>
      <c r="W197" s="470"/>
      <c r="X197" s="470"/>
      <c r="Y197" s="470"/>
      <c r="Z197" s="470"/>
      <c r="AA197" s="470"/>
      <c r="AB197" s="578" t="s">
        <v>632</v>
      </c>
      <c r="AC197" s="470"/>
      <c r="AD197" s="68">
        <v>0</v>
      </c>
      <c r="AE197" s="137" t="s">
        <v>361</v>
      </c>
    </row>
    <row r="198" spans="1:32" ht="21" customHeight="1">
      <c r="A198" s="45"/>
      <c r="B198" s="46"/>
      <c r="C198" s="46"/>
      <c r="D198" s="159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579" t="s">
        <v>476</v>
      </c>
      <c r="P198" s="471"/>
      <c r="Q198" s="471"/>
      <c r="R198" s="471"/>
      <c r="S198" s="470"/>
      <c r="T198" s="470"/>
      <c r="U198" s="470"/>
      <c r="V198" s="470"/>
      <c r="W198" s="470"/>
      <c r="X198" s="470"/>
      <c r="Y198" s="470"/>
      <c r="Z198" s="470"/>
      <c r="AA198" s="470"/>
      <c r="AB198" s="578" t="s">
        <v>632</v>
      </c>
      <c r="AC198" s="470"/>
      <c r="AD198" s="68">
        <v>0</v>
      </c>
      <c r="AE198" s="137" t="s">
        <v>361</v>
      </c>
    </row>
    <row r="199" spans="1:32" ht="21" customHeight="1">
      <c r="A199" s="45"/>
      <c r="B199" s="46"/>
      <c r="C199" s="46"/>
      <c r="D199" s="159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79" t="s">
        <v>543</v>
      </c>
      <c r="P199" s="471"/>
      <c r="Q199" s="471"/>
      <c r="R199" s="471"/>
      <c r="S199" s="470"/>
      <c r="T199" s="470"/>
      <c r="U199" s="470"/>
      <c r="V199" s="470"/>
      <c r="W199" s="470"/>
      <c r="X199" s="470"/>
      <c r="Y199" s="470"/>
      <c r="Z199" s="470"/>
      <c r="AA199" s="470"/>
      <c r="AB199" s="578" t="s">
        <v>633</v>
      </c>
      <c r="AC199" s="470"/>
      <c r="AD199" s="68">
        <v>0</v>
      </c>
      <c r="AE199" s="137" t="s">
        <v>25</v>
      </c>
    </row>
    <row r="200" spans="1:32" ht="21" customHeight="1">
      <c r="A200" s="45"/>
      <c r="B200" s="46"/>
      <c r="C200" s="47"/>
      <c r="D200" s="159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79" t="s">
        <v>477</v>
      </c>
      <c r="P200" s="579"/>
      <c r="Q200" s="579"/>
      <c r="R200" s="579"/>
      <c r="S200" s="578"/>
      <c r="T200" s="578"/>
      <c r="U200" s="578"/>
      <c r="V200" s="578"/>
      <c r="W200" s="578"/>
      <c r="X200" s="578"/>
      <c r="Y200" s="578"/>
      <c r="Z200" s="578"/>
      <c r="AA200" s="578"/>
      <c r="AB200" s="578" t="s">
        <v>631</v>
      </c>
      <c r="AC200" s="578"/>
      <c r="AD200" s="68"/>
      <c r="AE200" s="137"/>
    </row>
    <row r="201" spans="1:32" s="14" customFormat="1" ht="21" customHeight="1">
      <c r="A201" s="45"/>
      <c r="B201" s="59"/>
      <c r="C201" s="47"/>
      <c r="D201" s="159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1"/>
      <c r="AE201" s="57"/>
      <c r="AF201" s="4"/>
    </row>
    <row r="202" spans="1:32" s="11" customFormat="1" ht="21" customHeight="1">
      <c r="A202" s="35" t="s">
        <v>97</v>
      </c>
      <c r="B202" s="677" t="s">
        <v>20</v>
      </c>
      <c r="C202" s="678"/>
      <c r="D202" s="174">
        <f>D203</f>
        <v>0</v>
      </c>
      <c r="E202" s="174">
        <f>E203</f>
        <v>0</v>
      </c>
      <c r="F202" s="174">
        <f t="shared" ref="F202:L202" si="21">F203</f>
        <v>0</v>
      </c>
      <c r="G202" s="174">
        <f t="shared" si="21"/>
        <v>0</v>
      </c>
      <c r="H202" s="174">
        <f t="shared" si="21"/>
        <v>0</v>
      </c>
      <c r="I202" s="174">
        <f t="shared" si="21"/>
        <v>0</v>
      </c>
      <c r="J202" s="174">
        <f t="shared" si="21"/>
        <v>0</v>
      </c>
      <c r="K202" s="174">
        <f t="shared" si="21"/>
        <v>0</v>
      </c>
      <c r="L202" s="174">
        <f t="shared" si="21"/>
        <v>0</v>
      </c>
      <c r="M202" s="174">
        <f>E202-D202</f>
        <v>0</v>
      </c>
      <c r="N202" s="175">
        <f>IF(D202=0,0,M202/D202)</f>
        <v>0</v>
      </c>
      <c r="O202" s="176" t="s">
        <v>97</v>
      </c>
      <c r="P202" s="176"/>
      <c r="Q202" s="176"/>
      <c r="R202" s="176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>
        <f>SUM(AD203)</f>
        <v>0</v>
      </c>
      <c r="AE202" s="178" t="s">
        <v>25</v>
      </c>
      <c r="AF202" s="1"/>
    </row>
    <row r="203" spans="1:32" s="11" customFormat="1" ht="21" customHeight="1">
      <c r="A203" s="45"/>
      <c r="B203" s="46" t="s">
        <v>97</v>
      </c>
      <c r="C203" s="46" t="s">
        <v>97</v>
      </c>
      <c r="D203" s="159">
        <v>0</v>
      </c>
      <c r="E203" s="114">
        <f>SUM(F203:L203)</f>
        <v>0</v>
      </c>
      <c r="F203" s="114">
        <f>SUMIF($AB$204:$AB$204,"보조",$AD$204:$AD$204)/1000</f>
        <v>0</v>
      </c>
      <c r="G203" s="114">
        <f>SUMIF($AB$204:$AB$204,"7종",$AD$204:$AD$204)/1000</f>
        <v>0</v>
      </c>
      <c r="H203" s="114">
        <f>SUMIF($AB$204:$AB$204,"시비",$AD$204:$AD$204)/1000</f>
        <v>0</v>
      </c>
      <c r="I203" s="114">
        <f>SUMIF($AB$204:$AB$204,"후원",$AD$204:$AD$204)/1000</f>
        <v>0</v>
      </c>
      <c r="J203" s="114">
        <f>SUMIF($AB$204:$AB$204,"입소",$AD$204:$AD$204)/1000</f>
        <v>0</v>
      </c>
      <c r="K203" s="114">
        <f>SUMIF($AB$204:$AB$204,"법인",$AD$204:$AD$204)/1000</f>
        <v>0</v>
      </c>
      <c r="L203" s="114">
        <f>SUMIF($AB$204:$AB$204,"잡수",$AD$204:$AD$204)/1000</f>
        <v>0</v>
      </c>
      <c r="M203" s="109">
        <f>E203-D203</f>
        <v>0</v>
      </c>
      <c r="N203" s="70">
        <f>IF(D203=0,0,M203/D203)</f>
        <v>0</v>
      </c>
      <c r="O203" s="116" t="s">
        <v>98</v>
      </c>
      <c r="P203" s="32"/>
      <c r="Q203" s="32"/>
      <c r="R203" s="32"/>
      <c r="S203" s="32"/>
      <c r="T203" s="33"/>
      <c r="U203" s="33"/>
      <c r="V203" s="33"/>
      <c r="W203" s="33"/>
      <c r="X203" s="33"/>
      <c r="Y203" s="177" t="s">
        <v>142</v>
      </c>
      <c r="Z203" s="99"/>
      <c r="AA203" s="99"/>
      <c r="AB203" s="99"/>
      <c r="AC203" s="118"/>
      <c r="AD203" s="118">
        <v>0</v>
      </c>
      <c r="AE203" s="119" t="s">
        <v>25</v>
      </c>
      <c r="AF203" s="1"/>
    </row>
    <row r="204" spans="1:32" s="1" customFormat="1" ht="21" customHeight="1" thickBot="1">
      <c r="A204" s="138"/>
      <c r="B204" s="46"/>
      <c r="C204" s="46"/>
      <c r="D204" s="159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141"/>
    </row>
    <row r="205" spans="1:32" s="11" customFormat="1" ht="21" customHeight="1">
      <c r="A205" s="35" t="s">
        <v>21</v>
      </c>
      <c r="B205" s="675" t="s">
        <v>20</v>
      </c>
      <c r="C205" s="676"/>
      <c r="D205" s="199">
        <f>SUM(D206)</f>
        <v>29</v>
      </c>
      <c r="E205" s="199">
        <f>SUM(E206)</f>
        <v>29</v>
      </c>
      <c r="F205" s="199">
        <f t="shared" ref="F205:L205" si="22">SUM(F206)</f>
        <v>0</v>
      </c>
      <c r="G205" s="199">
        <f t="shared" si="22"/>
        <v>0</v>
      </c>
      <c r="H205" s="199">
        <f t="shared" si="22"/>
        <v>0</v>
      </c>
      <c r="I205" s="199">
        <f t="shared" si="22"/>
        <v>3</v>
      </c>
      <c r="J205" s="199">
        <f t="shared" si="22"/>
        <v>20</v>
      </c>
      <c r="K205" s="199">
        <f t="shared" si="22"/>
        <v>2</v>
      </c>
      <c r="L205" s="199">
        <f t="shared" si="22"/>
        <v>4</v>
      </c>
      <c r="M205" s="199">
        <f>E205-D205</f>
        <v>0</v>
      </c>
      <c r="N205" s="200">
        <f>IF(D205=0,0,M205/D205)</f>
        <v>0</v>
      </c>
      <c r="O205" s="167" t="s">
        <v>21</v>
      </c>
      <c r="P205" s="168"/>
      <c r="Q205" s="168"/>
      <c r="R205" s="168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>
        <f>AD206</f>
        <v>29000</v>
      </c>
      <c r="AE205" s="170" t="s">
        <v>25</v>
      </c>
      <c r="AF205" s="1"/>
    </row>
    <row r="206" spans="1:32" s="11" customFormat="1" ht="21" customHeight="1">
      <c r="A206" s="45"/>
      <c r="B206" s="46" t="s">
        <v>21</v>
      </c>
      <c r="C206" s="46" t="s">
        <v>21</v>
      </c>
      <c r="D206" s="109">
        <v>29</v>
      </c>
      <c r="E206" s="114">
        <f>SUM(F206:L206)</f>
        <v>29</v>
      </c>
      <c r="F206" s="114">
        <f>SUMIF($AB$207:$AB$215,"보조",$AD$207:$AD$215)/1000</f>
        <v>0</v>
      </c>
      <c r="G206" s="114">
        <f>SUMIF($AB$207:$AB$215,"7종",$AD$207:$AD$215)/1000</f>
        <v>0</v>
      </c>
      <c r="H206" s="114">
        <f>SUMIF($AB$207:$AB$215,"시비",$AD$207:$AD$215)/1000</f>
        <v>0</v>
      </c>
      <c r="I206" s="114">
        <f>SUMIF($AB$207:$AB$215,"후원",$AD$207:$AD$215)/1000</f>
        <v>3</v>
      </c>
      <c r="J206" s="114">
        <f>SUMIF($AB$207:$AB$215,"입소",$AD$207:$AD$215)/1000</f>
        <v>20</v>
      </c>
      <c r="K206" s="114">
        <f>SUMIF($AB$207:$AB$215,"법인",$AD$207:$AD$215)/1000</f>
        <v>2</v>
      </c>
      <c r="L206" s="114">
        <f>SUMIF($AB$207:$AB$215,"잡수",$AD$207:$AD$215)/1000</f>
        <v>4</v>
      </c>
      <c r="M206" s="109">
        <f>E206-D206</f>
        <v>0</v>
      </c>
      <c r="N206" s="70">
        <f>IF(D206=0,0,M206/D206)</f>
        <v>0</v>
      </c>
      <c r="O206" s="116" t="s">
        <v>52</v>
      </c>
      <c r="P206" s="32"/>
      <c r="Q206" s="32"/>
      <c r="R206" s="32"/>
      <c r="S206" s="32"/>
      <c r="T206" s="33"/>
      <c r="U206" s="33"/>
      <c r="V206" s="33"/>
      <c r="W206" s="33"/>
      <c r="X206" s="33"/>
      <c r="Y206" s="177" t="s">
        <v>142</v>
      </c>
      <c r="Z206" s="99"/>
      <c r="AA206" s="99"/>
      <c r="AB206" s="99"/>
      <c r="AC206" s="118"/>
      <c r="AD206" s="118">
        <f>SUM(AD207:AD214)</f>
        <v>29000</v>
      </c>
      <c r="AE206" s="119" t="s">
        <v>25</v>
      </c>
      <c r="AF206" s="1"/>
    </row>
    <row r="207" spans="1:32" s="11" customFormat="1" ht="21" customHeight="1">
      <c r="A207" s="45"/>
      <c r="B207" s="46"/>
      <c r="C207" s="46"/>
      <c r="D207" s="159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579" t="s">
        <v>520</v>
      </c>
      <c r="P207" s="471"/>
      <c r="Q207" s="471"/>
      <c r="R207" s="471"/>
      <c r="S207" s="471"/>
      <c r="T207" s="470"/>
      <c r="U207" s="470"/>
      <c r="V207" s="470"/>
      <c r="W207" s="470"/>
      <c r="X207" s="470"/>
      <c r="Y207" s="470"/>
      <c r="Z207" s="470"/>
      <c r="AA207" s="470"/>
      <c r="AB207" s="578" t="s">
        <v>634</v>
      </c>
      <c r="AC207" s="136"/>
      <c r="AD207" s="68">
        <v>1000</v>
      </c>
      <c r="AE207" s="137" t="s">
        <v>361</v>
      </c>
      <c r="AF207" s="2"/>
    </row>
    <row r="208" spans="1:32" s="11" customFormat="1" ht="21" customHeight="1">
      <c r="A208" s="45"/>
      <c r="B208" s="46"/>
      <c r="C208" s="46"/>
      <c r="D208" s="159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579" t="s">
        <v>521</v>
      </c>
      <c r="P208" s="471"/>
      <c r="Q208" s="471"/>
      <c r="R208" s="471"/>
      <c r="S208" s="471"/>
      <c r="T208" s="470"/>
      <c r="U208" s="470"/>
      <c r="V208" s="470"/>
      <c r="W208" s="470"/>
      <c r="X208" s="470"/>
      <c r="Y208" s="470"/>
      <c r="Z208" s="470"/>
      <c r="AA208" s="470"/>
      <c r="AB208" s="578" t="s">
        <v>634</v>
      </c>
      <c r="AC208" s="136"/>
      <c r="AD208" s="68">
        <v>1000</v>
      </c>
      <c r="AE208" s="137" t="s">
        <v>361</v>
      </c>
      <c r="AF208" s="2"/>
    </row>
    <row r="209" spans="1:32" s="11" customFormat="1" ht="21" customHeight="1">
      <c r="A209" s="45"/>
      <c r="B209" s="46"/>
      <c r="C209" s="46"/>
      <c r="D209" s="159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79" t="s">
        <v>480</v>
      </c>
      <c r="P209" s="471"/>
      <c r="Q209" s="471"/>
      <c r="R209" s="471"/>
      <c r="S209" s="471"/>
      <c r="T209" s="470"/>
      <c r="U209" s="470"/>
      <c r="V209" s="470"/>
      <c r="W209" s="470"/>
      <c r="X209" s="470"/>
      <c r="Y209" s="470"/>
      <c r="Z209" s="470"/>
      <c r="AA209" s="470"/>
      <c r="AB209" s="578" t="s">
        <v>635</v>
      </c>
      <c r="AC209" s="136"/>
      <c r="AD209" s="68">
        <v>5000</v>
      </c>
      <c r="AE209" s="137" t="s">
        <v>361</v>
      </c>
      <c r="AF209" s="2"/>
    </row>
    <row r="210" spans="1:32" s="11" customFormat="1" ht="21" customHeight="1">
      <c r="A210" s="45"/>
      <c r="B210" s="46"/>
      <c r="C210" s="46"/>
      <c r="D210" s="159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79" t="s">
        <v>522</v>
      </c>
      <c r="P210" s="471"/>
      <c r="Q210" s="471"/>
      <c r="R210" s="471"/>
      <c r="S210" s="471"/>
      <c r="T210" s="470"/>
      <c r="U210" s="470"/>
      <c r="V210" s="470"/>
      <c r="W210" s="470"/>
      <c r="X210" s="470"/>
      <c r="Y210" s="470"/>
      <c r="Z210" s="470"/>
      <c r="AA210" s="470"/>
      <c r="AB210" s="578" t="s">
        <v>636</v>
      </c>
      <c r="AC210" s="136"/>
      <c r="AD210" s="68">
        <v>15000</v>
      </c>
      <c r="AE210" s="137" t="s">
        <v>361</v>
      </c>
      <c r="AF210" s="2"/>
    </row>
    <row r="211" spans="1:32" s="11" customFormat="1" ht="21" customHeight="1">
      <c r="A211" s="45"/>
      <c r="B211" s="46"/>
      <c r="C211" s="46"/>
      <c r="D211" s="159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579" t="s">
        <v>523</v>
      </c>
      <c r="P211" s="579"/>
      <c r="Q211" s="579"/>
      <c r="R211" s="579"/>
      <c r="S211" s="579"/>
      <c r="T211" s="578"/>
      <c r="U211" s="578"/>
      <c r="V211" s="578"/>
      <c r="W211" s="578"/>
      <c r="X211" s="578"/>
      <c r="Y211" s="578"/>
      <c r="Z211" s="578"/>
      <c r="AA211" s="578"/>
      <c r="AB211" s="578" t="s">
        <v>637</v>
      </c>
      <c r="AC211" s="136"/>
      <c r="AD211" s="68">
        <v>1000</v>
      </c>
      <c r="AE211" s="137" t="s">
        <v>57</v>
      </c>
      <c r="AF211" s="2"/>
    </row>
    <row r="212" spans="1:32" s="11" customFormat="1" ht="21" customHeight="1">
      <c r="A212" s="45"/>
      <c r="B212" s="46"/>
      <c r="C212" s="46"/>
      <c r="D212" s="159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579" t="s">
        <v>524</v>
      </c>
      <c r="P212" s="579"/>
      <c r="Q212" s="579"/>
      <c r="R212" s="579"/>
      <c r="S212" s="579"/>
      <c r="T212" s="578"/>
      <c r="U212" s="578"/>
      <c r="V212" s="578"/>
      <c r="W212" s="578"/>
      <c r="X212" s="578"/>
      <c r="Y212" s="578"/>
      <c r="Z212" s="578"/>
      <c r="AA212" s="578"/>
      <c r="AB212" s="578" t="s">
        <v>637</v>
      </c>
      <c r="AC212" s="136"/>
      <c r="AD212" s="68">
        <v>3000</v>
      </c>
      <c r="AE212" s="137" t="s">
        <v>57</v>
      </c>
      <c r="AF212" s="2"/>
    </row>
    <row r="213" spans="1:32" s="11" customFormat="1" ht="21" customHeight="1">
      <c r="A213" s="45"/>
      <c r="B213" s="46"/>
      <c r="C213" s="46"/>
      <c r="D213" s="159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79" t="s">
        <v>525</v>
      </c>
      <c r="P213" s="579"/>
      <c r="Q213" s="579"/>
      <c r="R213" s="579"/>
      <c r="S213" s="579"/>
      <c r="T213" s="578"/>
      <c r="U213" s="578"/>
      <c r="V213" s="578"/>
      <c r="W213" s="578"/>
      <c r="X213" s="578"/>
      <c r="Y213" s="578"/>
      <c r="Z213" s="578"/>
      <c r="AA213" s="578"/>
      <c r="AB213" s="578" t="s">
        <v>638</v>
      </c>
      <c r="AC213" s="136"/>
      <c r="AD213" s="68">
        <v>1000</v>
      </c>
      <c r="AE213" s="137" t="s">
        <v>519</v>
      </c>
      <c r="AF213" s="2"/>
    </row>
    <row r="214" spans="1:32" s="11" customFormat="1" ht="21" customHeight="1">
      <c r="A214" s="45"/>
      <c r="B214" s="46"/>
      <c r="C214" s="46"/>
      <c r="D214" s="159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79" t="s">
        <v>526</v>
      </c>
      <c r="P214" s="579"/>
      <c r="Q214" s="579"/>
      <c r="R214" s="579"/>
      <c r="S214" s="579"/>
      <c r="T214" s="578"/>
      <c r="U214" s="578"/>
      <c r="V214" s="578"/>
      <c r="W214" s="578"/>
      <c r="X214" s="578"/>
      <c r="Y214" s="578"/>
      <c r="Z214" s="578"/>
      <c r="AA214" s="578"/>
      <c r="AB214" s="578" t="s">
        <v>639</v>
      </c>
      <c r="AC214" s="136"/>
      <c r="AD214" s="68">
        <v>2000</v>
      </c>
      <c r="AE214" s="137" t="s">
        <v>519</v>
      </c>
      <c r="AF214" s="2"/>
    </row>
    <row r="215" spans="1:32" s="1" customFormat="1" ht="21" customHeight="1" thickBot="1">
      <c r="A215" s="138"/>
      <c r="B215" s="102"/>
      <c r="C215" s="102"/>
      <c r="D215" s="164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507"/>
      <c r="P215" s="507"/>
      <c r="Q215" s="507"/>
      <c r="R215" s="507"/>
      <c r="S215" s="508"/>
      <c r="T215" s="508"/>
      <c r="U215" s="508"/>
      <c r="V215" s="508"/>
      <c r="W215" s="508"/>
      <c r="X215" s="508"/>
      <c r="Y215" s="508"/>
      <c r="Z215" s="508"/>
      <c r="AA215" s="508"/>
      <c r="AB215" s="508"/>
      <c r="AC215" s="508"/>
      <c r="AD215" s="508"/>
      <c r="AE215" s="509"/>
    </row>
    <row r="217" spans="1:32" ht="21" customHeight="1">
      <c r="E217" s="381"/>
      <c r="F217" s="381"/>
    </row>
    <row r="218" spans="1:32" ht="21" customHeight="1">
      <c r="E218" s="381"/>
      <c r="F218" s="381"/>
    </row>
    <row r="219" spans="1:32" ht="21" customHeight="1">
      <c r="F219" s="381"/>
    </row>
    <row r="220" spans="1:32" ht="21" customHeight="1">
      <c r="E220" s="381"/>
      <c r="F220" s="381"/>
    </row>
    <row r="221" spans="1:32" ht="21" customHeight="1">
      <c r="E221" s="381"/>
      <c r="F221" s="381"/>
    </row>
    <row r="222" spans="1:32" ht="21" customHeight="1">
      <c r="E222" s="381"/>
      <c r="F222" s="381"/>
    </row>
  </sheetData>
  <mergeCells count="15">
    <mergeCell ref="B205:C205"/>
    <mergeCell ref="B202:C202"/>
    <mergeCell ref="B192:C192"/>
    <mergeCell ref="B125:C125"/>
    <mergeCell ref="B112:C112"/>
    <mergeCell ref="A1:E1"/>
    <mergeCell ref="O2:AE3"/>
    <mergeCell ref="V107:W107"/>
    <mergeCell ref="V81:W81"/>
    <mergeCell ref="B5:C5"/>
    <mergeCell ref="A4:C4"/>
    <mergeCell ref="M2:N2"/>
    <mergeCell ref="A2:C2"/>
    <mergeCell ref="D2:D3"/>
    <mergeCell ref="E2:L2"/>
  </mergeCells>
  <phoneticPr fontId="9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마르따의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workbookViewId="0">
      <selection activeCell="K15" sqref="K1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5" t="s">
        <v>655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</row>
    <row r="2" spans="1:14" ht="34.5" customHeight="1">
      <c r="A2" s="686" t="s">
        <v>262</v>
      </c>
      <c r="B2" s="687"/>
      <c r="C2" s="688"/>
      <c r="D2" s="689" t="s">
        <v>371</v>
      </c>
      <c r="E2" s="688"/>
      <c r="F2" s="690" t="s">
        <v>267</v>
      </c>
      <c r="G2" s="692" t="s">
        <v>266</v>
      </c>
      <c r="H2" s="693"/>
      <c r="I2" s="693"/>
      <c r="J2" s="693"/>
      <c r="K2" s="696" t="s">
        <v>265</v>
      </c>
      <c r="L2" s="296"/>
      <c r="M2" s="296"/>
      <c r="N2" s="296"/>
    </row>
    <row r="3" spans="1:14" ht="35.25" customHeight="1" thickBot="1">
      <c r="A3" s="304" t="s">
        <v>263</v>
      </c>
      <c r="B3" s="305" t="s">
        <v>264</v>
      </c>
      <c r="C3" s="324" t="s">
        <v>174</v>
      </c>
      <c r="D3" s="444" t="s">
        <v>615</v>
      </c>
      <c r="E3" s="444" t="s">
        <v>656</v>
      </c>
      <c r="F3" s="691"/>
      <c r="G3" s="694"/>
      <c r="H3" s="695"/>
      <c r="I3" s="695"/>
      <c r="J3" s="695"/>
      <c r="K3" s="697"/>
      <c r="L3" s="296"/>
      <c r="M3" s="296"/>
      <c r="N3" s="296"/>
    </row>
    <row r="4" spans="1:14" ht="36.75" customHeight="1" thickBot="1">
      <c r="A4" s="682" t="s">
        <v>281</v>
      </c>
      <c r="B4" s="683"/>
      <c r="C4" s="684"/>
      <c r="D4" s="335">
        <f>SUM(D5:D25)</f>
        <v>75410000</v>
      </c>
      <c r="E4" s="335">
        <f>SUM(E5:E25)</f>
        <v>73790000</v>
      </c>
      <c r="F4" s="331">
        <f t="shared" ref="F4:F15" si="0">E4-D4</f>
        <v>-1620000</v>
      </c>
      <c r="G4" s="297"/>
      <c r="H4" s="297"/>
      <c r="I4" s="297"/>
      <c r="J4" s="297"/>
      <c r="K4" s="343"/>
      <c r="L4" s="296"/>
      <c r="M4" s="296"/>
      <c r="N4" s="296"/>
    </row>
    <row r="5" spans="1:14" ht="46.5" customHeight="1" thickBot="1">
      <c r="A5" s="312" t="s">
        <v>268</v>
      </c>
      <c r="B5" s="313" t="s">
        <v>268</v>
      </c>
      <c r="C5" s="325" t="s">
        <v>268</v>
      </c>
      <c r="D5" s="336">
        <v>7200000</v>
      </c>
      <c r="E5" s="336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2">
        <f>G5*H5*I5</f>
        <v>75000000</v>
      </c>
      <c r="K5" s="344"/>
    </row>
    <row r="6" spans="1:14" ht="27">
      <c r="A6" s="320" t="s">
        <v>269</v>
      </c>
      <c r="B6" s="351" t="s">
        <v>270</v>
      </c>
      <c r="C6" s="326" t="s">
        <v>59</v>
      </c>
      <c r="D6" s="337">
        <v>0</v>
      </c>
      <c r="E6" s="337">
        <v>0</v>
      </c>
      <c r="F6" s="452">
        <f t="shared" si="0"/>
        <v>0</v>
      </c>
      <c r="G6" s="321"/>
      <c r="H6" s="321"/>
      <c r="I6" s="321"/>
      <c r="J6" s="321"/>
      <c r="K6" s="345" t="s">
        <v>382</v>
      </c>
    </row>
    <row r="7" spans="1:14" ht="24.75" customHeight="1">
      <c r="A7" s="445"/>
      <c r="B7" s="446"/>
      <c r="C7" s="447" t="s">
        <v>323</v>
      </c>
      <c r="D7" s="341">
        <v>0</v>
      </c>
      <c r="E7" s="341">
        <v>0</v>
      </c>
      <c r="F7" s="334">
        <f t="shared" si="0"/>
        <v>0</v>
      </c>
      <c r="G7" s="306"/>
      <c r="H7" s="306"/>
      <c r="I7" s="306"/>
      <c r="J7" s="306"/>
      <c r="K7" s="521" t="s">
        <v>494</v>
      </c>
    </row>
    <row r="8" spans="1:14" ht="27">
      <c r="A8" s="307"/>
      <c r="B8" s="301" t="s">
        <v>271</v>
      </c>
      <c r="C8" s="327" t="s">
        <v>91</v>
      </c>
      <c r="D8" s="338">
        <v>54505000</v>
      </c>
      <c r="E8" s="338">
        <v>54505000</v>
      </c>
      <c r="F8" s="298">
        <f t="shared" si="0"/>
        <v>0</v>
      </c>
      <c r="G8" s="306"/>
      <c r="H8" s="306"/>
      <c r="I8" s="306"/>
      <c r="J8" s="306"/>
      <c r="K8" s="346" t="s">
        <v>382</v>
      </c>
    </row>
    <row r="9" spans="1:14" ht="27">
      <c r="A9" s="307"/>
      <c r="B9" s="446"/>
      <c r="C9" s="328" t="s">
        <v>495</v>
      </c>
      <c r="D9" s="341">
        <v>1000000</v>
      </c>
      <c r="E9" s="341">
        <v>0</v>
      </c>
      <c r="F9" s="334">
        <f t="shared" ref="F9" si="1">E9-D9</f>
        <v>-1000000</v>
      </c>
      <c r="G9" s="306"/>
      <c r="H9" s="306"/>
      <c r="I9" s="306"/>
      <c r="J9" s="306"/>
      <c r="K9" s="521" t="s">
        <v>671</v>
      </c>
    </row>
    <row r="10" spans="1:14" ht="32.25" customHeight="1">
      <c r="A10" s="307"/>
      <c r="B10" s="302"/>
      <c r="C10" s="328" t="s">
        <v>658</v>
      </c>
      <c r="D10" s="338">
        <v>1200000</v>
      </c>
      <c r="E10" s="338">
        <v>600000</v>
      </c>
      <c r="F10" s="298">
        <f t="shared" ref="F10:F12" si="2">E10-D10</f>
        <v>-600000</v>
      </c>
      <c r="G10" s="306"/>
      <c r="H10" s="306"/>
      <c r="I10" s="306"/>
      <c r="J10" s="306"/>
      <c r="K10" s="346" t="s">
        <v>663</v>
      </c>
    </row>
    <row r="11" spans="1:14" ht="42.75" customHeight="1">
      <c r="A11" s="307"/>
      <c r="B11" s="302"/>
      <c r="C11" s="328" t="s">
        <v>660</v>
      </c>
      <c r="D11" s="338">
        <v>0</v>
      </c>
      <c r="E11" s="338">
        <v>1550000</v>
      </c>
      <c r="F11" s="298">
        <f t="shared" si="2"/>
        <v>1550000</v>
      </c>
      <c r="G11" s="306"/>
      <c r="H11" s="306"/>
      <c r="I11" s="306"/>
      <c r="J11" s="306"/>
      <c r="K11" s="346" t="s">
        <v>662</v>
      </c>
    </row>
    <row r="12" spans="1:14" ht="36" customHeight="1">
      <c r="A12" s="307"/>
      <c r="B12" s="303"/>
      <c r="C12" s="328" t="s">
        <v>381</v>
      </c>
      <c r="D12" s="338">
        <v>600000</v>
      </c>
      <c r="E12" s="338">
        <v>550000</v>
      </c>
      <c r="F12" s="298">
        <f t="shared" si="2"/>
        <v>-50000</v>
      </c>
      <c r="G12" s="306"/>
      <c r="H12" s="306"/>
      <c r="I12" s="306"/>
      <c r="J12" s="306"/>
      <c r="K12" s="346" t="s">
        <v>664</v>
      </c>
    </row>
    <row r="13" spans="1:14" ht="36" customHeight="1">
      <c r="A13" s="307"/>
      <c r="B13" s="308" t="s">
        <v>272</v>
      </c>
      <c r="C13" s="328" t="s">
        <v>496</v>
      </c>
      <c r="D13" s="338">
        <v>300000</v>
      </c>
      <c r="E13" s="338">
        <v>300000</v>
      </c>
      <c r="F13" s="298">
        <f t="shared" ref="F13:F14" si="3">E13-D13</f>
        <v>0</v>
      </c>
      <c r="G13" s="306"/>
      <c r="H13" s="306"/>
      <c r="I13" s="306"/>
      <c r="J13" s="306"/>
      <c r="K13" s="448" t="s">
        <v>382</v>
      </c>
    </row>
    <row r="14" spans="1:14" ht="36" customHeight="1">
      <c r="A14" s="307"/>
      <c r="B14" s="306"/>
      <c r="C14" s="328" t="s">
        <v>381</v>
      </c>
      <c r="D14" s="338">
        <v>0</v>
      </c>
      <c r="E14" s="338">
        <v>0</v>
      </c>
      <c r="F14" s="298">
        <f t="shared" si="3"/>
        <v>0</v>
      </c>
      <c r="G14" s="306"/>
      <c r="H14" s="306"/>
      <c r="I14" s="306"/>
      <c r="J14" s="306"/>
      <c r="K14" s="346" t="s">
        <v>382</v>
      </c>
    </row>
    <row r="15" spans="1:14" ht="34.5" customHeight="1">
      <c r="A15" s="307"/>
      <c r="B15" s="455" t="s">
        <v>497</v>
      </c>
      <c r="C15" s="328" t="s">
        <v>498</v>
      </c>
      <c r="D15" s="338">
        <v>1600000</v>
      </c>
      <c r="E15" s="338">
        <v>80000</v>
      </c>
      <c r="F15" s="298">
        <f t="shared" si="0"/>
        <v>-1520000</v>
      </c>
      <c r="G15" s="306"/>
      <c r="H15" s="306"/>
      <c r="I15" s="306"/>
      <c r="J15" s="306"/>
      <c r="K15" s="448" t="s">
        <v>661</v>
      </c>
    </row>
    <row r="16" spans="1:14" ht="33" customHeight="1" thickBot="1">
      <c r="A16" s="309"/>
      <c r="B16" s="311"/>
      <c r="C16" s="328"/>
      <c r="D16" s="339">
        <v>0</v>
      </c>
      <c r="E16" s="339">
        <v>0</v>
      </c>
      <c r="F16" s="333">
        <f t="shared" ref="F16:F25" si="4">E16-D16</f>
        <v>0</v>
      </c>
      <c r="G16" s="311"/>
      <c r="H16" s="311"/>
      <c r="I16" s="311"/>
      <c r="J16" s="311"/>
      <c r="K16" s="346" t="s">
        <v>382</v>
      </c>
    </row>
    <row r="17" spans="1:11" ht="36" customHeight="1">
      <c r="A17" s="367" t="s">
        <v>324</v>
      </c>
      <c r="B17" s="368" t="s">
        <v>324</v>
      </c>
      <c r="C17" s="363" t="s">
        <v>325</v>
      </c>
      <c r="D17" s="364">
        <v>0</v>
      </c>
      <c r="E17" s="364">
        <v>0</v>
      </c>
      <c r="F17" s="332">
        <f t="shared" si="4"/>
        <v>0</v>
      </c>
      <c r="G17" s="365"/>
      <c r="H17" s="365"/>
      <c r="I17" s="365"/>
      <c r="J17" s="365"/>
      <c r="K17" s="345" t="s">
        <v>382</v>
      </c>
    </row>
    <row r="18" spans="1:11" ht="35.25" customHeight="1" thickBot="1">
      <c r="A18" s="309"/>
      <c r="B18" s="449"/>
      <c r="C18" s="329" t="s">
        <v>326</v>
      </c>
      <c r="D18" s="450">
        <v>600000</v>
      </c>
      <c r="E18" s="450">
        <v>600000</v>
      </c>
      <c r="F18" s="333">
        <f t="shared" si="4"/>
        <v>0</v>
      </c>
      <c r="G18" s="451"/>
      <c r="H18" s="451"/>
      <c r="I18" s="451"/>
      <c r="J18" s="451"/>
      <c r="K18" s="522" t="s">
        <v>382</v>
      </c>
    </row>
    <row r="19" spans="1:11" ht="51" customHeight="1" thickBot="1">
      <c r="A19" s="322" t="s">
        <v>74</v>
      </c>
      <c r="B19" s="313" t="s">
        <v>127</v>
      </c>
      <c r="C19" s="325" t="s">
        <v>273</v>
      </c>
      <c r="D19" s="340">
        <v>0</v>
      </c>
      <c r="E19" s="340">
        <v>0</v>
      </c>
      <c r="F19" s="317">
        <f t="shared" si="4"/>
        <v>0</v>
      </c>
      <c r="G19" s="323"/>
      <c r="H19" s="323"/>
      <c r="I19" s="323"/>
      <c r="J19" s="323"/>
      <c r="K19" s="344" t="s">
        <v>382</v>
      </c>
    </row>
    <row r="20" spans="1:11" ht="40.5" customHeight="1">
      <c r="A20" s="318" t="s">
        <v>210</v>
      </c>
      <c r="B20" s="319" t="s">
        <v>274</v>
      </c>
      <c r="C20" s="330" t="s">
        <v>275</v>
      </c>
      <c r="D20" s="341">
        <v>7068000</v>
      </c>
      <c r="E20" s="341">
        <v>7068000</v>
      </c>
      <c r="F20" s="334">
        <f t="shared" si="4"/>
        <v>0</v>
      </c>
      <c r="G20" s="306"/>
      <c r="H20" s="306"/>
      <c r="I20" s="306"/>
      <c r="J20" s="306"/>
      <c r="K20" s="349" t="s">
        <v>382</v>
      </c>
    </row>
    <row r="21" spans="1:11" ht="40.5" customHeight="1">
      <c r="A21" s="307"/>
      <c r="B21" s="299"/>
      <c r="C21" s="328" t="s">
        <v>276</v>
      </c>
      <c r="D21" s="338">
        <v>0</v>
      </c>
      <c r="E21" s="338">
        <v>0</v>
      </c>
      <c r="F21" s="298">
        <f t="shared" si="4"/>
        <v>0</v>
      </c>
      <c r="G21" s="306"/>
      <c r="H21" s="306"/>
      <c r="I21" s="306"/>
      <c r="J21" s="306"/>
      <c r="K21" s="347" t="s">
        <v>382</v>
      </c>
    </row>
    <row r="22" spans="1:11" ht="40.5" customHeight="1">
      <c r="A22" s="307"/>
      <c r="B22" s="299"/>
      <c r="C22" s="328" t="s">
        <v>277</v>
      </c>
      <c r="D22" s="338">
        <v>324000</v>
      </c>
      <c r="E22" s="338">
        <v>324000</v>
      </c>
      <c r="F22" s="298">
        <f t="shared" si="4"/>
        <v>0</v>
      </c>
      <c r="G22" s="306"/>
      <c r="H22" s="306"/>
      <c r="I22" s="306"/>
      <c r="J22" s="306"/>
      <c r="K22" s="349" t="s">
        <v>382</v>
      </c>
    </row>
    <row r="23" spans="1:11" ht="40.5" customHeight="1">
      <c r="A23" s="307"/>
      <c r="B23" s="300"/>
      <c r="C23" s="328" t="s">
        <v>278</v>
      </c>
      <c r="D23" s="338">
        <v>0</v>
      </c>
      <c r="E23" s="338">
        <v>0</v>
      </c>
      <c r="F23" s="298">
        <f t="shared" si="4"/>
        <v>0</v>
      </c>
      <c r="G23" s="306"/>
      <c r="H23" s="306"/>
      <c r="I23" s="306"/>
      <c r="J23" s="306"/>
      <c r="K23" s="347" t="s">
        <v>499</v>
      </c>
    </row>
    <row r="24" spans="1:11" ht="44.25" customHeight="1" thickBot="1">
      <c r="A24" s="309"/>
      <c r="B24" s="310" t="s">
        <v>279</v>
      </c>
      <c r="C24" s="329" t="s">
        <v>280</v>
      </c>
      <c r="D24" s="339">
        <v>975000</v>
      </c>
      <c r="E24" s="339">
        <v>975000</v>
      </c>
      <c r="F24" s="333">
        <f t="shared" si="4"/>
        <v>0</v>
      </c>
      <c r="G24" s="311"/>
      <c r="H24" s="311"/>
      <c r="I24" s="311"/>
      <c r="J24" s="311"/>
      <c r="K24" s="348" t="s">
        <v>659</v>
      </c>
    </row>
    <row r="25" spans="1:11" ht="53.25" customHeight="1" thickBot="1">
      <c r="A25" s="312" t="s">
        <v>327</v>
      </c>
      <c r="B25" s="313" t="s">
        <v>63</v>
      </c>
      <c r="C25" s="325" t="s">
        <v>63</v>
      </c>
      <c r="D25" s="336">
        <v>38000</v>
      </c>
      <c r="E25" s="336">
        <v>38000</v>
      </c>
      <c r="F25" s="317">
        <f t="shared" si="4"/>
        <v>0</v>
      </c>
      <c r="G25" s="314">
        <v>250000</v>
      </c>
      <c r="H25" s="315">
        <v>25</v>
      </c>
      <c r="I25" s="316">
        <v>12</v>
      </c>
      <c r="J25" s="342">
        <f>G25*H25*I25</f>
        <v>75000000</v>
      </c>
      <c r="K25" s="344" t="s">
        <v>382</v>
      </c>
    </row>
    <row r="26" spans="1:11" ht="46.5" customHeight="1">
      <c r="D26" s="295"/>
      <c r="E26" s="295"/>
    </row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K30" sqref="K3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5" t="s">
        <v>657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</row>
    <row r="2" spans="1:14" ht="46.5" customHeight="1">
      <c r="A2" s="686" t="s">
        <v>262</v>
      </c>
      <c r="B2" s="687"/>
      <c r="C2" s="688"/>
      <c r="D2" s="689" t="s">
        <v>372</v>
      </c>
      <c r="E2" s="688"/>
      <c r="F2" s="690" t="s">
        <v>267</v>
      </c>
      <c r="G2" s="692" t="s">
        <v>266</v>
      </c>
      <c r="H2" s="693"/>
      <c r="I2" s="693"/>
      <c r="J2" s="693"/>
      <c r="K2" s="696" t="s">
        <v>265</v>
      </c>
      <c r="L2" s="296"/>
      <c r="M2" s="296"/>
      <c r="N2" s="296"/>
    </row>
    <row r="3" spans="1:14" ht="46.5" customHeight="1" thickBot="1">
      <c r="A3" s="304" t="s">
        <v>263</v>
      </c>
      <c r="B3" s="305" t="s">
        <v>264</v>
      </c>
      <c r="C3" s="324" t="s">
        <v>174</v>
      </c>
      <c r="D3" s="444" t="s">
        <v>615</v>
      </c>
      <c r="E3" s="444" t="s">
        <v>656</v>
      </c>
      <c r="F3" s="691"/>
      <c r="G3" s="694"/>
      <c r="H3" s="695"/>
      <c r="I3" s="695"/>
      <c r="J3" s="695"/>
      <c r="K3" s="697"/>
      <c r="L3" s="296"/>
      <c r="M3" s="296"/>
      <c r="N3" s="296"/>
    </row>
    <row r="4" spans="1:14" ht="46.5" customHeight="1" thickBot="1">
      <c r="A4" s="682" t="s">
        <v>281</v>
      </c>
      <c r="B4" s="683"/>
      <c r="C4" s="684"/>
      <c r="D4" s="335">
        <f>SUM(D5:D30)</f>
        <v>75410000</v>
      </c>
      <c r="E4" s="335">
        <f>SUM(E5:E30)</f>
        <v>73790000</v>
      </c>
      <c r="F4" s="331">
        <f t="shared" ref="F4:F29" si="0">E4-D4</f>
        <v>-1620000</v>
      </c>
      <c r="G4" s="297"/>
      <c r="H4" s="297"/>
      <c r="I4" s="297"/>
      <c r="J4" s="297"/>
      <c r="K4" s="343"/>
      <c r="L4" s="296"/>
      <c r="M4" s="296"/>
      <c r="N4" s="296"/>
    </row>
    <row r="5" spans="1:14" ht="50.1" customHeight="1">
      <c r="A5" s="350" t="s">
        <v>282</v>
      </c>
      <c r="B5" s="351" t="s">
        <v>283</v>
      </c>
      <c r="C5" s="326" t="s">
        <v>284</v>
      </c>
      <c r="D5" s="337">
        <v>27027000</v>
      </c>
      <c r="E5" s="337">
        <v>22626000</v>
      </c>
      <c r="F5" s="332">
        <f t="shared" si="0"/>
        <v>-4401000</v>
      </c>
      <c r="G5" s="321"/>
      <c r="H5" s="321"/>
      <c r="I5" s="321"/>
      <c r="J5" s="321"/>
      <c r="K5" s="345" t="s">
        <v>668</v>
      </c>
    </row>
    <row r="6" spans="1:14" ht="34.5" customHeight="1">
      <c r="A6" s="453"/>
      <c r="B6" s="319"/>
      <c r="C6" s="447" t="s">
        <v>328</v>
      </c>
      <c r="D6" s="341">
        <v>1600000</v>
      </c>
      <c r="E6" s="341">
        <v>80000</v>
      </c>
      <c r="F6" s="298">
        <f t="shared" si="0"/>
        <v>-1520000</v>
      </c>
      <c r="G6" s="306"/>
      <c r="H6" s="306"/>
      <c r="I6" s="306"/>
      <c r="J6" s="306"/>
      <c r="K6" s="346" t="s">
        <v>666</v>
      </c>
    </row>
    <row r="7" spans="1:14" ht="50.1" customHeight="1">
      <c r="A7" s="307"/>
      <c r="B7" s="319"/>
      <c r="C7" s="327" t="s">
        <v>285</v>
      </c>
      <c r="D7" s="338">
        <v>9861000</v>
      </c>
      <c r="E7" s="338">
        <v>8752000</v>
      </c>
      <c r="F7" s="298">
        <f t="shared" si="0"/>
        <v>-1109000</v>
      </c>
      <c r="G7" s="306"/>
      <c r="H7" s="306"/>
      <c r="I7" s="306"/>
      <c r="J7" s="306"/>
      <c r="K7" s="346" t="s">
        <v>665</v>
      </c>
    </row>
    <row r="8" spans="1:14" ht="50.1" customHeight="1">
      <c r="A8" s="307"/>
      <c r="B8" s="299"/>
      <c r="C8" s="328" t="s">
        <v>286</v>
      </c>
      <c r="D8" s="338">
        <v>3074000</v>
      </c>
      <c r="E8" s="338">
        <v>2627000</v>
      </c>
      <c r="F8" s="298">
        <f t="shared" si="0"/>
        <v>-447000</v>
      </c>
      <c r="G8" s="306"/>
      <c r="H8" s="306"/>
      <c r="I8" s="306"/>
      <c r="J8" s="306"/>
      <c r="K8" s="346" t="s">
        <v>665</v>
      </c>
    </row>
    <row r="9" spans="1:14" ht="50.1" customHeight="1">
      <c r="A9" s="307"/>
      <c r="B9" s="299"/>
      <c r="C9" s="328" t="s">
        <v>287</v>
      </c>
      <c r="D9" s="338">
        <v>3785000</v>
      </c>
      <c r="E9" s="338">
        <v>2979000</v>
      </c>
      <c r="F9" s="298">
        <f t="shared" si="0"/>
        <v>-806000</v>
      </c>
      <c r="G9" s="306"/>
      <c r="H9" s="306"/>
      <c r="I9" s="306"/>
      <c r="J9" s="306"/>
      <c r="K9" s="346" t="s">
        <v>665</v>
      </c>
    </row>
    <row r="10" spans="1:14" ht="49.5" customHeight="1">
      <c r="A10" s="307"/>
      <c r="B10" s="308"/>
      <c r="C10" s="328" t="s">
        <v>288</v>
      </c>
      <c r="D10" s="338">
        <v>370000</v>
      </c>
      <c r="E10" s="338">
        <v>370000</v>
      </c>
      <c r="F10" s="298">
        <f t="shared" si="0"/>
        <v>0</v>
      </c>
      <c r="G10" s="306"/>
      <c r="H10" s="306"/>
      <c r="I10" s="306"/>
      <c r="J10" s="306"/>
      <c r="K10" s="346" t="s">
        <v>382</v>
      </c>
    </row>
    <row r="11" spans="1:14" ht="38.25" customHeight="1">
      <c r="A11" s="307"/>
      <c r="B11" s="455" t="s">
        <v>289</v>
      </c>
      <c r="C11" s="328" t="s">
        <v>329</v>
      </c>
      <c r="D11" s="338">
        <v>50000</v>
      </c>
      <c r="E11" s="338">
        <v>50000</v>
      </c>
      <c r="F11" s="298">
        <f t="shared" si="0"/>
        <v>0</v>
      </c>
      <c r="G11" s="306"/>
      <c r="H11" s="306"/>
      <c r="I11" s="306"/>
      <c r="J11" s="306"/>
      <c r="K11" s="346" t="s">
        <v>382</v>
      </c>
    </row>
    <row r="12" spans="1:14" ht="38.25" customHeight="1">
      <c r="A12" s="307"/>
      <c r="B12" s="319"/>
      <c r="C12" s="352" t="s">
        <v>500</v>
      </c>
      <c r="D12" s="338">
        <v>0</v>
      </c>
      <c r="E12" s="338">
        <v>0</v>
      </c>
      <c r="F12" s="298">
        <f t="shared" ref="F12" si="1">E12-D12</f>
        <v>0</v>
      </c>
      <c r="G12" s="306"/>
      <c r="H12" s="306"/>
      <c r="I12" s="306"/>
      <c r="J12" s="306"/>
      <c r="K12" s="346" t="s">
        <v>382</v>
      </c>
    </row>
    <row r="13" spans="1:14" ht="34.5" customHeight="1">
      <c r="A13" s="307"/>
      <c r="B13" s="454"/>
      <c r="C13" s="352" t="s">
        <v>330</v>
      </c>
      <c r="D13" s="353">
        <v>300000</v>
      </c>
      <c r="E13" s="353">
        <v>300000</v>
      </c>
      <c r="F13" s="354">
        <f t="shared" si="0"/>
        <v>0</v>
      </c>
      <c r="G13" s="306"/>
      <c r="H13" s="306"/>
      <c r="I13" s="306"/>
      <c r="J13" s="306"/>
      <c r="K13" s="355" t="s">
        <v>382</v>
      </c>
    </row>
    <row r="14" spans="1:14" ht="38.25" customHeight="1">
      <c r="A14" s="307"/>
      <c r="B14" s="455" t="s">
        <v>91</v>
      </c>
      <c r="C14" s="352" t="s">
        <v>331</v>
      </c>
      <c r="D14" s="353">
        <v>100000</v>
      </c>
      <c r="E14" s="353">
        <v>100000</v>
      </c>
      <c r="F14" s="354">
        <f t="shared" si="0"/>
        <v>0</v>
      </c>
      <c r="G14" s="306"/>
      <c r="H14" s="306"/>
      <c r="I14" s="306"/>
      <c r="J14" s="306"/>
      <c r="K14" s="355" t="s">
        <v>382</v>
      </c>
    </row>
    <row r="15" spans="1:14" ht="36" customHeight="1">
      <c r="A15" s="307"/>
      <c r="B15" s="308"/>
      <c r="C15" s="352" t="s">
        <v>290</v>
      </c>
      <c r="D15" s="353">
        <v>3050000</v>
      </c>
      <c r="E15" s="353">
        <v>3062000</v>
      </c>
      <c r="F15" s="354">
        <f t="shared" si="0"/>
        <v>12000</v>
      </c>
      <c r="G15" s="306"/>
      <c r="H15" s="306"/>
      <c r="I15" s="306"/>
      <c r="J15" s="306"/>
      <c r="K15" s="355" t="s">
        <v>502</v>
      </c>
    </row>
    <row r="16" spans="1:14" ht="37.5" customHeight="1">
      <c r="A16" s="307"/>
      <c r="B16" s="308"/>
      <c r="C16" s="352" t="s">
        <v>332</v>
      </c>
      <c r="D16" s="353">
        <v>3320000</v>
      </c>
      <c r="E16" s="353">
        <v>3849000</v>
      </c>
      <c r="F16" s="354">
        <f t="shared" si="0"/>
        <v>529000</v>
      </c>
      <c r="G16" s="306"/>
      <c r="H16" s="306"/>
      <c r="I16" s="306"/>
      <c r="J16" s="306"/>
      <c r="K16" s="355" t="s">
        <v>502</v>
      </c>
    </row>
    <row r="17" spans="1:11" ht="36.75" customHeight="1">
      <c r="A17" s="307"/>
      <c r="B17" s="308"/>
      <c r="C17" s="352" t="s">
        <v>333</v>
      </c>
      <c r="D17" s="353">
        <v>725000</v>
      </c>
      <c r="E17" s="353">
        <v>725000</v>
      </c>
      <c r="F17" s="354">
        <f t="shared" si="0"/>
        <v>0</v>
      </c>
      <c r="G17" s="306"/>
      <c r="H17" s="306"/>
      <c r="I17" s="306"/>
      <c r="J17" s="306"/>
      <c r="K17" s="355" t="s">
        <v>427</v>
      </c>
    </row>
    <row r="18" spans="1:11" ht="36.75" customHeight="1">
      <c r="A18" s="307"/>
      <c r="B18" s="308"/>
      <c r="C18" s="352" t="s">
        <v>334</v>
      </c>
      <c r="D18" s="353">
        <v>500000</v>
      </c>
      <c r="E18" s="353">
        <v>700000</v>
      </c>
      <c r="F18" s="354">
        <f t="shared" si="0"/>
        <v>200000</v>
      </c>
      <c r="G18" s="306"/>
      <c r="H18" s="306"/>
      <c r="I18" s="306"/>
      <c r="J18" s="306"/>
      <c r="K18" s="355" t="s">
        <v>502</v>
      </c>
    </row>
    <row r="19" spans="1:11" ht="38.25" customHeight="1" thickBot="1">
      <c r="A19" s="309"/>
      <c r="B19" s="311"/>
      <c r="C19" s="329" t="s">
        <v>291</v>
      </c>
      <c r="D19" s="339">
        <v>200000</v>
      </c>
      <c r="E19" s="339">
        <v>200000</v>
      </c>
      <c r="F19" s="333">
        <f t="shared" si="0"/>
        <v>0</v>
      </c>
      <c r="G19" s="311"/>
      <c r="H19" s="311"/>
      <c r="I19" s="311"/>
      <c r="J19" s="311"/>
      <c r="K19" s="356" t="s">
        <v>382</v>
      </c>
    </row>
    <row r="20" spans="1:11" ht="48" customHeight="1">
      <c r="A20" s="350" t="s">
        <v>292</v>
      </c>
      <c r="B20" s="351" t="s">
        <v>293</v>
      </c>
      <c r="C20" s="588" t="s">
        <v>501</v>
      </c>
      <c r="D20" s="589">
        <v>0</v>
      </c>
      <c r="E20" s="589">
        <v>0</v>
      </c>
      <c r="F20" s="590">
        <f t="shared" si="0"/>
        <v>0</v>
      </c>
      <c r="G20" s="321"/>
      <c r="H20" s="321"/>
      <c r="I20" s="321"/>
      <c r="J20" s="321"/>
      <c r="K20" s="591" t="s">
        <v>382</v>
      </c>
    </row>
    <row r="21" spans="1:11" ht="48" customHeight="1">
      <c r="A21" s="453"/>
      <c r="B21" s="319"/>
      <c r="C21" s="328" t="s">
        <v>294</v>
      </c>
      <c r="D21" s="592">
        <v>1600000</v>
      </c>
      <c r="E21" s="592">
        <v>3700000</v>
      </c>
      <c r="F21" s="298">
        <f t="shared" ref="F21" si="2">E21-D21</f>
        <v>2100000</v>
      </c>
      <c r="G21" s="593"/>
      <c r="H21" s="593"/>
      <c r="I21" s="593"/>
      <c r="J21" s="593"/>
      <c r="K21" s="346" t="s">
        <v>669</v>
      </c>
    </row>
    <row r="22" spans="1:11" ht="45" customHeight="1" thickBot="1">
      <c r="A22" s="357"/>
      <c r="B22" s="358"/>
      <c r="C22" s="359" t="s">
        <v>295</v>
      </c>
      <c r="D22" s="360">
        <v>600000</v>
      </c>
      <c r="E22" s="360">
        <v>600000</v>
      </c>
      <c r="F22" s="361">
        <f t="shared" si="0"/>
        <v>0</v>
      </c>
      <c r="G22" s="311"/>
      <c r="H22" s="311"/>
      <c r="I22" s="311"/>
      <c r="J22" s="311"/>
      <c r="K22" s="362" t="s">
        <v>427</v>
      </c>
    </row>
    <row r="23" spans="1:11" ht="46.5" customHeight="1">
      <c r="A23" s="367" t="s">
        <v>134</v>
      </c>
      <c r="B23" s="368" t="s">
        <v>91</v>
      </c>
      <c r="C23" s="363" t="s">
        <v>59</v>
      </c>
      <c r="D23" s="337">
        <v>11556000</v>
      </c>
      <c r="E23" s="337">
        <v>13086000</v>
      </c>
      <c r="F23" s="332">
        <f t="shared" si="0"/>
        <v>1530000</v>
      </c>
      <c r="G23" s="321"/>
      <c r="H23" s="321"/>
      <c r="I23" s="321"/>
      <c r="J23" s="321"/>
      <c r="K23" s="345" t="s">
        <v>502</v>
      </c>
    </row>
    <row r="24" spans="1:11" ht="31.5" customHeight="1">
      <c r="A24" s="307"/>
      <c r="B24" s="299"/>
      <c r="C24" s="328" t="s">
        <v>296</v>
      </c>
      <c r="D24" s="338">
        <v>998000</v>
      </c>
      <c r="E24" s="338">
        <v>1348000</v>
      </c>
      <c r="F24" s="298">
        <f t="shared" si="0"/>
        <v>350000</v>
      </c>
      <c r="G24" s="306"/>
      <c r="H24" s="306"/>
      <c r="I24" s="306"/>
      <c r="J24" s="306"/>
      <c r="K24" s="355" t="s">
        <v>502</v>
      </c>
    </row>
    <row r="25" spans="1:11" ht="35.25" customHeight="1">
      <c r="A25" s="307"/>
      <c r="B25" s="299"/>
      <c r="C25" s="328" t="s">
        <v>335</v>
      </c>
      <c r="D25" s="338">
        <v>1200000</v>
      </c>
      <c r="E25" s="338">
        <v>2946000</v>
      </c>
      <c r="F25" s="298">
        <f t="shared" si="0"/>
        <v>1746000</v>
      </c>
      <c r="G25" s="306"/>
      <c r="H25" s="306"/>
      <c r="I25" s="306"/>
      <c r="J25" s="306"/>
      <c r="K25" s="346" t="s">
        <v>667</v>
      </c>
    </row>
    <row r="26" spans="1:11" ht="38.25" customHeight="1">
      <c r="A26" s="307"/>
      <c r="B26" s="299"/>
      <c r="C26" s="328" t="s">
        <v>89</v>
      </c>
      <c r="D26" s="338">
        <v>485000</v>
      </c>
      <c r="E26" s="338">
        <v>685000</v>
      </c>
      <c r="F26" s="298">
        <f t="shared" si="0"/>
        <v>200000</v>
      </c>
      <c r="G26" s="306"/>
      <c r="H26" s="306"/>
      <c r="I26" s="306"/>
      <c r="J26" s="306"/>
      <c r="K26" s="355" t="s">
        <v>502</v>
      </c>
    </row>
    <row r="27" spans="1:11" ht="32.25" customHeight="1">
      <c r="A27" s="307"/>
      <c r="B27" s="299"/>
      <c r="C27" s="328" t="s">
        <v>90</v>
      </c>
      <c r="D27" s="338">
        <v>120000</v>
      </c>
      <c r="E27" s="338">
        <v>120000</v>
      </c>
      <c r="F27" s="298">
        <f t="shared" si="0"/>
        <v>0</v>
      </c>
      <c r="G27" s="306"/>
      <c r="H27" s="306"/>
      <c r="I27" s="306"/>
      <c r="J27" s="306"/>
      <c r="K27" s="346" t="s">
        <v>382</v>
      </c>
    </row>
    <row r="28" spans="1:11" ht="39.75" customHeight="1" thickBot="1">
      <c r="A28" s="309"/>
      <c r="B28" s="310" t="s">
        <v>297</v>
      </c>
      <c r="C28" s="370" t="s">
        <v>297</v>
      </c>
      <c r="D28" s="339">
        <v>4851000</v>
      </c>
      <c r="E28" s="339">
        <v>4851000</v>
      </c>
      <c r="F28" s="333">
        <f t="shared" si="0"/>
        <v>0</v>
      </c>
      <c r="G28" s="311"/>
      <c r="H28" s="311"/>
      <c r="I28" s="311"/>
      <c r="J28" s="311"/>
      <c r="K28" s="356" t="s">
        <v>382</v>
      </c>
    </row>
    <row r="29" spans="1:11" ht="39" customHeight="1" thickBot="1">
      <c r="A29" s="312" t="s">
        <v>299</v>
      </c>
      <c r="B29" s="313" t="s">
        <v>298</v>
      </c>
      <c r="C29" s="325" t="s">
        <v>298</v>
      </c>
      <c r="D29" s="336">
        <v>9000</v>
      </c>
      <c r="E29" s="336">
        <v>5000</v>
      </c>
      <c r="F29" s="317">
        <f t="shared" si="0"/>
        <v>-4000</v>
      </c>
      <c r="G29" s="323"/>
      <c r="H29" s="323"/>
      <c r="I29" s="323"/>
      <c r="J29" s="323"/>
      <c r="K29" s="369" t="s">
        <v>670</v>
      </c>
    </row>
    <row r="30" spans="1:11" ht="34.5" customHeight="1" thickBot="1">
      <c r="A30" s="312" t="s">
        <v>336</v>
      </c>
      <c r="B30" s="313" t="s">
        <v>336</v>
      </c>
      <c r="C30" s="325" t="s">
        <v>336</v>
      </c>
      <c r="D30" s="336">
        <v>29000</v>
      </c>
      <c r="E30" s="336">
        <v>29000</v>
      </c>
      <c r="F30" s="317">
        <f t="shared" ref="F30" si="3">E30-D30</f>
        <v>0</v>
      </c>
      <c r="G30" s="323"/>
      <c r="H30" s="323"/>
      <c r="I30" s="323"/>
      <c r="J30" s="323"/>
      <c r="K30" s="369" t="s">
        <v>382</v>
      </c>
    </row>
    <row r="31" spans="1:11" ht="46.5" customHeight="1">
      <c r="D31" s="295"/>
      <c r="E31" s="295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마르따의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C3" sqref="C3:C14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23"/>
      <c r="B2" s="523" t="s">
        <v>574</v>
      </c>
      <c r="C2" s="523" t="s">
        <v>575</v>
      </c>
      <c r="D2" s="523" t="s">
        <v>576</v>
      </c>
      <c r="F2" s="523"/>
      <c r="G2" s="523" t="s">
        <v>574</v>
      </c>
      <c r="H2" s="523" t="s">
        <v>575</v>
      </c>
      <c r="I2" s="523" t="s">
        <v>576</v>
      </c>
    </row>
    <row r="3" spans="1:9" ht="24.95" customHeight="1">
      <c r="A3" s="523" t="s">
        <v>577</v>
      </c>
      <c r="B3" s="524">
        <v>40000</v>
      </c>
      <c r="C3" s="524">
        <v>0</v>
      </c>
      <c r="D3" s="524"/>
      <c r="F3" s="523" t="s">
        <v>578</v>
      </c>
      <c r="G3" s="524">
        <v>54505000</v>
      </c>
      <c r="H3" s="524">
        <v>54505000</v>
      </c>
      <c r="I3" s="524">
        <v>54505000</v>
      </c>
    </row>
    <row r="4" spans="1:9" ht="24.95" customHeight="1">
      <c r="A4" s="523" t="s">
        <v>374</v>
      </c>
      <c r="B4" s="524">
        <v>2632000</v>
      </c>
      <c r="C4" s="524">
        <v>1500000</v>
      </c>
      <c r="D4" s="524">
        <v>1500000</v>
      </c>
      <c r="F4" s="523" t="s">
        <v>579</v>
      </c>
      <c r="G4" s="524">
        <v>1000000</v>
      </c>
      <c r="H4" s="524">
        <v>1000000</v>
      </c>
      <c r="I4" s="524">
        <v>1000000</v>
      </c>
    </row>
    <row r="5" spans="1:9" ht="24.95" customHeight="1">
      <c r="A5" s="523" t="s">
        <v>580</v>
      </c>
      <c r="B5" s="524">
        <v>3694000</v>
      </c>
      <c r="C5" s="524">
        <v>2320000</v>
      </c>
      <c r="D5" s="524">
        <v>2760000</v>
      </c>
      <c r="F5" s="523" t="s">
        <v>581</v>
      </c>
      <c r="G5" s="524">
        <v>1200000</v>
      </c>
      <c r="H5" s="524">
        <v>1200000</v>
      </c>
      <c r="I5" s="524">
        <v>1200000</v>
      </c>
    </row>
    <row r="6" spans="1:9" ht="24.95" customHeight="1">
      <c r="A6" s="523" t="s">
        <v>582</v>
      </c>
      <c r="B6" s="524">
        <v>475000</v>
      </c>
      <c r="C6" s="524">
        <v>304000</v>
      </c>
      <c r="D6" s="524">
        <v>465000</v>
      </c>
      <c r="F6" s="523" t="s">
        <v>583</v>
      </c>
      <c r="G6" s="524">
        <v>0</v>
      </c>
      <c r="H6" s="524">
        <v>0</v>
      </c>
      <c r="I6" s="524">
        <v>300000</v>
      </c>
    </row>
    <row r="7" spans="1:9" ht="24.95" customHeight="1">
      <c r="A7" s="523" t="s">
        <v>584</v>
      </c>
      <c r="B7" s="524">
        <v>300000</v>
      </c>
      <c r="C7" s="524">
        <v>100000</v>
      </c>
      <c r="D7" s="524">
        <v>100000</v>
      </c>
      <c r="F7" s="523" t="s">
        <v>585</v>
      </c>
      <c r="G7" s="524">
        <v>600000</v>
      </c>
      <c r="H7" s="524">
        <v>600000</v>
      </c>
      <c r="I7" s="524">
        <v>600000</v>
      </c>
    </row>
    <row r="8" spans="1:9" ht="24.95" customHeight="1">
      <c r="A8" s="523" t="s">
        <v>586</v>
      </c>
      <c r="B8" s="524">
        <v>50000</v>
      </c>
      <c r="C8" s="524">
        <v>0</v>
      </c>
      <c r="D8" s="524">
        <v>0</v>
      </c>
      <c r="F8" s="523" t="s">
        <v>587</v>
      </c>
      <c r="G8" s="524">
        <v>1600000</v>
      </c>
      <c r="H8" s="524">
        <v>1600000</v>
      </c>
      <c r="I8" s="524">
        <v>1600000</v>
      </c>
    </row>
    <row r="9" spans="1:9" ht="24.95" customHeight="1">
      <c r="A9" s="523" t="s">
        <v>588</v>
      </c>
      <c r="B9" s="524">
        <v>9727000</v>
      </c>
      <c r="C9" s="524">
        <v>8221000</v>
      </c>
      <c r="D9" s="524">
        <v>8811000</v>
      </c>
      <c r="F9" s="523" t="s">
        <v>589</v>
      </c>
      <c r="G9" s="524">
        <v>11000</v>
      </c>
      <c r="H9" s="524">
        <v>9000</v>
      </c>
      <c r="I9" s="524">
        <v>5000</v>
      </c>
    </row>
    <row r="10" spans="1:9" ht="24.95" customHeight="1">
      <c r="A10" s="523" t="s">
        <v>590</v>
      </c>
      <c r="B10" s="524">
        <v>600000</v>
      </c>
      <c r="C10" s="524">
        <v>600000</v>
      </c>
      <c r="D10" s="524">
        <v>600000</v>
      </c>
      <c r="F10" s="523"/>
      <c r="G10" s="524">
        <f>SUM(G3:G9)</f>
        <v>58916000</v>
      </c>
      <c r="H10" s="524">
        <f>SUM(H3:H9)</f>
        <v>58914000</v>
      </c>
      <c r="I10" s="524">
        <f>SUM(I3:I9)</f>
        <v>59210000</v>
      </c>
    </row>
    <row r="11" spans="1:9" ht="24.95" customHeight="1">
      <c r="A11" s="523" t="s">
        <v>591</v>
      </c>
      <c r="B11" s="524">
        <v>1000000</v>
      </c>
      <c r="C11" s="524">
        <v>250000</v>
      </c>
      <c r="D11" s="524">
        <v>440000</v>
      </c>
    </row>
    <row r="12" spans="1:9" ht="24.95" customHeight="1">
      <c r="A12" s="523" t="s">
        <v>592</v>
      </c>
      <c r="B12" s="524">
        <v>200000</v>
      </c>
      <c r="C12" s="524">
        <v>160000</v>
      </c>
      <c r="D12" s="524">
        <v>160000</v>
      </c>
    </row>
    <row r="13" spans="1:9" ht="24.95" customHeight="1">
      <c r="A13" s="523" t="s">
        <v>593</v>
      </c>
      <c r="B13" s="524">
        <v>90000</v>
      </c>
      <c r="C13" s="524">
        <v>10000</v>
      </c>
      <c r="D13" s="524">
        <v>10000</v>
      </c>
    </row>
    <row r="14" spans="1:9" ht="24.95" customHeight="1">
      <c r="A14" s="523" t="s">
        <v>594</v>
      </c>
      <c r="B14" s="524">
        <v>0</v>
      </c>
      <c r="C14" s="524">
        <v>0</v>
      </c>
      <c r="D14" s="524">
        <v>0</v>
      </c>
    </row>
    <row r="15" spans="1:9" ht="24.95" customHeight="1">
      <c r="A15" s="523" t="s">
        <v>589</v>
      </c>
      <c r="B15" s="524">
        <v>11000</v>
      </c>
      <c r="C15" s="524">
        <v>9000</v>
      </c>
      <c r="D15" s="524">
        <v>5000</v>
      </c>
    </row>
    <row r="16" spans="1:9" ht="24.95" customHeight="1">
      <c r="A16" s="599" t="s">
        <v>595</v>
      </c>
      <c r="B16" s="525">
        <f>SUM(B3:B15)</f>
        <v>18819000</v>
      </c>
      <c r="C16" s="525">
        <f>SUM(C3:C15)</f>
        <v>13474000</v>
      </c>
      <c r="D16" s="525">
        <f>SUM(D3:D15)</f>
        <v>14851000</v>
      </c>
    </row>
    <row r="17" spans="1:4" ht="24.95" customHeight="1">
      <c r="A17" s="599" t="s">
        <v>596</v>
      </c>
      <c r="B17" s="525">
        <v>35697000</v>
      </c>
      <c r="C17" s="525">
        <v>41040000</v>
      </c>
      <c r="D17" s="525">
        <v>39659000</v>
      </c>
    </row>
    <row r="18" spans="1:4" ht="24.95" customHeight="1">
      <c r="B18" s="295">
        <f>SUM(B16:B17)</f>
        <v>54516000</v>
      </c>
      <c r="C18" s="295">
        <f>SUM(C16:C17)</f>
        <v>54514000</v>
      </c>
      <c r="D18" s="295">
        <f>SUM(D16:D17)</f>
        <v>54510000</v>
      </c>
    </row>
    <row r="19" spans="1:4" ht="24.95" customHeight="1">
      <c r="B19" s="295">
        <v>54516000</v>
      </c>
      <c r="C19" s="295">
        <v>54514000</v>
      </c>
      <c r="D19" s="295">
        <v>54510000</v>
      </c>
    </row>
    <row r="20" spans="1:4" ht="24.95" customHeight="1">
      <c r="B20" s="295">
        <f>B19-B18</f>
        <v>0</v>
      </c>
      <c r="C20" s="295">
        <f>C19-C18</f>
        <v>0</v>
      </c>
      <c r="D20" s="295">
        <f>D19-D18</f>
        <v>0</v>
      </c>
    </row>
    <row r="21" spans="1:4" ht="24.95" customHeight="1">
      <c r="B21" s="295"/>
      <c r="C21" s="295"/>
      <c r="D21" s="295"/>
    </row>
    <row r="22" spans="1:4" ht="24.95" customHeight="1">
      <c r="B22" s="295"/>
      <c r="C22" s="295"/>
      <c r="D22" s="295"/>
    </row>
    <row r="23" spans="1:4" ht="24.95" customHeight="1">
      <c r="B23" s="295"/>
      <c r="C23" s="295"/>
      <c r="D23" s="295"/>
    </row>
    <row r="24" spans="1:4" ht="20.25" customHeight="1">
      <c r="B24" s="295"/>
      <c r="C24" s="295"/>
      <c r="D24" s="295"/>
    </row>
    <row r="25" spans="1:4" ht="20.25" customHeight="1">
      <c r="B25" s="295"/>
      <c r="C25" s="295"/>
      <c r="D25" s="295"/>
    </row>
    <row r="26" spans="1:4" ht="20.25" customHeight="1">
      <c r="B26" s="295"/>
      <c r="C26" s="295"/>
      <c r="D26" s="295"/>
    </row>
    <row r="27" spans="1:4" ht="20.25" customHeight="1">
      <c r="B27" s="295"/>
      <c r="C27" s="295"/>
      <c r="D27" s="295"/>
    </row>
    <row r="28" spans="1:4" ht="20.25" customHeight="1">
      <c r="B28" s="295"/>
      <c r="C28" s="295"/>
      <c r="D28" s="295"/>
    </row>
    <row r="29" spans="1:4" ht="20.25" customHeight="1"/>
    <row r="30" spans="1:4" ht="20.25" customHeight="1"/>
    <row r="33" ht="15.75" customHeight="1"/>
    <row r="34" ht="15.75" customHeight="1"/>
  </sheetData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4" sqref="B14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698" t="s">
        <v>609</v>
      </c>
      <c r="B1" s="698"/>
      <c r="C1" s="698"/>
      <c r="D1" s="698"/>
      <c r="E1" s="698"/>
      <c r="F1" s="698"/>
      <c r="G1" s="698"/>
      <c r="H1" s="698"/>
    </row>
    <row r="2" spans="1:8" ht="36.75" customHeight="1">
      <c r="A2" s="523"/>
      <c r="B2" s="600" t="s">
        <v>337</v>
      </c>
      <c r="C2" s="601" t="s">
        <v>597</v>
      </c>
      <c r="D2" s="601" t="s">
        <v>598</v>
      </c>
      <c r="E2" s="601" t="s">
        <v>599</v>
      </c>
      <c r="F2" s="601" t="s">
        <v>600</v>
      </c>
      <c r="G2" s="602" t="s">
        <v>337</v>
      </c>
      <c r="H2" s="603" t="s">
        <v>601</v>
      </c>
    </row>
    <row r="3" spans="1:8" ht="24.95" customHeight="1">
      <c r="A3" s="523" t="s">
        <v>577</v>
      </c>
      <c r="B3" s="604">
        <v>0</v>
      </c>
      <c r="C3" s="606">
        <v>0</v>
      </c>
      <c r="D3" s="606">
        <v>0</v>
      </c>
      <c r="E3" s="606">
        <v>0</v>
      </c>
      <c r="F3" s="606">
        <v>0</v>
      </c>
      <c r="G3" s="607">
        <f>SUM(C3:F3)</f>
        <v>0</v>
      </c>
      <c r="H3" s="603" t="str">
        <f>IF(B3=G3,"○")</f>
        <v>○</v>
      </c>
    </row>
    <row r="4" spans="1:8" ht="24.95" customHeight="1">
      <c r="A4" s="523" t="s">
        <v>616</v>
      </c>
      <c r="B4" s="604">
        <v>100000</v>
      </c>
      <c r="C4" s="605">
        <v>0</v>
      </c>
      <c r="D4" s="608">
        <v>100000</v>
      </c>
      <c r="E4" s="606"/>
      <c r="F4" s="606"/>
      <c r="G4" s="607">
        <f>SUM(C4:F4)</f>
        <v>100000</v>
      </c>
      <c r="H4" s="603" t="str">
        <f>IF(B4=G4,"○")</f>
        <v>○</v>
      </c>
    </row>
    <row r="5" spans="1:8" ht="24.95" customHeight="1">
      <c r="A5" s="523" t="s">
        <v>374</v>
      </c>
      <c r="B5" s="604">
        <v>1400000</v>
      </c>
      <c r="C5" s="524">
        <v>612000</v>
      </c>
      <c r="D5" s="608">
        <v>300000</v>
      </c>
      <c r="E5" s="608">
        <v>300000</v>
      </c>
      <c r="F5" s="608">
        <v>188000</v>
      </c>
      <c r="G5" s="607">
        <f t="shared" ref="G5:G16" si="0">SUM(C5:F5)</f>
        <v>1400000</v>
      </c>
      <c r="H5" s="603" t="str">
        <f t="shared" ref="H5:H16" si="1">IF(B5=G5,"○")</f>
        <v>○</v>
      </c>
    </row>
    <row r="6" spans="1:8" ht="24.95" customHeight="1">
      <c r="A6" s="523" t="s">
        <v>602</v>
      </c>
      <c r="B6" s="604">
        <v>2320000</v>
      </c>
      <c r="C6" s="524">
        <v>1119000</v>
      </c>
      <c r="D6" s="608">
        <v>430000</v>
      </c>
      <c r="E6" s="608">
        <v>430000</v>
      </c>
      <c r="F6" s="608">
        <v>341000</v>
      </c>
      <c r="G6" s="607">
        <f t="shared" si="0"/>
        <v>2320000</v>
      </c>
      <c r="H6" s="603" t="str">
        <f t="shared" si="1"/>
        <v>○</v>
      </c>
    </row>
    <row r="7" spans="1:8" ht="24.95" customHeight="1">
      <c r="A7" s="523" t="s">
        <v>603</v>
      </c>
      <c r="B7" s="604">
        <v>304000</v>
      </c>
      <c r="C7" s="524">
        <v>304000</v>
      </c>
      <c r="D7" s="606">
        <v>0</v>
      </c>
      <c r="E7" s="606">
        <v>0</v>
      </c>
      <c r="F7" s="606">
        <v>0</v>
      </c>
      <c r="G7" s="607">
        <f t="shared" si="0"/>
        <v>304000</v>
      </c>
      <c r="H7" s="603" t="str">
        <f t="shared" si="1"/>
        <v>○</v>
      </c>
    </row>
    <row r="8" spans="1:8" ht="24.95" customHeight="1">
      <c r="A8" s="523" t="s">
        <v>604</v>
      </c>
      <c r="B8" s="604">
        <v>100000</v>
      </c>
      <c r="C8" s="524">
        <v>100000</v>
      </c>
      <c r="D8" s="606">
        <v>0</v>
      </c>
      <c r="E8" s="606">
        <v>0</v>
      </c>
      <c r="F8" s="606">
        <v>0</v>
      </c>
      <c r="G8" s="607">
        <f t="shared" si="0"/>
        <v>100000</v>
      </c>
      <c r="H8" s="603" t="str">
        <f t="shared" si="1"/>
        <v>○</v>
      </c>
    </row>
    <row r="9" spans="1:8" ht="24.95" customHeight="1">
      <c r="A9" s="523" t="s">
        <v>605</v>
      </c>
      <c r="B9" s="604">
        <v>0</v>
      </c>
      <c r="C9" s="606">
        <v>0</v>
      </c>
      <c r="D9" s="606">
        <v>0</v>
      </c>
      <c r="E9" s="606">
        <v>0</v>
      </c>
      <c r="F9" s="606">
        <v>0</v>
      </c>
      <c r="G9" s="607">
        <f t="shared" si="0"/>
        <v>0</v>
      </c>
      <c r="H9" s="603" t="str">
        <f t="shared" si="1"/>
        <v>○</v>
      </c>
    </row>
    <row r="10" spans="1:8" ht="24.95" customHeight="1">
      <c r="A10" s="523" t="s">
        <v>606</v>
      </c>
      <c r="B10" s="604">
        <v>8221000</v>
      </c>
      <c r="C10" s="524">
        <v>2400000</v>
      </c>
      <c r="D10" s="608">
        <v>2210000</v>
      </c>
      <c r="E10" s="608">
        <v>2000000</v>
      </c>
      <c r="F10" s="608">
        <v>1611000</v>
      </c>
      <c r="G10" s="607">
        <f t="shared" si="0"/>
        <v>8221000</v>
      </c>
      <c r="H10" s="603" t="str">
        <f t="shared" si="1"/>
        <v>○</v>
      </c>
    </row>
    <row r="11" spans="1:8" ht="24.95" customHeight="1">
      <c r="A11" s="523" t="s">
        <v>607</v>
      </c>
      <c r="B11" s="604">
        <v>600000</v>
      </c>
      <c r="C11" s="524">
        <v>150000</v>
      </c>
      <c r="D11" s="608">
        <v>150000</v>
      </c>
      <c r="E11" s="608">
        <v>150000</v>
      </c>
      <c r="F11" s="608">
        <v>150000</v>
      </c>
      <c r="G11" s="607">
        <f t="shared" si="0"/>
        <v>600000</v>
      </c>
      <c r="H11" s="603" t="str">
        <f t="shared" si="1"/>
        <v>○</v>
      </c>
    </row>
    <row r="12" spans="1:8" ht="24.95" customHeight="1">
      <c r="A12" s="523" t="s">
        <v>88</v>
      </c>
      <c r="B12" s="604">
        <v>250000</v>
      </c>
      <c r="C12" s="524">
        <v>250000</v>
      </c>
      <c r="D12" s="606">
        <v>0</v>
      </c>
      <c r="E12" s="606">
        <v>0</v>
      </c>
      <c r="F12" s="606">
        <v>0</v>
      </c>
      <c r="G12" s="607">
        <f t="shared" si="0"/>
        <v>250000</v>
      </c>
      <c r="H12" s="603" t="str">
        <f t="shared" si="1"/>
        <v>○</v>
      </c>
    </row>
    <row r="13" spans="1:8" ht="24.95" customHeight="1">
      <c r="A13" s="523" t="s">
        <v>89</v>
      </c>
      <c r="B13" s="604">
        <v>160000</v>
      </c>
      <c r="C13" s="524">
        <v>160000</v>
      </c>
      <c r="D13" s="606">
        <v>0</v>
      </c>
      <c r="E13" s="606">
        <v>0</v>
      </c>
      <c r="F13" s="606">
        <v>0</v>
      </c>
      <c r="G13" s="607">
        <f t="shared" si="0"/>
        <v>160000</v>
      </c>
      <c r="H13" s="603" t="str">
        <f t="shared" si="1"/>
        <v>○</v>
      </c>
    </row>
    <row r="14" spans="1:8" ht="24.95" customHeight="1">
      <c r="A14" s="523" t="s">
        <v>90</v>
      </c>
      <c r="B14" s="604">
        <v>10000</v>
      </c>
      <c r="C14" s="524">
        <v>9720</v>
      </c>
      <c r="D14" s="608">
        <v>280</v>
      </c>
      <c r="E14" s="606">
        <v>0</v>
      </c>
      <c r="F14" s="606">
        <v>0</v>
      </c>
      <c r="G14" s="607">
        <f t="shared" si="0"/>
        <v>10000</v>
      </c>
      <c r="H14" s="603" t="str">
        <f t="shared" si="1"/>
        <v>○</v>
      </c>
    </row>
    <row r="15" spans="1:8" ht="24.95" customHeight="1">
      <c r="A15" s="523" t="s">
        <v>608</v>
      </c>
      <c r="B15" s="604">
        <v>0</v>
      </c>
      <c r="C15" s="606">
        <v>0</v>
      </c>
      <c r="D15" s="606">
        <v>0</v>
      </c>
      <c r="E15" s="606">
        <v>0</v>
      </c>
      <c r="F15" s="606">
        <v>0</v>
      </c>
      <c r="G15" s="607">
        <f t="shared" si="0"/>
        <v>0</v>
      </c>
      <c r="H15" s="603" t="str">
        <f t="shared" si="1"/>
        <v>○</v>
      </c>
    </row>
    <row r="16" spans="1:8" ht="24.95" customHeight="1">
      <c r="A16" s="599" t="s">
        <v>91</v>
      </c>
      <c r="B16" s="525">
        <f>SUM(B3:B15)</f>
        <v>13465000</v>
      </c>
      <c r="C16" s="525">
        <f t="shared" ref="C16:F16" si="2">SUM(C3:C15)</f>
        <v>5104720</v>
      </c>
      <c r="D16" s="525">
        <f t="shared" si="2"/>
        <v>3190280</v>
      </c>
      <c r="E16" s="525">
        <f t="shared" si="2"/>
        <v>2880000</v>
      </c>
      <c r="F16" s="525">
        <f t="shared" si="2"/>
        <v>2290000</v>
      </c>
      <c r="G16" s="607">
        <f t="shared" si="0"/>
        <v>13465000</v>
      </c>
      <c r="H16" s="603" t="str">
        <f t="shared" si="1"/>
        <v>○</v>
      </c>
    </row>
    <row r="17" spans="1:6" ht="24.95" customHeight="1">
      <c r="A17" s="599" t="s">
        <v>321</v>
      </c>
      <c r="B17" s="525">
        <v>41040000</v>
      </c>
      <c r="C17" s="525"/>
      <c r="D17" s="525"/>
      <c r="E17" s="524"/>
      <c r="F17" s="524"/>
    </row>
    <row r="18" spans="1:6" ht="24.95" customHeight="1">
      <c r="B18" s="295">
        <f>SUM(B16:B17)</f>
        <v>54505000</v>
      </c>
      <c r="C18" s="295"/>
      <c r="D18" s="295"/>
    </row>
    <row r="19" spans="1:6" ht="24.95" customHeight="1">
      <c r="B19" s="295"/>
      <c r="C19" s="295"/>
      <c r="D19" s="295"/>
    </row>
    <row r="20" spans="1:6" ht="24.95" customHeight="1">
      <c r="B20" s="295"/>
      <c r="C20" s="295"/>
      <c r="D20" s="295"/>
    </row>
    <row r="21" spans="1:6" ht="24.95" customHeight="1">
      <c r="B21" s="295"/>
      <c r="C21" s="295"/>
      <c r="D21" s="295"/>
    </row>
    <row r="22" spans="1:6" ht="20.25" customHeight="1">
      <c r="B22" s="295"/>
      <c r="C22" s="295"/>
      <c r="D22" s="295"/>
    </row>
    <row r="23" spans="1:6" ht="20.25" customHeight="1">
      <c r="B23" s="295"/>
      <c r="C23" s="295"/>
      <c r="D23" s="295"/>
    </row>
    <row r="24" spans="1:6" ht="20.25" customHeight="1">
      <c r="B24" s="295"/>
      <c r="C24" s="295"/>
      <c r="D24" s="295"/>
    </row>
    <row r="25" spans="1:6" ht="20.25" customHeight="1">
      <c r="B25" s="295"/>
      <c r="C25" s="295"/>
      <c r="D25" s="295"/>
    </row>
    <row r="26" spans="1:6" ht="20.25" customHeight="1">
      <c r="B26" s="295"/>
      <c r="C26" s="295"/>
      <c r="D26" s="295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65</cp:revision>
  <cp:lastPrinted>2017-10-12T13:41:36Z</cp:lastPrinted>
  <dcterms:created xsi:type="dcterms:W3CDTF">2003-12-18T04:11:57Z</dcterms:created>
  <dcterms:modified xsi:type="dcterms:W3CDTF">2017-11-22T04:47:59Z</dcterms:modified>
</cp:coreProperties>
</file>