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0"/>
  </bookViews>
  <sheets>
    <sheet name="세입세출총괄표" sheetId="1" r:id="rId1"/>
    <sheet name="세입" sheetId="2" r:id="rId2"/>
    <sheet name="세출" sheetId="3" r:id="rId3"/>
  </sheets>
  <externalReferences>
    <externalReference r:id="rId6"/>
  </externalReferences>
  <definedNames>
    <definedName name="_xlfn.SUMIFS" hidden="1">#NAME?</definedName>
    <definedName name="_xlnm.Print_Area" localSheetId="1">'세입'!$A$1:$X$94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'세출'!#REF!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돋움"/>
            <family val="3"/>
          </rPr>
          <t>기타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보조금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경장연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대체인력지원금</t>
        </r>
        <r>
          <rPr>
            <sz val="9"/>
            <color indexed="8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<sst xmlns="http://schemas.openxmlformats.org/spreadsheetml/2006/main" count="1136" uniqueCount="369">
  <si>
    <t>산              출               기              초</t>
  </si>
  <si>
    <t>2018년
 1차추경예산 (B)
(단위:천원)</t>
  </si>
  <si>
    <t>* 대체인건비 인건비(직원 연차, 교육 등)</t>
  </si>
  <si>
    <t>사업비</t>
  </si>
  <si>
    <t>보조</t>
  </si>
  <si>
    <t>이월금</t>
  </si>
  <si>
    <t>전입금</t>
  </si>
  <si>
    <t>×</t>
  </si>
  <si>
    <t>관</t>
  </si>
  <si>
    <t>연료비</t>
  </si>
  <si>
    <t>인건비</t>
  </si>
  <si>
    <t>제수당</t>
  </si>
  <si>
    <t>후원금</t>
  </si>
  <si>
    <t>회</t>
  </si>
  <si>
    <t>시설비</t>
  </si>
  <si>
    <t>사무비</t>
  </si>
  <si>
    <t>÷</t>
  </si>
  <si>
    <t>급여</t>
  </si>
  <si>
    <t>소계:</t>
  </si>
  <si>
    <t>생계비</t>
  </si>
  <si>
    <t>잡지출</t>
  </si>
  <si>
    <t>피복비</t>
  </si>
  <si>
    <t>일</t>
  </si>
  <si>
    <t>지 정</t>
  </si>
  <si>
    <t>조성비</t>
  </si>
  <si>
    <t>명</t>
  </si>
  <si>
    <t>국 고</t>
  </si>
  <si>
    <t>반환금</t>
  </si>
  <si>
    <t>과년도</t>
  </si>
  <si>
    <t>부담금</t>
  </si>
  <si>
    <t>유지비</t>
  </si>
  <si>
    <t>의료비</t>
  </si>
  <si>
    <t>수수료</t>
  </si>
  <si>
    <t>추진비</t>
  </si>
  <si>
    <t>계:</t>
  </si>
  <si>
    <t>사 업</t>
  </si>
  <si>
    <t>기 타</t>
  </si>
  <si>
    <t xml:space="preserve"> </t>
  </si>
  <si>
    <t>기타</t>
  </si>
  <si>
    <t>수 입</t>
  </si>
  <si>
    <t>법인</t>
  </si>
  <si>
    <t>매각대</t>
  </si>
  <si>
    <t>시 도</t>
  </si>
  <si>
    <t>경비</t>
  </si>
  <si>
    <t>법 인</t>
  </si>
  <si>
    <t>불용품</t>
  </si>
  <si>
    <t>보조금</t>
  </si>
  <si>
    <t>기관</t>
  </si>
  <si>
    <t>증감</t>
  </si>
  <si>
    <t>기타예</t>
  </si>
  <si>
    <t>이 월</t>
  </si>
  <si>
    <t>입소</t>
  </si>
  <si>
    <t>비지정</t>
  </si>
  <si>
    <t>차입금</t>
  </si>
  <si>
    <t>소계</t>
  </si>
  <si>
    <t>시군구</t>
  </si>
  <si>
    <t>전년도</t>
  </si>
  <si>
    <t>6호봉</t>
  </si>
  <si>
    <t>*</t>
  </si>
  <si>
    <t>금이자</t>
  </si>
  <si>
    <t>후원</t>
  </si>
  <si>
    <t>잡수</t>
  </si>
  <si>
    <t>계절별</t>
  </si>
  <si>
    <t>금융</t>
  </si>
  <si>
    <t>합계:</t>
  </si>
  <si>
    <t>나들이</t>
  </si>
  <si>
    <t>시비</t>
  </si>
  <si>
    <t>7종</t>
  </si>
  <si>
    <t>원</t>
  </si>
  <si>
    <t>목</t>
  </si>
  <si>
    <t>예비비</t>
  </si>
  <si>
    <t>월</t>
  </si>
  <si>
    <t>항</t>
  </si>
  <si>
    <t>운영비</t>
  </si>
  <si>
    <t>잡수입</t>
  </si>
  <si>
    <t>계</t>
  </si>
  <si>
    <t>5호봉</t>
  </si>
  <si>
    <t>=</t>
  </si>
  <si>
    <t>* 결연후원금 지급(지정후원금)</t>
  </si>
  <si>
    <t>* 우편물발송료 등 기타 공공요금</t>
  </si>
  <si>
    <t>* 정수기 임대료 및 수질검사 등</t>
  </si>
  <si>
    <t>* 입소자 제작 물품판매 수입</t>
  </si>
  <si>
    <t xml:space="preserve">* 소규모수선비/집기구입 등 </t>
  </si>
  <si>
    <t xml:space="preserve">  *공동모금회 환경개선사업비</t>
  </si>
  <si>
    <t>* 운영위원회 참석수당</t>
  </si>
  <si>
    <t xml:space="preserve"> &lt;기타 보조금 합계&gt;</t>
  </si>
  <si>
    <t>* 입소비용 체크카드환급액</t>
  </si>
  <si>
    <t>* 주민세 등 기타 공과금</t>
  </si>
  <si>
    <t>* 보조금(시비) 예금이자</t>
  </si>
  <si>
    <t>* 법인전입금 예금이자</t>
  </si>
  <si>
    <t xml:space="preserve"> * 예금이자(후원금)</t>
  </si>
  <si>
    <t>* 직원건강검진비(순수시비)</t>
  </si>
  <si>
    <t>* 보조금 운영비 예금이자</t>
  </si>
  <si>
    <t>2. 법인전입금 이자수입</t>
  </si>
  <si>
    <t>3. 입소비용 이자수입</t>
  </si>
  <si>
    <t>* 전화료 및 인터넷 요금</t>
  </si>
  <si>
    <t xml:space="preserve"> &lt;시군구 보조금 합계&gt;</t>
  </si>
  <si>
    <t>* 주방식기류 및 그릇 보강</t>
  </si>
  <si>
    <t>* 차량 점검 및 정비비 등</t>
  </si>
  <si>
    <t xml:space="preserve"> * 예금이자(잡수입)</t>
  </si>
  <si>
    <t>* 7종 보조금 예금이자</t>
  </si>
  <si>
    <t xml:space="preserve"> * 경장연 대체인력 지원금</t>
  </si>
  <si>
    <t>* 영화 및 뮤지컬 관람</t>
  </si>
  <si>
    <t>잡      지      출</t>
  </si>
  <si>
    <t>* 사무용품비(문구류 )</t>
  </si>
  <si>
    <t>* 외래 진료비 및 의약품비</t>
  </si>
  <si>
    <t>* 보조금(시비) 잔액</t>
  </si>
  <si>
    <t>* 후원금 체크카드환급액</t>
  </si>
  <si>
    <t>* 보조금 체크카드 환급액</t>
  </si>
  <si>
    <t>피      복      비</t>
  </si>
  <si>
    <t>* 환경개선사업(7종)</t>
  </si>
  <si>
    <t>* 잡수입 체크카드환급액</t>
  </si>
  <si>
    <t>* 법인전입금 체크카드환급액</t>
  </si>
  <si>
    <t>과            목</t>
  </si>
  <si>
    <t xml:space="preserve"> &lt;국고 보조금 합계&gt;</t>
  </si>
  <si>
    <t xml:space="preserve">  *법인 전입금(후원금)</t>
  </si>
  <si>
    <t xml:space="preserve"> &lt;법인 전입금(후원금)&gt;</t>
  </si>
  <si>
    <t>인      건      비</t>
  </si>
  <si>
    <t xml:space="preserve"> * 교육 및 출장여비</t>
  </si>
  <si>
    <t>2018년 1차 추경 예산</t>
  </si>
  <si>
    <t xml:space="preserve"> * 예금이자(법인전입금)</t>
  </si>
  <si>
    <t>생      계      비</t>
  </si>
  <si>
    <t>연      료      비</t>
  </si>
  <si>
    <t>예      비      비</t>
  </si>
  <si>
    <t>운      영      비</t>
  </si>
  <si>
    <t>잡      수      입</t>
  </si>
  <si>
    <t xml:space="preserve"> &lt;시도 보조금 합계&gt;</t>
  </si>
  <si>
    <t xml:space="preserve"> &lt;전년도이월금(후원금)&gt;</t>
  </si>
  <si>
    <t xml:space="preserve"> &lt;비지정 후원금 합계&gt;</t>
  </si>
  <si>
    <t>총          계</t>
  </si>
  <si>
    <t>* 환경개선사업비(7종)</t>
  </si>
  <si>
    <t>* 기타 수용비 및 수수료</t>
  </si>
  <si>
    <t xml:space="preserve"> &lt;지정 후원금 합계&gt;</t>
  </si>
  <si>
    <t>※ 보조금 반환금(수원시)</t>
  </si>
  <si>
    <t>시      설      비</t>
  </si>
  <si>
    <t>의      료      비</t>
  </si>
  <si>
    <t xml:space="preserve"> * 예금이자(입소비용)</t>
  </si>
  <si>
    <t>산               출                기               초</t>
  </si>
  <si>
    <t>※ 기관운영비</t>
  </si>
  <si>
    <t>수  입</t>
  </si>
  <si>
    <t>교육지원</t>
  </si>
  <si>
    <t>제세공과금</t>
  </si>
  <si>
    <t>공공요금</t>
  </si>
  <si>
    <t>차  량  비</t>
  </si>
  <si>
    <t>※기본급</t>
  </si>
  <si>
    <t>소     계</t>
  </si>
  <si>
    <t>직책보조비</t>
  </si>
  <si>
    <t>프로그램사업비</t>
  </si>
  <si>
    <t>사회보험</t>
  </si>
  <si>
    <t>자산취득비</t>
  </si>
  <si>
    <t>※ 여비</t>
  </si>
  <si>
    <t>비율(%)</t>
  </si>
  <si>
    <t>여    비</t>
  </si>
  <si>
    <t>회  의  비</t>
  </si>
  <si>
    <t>※ 제수당</t>
  </si>
  <si>
    <t>※ 예비비</t>
  </si>
  <si>
    <t>※ 시설비</t>
  </si>
  <si>
    <t>1.명절휴가비</t>
  </si>
  <si>
    <t>※ 총 계</t>
  </si>
  <si>
    <t>※ 차량비</t>
  </si>
  <si>
    <t>입  소</t>
  </si>
  <si>
    <t>※ 생계비</t>
  </si>
  <si>
    <t>※ 회의비</t>
  </si>
  <si>
    <t>소  계</t>
  </si>
  <si>
    <t>기타운영비</t>
  </si>
  <si>
    <t>※ 공공요금</t>
  </si>
  <si>
    <t>퇴직적립금</t>
  </si>
  <si>
    <t>소  계 :</t>
  </si>
  <si>
    <t>시설장비</t>
  </si>
  <si>
    <t>보조금 반환금</t>
  </si>
  <si>
    <t>※ 연료비</t>
  </si>
  <si>
    <t>일용잡급</t>
  </si>
  <si>
    <t>※ 제세공과금</t>
  </si>
  <si>
    <t>일상생활</t>
  </si>
  <si>
    <t>기관운영비</t>
  </si>
  <si>
    <t>자치회의</t>
  </si>
  <si>
    <t>* 피복비</t>
  </si>
  <si>
    <t>(후원)</t>
  </si>
  <si>
    <t xml:space="preserve"> *법인전입금</t>
  </si>
  <si>
    <t>세출총계</t>
  </si>
  <si>
    <t>비  용</t>
  </si>
  <si>
    <t>※ 잡지출</t>
  </si>
  <si>
    <t>업   무</t>
  </si>
  <si>
    <t xml:space="preserve">총  괄 : </t>
  </si>
  <si>
    <t>※ 퇴직적립금</t>
  </si>
  <si>
    <t>소계 :</t>
  </si>
  <si>
    <t>수용비및</t>
  </si>
  <si>
    <t>&lt;운영비&gt;</t>
  </si>
  <si>
    <t>※ 일용잡급</t>
  </si>
  <si>
    <t>시설장비유지비</t>
  </si>
  <si>
    <t>※이 월 금</t>
  </si>
  <si>
    <t>운동지원</t>
  </si>
  <si>
    <t>재   산</t>
  </si>
  <si>
    <t>프로그램</t>
  </si>
  <si>
    <t>* 차량보험료</t>
  </si>
  <si>
    <t>총  계 :</t>
  </si>
  <si>
    <t>※ 자산취득비</t>
  </si>
  <si>
    <t>수용기관</t>
  </si>
  <si>
    <t>(단위:원)</t>
  </si>
  <si>
    <t>※후원금수입</t>
  </si>
  <si>
    <t>합  계 :</t>
  </si>
  <si>
    <t>※ 사업수입</t>
  </si>
  <si>
    <t>시군구보조금</t>
  </si>
  <si>
    <t>입   소</t>
  </si>
  <si>
    <t>* 가을여행</t>
  </si>
  <si>
    <t>지원사업비</t>
  </si>
  <si>
    <t>※ 피복비</t>
  </si>
  <si>
    <t>* 겨울</t>
  </si>
  <si>
    <t>* 여름캠프</t>
  </si>
  <si>
    <t>※ 잡 수 입</t>
  </si>
  <si>
    <t>※ 차 입 금</t>
  </si>
  <si>
    <t>보조금반환</t>
  </si>
  <si>
    <t>후원금  수입</t>
  </si>
  <si>
    <t>보조금  수입</t>
  </si>
  <si>
    <t>&lt;지정후원금&gt;</t>
  </si>
  <si>
    <t>※ 직책보조비</t>
  </si>
  <si>
    <t>재산조성비</t>
  </si>
  <si>
    <t>시도보조금</t>
  </si>
  <si>
    <t>국고보조금</t>
  </si>
  <si>
    <t>기타후생</t>
  </si>
  <si>
    <t>※ 의료비</t>
  </si>
  <si>
    <t>입소비용수입</t>
  </si>
  <si>
    <t>업무추진비</t>
  </si>
  <si>
    <t>* 스포츠관람</t>
  </si>
  <si>
    <t>* 인권교육</t>
  </si>
  <si>
    <t>보조금(7종)</t>
  </si>
  <si>
    <t>* 송년회</t>
  </si>
  <si>
    <t>입소자
부담금</t>
  </si>
  <si>
    <t>(음식점)</t>
  </si>
  <si>
    <t>기타 보조금</t>
  </si>
  <si>
    <t>* 자치회의</t>
  </si>
  <si>
    <t>문화생활</t>
  </si>
  <si>
    <t>※법인 전입금</t>
  </si>
  <si>
    <t>* 차량유류대</t>
  </si>
  <si>
    <t>후원/자원</t>
  </si>
  <si>
    <t>계
(B)</t>
  </si>
  <si>
    <t>법인
전입금</t>
  </si>
  <si>
    <t xml:space="preserve">                                                                                    </t>
  </si>
  <si>
    <t>* 아파트관리비</t>
  </si>
  <si>
    <t>* 전기안전점검비</t>
  </si>
  <si>
    <t>* 마라톤프로그램</t>
  </si>
  <si>
    <t>* 취사용 연료비</t>
  </si>
  <si>
    <t>4. 잡수입 이자수입</t>
  </si>
  <si>
    <t>* 등산프로그램</t>
  </si>
  <si>
    <t>1. 보조금 이자수입</t>
  </si>
  <si>
    <t>* 월동대책비(김장)</t>
  </si>
  <si>
    <t>* 7종 보조금 잔액</t>
  </si>
  <si>
    <t xml:space="preserve"> * 직원 건강진단비</t>
  </si>
  <si>
    <t>* 사회재활교사</t>
  </si>
  <si>
    <t>* 헬스용품 구입비</t>
  </si>
  <si>
    <t>&lt;비지정후원금&gt;</t>
  </si>
  <si>
    <t>5.산업재해보험부담금</t>
  </si>
  <si>
    <t>* 찜질방 이용</t>
  </si>
  <si>
    <t>* 입소비용 예금이자</t>
  </si>
  <si>
    <t>* 잡수입 예금이자</t>
  </si>
  <si>
    <t>보조금
(시비)</t>
  </si>
  <si>
    <t>5. 후원금 이자수입</t>
  </si>
  <si>
    <t>보조금
(도비)</t>
  </si>
  <si>
    <t>* 후원금 예금이자</t>
  </si>
  <si>
    <t>2.연장근로수당</t>
  </si>
  <si>
    <t>* 시설당 기본지원</t>
  </si>
  <si>
    <t>* 인건비 지원금</t>
  </si>
  <si>
    <t>업 무   추 진 비</t>
  </si>
  <si>
    <t>증      감</t>
  </si>
  <si>
    <t>소      계</t>
  </si>
  <si>
    <t>※ 시설장비유지비</t>
  </si>
  <si>
    <t>입소비용   수입</t>
  </si>
  <si>
    <t>합        계</t>
  </si>
  <si>
    <t>세       출</t>
  </si>
  <si>
    <t>※ 사회보험부담금</t>
  </si>
  <si>
    <t>구        분</t>
  </si>
  <si>
    <t>총         계</t>
  </si>
  <si>
    <t>사   무   비</t>
  </si>
  <si>
    <t>법인      전입금</t>
  </si>
  <si>
    <t>※ 입소비용수입</t>
  </si>
  <si>
    <t>※ 수용비및수수료</t>
  </si>
  <si>
    <t>세       입</t>
  </si>
  <si>
    <t>비지정   후원금</t>
  </si>
  <si>
    <t>지정      후원금</t>
  </si>
  <si>
    <t>이    월    금</t>
  </si>
  <si>
    <t>※ 수용기관경비</t>
  </si>
  <si>
    <t>※ 기타후생경비</t>
  </si>
  <si>
    <t>예   비   비</t>
  </si>
  <si>
    <t>경      비</t>
  </si>
  <si>
    <t>자 산   취 득 비</t>
  </si>
  <si>
    <t>잡   지   출</t>
  </si>
  <si>
    <t xml:space="preserve">  *후원금 수입</t>
  </si>
  <si>
    <t>사   업   비</t>
  </si>
  <si>
    <t>전년도   이월금</t>
  </si>
  <si>
    <t>전    입    금</t>
  </si>
  <si>
    <t>보조금   반납금</t>
  </si>
  <si>
    <t>잡    수    입</t>
  </si>
  <si>
    <t>수용기관   경비</t>
  </si>
  <si>
    <t>※ 보조금수입 합계</t>
  </si>
  <si>
    <t>3.장기요양보험부담금</t>
  </si>
  <si>
    <t>합    계 :</t>
  </si>
  <si>
    <t>* 회의 다과비</t>
  </si>
  <si>
    <t xml:space="preserve"> &lt;이월 사업비&gt;</t>
  </si>
  <si>
    <t xml:space="preserve"> &lt;기타잡수입&gt;</t>
  </si>
  <si>
    <t xml:space="preserve"> &lt;불용품매각대&gt;</t>
  </si>
  <si>
    <t xml:space="preserve"> &lt;기타예금이자수입&gt;</t>
  </si>
  <si>
    <t xml:space="preserve"> &lt;보조금이월금&gt;</t>
  </si>
  <si>
    <t xml:space="preserve">  *금융기관 차입금</t>
  </si>
  <si>
    <t xml:space="preserve"> &lt;금융기관 차입금&gt;</t>
  </si>
  <si>
    <t>금액
(B-A)</t>
  </si>
  <si>
    <t>※ 직원 교육훈련비</t>
  </si>
  <si>
    <t>* 입소비용수입</t>
  </si>
  <si>
    <t xml:space="preserve"> &lt;법인 전입금&gt;</t>
  </si>
  <si>
    <t xml:space="preserve">  *기타 차입금</t>
  </si>
  <si>
    <t xml:space="preserve">  *결연후원금</t>
  </si>
  <si>
    <t>* 입소자 건강진단비</t>
  </si>
  <si>
    <t xml:space="preserve"> * 입소비용이월액</t>
  </si>
  <si>
    <t>1.국민연금부담금</t>
  </si>
  <si>
    <t xml:space="preserve"> &lt;잡수입이월금&gt;</t>
  </si>
  <si>
    <t xml:space="preserve"> * 법인전입금이월액</t>
  </si>
  <si>
    <t xml:space="preserve"> &lt;기타 차입금&gt;</t>
  </si>
  <si>
    <t xml:space="preserve"> &lt;법인전입금이월금&gt;</t>
  </si>
  <si>
    <t>※ 예금이자수입</t>
  </si>
  <si>
    <t>2.국민건강보험부담금</t>
  </si>
  <si>
    <t xml:space="preserve"> &lt;전년도 이월금&gt;</t>
  </si>
  <si>
    <t xml:space="preserve"> &lt;후원금이월금&gt;</t>
  </si>
  <si>
    <t>* 기타 수용기관경비</t>
  </si>
  <si>
    <t>※ 과년도 수입</t>
  </si>
  <si>
    <t>* 특수건강검진</t>
  </si>
  <si>
    <t xml:space="preserve"> &lt;입소비용이월금&gt;</t>
  </si>
  <si>
    <t>* 기타 의료비</t>
  </si>
  <si>
    <t>4.고용보험부담금</t>
  </si>
  <si>
    <t>* 가스안전점검비</t>
  </si>
  <si>
    <t>* 신원보증보험갱신</t>
  </si>
  <si>
    <t xml:space="preserve"> * 후원금이월액</t>
  </si>
  <si>
    <t xml:space="preserve"> * 잡수입이월액</t>
  </si>
  <si>
    <t>* 이용인 생일</t>
  </si>
  <si>
    <t>* 생활용품구입비(치약,치솔,화장지 등)</t>
  </si>
  <si>
    <t>* 직원 축일 및 생일 축하 문화상품권</t>
  </si>
  <si>
    <t>* 이용인 직장 방문 경비(음료 등)</t>
  </si>
  <si>
    <t>* 기타 시설물 관리유지비(전기공사, 유도등, 소화기, 완강기)</t>
  </si>
  <si>
    <t>* 밥솥 등 비품구입</t>
  </si>
  <si>
    <t>2018년 2차 추경 예산</t>
  </si>
  <si>
    <t>2018년 2차 추경 예산</t>
  </si>
  <si>
    <t>□ 2018년도 2차 추경 예산 세 입 · 세 출 총  괄  표</t>
  </si>
  <si>
    <t>&lt;바르나바의 집 2018년도 2차 추경 예산 세입내역&gt;</t>
  </si>
  <si>
    <t>2018년
 2차추경예산 (B)
(단위:천원)</t>
  </si>
  <si>
    <t>&lt;바르나바의 집 2018년도 2차추경예산 세출내역&gt;</t>
  </si>
  <si>
    <t>2018년
1차 추경예산액(A)
(단위:천원)</t>
  </si>
  <si>
    <t>2018년 2차 추경예산액(B)(단위:천원)</t>
  </si>
  <si>
    <t>1. 직원 급식비</t>
  </si>
  <si>
    <t>※ 잡수입</t>
  </si>
  <si>
    <t>2. 예수금 잔액(잡수입)</t>
  </si>
  <si>
    <t>반환금</t>
  </si>
  <si>
    <t>6. 사회보험부담금(정산보험)</t>
  </si>
  <si>
    <t>고용보험</t>
  </si>
  <si>
    <t>산업재해보험</t>
  </si>
  <si>
    <t>보조</t>
  </si>
  <si>
    <t>보조</t>
  </si>
  <si>
    <t>* 주부식비(부식)</t>
  </si>
  <si>
    <t>* 주부식비(직원급식)</t>
  </si>
  <si>
    <t>잡수</t>
  </si>
  <si>
    <t xml:space="preserve">  *결연후원금(감동드림)</t>
  </si>
  <si>
    <t>* 결연후원금 지급(감동드림)</t>
  </si>
  <si>
    <t>* 부활나눔</t>
  </si>
  <si>
    <t>월</t>
  </si>
  <si>
    <t>월</t>
  </si>
  <si>
    <t>월</t>
  </si>
  <si>
    <t>월</t>
  </si>
  <si>
    <t>월</t>
  </si>
  <si>
    <t>월</t>
  </si>
  <si>
    <t>월</t>
  </si>
  <si>
    <t>원</t>
  </si>
  <si>
    <t>3. 경장연대체인력인력보조금이월금(잡수입)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</si>
</sst>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General&quot;월&quot;"/>
    <numFmt numFmtId="200" formatCode="0%&quot;÷&quot;"/>
    <numFmt numFmtId="201" formatCode="0.00%&quot;÷&quot;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돋움"/>
      <family val="3"/>
    </font>
    <font>
      <sz val="8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8"/>
      <name val="돋움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11"/>
      <color theme="1"/>
      <name val="돋움"/>
      <family val="3"/>
    </font>
    <font>
      <sz val="10"/>
      <color rgb="FFFF0000"/>
      <name val="바탕체"/>
      <family val="1"/>
    </font>
    <font>
      <sz val="10"/>
      <color theme="1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Alignment="0" applyProtection="0"/>
    <xf numFmtId="0" fontId="9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Fill="0" applyAlignment="0"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</cellStyleXfs>
  <cellXfs count="412">
    <xf numFmtId="0" fontId="0" fillId="0" borderId="0" xfId="0" applyNumberFormat="1" applyFill="1" applyAlignment="1">
      <alignment vertical="center"/>
    </xf>
    <xf numFmtId="0" fontId="18" fillId="0" borderId="0" xfId="68" applyNumberFormat="1" applyFont="1" applyFill="1" applyAlignment="1">
      <alignment vertical="center"/>
      <protection/>
    </xf>
    <xf numFmtId="176" fontId="18" fillId="0" borderId="0" xfId="68" applyNumberFormat="1" applyFont="1" applyFill="1" applyAlignment="1">
      <alignment vertical="center"/>
      <protection/>
    </xf>
    <xf numFmtId="0" fontId="18" fillId="0" borderId="0" xfId="68" applyNumberFormat="1" applyFont="1" applyFill="1" applyAlignment="1">
      <alignment horizontal="center" vertical="center"/>
      <protection/>
    </xf>
    <xf numFmtId="0" fontId="18" fillId="0" borderId="0" xfId="68" applyNumberFormat="1" applyFont="1" applyFill="1" applyBorder="1" applyAlignment="1">
      <alignment vertical="center"/>
      <protection/>
    </xf>
    <xf numFmtId="176" fontId="18" fillId="0" borderId="0" xfId="68" applyNumberFormat="1" applyFont="1" applyFill="1" applyBorder="1" applyAlignment="1">
      <alignment vertical="center"/>
      <protection/>
    </xf>
    <xf numFmtId="41" fontId="18" fillId="0" borderId="0" xfId="49" applyNumberFormat="1" applyFont="1" applyFill="1" applyAlignment="1">
      <alignment vertical="center"/>
    </xf>
    <xf numFmtId="0" fontId="18" fillId="0" borderId="0" xfId="68" applyNumberFormat="1" applyFont="1" applyFill="1" applyAlignment="1">
      <alignment horizontal="center" vertical="center" wrapText="1"/>
      <protection/>
    </xf>
    <xf numFmtId="41" fontId="18" fillId="0" borderId="0" xfId="49" applyNumberFormat="1" applyFont="1" applyFill="1" applyAlignment="1">
      <alignment horizontal="center" vertical="center"/>
    </xf>
    <xf numFmtId="178" fontId="18" fillId="0" borderId="0" xfId="68" applyNumberFormat="1" applyFont="1" applyFill="1" applyAlignment="1">
      <alignment vertical="center"/>
      <protection/>
    </xf>
    <xf numFmtId="177" fontId="18" fillId="0" borderId="0" xfId="68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8" applyNumberFormat="1" applyFont="1" applyFill="1" applyAlignment="1">
      <alignment horizontal="center"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68" applyNumberFormat="1" applyFont="1" applyFill="1" applyAlignment="1">
      <alignment vertical="center"/>
      <protection/>
    </xf>
    <xf numFmtId="38" fontId="18" fillId="0" borderId="0" xfId="68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19" fillId="0" borderId="0" xfId="68" applyNumberFormat="1" applyFont="1" applyFill="1" applyAlignment="1">
      <alignment vertical="center"/>
      <protection/>
    </xf>
    <xf numFmtId="0" fontId="20" fillId="0" borderId="0" xfId="68" applyNumberFormat="1" applyFont="1" applyFill="1" applyAlignment="1">
      <alignment vertical="center"/>
      <protection/>
    </xf>
    <xf numFmtId="0" fontId="18" fillId="0" borderId="0" xfId="68" applyNumberFormat="1" applyFont="1" applyFill="1" applyBorder="1" applyAlignment="1">
      <alignment horizontal="center" vertical="center" wrapText="1"/>
      <protection/>
    </xf>
    <xf numFmtId="41" fontId="20" fillId="0" borderId="0" xfId="49" applyNumberFormat="1" applyFont="1" applyFill="1" applyAlignment="1">
      <alignment vertical="center"/>
    </xf>
    <xf numFmtId="0" fontId="21" fillId="0" borderId="10" xfId="68" applyNumberFormat="1" applyFont="1" applyFill="1" applyBorder="1" applyAlignment="1">
      <alignment horizontal="center" vertical="center" wrapText="1"/>
      <protection/>
    </xf>
    <xf numFmtId="0" fontId="21" fillId="0" borderId="11" xfId="68" applyNumberFormat="1" applyFont="1" applyFill="1" applyBorder="1" applyAlignment="1">
      <alignment horizontal="center" vertical="center" wrapText="1"/>
      <protection/>
    </xf>
    <xf numFmtId="9" fontId="22" fillId="0" borderId="11" xfId="68" applyNumberFormat="1" applyFont="1" applyFill="1" applyBorder="1" applyAlignment="1">
      <alignment horizontal="center" vertical="center"/>
      <protection/>
    </xf>
    <xf numFmtId="0" fontId="23" fillId="0" borderId="12" xfId="68" applyNumberFormat="1" applyFont="1" applyFill="1" applyBorder="1" applyAlignment="1">
      <alignment vertical="center"/>
      <protection/>
    </xf>
    <xf numFmtId="176" fontId="23" fillId="0" borderId="12" xfId="68" applyNumberFormat="1" applyFont="1" applyFill="1" applyBorder="1" applyAlignment="1">
      <alignment horizontal="center" vertical="center"/>
      <protection/>
    </xf>
    <xf numFmtId="176" fontId="23" fillId="0" borderId="13" xfId="68" applyNumberFormat="1" applyFont="1" applyFill="1" applyBorder="1" applyAlignment="1">
      <alignment vertical="center"/>
      <protection/>
    </xf>
    <xf numFmtId="9" fontId="21" fillId="0" borderId="14" xfId="68" applyNumberFormat="1" applyFont="1" applyFill="1" applyBorder="1" applyAlignment="1">
      <alignment horizontal="center" vertical="center"/>
      <protection/>
    </xf>
    <xf numFmtId="0" fontId="24" fillId="0" borderId="0" xfId="68" applyNumberFormat="1" applyFont="1" applyFill="1" applyBorder="1" applyAlignment="1">
      <alignment vertical="center"/>
      <protection/>
    </xf>
    <xf numFmtId="176" fontId="24" fillId="0" borderId="0" xfId="68" applyNumberFormat="1" applyFont="1" applyFill="1" applyBorder="1" applyAlignment="1">
      <alignment vertical="center"/>
      <protection/>
    </xf>
    <xf numFmtId="176" fontId="24" fillId="0" borderId="15" xfId="68" applyNumberFormat="1" applyFont="1" applyFill="1" applyBorder="1" applyAlignment="1">
      <alignment vertical="center"/>
      <protection/>
    </xf>
    <xf numFmtId="0" fontId="21" fillId="0" borderId="16" xfId="68" applyNumberFormat="1" applyFont="1" applyFill="1" applyBorder="1" applyAlignment="1">
      <alignment horizontal="center" vertical="center" wrapText="1"/>
      <protection/>
    </xf>
    <xf numFmtId="0" fontId="21" fillId="0" borderId="17" xfId="68" applyNumberFormat="1" applyFont="1" applyFill="1" applyBorder="1" applyAlignment="1">
      <alignment horizontal="center" vertical="center" wrapText="1"/>
      <protection/>
    </xf>
    <xf numFmtId="178" fontId="21" fillId="0" borderId="17" xfId="68" applyNumberFormat="1" applyFont="1" applyFill="1" applyBorder="1" applyAlignment="1">
      <alignment vertical="center"/>
      <protection/>
    </xf>
    <xf numFmtId="177" fontId="21" fillId="0" borderId="17" xfId="68" applyNumberFormat="1" applyFont="1" applyFill="1" applyBorder="1" applyAlignment="1">
      <alignment vertical="center"/>
      <protection/>
    </xf>
    <xf numFmtId="9" fontId="21" fillId="0" borderId="17" xfId="68" applyNumberFormat="1" applyFont="1" applyFill="1" applyBorder="1" applyAlignment="1">
      <alignment horizontal="center" vertical="center"/>
      <protection/>
    </xf>
    <xf numFmtId="0" fontId="23" fillId="0" borderId="18" xfId="68" applyNumberFormat="1" applyFont="1" applyFill="1" applyBorder="1" applyAlignment="1">
      <alignment vertical="center"/>
      <protection/>
    </xf>
    <xf numFmtId="176" fontId="25" fillId="0" borderId="19" xfId="68" applyNumberFormat="1" applyFont="1" applyFill="1" applyBorder="1" applyAlignment="1">
      <alignment vertical="center"/>
      <protection/>
    </xf>
    <xf numFmtId="176" fontId="23" fillId="0" borderId="19" xfId="68" applyNumberFormat="1" applyFont="1" applyFill="1" applyBorder="1" applyAlignment="1">
      <alignment vertical="center"/>
      <protection/>
    </xf>
    <xf numFmtId="176" fontId="23" fillId="0" borderId="19" xfId="68" applyNumberFormat="1" applyFont="1" applyFill="1" applyBorder="1" applyAlignment="1">
      <alignment horizontal="right" vertical="center"/>
      <protection/>
    </xf>
    <xf numFmtId="176" fontId="23" fillId="0" borderId="20" xfId="68" applyNumberFormat="1" applyFont="1" applyFill="1" applyBorder="1" applyAlignment="1">
      <alignment vertical="center"/>
      <protection/>
    </xf>
    <xf numFmtId="0" fontId="21" fillId="0" borderId="21" xfId="68" applyNumberFormat="1" applyFont="1" applyFill="1" applyBorder="1" applyAlignment="1">
      <alignment horizontal="center" vertical="center" wrapText="1"/>
      <protection/>
    </xf>
    <xf numFmtId="0" fontId="21" fillId="0" borderId="14" xfId="68" applyNumberFormat="1" applyFont="1" applyFill="1" applyBorder="1" applyAlignment="1">
      <alignment horizontal="center" vertical="center" wrapText="1"/>
      <protection/>
    </xf>
    <xf numFmtId="0" fontId="21" fillId="0" borderId="22" xfId="68" applyNumberFormat="1" applyFont="1" applyFill="1" applyBorder="1" applyAlignment="1">
      <alignment horizontal="center" vertical="center" wrapText="1"/>
      <protection/>
    </xf>
    <xf numFmtId="178" fontId="21" fillId="0" borderId="14" xfId="68" applyNumberFormat="1" applyFont="1" applyFill="1" applyBorder="1" applyAlignment="1">
      <alignment vertical="center"/>
      <protection/>
    </xf>
    <xf numFmtId="177" fontId="21" fillId="0" borderId="14" xfId="68" applyNumberFormat="1" applyFont="1" applyFill="1" applyBorder="1" applyAlignment="1">
      <alignment vertical="center"/>
      <protection/>
    </xf>
    <xf numFmtId="0" fontId="21" fillId="0" borderId="0" xfId="68" applyNumberFormat="1" applyFont="1" applyFill="1" applyBorder="1" applyAlignment="1">
      <alignment vertical="center"/>
      <protection/>
    </xf>
    <xf numFmtId="176" fontId="21" fillId="0" borderId="0" xfId="68" applyNumberFormat="1" applyFont="1" applyFill="1" applyBorder="1" applyAlignment="1">
      <alignment vertical="center"/>
      <protection/>
    </xf>
    <xf numFmtId="176" fontId="24" fillId="0" borderId="0" xfId="68" applyNumberFormat="1" applyFont="1" applyFill="1" applyBorder="1" applyAlignment="1">
      <alignment horizontal="right" vertical="center"/>
      <protection/>
    </xf>
    <xf numFmtId="0" fontId="21" fillId="0" borderId="23" xfId="68" applyNumberFormat="1" applyFont="1" applyFill="1" applyBorder="1" applyAlignment="1">
      <alignment horizontal="left" vertical="center"/>
      <protection/>
    </xf>
    <xf numFmtId="176" fontId="21" fillId="0" borderId="0" xfId="68" applyNumberFormat="1" applyFont="1" applyFill="1" applyBorder="1" applyAlignment="1">
      <alignment horizontal="left" vertical="center"/>
      <protection/>
    </xf>
    <xf numFmtId="0" fontId="21" fillId="0" borderId="0" xfId="68" applyNumberFormat="1" applyFont="1" applyFill="1" applyBorder="1" applyAlignment="1">
      <alignment horizontal="center" vertical="center"/>
      <protection/>
    </xf>
    <xf numFmtId="41" fontId="21" fillId="0" borderId="0" xfId="49" applyNumberFormat="1" applyFont="1" applyFill="1" applyBorder="1" applyAlignment="1">
      <alignment vertical="center"/>
    </xf>
    <xf numFmtId="176" fontId="21" fillId="0" borderId="15" xfId="68" applyNumberFormat="1" applyFont="1" applyFill="1" applyBorder="1" applyAlignment="1">
      <alignment vertical="center"/>
      <protection/>
    </xf>
    <xf numFmtId="0" fontId="21" fillId="0" borderId="24" xfId="68" applyNumberFormat="1" applyFont="1" applyFill="1" applyBorder="1" applyAlignment="1">
      <alignment horizontal="center" vertical="center" wrapText="1"/>
      <protection/>
    </xf>
    <xf numFmtId="0" fontId="21" fillId="0" borderId="25" xfId="68" applyNumberFormat="1" applyFont="1" applyFill="1" applyBorder="1" applyAlignment="1">
      <alignment horizontal="center" vertical="center" wrapText="1"/>
      <protection/>
    </xf>
    <xf numFmtId="0" fontId="21" fillId="0" borderId="21" xfId="68" applyNumberFormat="1" applyFont="1" applyFill="1" applyBorder="1" applyAlignment="1">
      <alignment vertical="center" wrapText="1"/>
      <protection/>
    </xf>
    <xf numFmtId="178" fontId="21" fillId="0" borderId="25" xfId="68" applyNumberFormat="1" applyFont="1" applyFill="1" applyBorder="1" applyAlignment="1">
      <alignment vertical="center"/>
      <protection/>
    </xf>
    <xf numFmtId="177" fontId="21" fillId="0" borderId="25" xfId="68" applyNumberFormat="1" applyFont="1" applyFill="1" applyBorder="1" applyAlignment="1">
      <alignment vertical="center"/>
      <protection/>
    </xf>
    <xf numFmtId="0" fontId="21" fillId="0" borderId="26" xfId="68" applyNumberFormat="1" applyFont="1" applyFill="1" applyBorder="1" applyAlignment="1">
      <alignment vertical="center"/>
      <protection/>
    </xf>
    <xf numFmtId="0" fontId="21" fillId="0" borderId="27" xfId="68" applyNumberFormat="1" applyFont="1" applyFill="1" applyBorder="1" applyAlignment="1">
      <alignment vertical="center"/>
      <protection/>
    </xf>
    <xf numFmtId="176" fontId="21" fillId="0" borderId="27" xfId="68" applyNumberFormat="1" applyFont="1" applyFill="1" applyBorder="1" applyAlignment="1">
      <alignment vertical="center"/>
      <protection/>
    </xf>
    <xf numFmtId="176" fontId="21" fillId="0" borderId="28" xfId="68" applyNumberFormat="1" applyFont="1" applyFill="1" applyBorder="1" applyAlignment="1">
      <alignment vertical="center"/>
      <protection/>
    </xf>
    <xf numFmtId="0" fontId="21" fillId="0" borderId="23" xfId="68" applyNumberFormat="1" applyFont="1" applyFill="1" applyBorder="1" applyAlignment="1">
      <alignment vertical="center"/>
      <protection/>
    </xf>
    <xf numFmtId="176" fontId="21" fillId="0" borderId="0" xfId="68" applyNumberFormat="1" applyFont="1" applyFill="1" applyBorder="1" applyAlignment="1">
      <alignment horizontal="right" vertical="center"/>
      <protection/>
    </xf>
    <xf numFmtId="178" fontId="21" fillId="0" borderId="0" xfId="68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9" xfId="68" applyNumberFormat="1" applyFont="1" applyFill="1" applyBorder="1" applyAlignment="1">
      <alignment vertical="center"/>
      <protection/>
    </xf>
    <xf numFmtId="176" fontId="21" fillId="0" borderId="30" xfId="68" applyNumberFormat="1" applyFont="1" applyFill="1" applyBorder="1" applyAlignment="1">
      <alignment horizontal="right" vertical="center"/>
      <protection/>
    </xf>
    <xf numFmtId="176" fontId="21" fillId="0" borderId="31" xfId="68" applyNumberFormat="1" applyFont="1" applyFill="1" applyBorder="1" applyAlignment="1">
      <alignment vertical="center"/>
      <protection/>
    </xf>
    <xf numFmtId="42" fontId="21" fillId="0" borderId="0" xfId="68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9" applyNumberFormat="1" applyFont="1" applyFill="1" applyBorder="1" applyAlignment="1">
      <alignment horizontal="center" vertical="center"/>
    </xf>
    <xf numFmtId="176" fontId="21" fillId="0" borderId="30" xfId="68" applyNumberFormat="1" applyFont="1" applyFill="1" applyBorder="1" applyAlignment="1">
      <alignment vertical="center"/>
      <protection/>
    </xf>
    <xf numFmtId="0" fontId="21" fillId="0" borderId="30" xfId="68" applyNumberFormat="1" applyFont="1" applyFill="1" applyBorder="1" applyAlignment="1">
      <alignment vertical="center"/>
      <protection/>
    </xf>
    <xf numFmtId="0" fontId="21" fillId="0" borderId="14" xfId="68" applyNumberFormat="1" applyFont="1" applyFill="1" applyBorder="1" applyAlignment="1">
      <alignment vertical="center" wrapText="1"/>
      <protection/>
    </xf>
    <xf numFmtId="0" fontId="21" fillId="0" borderId="25" xfId="68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30" xfId="68" applyNumberFormat="1" applyFont="1" applyFill="1" applyBorder="1" applyAlignment="1">
      <alignment horizontal="center" vertical="center"/>
      <protection/>
    </xf>
    <xf numFmtId="0" fontId="21" fillId="0" borderId="30" xfId="0" applyNumberFormat="1" applyFont="1" applyFill="1" applyBorder="1" applyAlignment="1">
      <alignment vertical="center"/>
    </xf>
    <xf numFmtId="0" fontId="21" fillId="0" borderId="17" xfId="68" applyNumberFormat="1" applyFont="1" applyFill="1" applyBorder="1" applyAlignment="1">
      <alignment horizontal="center" vertical="center"/>
      <protection/>
    </xf>
    <xf numFmtId="176" fontId="21" fillId="0" borderId="19" xfId="68" applyNumberFormat="1" applyFont="1" applyFill="1" applyBorder="1" applyAlignment="1">
      <alignment vertical="center"/>
      <protection/>
    </xf>
    <xf numFmtId="176" fontId="24" fillId="0" borderId="19" xfId="68" applyNumberFormat="1" applyFont="1" applyFill="1" applyBorder="1" applyAlignment="1">
      <alignment vertical="center"/>
      <protection/>
    </xf>
    <xf numFmtId="0" fontId="21" fillId="0" borderId="14" xfId="68" applyNumberFormat="1" applyFont="1" applyFill="1" applyBorder="1" applyAlignment="1">
      <alignment horizontal="center" vertical="center"/>
      <protection/>
    </xf>
    <xf numFmtId="176" fontId="21" fillId="0" borderId="0" xfId="68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8" applyNumberFormat="1" applyFont="1" applyFill="1" applyBorder="1" applyAlignment="1">
      <alignment vertical="center"/>
      <protection/>
    </xf>
    <xf numFmtId="176" fontId="24" fillId="0" borderId="19" xfId="68" applyNumberFormat="1" applyFont="1" applyFill="1" applyBorder="1" applyAlignment="1">
      <alignment horizontal="right" vertical="center"/>
      <protection/>
    </xf>
    <xf numFmtId="176" fontId="24" fillId="0" borderId="20" xfId="68" applyNumberFormat="1" applyFont="1" applyFill="1" applyBorder="1" applyAlignment="1">
      <alignment vertical="center"/>
      <protection/>
    </xf>
    <xf numFmtId="0" fontId="21" fillId="0" borderId="22" xfId="68" applyNumberFormat="1" applyFont="1" applyFill="1" applyBorder="1" applyAlignment="1">
      <alignment horizontal="center" vertical="center"/>
      <protection/>
    </xf>
    <xf numFmtId="0" fontId="24" fillId="0" borderId="32" xfId="68" applyNumberFormat="1" applyFont="1" applyFill="1" applyBorder="1" applyAlignment="1">
      <alignment vertical="center"/>
      <protection/>
    </xf>
    <xf numFmtId="0" fontId="21" fillId="0" borderId="22" xfId="68" applyNumberFormat="1" applyFont="1" applyFill="1" applyBorder="1" applyAlignment="1">
      <alignment vertical="center"/>
      <protection/>
    </xf>
    <xf numFmtId="176" fontId="24" fillId="0" borderId="30" xfId="68" applyNumberFormat="1" applyFont="1" applyFill="1" applyBorder="1" applyAlignment="1">
      <alignment vertical="center"/>
      <protection/>
    </xf>
    <xf numFmtId="0" fontId="21" fillId="0" borderId="33" xfId="68" applyNumberFormat="1" applyFont="1" applyFill="1" applyBorder="1" applyAlignment="1">
      <alignment vertical="center" wrapText="1"/>
      <protection/>
    </xf>
    <xf numFmtId="0" fontId="21" fillId="0" borderId="34" xfId="68" applyNumberFormat="1" applyFont="1" applyFill="1" applyBorder="1" applyAlignment="1">
      <alignment horizontal="center" vertical="center"/>
      <protection/>
    </xf>
    <xf numFmtId="0" fontId="21" fillId="0" borderId="34" xfId="68" applyNumberFormat="1" applyFont="1" applyFill="1" applyBorder="1" applyAlignment="1">
      <alignment horizontal="center" vertical="center" wrapText="1"/>
      <protection/>
    </xf>
    <xf numFmtId="178" fontId="21" fillId="0" borderId="34" xfId="68" applyNumberFormat="1" applyFont="1" applyFill="1" applyBorder="1" applyAlignment="1">
      <alignment vertical="center"/>
      <protection/>
    </xf>
    <xf numFmtId="177" fontId="21" fillId="0" borderId="34" xfId="68" applyNumberFormat="1" applyFont="1" applyFill="1" applyBorder="1" applyAlignment="1">
      <alignment vertical="center"/>
      <protection/>
    </xf>
    <xf numFmtId="9" fontId="21" fillId="0" borderId="34" xfId="68" applyNumberFormat="1" applyFont="1" applyFill="1" applyBorder="1" applyAlignment="1">
      <alignment horizontal="center" vertical="center"/>
      <protection/>
    </xf>
    <xf numFmtId="38" fontId="21" fillId="0" borderId="27" xfId="68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8" applyNumberFormat="1" applyFont="1" applyFill="1" applyBorder="1" applyAlignment="1">
      <alignment vertical="center"/>
      <protection/>
    </xf>
    <xf numFmtId="38" fontId="21" fillId="0" borderId="25" xfId="68" applyNumberFormat="1" applyFont="1" applyFill="1" applyBorder="1" applyAlignment="1">
      <alignment vertical="center"/>
      <protection/>
    </xf>
    <xf numFmtId="0" fontId="24" fillId="0" borderId="16" xfId="68" applyNumberFormat="1" applyFont="1" applyFill="1" applyBorder="1" applyAlignment="1">
      <alignment horizontal="center" vertical="center" wrapText="1"/>
      <protection/>
    </xf>
    <xf numFmtId="38" fontId="21" fillId="0" borderId="17" xfId="68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6" fillId="0" borderId="14" xfId="68" applyNumberFormat="1" applyFont="1" applyFill="1" applyBorder="1" applyAlignment="1">
      <alignment vertical="center"/>
      <protection/>
    </xf>
    <xf numFmtId="0" fontId="24" fillId="0" borderId="30" xfId="68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30" xfId="68" applyNumberFormat="1" applyFont="1" applyFill="1" applyBorder="1" applyAlignment="1">
      <alignment horizontal="right" vertical="center"/>
      <protection/>
    </xf>
    <xf numFmtId="176" fontId="24" fillId="0" borderId="31" xfId="68" applyNumberFormat="1" applyFont="1" applyFill="1" applyBorder="1" applyAlignment="1">
      <alignment vertical="center"/>
      <protection/>
    </xf>
    <xf numFmtId="0" fontId="21" fillId="0" borderId="0" xfId="68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0" xfId="68" applyNumberFormat="1" applyFont="1" applyFill="1" applyBorder="1" applyAlignment="1">
      <alignment horizontal="left" vertical="center" wrapText="1"/>
      <protection/>
    </xf>
    <xf numFmtId="176" fontId="21" fillId="0" borderId="30" xfId="68" applyNumberFormat="1" applyFont="1" applyFill="1" applyBorder="1" applyAlignment="1">
      <alignment horizontal="left" vertical="center"/>
      <protection/>
    </xf>
    <xf numFmtId="3" fontId="21" fillId="0" borderId="0" xfId="0" applyNumberFormat="1" applyFont="1" applyFill="1" applyAlignment="1">
      <alignment vertical="center"/>
    </xf>
    <xf numFmtId="38" fontId="21" fillId="0" borderId="25" xfId="76" applyNumberFormat="1" applyFont="1" applyFill="1" applyBorder="1" applyAlignment="1">
      <alignment vertical="center"/>
      <protection/>
    </xf>
    <xf numFmtId="0" fontId="21" fillId="0" borderId="0" xfId="76" applyNumberFormat="1" applyFont="1" applyFill="1" applyBorder="1" applyAlignment="1">
      <alignment horizontal="center" vertical="center"/>
      <protection/>
    </xf>
    <xf numFmtId="0" fontId="21" fillId="0" borderId="33" xfId="68" applyNumberFormat="1" applyFont="1" applyFill="1" applyBorder="1" applyAlignment="1">
      <alignment horizontal="center" vertical="center" wrapText="1"/>
      <protection/>
    </xf>
    <xf numFmtId="38" fontId="21" fillId="0" borderId="34" xfId="68" applyNumberFormat="1" applyFont="1" applyFill="1" applyBorder="1" applyAlignment="1">
      <alignment vertical="center"/>
      <protection/>
    </xf>
    <xf numFmtId="9" fontId="21" fillId="0" borderId="34" xfId="43" applyNumberFormat="1" applyFont="1" applyFill="1" applyBorder="1" applyAlignment="1">
      <alignment horizontal="center" vertical="center"/>
    </xf>
    <xf numFmtId="0" fontId="21" fillId="0" borderId="28" xfId="68" applyNumberFormat="1" applyFont="1" applyFill="1" applyBorder="1" applyAlignment="1">
      <alignment vertical="center"/>
      <protection/>
    </xf>
    <xf numFmtId="0" fontId="25" fillId="0" borderId="19" xfId="68" applyNumberFormat="1" applyFont="1" applyFill="1" applyBorder="1" applyAlignment="1">
      <alignment vertical="center"/>
      <protection/>
    </xf>
    <xf numFmtId="0" fontId="21" fillId="0" borderId="32" xfId="68" applyNumberFormat="1" applyFont="1" applyFill="1" applyBorder="1" applyAlignment="1">
      <alignment vertical="center"/>
      <protection/>
    </xf>
    <xf numFmtId="176" fontId="21" fillId="0" borderId="35" xfId="68" applyNumberFormat="1" applyFont="1" applyFill="1" applyBorder="1" applyAlignment="1">
      <alignment vertical="center"/>
      <protection/>
    </xf>
    <xf numFmtId="176" fontId="21" fillId="0" borderId="35" xfId="68" applyNumberFormat="1" applyFont="1" applyFill="1" applyBorder="1" applyAlignment="1">
      <alignment horizontal="right" vertical="center"/>
      <protection/>
    </xf>
    <xf numFmtId="176" fontId="21" fillId="0" borderId="36" xfId="68" applyNumberFormat="1" applyFont="1" applyFill="1" applyBorder="1" applyAlignment="1">
      <alignment vertical="center"/>
      <protection/>
    </xf>
    <xf numFmtId="0" fontId="21" fillId="0" borderId="35" xfId="68" applyNumberFormat="1" applyFont="1" applyFill="1" applyBorder="1" applyAlignment="1">
      <alignment vertical="center"/>
      <protection/>
    </xf>
    <xf numFmtId="177" fontId="21" fillId="0" borderId="11" xfId="68" applyNumberFormat="1" applyFont="1" applyFill="1" applyBorder="1" applyAlignment="1">
      <alignment horizontal="center" vertical="center" wrapText="1"/>
      <protection/>
    </xf>
    <xf numFmtId="0" fontId="21" fillId="0" borderId="19" xfId="68" applyNumberFormat="1" applyFont="1" applyFill="1" applyBorder="1" applyAlignment="1">
      <alignment vertical="center"/>
      <protection/>
    </xf>
    <xf numFmtId="38" fontId="21" fillId="0" borderId="25" xfId="76" applyNumberFormat="1" applyFont="1" applyFill="1" applyBorder="1" applyAlignment="1">
      <alignment horizontal="center" vertical="center" wrapText="1"/>
      <protection/>
    </xf>
    <xf numFmtId="0" fontId="24" fillId="0" borderId="37" xfId="68" applyNumberFormat="1" applyFont="1" applyFill="1" applyBorder="1" applyAlignment="1">
      <alignment vertical="center"/>
      <protection/>
    </xf>
    <xf numFmtId="0" fontId="24" fillId="0" borderId="38" xfId="68" applyNumberFormat="1" applyFont="1" applyFill="1" applyBorder="1" applyAlignment="1">
      <alignment vertical="center"/>
      <protection/>
    </xf>
    <xf numFmtId="176" fontId="24" fillId="0" borderId="38" xfId="68" applyNumberFormat="1" applyFont="1" applyFill="1" applyBorder="1" applyAlignment="1">
      <alignment vertical="center"/>
      <protection/>
    </xf>
    <xf numFmtId="176" fontId="24" fillId="0" borderId="39" xfId="68" applyNumberFormat="1" applyFont="1" applyFill="1" applyBorder="1" applyAlignment="1">
      <alignment vertical="center"/>
      <protection/>
    </xf>
    <xf numFmtId="9" fontId="24" fillId="0" borderId="40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0" xfId="68" applyNumberFormat="1" applyFont="1" applyFill="1" applyBorder="1" applyAlignment="1">
      <alignment horizontal="center" vertical="center" wrapText="1"/>
      <protection/>
    </xf>
    <xf numFmtId="38" fontId="21" fillId="0" borderId="40" xfId="68" applyNumberFormat="1" applyFont="1" applyFill="1" applyBorder="1" applyAlignment="1">
      <alignment vertical="center"/>
      <protection/>
    </xf>
    <xf numFmtId="9" fontId="21" fillId="0" borderId="40" xfId="43" applyNumberFormat="1" applyFont="1" applyFill="1" applyBorder="1" applyAlignment="1">
      <alignment horizontal="center" vertical="center"/>
    </xf>
    <xf numFmtId="0" fontId="24" fillId="0" borderId="35" xfId="68" applyNumberFormat="1" applyFont="1" applyFill="1" applyBorder="1" applyAlignment="1">
      <alignment vertical="center"/>
      <protection/>
    </xf>
    <xf numFmtId="176" fontId="24" fillId="0" borderId="35" xfId="68" applyNumberFormat="1" applyFont="1" applyFill="1" applyBorder="1" applyAlignment="1">
      <alignment vertical="center"/>
      <protection/>
    </xf>
    <xf numFmtId="176" fontId="24" fillId="0" borderId="36" xfId="68" applyNumberFormat="1" applyFont="1" applyFill="1" applyBorder="1" applyAlignment="1">
      <alignment vertical="center"/>
      <protection/>
    </xf>
    <xf numFmtId="176" fontId="24" fillId="0" borderId="35" xfId="68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8" applyNumberFormat="1" applyFont="1" applyFill="1" applyBorder="1" applyAlignment="1">
      <alignment horizontal="center" vertical="center" wrapText="1"/>
      <protection/>
    </xf>
    <xf numFmtId="0" fontId="24" fillId="0" borderId="35" xfId="68" applyNumberFormat="1" applyFont="1" applyFill="1" applyBorder="1" applyAlignment="1">
      <alignment horizontal="center" vertical="center"/>
      <protection/>
    </xf>
    <xf numFmtId="0" fontId="24" fillId="0" borderId="21" xfId="68" applyNumberFormat="1" applyFont="1" applyFill="1" applyBorder="1" applyAlignment="1">
      <alignment horizontal="center" vertical="center" wrapText="1"/>
      <protection/>
    </xf>
    <xf numFmtId="38" fontId="24" fillId="0" borderId="40" xfId="68" applyNumberFormat="1" applyFont="1" applyFill="1" applyBorder="1" applyAlignment="1">
      <alignment vertical="center"/>
      <protection/>
    </xf>
    <xf numFmtId="0" fontId="24" fillId="0" borderId="17" xfId="68" applyNumberFormat="1" applyFont="1" applyFill="1" applyBorder="1" applyAlignment="1">
      <alignment horizontal="center" vertical="center" wrapText="1"/>
      <protection/>
    </xf>
    <xf numFmtId="38" fontId="24" fillId="0" borderId="17" xfId="68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1" xfId="68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1" fillId="0" borderId="0" xfId="71" applyNumberFormat="1">
      <alignment vertical="center"/>
      <protection/>
    </xf>
    <xf numFmtId="0" fontId="27" fillId="0" borderId="0" xfId="71" applyNumberFormat="1" applyFont="1">
      <alignment vertical="center"/>
      <protection/>
    </xf>
    <xf numFmtId="0" fontId="22" fillId="0" borderId="0" xfId="71" applyNumberFormat="1" applyFont="1" applyAlignment="1">
      <alignment horizontal="right"/>
      <protection/>
    </xf>
    <xf numFmtId="0" fontId="1" fillId="0" borderId="40" xfId="71" applyNumberFormat="1" applyBorder="1" applyAlignment="1">
      <alignment horizontal="center" vertical="center"/>
      <protection/>
    </xf>
    <xf numFmtId="41" fontId="0" fillId="0" borderId="40" xfId="51" applyNumberFormat="1" applyFont="1" applyBorder="1" applyAlignment="1">
      <alignment vertical="center"/>
    </xf>
    <xf numFmtId="182" fontId="0" fillId="0" borderId="32" xfId="51" applyNumberFormat="1" applyFont="1" applyBorder="1" applyAlignment="1">
      <alignment vertical="center"/>
    </xf>
    <xf numFmtId="182" fontId="0" fillId="0" borderId="42" xfId="51" applyNumberFormat="1" applyFont="1" applyBorder="1" applyAlignment="1">
      <alignment vertical="center"/>
    </xf>
    <xf numFmtId="0" fontId="1" fillId="0" borderId="11" xfId="71" applyNumberFormat="1" applyBorder="1" applyAlignment="1">
      <alignment horizontal="center" vertical="center"/>
      <protection/>
    </xf>
    <xf numFmtId="41" fontId="0" fillId="0" borderId="11" xfId="51" applyNumberFormat="1" applyFont="1" applyBorder="1" applyAlignment="1">
      <alignment vertical="center"/>
    </xf>
    <xf numFmtId="182" fontId="0" fillId="0" borderId="43" xfId="51" applyNumberFormat="1" applyFont="1" applyBorder="1" applyAlignment="1">
      <alignment vertical="center"/>
    </xf>
    <xf numFmtId="176" fontId="21" fillId="0" borderId="30" xfId="68" applyNumberFormat="1" applyFont="1" applyFill="1" applyBorder="1" applyAlignment="1">
      <alignment horizontal="center" vertical="center"/>
      <protection/>
    </xf>
    <xf numFmtId="0" fontId="21" fillId="0" borderId="44" xfId="68" applyNumberFormat="1" applyFont="1" applyFill="1" applyBorder="1" applyAlignment="1">
      <alignment horizontal="center" vertical="center" wrapText="1"/>
      <protection/>
    </xf>
    <xf numFmtId="9" fontId="21" fillId="0" borderId="25" xfId="68" applyNumberFormat="1" applyFont="1" applyFill="1" applyBorder="1" applyAlignment="1">
      <alignment horizontal="center" vertical="center"/>
      <protection/>
    </xf>
    <xf numFmtId="0" fontId="28" fillId="0" borderId="32" xfId="68" applyNumberFormat="1" applyFont="1" applyFill="1" applyBorder="1" applyAlignment="1">
      <alignment vertical="center"/>
      <protection/>
    </xf>
    <xf numFmtId="0" fontId="29" fillId="0" borderId="35" xfId="68" applyNumberFormat="1" applyFont="1" applyFill="1" applyBorder="1" applyAlignment="1">
      <alignment vertical="center"/>
      <protection/>
    </xf>
    <xf numFmtId="176" fontId="29" fillId="0" borderId="35" xfId="68" applyNumberFormat="1" applyFont="1" applyFill="1" applyBorder="1" applyAlignment="1">
      <alignment vertical="center"/>
      <protection/>
    </xf>
    <xf numFmtId="176" fontId="28" fillId="0" borderId="35" xfId="68" applyNumberFormat="1" applyFont="1" applyFill="1" applyBorder="1" applyAlignment="1">
      <alignment vertical="center"/>
      <protection/>
    </xf>
    <xf numFmtId="42" fontId="21" fillId="0" borderId="30" xfId="68" applyNumberFormat="1" applyFont="1" applyFill="1" applyBorder="1" applyAlignment="1">
      <alignment horizontal="center" vertical="center"/>
      <protection/>
    </xf>
    <xf numFmtId="178" fontId="21" fillId="0" borderId="30" xfId="68" applyNumberFormat="1" applyFont="1" applyFill="1" applyBorder="1" applyAlignment="1">
      <alignment horizontal="center" vertical="center"/>
      <protection/>
    </xf>
    <xf numFmtId="180" fontId="21" fillId="0" borderId="30" xfId="49" applyNumberFormat="1" applyFont="1" applyFill="1" applyBorder="1" applyAlignment="1">
      <alignment horizontal="center" vertical="center"/>
    </xf>
    <xf numFmtId="178" fontId="1" fillId="0" borderId="30" xfId="0" applyNumberFormat="1" applyFont="1" applyBorder="1" applyAlignment="1">
      <alignment vertical="center"/>
    </xf>
    <xf numFmtId="178" fontId="25" fillId="0" borderId="17" xfId="68" applyNumberFormat="1" applyFont="1" applyFill="1" applyBorder="1" applyAlignment="1">
      <alignment vertical="center"/>
      <protection/>
    </xf>
    <xf numFmtId="177" fontId="25" fillId="0" borderId="17" xfId="68" applyNumberFormat="1" applyFont="1" applyFill="1" applyBorder="1" applyAlignment="1">
      <alignment vertical="center"/>
      <protection/>
    </xf>
    <xf numFmtId="9" fontId="25" fillId="0" borderId="17" xfId="68" applyNumberFormat="1" applyFont="1" applyFill="1" applyBorder="1" applyAlignment="1">
      <alignment horizontal="center" vertical="center"/>
      <protection/>
    </xf>
    <xf numFmtId="178" fontId="30" fillId="0" borderId="40" xfId="68" applyNumberFormat="1" applyFont="1" applyFill="1" applyBorder="1" applyAlignment="1">
      <alignment vertical="center"/>
      <protection/>
    </xf>
    <xf numFmtId="177" fontId="30" fillId="0" borderId="40" xfId="68" applyNumberFormat="1" applyFont="1" applyFill="1" applyBorder="1" applyAlignment="1">
      <alignment vertical="center"/>
      <protection/>
    </xf>
    <xf numFmtId="9" fontId="30" fillId="0" borderId="40" xfId="43" applyNumberFormat="1" applyFont="1" applyFill="1" applyBorder="1" applyAlignment="1">
      <alignment horizontal="center" vertical="center"/>
    </xf>
    <xf numFmtId="178" fontId="23" fillId="0" borderId="45" xfId="68" applyNumberFormat="1" applyFont="1" applyFill="1" applyBorder="1" applyAlignment="1">
      <alignment vertical="center"/>
      <protection/>
    </xf>
    <xf numFmtId="9" fontId="23" fillId="0" borderId="45" xfId="68" applyNumberFormat="1" applyFont="1" applyFill="1" applyBorder="1" applyAlignment="1">
      <alignment horizontal="center" vertical="center"/>
      <protection/>
    </xf>
    <xf numFmtId="178" fontId="25" fillId="0" borderId="25" xfId="68" applyNumberFormat="1" applyFont="1" applyFill="1" applyBorder="1" applyAlignment="1">
      <alignment vertical="center"/>
      <protection/>
    </xf>
    <xf numFmtId="177" fontId="25" fillId="0" borderId="25" xfId="68" applyNumberFormat="1" applyFont="1" applyFill="1" applyBorder="1" applyAlignment="1">
      <alignment vertical="center"/>
      <protection/>
    </xf>
    <xf numFmtId="9" fontId="25" fillId="0" borderId="25" xfId="68" applyNumberFormat="1" applyFont="1" applyFill="1" applyBorder="1" applyAlignment="1">
      <alignment horizontal="center" vertical="center"/>
      <protection/>
    </xf>
    <xf numFmtId="0" fontId="23" fillId="0" borderId="29" xfId="68" applyNumberFormat="1" applyFont="1" applyFill="1" applyBorder="1" applyAlignment="1">
      <alignment vertical="center"/>
      <protection/>
    </xf>
    <xf numFmtId="0" fontId="25" fillId="0" borderId="30" xfId="68" applyNumberFormat="1" applyFont="1" applyFill="1" applyBorder="1" applyAlignment="1">
      <alignment vertical="center"/>
      <protection/>
    </xf>
    <xf numFmtId="176" fontId="25" fillId="0" borderId="30" xfId="68" applyNumberFormat="1" applyFont="1" applyFill="1" applyBorder="1" applyAlignment="1">
      <alignment vertical="center"/>
      <protection/>
    </xf>
    <xf numFmtId="176" fontId="23" fillId="0" borderId="30" xfId="68" applyNumberFormat="1" applyFont="1" applyFill="1" applyBorder="1" applyAlignment="1">
      <alignment vertical="center"/>
      <protection/>
    </xf>
    <xf numFmtId="176" fontId="23" fillId="0" borderId="30" xfId="68" applyNumberFormat="1" applyFont="1" applyFill="1" applyBorder="1" applyAlignment="1">
      <alignment horizontal="right" vertical="center"/>
      <protection/>
    </xf>
    <xf numFmtId="176" fontId="31" fillId="0" borderId="35" xfId="68" applyNumberFormat="1" applyFont="1" applyFill="1" applyBorder="1" applyAlignment="1">
      <alignment vertical="center"/>
      <protection/>
    </xf>
    <xf numFmtId="176" fontId="31" fillId="0" borderId="35" xfId="68" applyNumberFormat="1" applyFont="1" applyFill="1" applyBorder="1" applyAlignment="1">
      <alignment horizontal="right" vertical="center"/>
      <protection/>
    </xf>
    <xf numFmtId="176" fontId="31" fillId="0" borderId="30" xfId="68" applyNumberFormat="1" applyFont="1" applyFill="1" applyBorder="1" applyAlignment="1">
      <alignment horizontal="right" vertical="center"/>
      <protection/>
    </xf>
    <xf numFmtId="42" fontId="21" fillId="0" borderId="19" xfId="68" applyNumberFormat="1" applyFont="1" applyFill="1" applyBorder="1" applyAlignment="1">
      <alignment horizontal="left" vertical="center"/>
      <protection/>
    </xf>
    <xf numFmtId="176" fontId="21" fillId="0" borderId="19" xfId="68" applyNumberFormat="1" applyFont="1" applyFill="1" applyBorder="1" applyAlignment="1">
      <alignment horizontal="left" vertical="center"/>
      <protection/>
    </xf>
    <xf numFmtId="180" fontId="21" fillId="0" borderId="19" xfId="49" applyNumberFormat="1" applyFont="1" applyFill="1" applyBorder="1" applyAlignment="1">
      <alignment vertical="center"/>
    </xf>
    <xf numFmtId="41" fontId="21" fillId="0" borderId="19" xfId="49" applyNumberFormat="1" applyFont="1" applyFill="1" applyBorder="1" applyAlignment="1">
      <alignment vertical="center"/>
    </xf>
    <xf numFmtId="176" fontId="21" fillId="0" borderId="19" xfId="68" applyNumberFormat="1" applyFont="1" applyFill="1" applyBorder="1" applyAlignment="1">
      <alignment horizontal="right" vertical="center"/>
      <protection/>
    </xf>
    <xf numFmtId="0" fontId="21" fillId="0" borderId="18" xfId="68" applyNumberFormat="1" applyFont="1" applyFill="1" applyBorder="1" applyAlignment="1">
      <alignment vertical="center"/>
      <protection/>
    </xf>
    <xf numFmtId="9" fontId="21" fillId="0" borderId="46" xfId="43" applyNumberFormat="1" applyFont="1" applyFill="1" applyBorder="1" applyAlignment="1">
      <alignment vertical="center"/>
    </xf>
    <xf numFmtId="176" fontId="21" fillId="0" borderId="46" xfId="68" applyNumberFormat="1" applyFont="1" applyFill="1" applyBorder="1" applyAlignment="1">
      <alignment horizontal="right" vertical="center"/>
      <protection/>
    </xf>
    <xf numFmtId="176" fontId="21" fillId="0" borderId="19" xfId="68" applyNumberFormat="1" applyFont="1" applyFill="1" applyBorder="1" applyAlignment="1">
      <alignment horizontal="center" vertical="center"/>
      <protection/>
    </xf>
    <xf numFmtId="177" fontId="21" fillId="0" borderId="19" xfId="68" applyNumberFormat="1" applyFont="1" applyFill="1" applyBorder="1" applyAlignment="1">
      <alignment vertical="center"/>
      <protection/>
    </xf>
    <xf numFmtId="178" fontId="32" fillId="0" borderId="40" xfId="68" applyNumberFormat="1" applyFont="1" applyFill="1" applyBorder="1" applyAlignment="1">
      <alignment vertical="center"/>
      <protection/>
    </xf>
    <xf numFmtId="177" fontId="32" fillId="0" borderId="40" xfId="68" applyNumberFormat="1" applyFont="1" applyFill="1" applyBorder="1" applyAlignment="1">
      <alignment vertical="center"/>
      <protection/>
    </xf>
    <xf numFmtId="9" fontId="32" fillId="0" borderId="40" xfId="43" applyNumberFormat="1" applyFont="1" applyFill="1" applyBorder="1" applyAlignment="1">
      <alignment horizontal="center" vertical="center"/>
    </xf>
    <xf numFmtId="0" fontId="33" fillId="0" borderId="32" xfId="68" applyNumberFormat="1" applyFont="1" applyFill="1" applyBorder="1" applyAlignment="1">
      <alignment vertical="center"/>
      <protection/>
    </xf>
    <xf numFmtId="176" fontId="33" fillId="0" borderId="35" xfId="68" applyNumberFormat="1" applyFont="1" applyFill="1" applyBorder="1" applyAlignment="1">
      <alignment vertical="center"/>
      <protection/>
    </xf>
    <xf numFmtId="0" fontId="33" fillId="0" borderId="35" xfId="68" applyNumberFormat="1" applyFont="1" applyFill="1" applyBorder="1" applyAlignment="1">
      <alignment horizontal="center" vertical="center"/>
      <protection/>
    </xf>
    <xf numFmtId="0" fontId="33" fillId="0" borderId="35" xfId="68" applyNumberFormat="1" applyFont="1" applyFill="1" applyBorder="1" applyAlignment="1">
      <alignment vertical="center"/>
      <protection/>
    </xf>
    <xf numFmtId="176" fontId="33" fillId="0" borderId="30" xfId="68" applyNumberFormat="1" applyFont="1" applyFill="1" applyBorder="1" applyAlignment="1">
      <alignment horizontal="right" vertical="center"/>
      <protection/>
    </xf>
    <xf numFmtId="0" fontId="32" fillId="0" borderId="0" xfId="68" applyNumberFormat="1" applyFont="1" applyFill="1" applyBorder="1" applyAlignment="1">
      <alignment vertical="center" wrapText="1"/>
      <protection/>
    </xf>
    <xf numFmtId="178" fontId="32" fillId="0" borderId="0" xfId="68" applyNumberFormat="1" applyFont="1" applyFill="1" applyBorder="1" applyAlignment="1">
      <alignment vertical="center"/>
      <protection/>
    </xf>
    <xf numFmtId="177" fontId="32" fillId="0" borderId="0" xfId="68" applyNumberFormat="1" applyFont="1" applyFill="1" applyBorder="1" applyAlignment="1">
      <alignment vertical="center"/>
      <protection/>
    </xf>
    <xf numFmtId="9" fontId="32" fillId="0" borderId="0" xfId="43" applyNumberFormat="1" applyFont="1" applyFill="1" applyBorder="1" applyAlignment="1">
      <alignment horizontal="center" vertical="center"/>
    </xf>
    <xf numFmtId="0" fontId="33" fillId="0" borderId="0" xfId="68" applyNumberFormat="1" applyFont="1" applyFill="1" applyBorder="1" applyAlignment="1">
      <alignment vertical="center"/>
      <protection/>
    </xf>
    <xf numFmtId="176" fontId="33" fillId="0" borderId="0" xfId="68" applyNumberFormat="1" applyFont="1" applyFill="1" applyBorder="1" applyAlignment="1">
      <alignment vertical="center"/>
      <protection/>
    </xf>
    <xf numFmtId="0" fontId="33" fillId="0" borderId="0" xfId="68" applyNumberFormat="1" applyFont="1" applyFill="1" applyBorder="1" applyAlignment="1">
      <alignment horizontal="center" vertical="center"/>
      <protection/>
    </xf>
    <xf numFmtId="176" fontId="33" fillId="0" borderId="0" xfId="68" applyNumberFormat="1" applyFont="1" applyFill="1" applyBorder="1" applyAlignment="1">
      <alignment horizontal="right" vertical="center"/>
      <protection/>
    </xf>
    <xf numFmtId="176" fontId="33" fillId="0" borderId="35" xfId="68" applyNumberFormat="1" applyFont="1" applyFill="1" applyBorder="1" applyAlignment="1">
      <alignment horizontal="right" vertical="center"/>
      <protection/>
    </xf>
    <xf numFmtId="176" fontId="23" fillId="0" borderId="31" xfId="68" applyNumberFormat="1" applyFont="1" applyFill="1" applyBorder="1" applyAlignment="1">
      <alignment vertical="center"/>
      <protection/>
    </xf>
    <xf numFmtId="176" fontId="33" fillId="0" borderId="36" xfId="68" applyNumberFormat="1" applyFont="1" applyFill="1" applyBorder="1" applyAlignment="1">
      <alignment vertical="center"/>
      <protection/>
    </xf>
    <xf numFmtId="176" fontId="31" fillId="0" borderId="36" xfId="68" applyNumberFormat="1" applyFont="1" applyFill="1" applyBorder="1" applyAlignment="1">
      <alignment vertical="center"/>
      <protection/>
    </xf>
    <xf numFmtId="176" fontId="21" fillId="0" borderId="47" xfId="68" applyNumberFormat="1" applyFont="1" applyFill="1" applyBorder="1" applyAlignment="1">
      <alignment vertical="center"/>
      <protection/>
    </xf>
    <xf numFmtId="0" fontId="21" fillId="0" borderId="24" xfId="68" applyNumberFormat="1" applyFont="1" applyFill="1" applyBorder="1" applyAlignment="1">
      <alignment vertical="center" wrapText="1"/>
      <protection/>
    </xf>
    <xf numFmtId="0" fontId="32" fillId="0" borderId="36" xfId="68" applyNumberFormat="1" applyFont="1" applyFill="1" applyBorder="1" applyAlignment="1">
      <alignment vertical="center" wrapText="1"/>
      <protection/>
    </xf>
    <xf numFmtId="178" fontId="23" fillId="0" borderId="38" xfId="68" applyNumberFormat="1" applyFont="1" applyFill="1" applyBorder="1" applyAlignment="1">
      <alignment vertical="center"/>
      <protection/>
    </xf>
    <xf numFmtId="0" fontId="1" fillId="0" borderId="40" xfId="71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2" fillId="0" borderId="30" xfId="68" applyNumberFormat="1" applyFont="1" applyFill="1" applyBorder="1" applyAlignment="1">
      <alignment vertical="center"/>
      <protection/>
    </xf>
    <xf numFmtId="0" fontId="32" fillId="0" borderId="0" xfId="68" applyNumberFormat="1" applyFont="1" applyFill="1" applyBorder="1" applyAlignment="1">
      <alignment horizontal="center" vertical="center"/>
      <protection/>
    </xf>
    <xf numFmtId="0" fontId="21" fillId="0" borderId="48" xfId="68" applyNumberFormat="1" applyFont="1" applyFill="1" applyBorder="1" applyAlignment="1">
      <alignment vertical="center"/>
      <protection/>
    </xf>
    <xf numFmtId="192" fontId="23" fillId="0" borderId="45" xfId="68" applyNumberFormat="1" applyFont="1" applyFill="1" applyBorder="1" applyAlignment="1">
      <alignment vertical="center"/>
      <protection/>
    </xf>
    <xf numFmtId="38" fontId="20" fillId="0" borderId="0" xfId="68" applyNumberFormat="1" applyFont="1" applyFill="1" applyBorder="1" applyAlignment="1">
      <alignment vertical="center"/>
      <protection/>
    </xf>
    <xf numFmtId="176" fontId="32" fillId="0" borderId="30" xfId="68" applyNumberFormat="1" applyFont="1" applyFill="1" applyBorder="1" applyAlignment="1">
      <alignment vertical="center"/>
      <protection/>
    </xf>
    <xf numFmtId="0" fontId="32" fillId="0" borderId="30" xfId="68" applyNumberFormat="1" applyFont="1" applyFill="1" applyBorder="1" applyAlignment="1">
      <alignment horizontal="center" vertical="center"/>
      <protection/>
    </xf>
    <xf numFmtId="176" fontId="32" fillId="0" borderId="30" xfId="68" applyNumberFormat="1" applyFont="1" applyFill="1" applyBorder="1" applyAlignment="1">
      <alignment horizontal="right" vertical="center"/>
      <protection/>
    </xf>
    <xf numFmtId="176" fontId="32" fillId="0" borderId="31" xfId="68" applyNumberFormat="1" applyFont="1" applyFill="1" applyBorder="1" applyAlignment="1">
      <alignment vertical="center"/>
      <protection/>
    </xf>
    <xf numFmtId="176" fontId="22" fillId="0" borderId="0" xfId="68" applyNumberFormat="1" applyFont="1" applyFill="1" applyBorder="1" applyAlignment="1">
      <alignment vertical="center"/>
      <protection/>
    </xf>
    <xf numFmtId="0" fontId="22" fillId="0" borderId="0" xfId="68" applyNumberFormat="1" applyFont="1" applyFill="1" applyBorder="1" applyAlignment="1">
      <alignment horizontal="center" vertical="center"/>
      <protection/>
    </xf>
    <xf numFmtId="0" fontId="22" fillId="0" borderId="0" xfId="68" applyNumberFormat="1" applyFont="1" applyFill="1" applyBorder="1" applyAlignment="1">
      <alignment vertical="center"/>
      <protection/>
    </xf>
    <xf numFmtId="41" fontId="33" fillId="0" borderId="41" xfId="0" applyNumberFormat="1" applyFont="1" applyFill="1" applyBorder="1" applyAlignment="1">
      <alignment vertical="center"/>
    </xf>
    <xf numFmtId="38" fontId="33" fillId="0" borderId="41" xfId="68" applyNumberFormat="1" applyFont="1" applyFill="1" applyBorder="1" applyAlignment="1">
      <alignment vertical="center"/>
      <protection/>
    </xf>
    <xf numFmtId="9" fontId="33" fillId="0" borderId="41" xfId="68" applyNumberFormat="1" applyFont="1" applyFill="1" applyBorder="1" applyAlignment="1">
      <alignment horizontal="center" vertical="center"/>
      <protection/>
    </xf>
    <xf numFmtId="0" fontId="33" fillId="0" borderId="37" xfId="68" applyNumberFormat="1" applyFont="1" applyFill="1" applyBorder="1" applyAlignment="1">
      <alignment vertical="center"/>
      <protection/>
    </xf>
    <xf numFmtId="0" fontId="33" fillId="0" borderId="38" xfId="68" applyNumberFormat="1" applyFont="1" applyFill="1" applyBorder="1" applyAlignment="1">
      <alignment vertical="center"/>
      <protection/>
    </xf>
    <xf numFmtId="176" fontId="33" fillId="0" borderId="38" xfId="68" applyNumberFormat="1" applyFont="1" applyFill="1" applyBorder="1" applyAlignment="1">
      <alignment vertical="center"/>
      <protection/>
    </xf>
    <xf numFmtId="176" fontId="33" fillId="0" borderId="39" xfId="68" applyNumberFormat="1" applyFont="1" applyFill="1" applyBorder="1" applyAlignment="1">
      <alignment vertical="center"/>
      <protection/>
    </xf>
    <xf numFmtId="41" fontId="31" fillId="0" borderId="14" xfId="0" applyNumberFormat="1" applyFont="1" applyFill="1" applyBorder="1" applyAlignment="1">
      <alignment vertical="center"/>
    </xf>
    <xf numFmtId="38" fontId="31" fillId="0" borderId="14" xfId="68" applyNumberFormat="1" applyFont="1" applyFill="1" applyBorder="1" applyAlignment="1">
      <alignment vertical="center"/>
      <protection/>
    </xf>
    <xf numFmtId="9" fontId="31" fillId="0" borderId="40" xfId="43" applyNumberFormat="1" applyFont="1" applyFill="1" applyBorder="1" applyAlignment="1">
      <alignment horizontal="center" vertical="center"/>
    </xf>
    <xf numFmtId="0" fontId="31" fillId="0" borderId="0" xfId="68" applyNumberFormat="1" applyFont="1" applyFill="1" applyBorder="1" applyAlignment="1">
      <alignment vertical="center"/>
      <protection/>
    </xf>
    <xf numFmtId="176" fontId="31" fillId="0" borderId="0" xfId="68" applyNumberFormat="1" applyFont="1" applyFill="1" applyBorder="1" applyAlignment="1">
      <alignment vertical="center"/>
      <protection/>
    </xf>
    <xf numFmtId="176" fontId="31" fillId="0" borderId="15" xfId="68" applyNumberFormat="1" applyFont="1" applyFill="1" applyBorder="1" applyAlignment="1">
      <alignment vertical="center"/>
      <protection/>
    </xf>
    <xf numFmtId="0" fontId="32" fillId="0" borderId="40" xfId="68" applyNumberFormat="1" applyFont="1" applyFill="1" applyBorder="1" applyAlignment="1">
      <alignment horizontal="center" vertical="center" wrapText="1"/>
      <protection/>
    </xf>
    <xf numFmtId="176" fontId="32" fillId="0" borderId="40" xfId="0" applyNumberFormat="1" applyFont="1" applyFill="1" applyBorder="1" applyAlignment="1">
      <alignment vertical="center"/>
    </xf>
    <xf numFmtId="38" fontId="32" fillId="0" borderId="40" xfId="68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8" applyNumberFormat="1" applyFont="1" applyFill="1" applyBorder="1" applyAlignment="1">
      <alignment vertical="center" wrapText="1"/>
      <protection/>
    </xf>
    <xf numFmtId="177" fontId="21" fillId="0" borderId="30" xfId="68" applyNumberFormat="1" applyFont="1" applyFill="1" applyBorder="1" applyAlignment="1">
      <alignment vertical="center"/>
      <protection/>
    </xf>
    <xf numFmtId="42" fontId="21" fillId="0" borderId="30" xfId="68" applyNumberFormat="1" applyFont="1" applyFill="1" applyBorder="1" applyAlignment="1">
      <alignment horizontal="left" vertical="center"/>
      <protection/>
    </xf>
    <xf numFmtId="180" fontId="21" fillId="0" borderId="30" xfId="49" applyNumberFormat="1" applyFont="1" applyFill="1" applyBorder="1" applyAlignment="1">
      <alignment vertical="center"/>
    </xf>
    <xf numFmtId="41" fontId="21" fillId="0" borderId="30" xfId="49" applyNumberFormat="1" applyFont="1" applyFill="1" applyBorder="1" applyAlignment="1">
      <alignment vertical="center"/>
    </xf>
    <xf numFmtId="9" fontId="21" fillId="0" borderId="30" xfId="43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vertical="center"/>
    </xf>
    <xf numFmtId="3" fontId="32" fillId="0" borderId="30" xfId="0" applyNumberFormat="1" applyFont="1" applyFill="1" applyBorder="1" applyAlignment="1">
      <alignment vertical="center"/>
    </xf>
    <xf numFmtId="176" fontId="34" fillId="0" borderId="31" xfId="68" applyNumberFormat="1" applyFont="1" applyFill="1" applyBorder="1" applyAlignment="1">
      <alignment vertical="center"/>
      <protection/>
    </xf>
    <xf numFmtId="41" fontId="21" fillId="0" borderId="0" xfId="49" applyNumberFormat="1" applyFont="1" applyFill="1" applyBorder="1" applyAlignment="1">
      <alignment horizontal="left" vertical="center"/>
    </xf>
    <xf numFmtId="41" fontId="21" fillId="0" borderId="0" xfId="49" applyNumberFormat="1" applyFont="1" applyFill="1" applyBorder="1" applyAlignment="1">
      <alignment horizontal="center" vertical="center"/>
    </xf>
    <xf numFmtId="41" fontId="21" fillId="0" borderId="0" xfId="49" applyNumberFormat="1" applyFont="1" applyFill="1" applyAlignment="1">
      <alignment vertical="center"/>
    </xf>
    <xf numFmtId="176" fontId="21" fillId="0" borderId="20" xfId="68" applyNumberFormat="1" applyFont="1" applyFill="1" applyBorder="1" applyAlignment="1">
      <alignment vertical="center"/>
      <protection/>
    </xf>
    <xf numFmtId="176" fontId="21" fillId="0" borderId="0" xfId="76" applyNumberFormat="1" applyFont="1" applyFill="1" applyBorder="1" applyAlignment="1">
      <alignment vertical="center"/>
      <protection/>
    </xf>
    <xf numFmtId="176" fontId="21" fillId="0" borderId="0" xfId="76" applyNumberFormat="1" applyFont="1" applyFill="1" applyBorder="1" applyAlignment="1">
      <alignment horizontal="left" vertical="center"/>
      <protection/>
    </xf>
    <xf numFmtId="176" fontId="21" fillId="0" borderId="0" xfId="76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41" fontId="35" fillId="0" borderId="25" xfId="51" applyNumberFormat="1" applyFont="1" applyBorder="1" applyAlignment="1">
      <alignment vertical="center"/>
    </xf>
    <xf numFmtId="182" fontId="35" fillId="0" borderId="29" xfId="51" applyNumberFormat="1" applyFont="1" applyBorder="1" applyAlignment="1">
      <alignment vertical="center"/>
    </xf>
    <xf numFmtId="182" fontId="35" fillId="0" borderId="49" xfId="51" applyNumberFormat="1" applyFont="1" applyBorder="1" applyAlignment="1">
      <alignment vertical="center"/>
    </xf>
    <xf numFmtId="0" fontId="36" fillId="0" borderId="25" xfId="71" applyNumberFormat="1" applyFont="1" applyBorder="1" applyAlignment="1">
      <alignment horizontal="center" vertical="center"/>
      <protection/>
    </xf>
    <xf numFmtId="41" fontId="37" fillId="0" borderId="25" xfId="51" applyNumberFormat="1" applyFont="1" applyBorder="1" applyAlignment="1">
      <alignment vertical="center"/>
    </xf>
    <xf numFmtId="182" fontId="37" fillId="0" borderId="29" xfId="51" applyNumberFormat="1" applyFont="1" applyBorder="1" applyAlignment="1">
      <alignment vertical="center"/>
    </xf>
    <xf numFmtId="0" fontId="36" fillId="0" borderId="40" xfId="71" applyNumberFormat="1" applyFont="1" applyBorder="1" applyAlignment="1">
      <alignment horizontal="center" vertical="center"/>
      <protection/>
    </xf>
    <xf numFmtId="41" fontId="37" fillId="0" borderId="40" xfId="51" applyNumberFormat="1" applyFont="1" applyBorder="1" applyAlignment="1">
      <alignment vertical="center"/>
    </xf>
    <xf numFmtId="182" fontId="37" fillId="0" borderId="32" xfId="51" applyNumberFormat="1" applyFont="1" applyBorder="1" applyAlignment="1">
      <alignment vertical="center"/>
    </xf>
    <xf numFmtId="182" fontId="37" fillId="0" borderId="49" xfId="51" applyNumberFormat="1" applyFont="1" applyBorder="1" applyAlignment="1">
      <alignment vertical="center"/>
    </xf>
    <xf numFmtId="182" fontId="37" fillId="0" borderId="42" xfId="51" applyNumberFormat="1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horizontal="right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19" xfId="68" applyNumberFormat="1" applyFont="1" applyFill="1" applyBorder="1" applyAlignment="1">
      <alignment vertical="center" wrapText="1"/>
      <protection/>
    </xf>
    <xf numFmtId="178" fontId="21" fillId="0" borderId="30" xfId="68" applyNumberFormat="1" applyFont="1" applyFill="1" applyBorder="1" applyAlignment="1">
      <alignment horizontal="right" vertical="center"/>
      <protection/>
    </xf>
    <xf numFmtId="0" fontId="32" fillId="0" borderId="0" xfId="0" applyNumberFormat="1" applyFont="1" applyFill="1" applyBorder="1" applyAlignment="1">
      <alignment vertical="center"/>
    </xf>
    <xf numFmtId="0" fontId="32" fillId="0" borderId="32" xfId="68" applyNumberFormat="1" applyFont="1" applyFill="1" applyBorder="1" applyAlignment="1">
      <alignment horizontal="center" vertical="center" wrapText="1"/>
      <protection/>
    </xf>
    <xf numFmtId="178" fontId="30" fillId="0" borderId="17" xfId="68" applyNumberFormat="1" applyFont="1" applyFill="1" applyBorder="1" applyAlignment="1">
      <alignment vertical="center"/>
      <protection/>
    </xf>
    <xf numFmtId="177" fontId="30" fillId="0" borderId="17" xfId="68" applyNumberFormat="1" applyFont="1" applyFill="1" applyBorder="1" applyAlignment="1">
      <alignment vertical="center"/>
      <protection/>
    </xf>
    <xf numFmtId="9" fontId="30" fillId="0" borderId="17" xfId="43" applyNumberFormat="1" applyFont="1" applyFill="1" applyBorder="1" applyAlignment="1">
      <alignment horizontal="center" vertical="center"/>
    </xf>
    <xf numFmtId="0" fontId="28" fillId="0" borderId="48" xfId="68" applyNumberFormat="1" applyFont="1" applyFill="1" applyBorder="1" applyAlignment="1">
      <alignment vertical="center"/>
      <protection/>
    </xf>
    <xf numFmtId="0" fontId="29" fillId="0" borderId="19" xfId="68" applyNumberFormat="1" applyFont="1" applyFill="1" applyBorder="1" applyAlignment="1">
      <alignment vertical="center"/>
      <protection/>
    </xf>
    <xf numFmtId="176" fontId="29" fillId="0" borderId="19" xfId="68" applyNumberFormat="1" applyFont="1" applyFill="1" applyBorder="1" applyAlignment="1">
      <alignment vertical="center"/>
      <protection/>
    </xf>
    <xf numFmtId="176" fontId="28" fillId="0" borderId="19" xfId="68" applyNumberFormat="1" applyFont="1" applyFill="1" applyBorder="1" applyAlignment="1">
      <alignment vertical="center"/>
      <protection/>
    </xf>
    <xf numFmtId="176" fontId="31" fillId="0" borderId="19" xfId="68" applyNumberFormat="1" applyFont="1" applyFill="1" applyBorder="1" applyAlignment="1">
      <alignment vertical="center"/>
      <protection/>
    </xf>
    <xf numFmtId="176" fontId="31" fillId="0" borderId="19" xfId="68" applyNumberFormat="1" applyFont="1" applyFill="1" applyBorder="1" applyAlignment="1">
      <alignment horizontal="right" vertical="center"/>
      <protection/>
    </xf>
    <xf numFmtId="176" fontId="31" fillId="0" borderId="20" xfId="68" applyNumberFormat="1" applyFont="1" applyFill="1" applyBorder="1" applyAlignment="1">
      <alignment vertical="center"/>
      <protection/>
    </xf>
    <xf numFmtId="178" fontId="21" fillId="0" borderId="0" xfId="68" applyNumberFormat="1" applyFont="1" applyFill="1" applyBorder="1" applyAlignment="1">
      <alignment vertical="center"/>
      <protection/>
    </xf>
    <xf numFmtId="183" fontId="21" fillId="0" borderId="0" xfId="68" applyNumberFormat="1" applyFont="1" applyFill="1" applyBorder="1" applyAlignment="1">
      <alignment horizontal="center" vertical="center"/>
      <protection/>
    </xf>
    <xf numFmtId="184" fontId="21" fillId="0" borderId="0" xfId="68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9" xfId="68" applyNumberFormat="1" applyFont="1" applyFill="1" applyBorder="1" applyAlignment="1">
      <alignment vertical="center"/>
      <protection/>
    </xf>
    <xf numFmtId="194" fontId="21" fillId="0" borderId="0" xfId="68" applyNumberFormat="1" applyFont="1" applyFill="1" applyBorder="1" applyAlignment="1">
      <alignment horizontal="left" vertical="center"/>
      <protection/>
    </xf>
    <xf numFmtId="193" fontId="21" fillId="0" borderId="0" xfId="68" applyNumberFormat="1" applyFont="1" applyFill="1" applyBorder="1" applyAlignment="1">
      <alignment vertical="center"/>
      <protection/>
    </xf>
    <xf numFmtId="195" fontId="21" fillId="0" borderId="0" xfId="68" applyNumberFormat="1" applyFont="1" applyFill="1" applyBorder="1" applyAlignment="1">
      <alignment vertical="center"/>
      <protection/>
    </xf>
    <xf numFmtId="196" fontId="21" fillId="0" borderId="0" xfId="68" applyNumberFormat="1" applyFont="1" applyFill="1" applyBorder="1" applyAlignment="1">
      <alignment horizontal="left" vertical="center"/>
      <protection/>
    </xf>
    <xf numFmtId="0" fontId="1" fillId="0" borderId="16" xfId="71" applyNumberFormat="1" applyBorder="1" applyAlignment="1">
      <alignment vertical="center"/>
      <protection/>
    </xf>
    <xf numFmtId="0" fontId="1" fillId="0" borderId="21" xfId="71" applyNumberFormat="1" applyBorder="1" applyAlignment="1">
      <alignment vertical="center"/>
      <protection/>
    </xf>
    <xf numFmtId="0" fontId="1" fillId="0" borderId="24" xfId="71" applyNumberFormat="1" applyBorder="1" applyAlignment="1">
      <alignment vertical="center"/>
      <protection/>
    </xf>
    <xf numFmtId="0" fontId="1" fillId="0" borderId="50" xfId="71" applyNumberFormat="1" applyBorder="1" applyAlignment="1">
      <alignment vertical="center"/>
      <protection/>
    </xf>
    <xf numFmtId="0" fontId="1" fillId="0" borderId="19" xfId="71" applyNumberFormat="1" applyBorder="1" applyAlignment="1">
      <alignment vertical="center"/>
      <protection/>
    </xf>
    <xf numFmtId="0" fontId="1" fillId="0" borderId="51" xfId="71" applyNumberFormat="1" applyBorder="1" applyAlignment="1">
      <alignment vertical="center"/>
      <protection/>
    </xf>
    <xf numFmtId="0" fontId="1" fillId="0" borderId="0" xfId="71" applyNumberFormat="1" applyBorder="1" applyAlignment="1">
      <alignment vertical="center"/>
      <protection/>
    </xf>
    <xf numFmtId="0" fontId="1" fillId="0" borderId="52" xfId="71" applyNumberFormat="1" applyBorder="1" applyAlignment="1">
      <alignment vertical="center"/>
      <protection/>
    </xf>
    <xf numFmtId="0" fontId="1" fillId="0" borderId="27" xfId="71" applyNumberFormat="1" applyBorder="1" applyAlignment="1">
      <alignment vertical="center"/>
      <protection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8" applyNumberFormat="1" applyFont="1" applyFill="1" applyBorder="1" applyAlignment="1">
      <alignment vertical="center"/>
      <protection/>
    </xf>
    <xf numFmtId="198" fontId="21" fillId="0" borderId="0" xfId="68" applyNumberFormat="1" applyFont="1" applyFill="1" applyBorder="1" applyAlignment="1">
      <alignment vertical="center"/>
      <protection/>
    </xf>
    <xf numFmtId="181" fontId="21" fillId="0" borderId="0" xfId="43" applyNumberFormat="1" applyFont="1" applyFill="1" applyBorder="1" applyAlignment="1">
      <alignment vertical="center"/>
    </xf>
    <xf numFmtId="177" fontId="21" fillId="0" borderId="0" xfId="68" applyNumberFormat="1" applyFont="1" applyFill="1" applyBorder="1" applyAlignment="1">
      <alignment vertical="center"/>
      <protection/>
    </xf>
    <xf numFmtId="42" fontId="21" fillId="0" borderId="0" xfId="68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9" fontId="21" fillId="0" borderId="0" xfId="43" applyNumberFormat="1" applyFont="1" applyFill="1" applyBorder="1" applyAlignment="1">
      <alignment horizontal="left" vertical="center"/>
    </xf>
    <xf numFmtId="41" fontId="48" fillId="0" borderId="40" xfId="51" applyNumberFormat="1" applyFont="1" applyBorder="1" applyAlignment="1">
      <alignment vertical="center"/>
    </xf>
    <xf numFmtId="176" fontId="49" fillId="0" borderId="0" xfId="68" applyNumberFormat="1" applyFont="1" applyFill="1" applyAlignment="1">
      <alignment vertical="center"/>
      <protection/>
    </xf>
    <xf numFmtId="176" fontId="21" fillId="0" borderId="27" xfId="68" applyNumberFormat="1" applyFont="1" applyFill="1" applyBorder="1" applyAlignment="1">
      <alignment horizontal="right" vertical="center"/>
      <protection/>
    </xf>
    <xf numFmtId="41" fontId="33" fillId="24" borderId="41" xfId="0" applyNumberFormat="1" applyFont="1" applyFill="1" applyBorder="1" applyAlignment="1">
      <alignment vertical="center"/>
    </xf>
    <xf numFmtId="176" fontId="50" fillId="0" borderId="0" xfId="68" applyNumberFormat="1" applyFont="1" applyFill="1" applyBorder="1" applyAlignment="1">
      <alignment horizontal="right" vertical="center"/>
      <protection/>
    </xf>
    <xf numFmtId="176" fontId="50" fillId="0" borderId="27" xfId="68" applyNumberFormat="1" applyFont="1" applyFill="1" applyBorder="1" applyAlignment="1">
      <alignment horizontal="right" vertical="center"/>
      <protection/>
    </xf>
    <xf numFmtId="0" fontId="21" fillId="0" borderId="0" xfId="43" applyNumberFormat="1" applyFont="1" applyFill="1" applyBorder="1" applyAlignment="1">
      <alignment horizontal="center" vertical="center"/>
    </xf>
    <xf numFmtId="41" fontId="21" fillId="0" borderId="0" xfId="49" applyFont="1" applyFill="1" applyAlignment="1">
      <alignment vertical="center"/>
    </xf>
    <xf numFmtId="176" fontId="32" fillId="24" borderId="40" xfId="0" applyNumberFormat="1" applyFont="1" applyFill="1" applyBorder="1" applyAlignment="1">
      <alignment vertical="center"/>
    </xf>
    <xf numFmtId="41" fontId="21" fillId="0" borderId="30" xfId="49" applyNumberFormat="1" applyFont="1" applyFill="1" applyBorder="1" applyAlignment="1">
      <alignment horizontal="left" vertical="center"/>
    </xf>
    <xf numFmtId="41" fontId="21" fillId="0" borderId="30" xfId="49" applyNumberFormat="1" applyFont="1" applyFill="1" applyBorder="1" applyAlignment="1">
      <alignment horizontal="center" vertical="center"/>
    </xf>
    <xf numFmtId="0" fontId="1" fillId="0" borderId="16" xfId="71" applyNumberFormat="1" applyBorder="1" applyAlignment="1">
      <alignment horizontal="center" vertical="center"/>
      <protection/>
    </xf>
    <xf numFmtId="0" fontId="1" fillId="0" borderId="33" xfId="71" applyNumberFormat="1" applyBorder="1" applyAlignment="1">
      <alignment horizontal="center" vertical="center"/>
      <protection/>
    </xf>
    <xf numFmtId="0" fontId="1" fillId="0" borderId="21" xfId="71" applyNumberFormat="1" applyBorder="1" applyAlignment="1">
      <alignment horizontal="center" vertical="center"/>
      <protection/>
    </xf>
    <xf numFmtId="0" fontId="1" fillId="0" borderId="24" xfId="71" applyNumberFormat="1" applyBorder="1" applyAlignment="1">
      <alignment horizontal="center" vertical="center"/>
      <protection/>
    </xf>
    <xf numFmtId="0" fontId="1" fillId="0" borderId="24" xfId="71" applyNumberFormat="1" applyFont="1" applyBorder="1" applyAlignment="1">
      <alignment horizontal="center" vertical="center"/>
      <protection/>
    </xf>
    <xf numFmtId="0" fontId="10" fillId="0" borderId="32" xfId="71" applyNumberFormat="1" applyFont="1" applyBorder="1" applyAlignment="1">
      <alignment horizontal="center" vertical="center"/>
      <protection/>
    </xf>
    <xf numFmtId="0" fontId="10" fillId="0" borderId="53" xfId="71" applyNumberFormat="1" applyFont="1" applyBorder="1" applyAlignment="1">
      <alignment horizontal="center" vertical="center"/>
      <protection/>
    </xf>
    <xf numFmtId="0" fontId="10" fillId="0" borderId="54" xfId="71" applyNumberFormat="1" applyFont="1" applyBorder="1" applyAlignment="1">
      <alignment horizontal="center" vertical="center"/>
      <protection/>
    </xf>
    <xf numFmtId="0" fontId="10" fillId="0" borderId="40" xfId="71" applyNumberFormat="1" applyFont="1" applyBorder="1" applyAlignment="1">
      <alignment horizontal="center" vertical="center"/>
      <protection/>
    </xf>
    <xf numFmtId="0" fontId="10" fillId="0" borderId="55" xfId="71" applyNumberFormat="1" applyFont="1" applyBorder="1" applyAlignment="1">
      <alignment horizontal="center" vertical="center"/>
      <protection/>
    </xf>
    <xf numFmtId="0" fontId="10" fillId="0" borderId="56" xfId="71" applyNumberFormat="1" applyFont="1" applyBorder="1" applyAlignment="1">
      <alignment horizontal="center" vertical="center"/>
      <protection/>
    </xf>
    <xf numFmtId="0" fontId="10" fillId="0" borderId="40" xfId="71" applyNumberFormat="1" applyFont="1" applyBorder="1" applyAlignment="1">
      <alignment horizontal="center" vertical="center" wrapText="1"/>
      <protection/>
    </xf>
    <xf numFmtId="0" fontId="10" fillId="0" borderId="56" xfId="71" applyNumberFormat="1" applyFont="1" applyBorder="1" applyAlignment="1">
      <alignment horizontal="center" vertical="center" wrapText="1"/>
      <protection/>
    </xf>
    <xf numFmtId="0" fontId="10" fillId="0" borderId="42" xfId="71" applyNumberFormat="1" applyFont="1" applyBorder="1" applyAlignment="1">
      <alignment horizontal="center" vertical="center"/>
      <protection/>
    </xf>
    <xf numFmtId="0" fontId="10" fillId="0" borderId="57" xfId="71" applyNumberFormat="1" applyFont="1" applyBorder="1" applyAlignment="1">
      <alignment horizontal="center" vertical="center"/>
      <protection/>
    </xf>
    <xf numFmtId="0" fontId="38" fillId="0" borderId="24" xfId="71" applyNumberFormat="1" applyFont="1" applyBorder="1" applyAlignment="1">
      <alignment horizontal="center" vertical="center"/>
      <protection/>
    </xf>
    <xf numFmtId="0" fontId="38" fillId="0" borderId="25" xfId="71" applyNumberFormat="1" applyFont="1" applyBorder="1" applyAlignment="1">
      <alignment horizontal="center" vertical="center"/>
      <protection/>
    </xf>
    <xf numFmtId="0" fontId="10" fillId="0" borderId="58" xfId="71" applyNumberFormat="1" applyFont="1" applyBorder="1" applyAlignment="1">
      <alignment horizontal="center" vertical="center"/>
      <protection/>
    </xf>
    <xf numFmtId="0" fontId="10" fillId="0" borderId="41" xfId="71" applyNumberFormat="1" applyFont="1" applyBorder="1" applyAlignment="1">
      <alignment horizontal="center" vertical="center"/>
      <protection/>
    </xf>
    <xf numFmtId="0" fontId="10" fillId="0" borderId="37" xfId="71" applyNumberFormat="1" applyFont="1" applyBorder="1" applyAlignment="1">
      <alignment horizontal="center" vertical="center"/>
      <protection/>
    </xf>
    <xf numFmtId="0" fontId="10" fillId="0" borderId="59" xfId="71" applyNumberFormat="1" applyFont="1" applyBorder="1" applyAlignment="1">
      <alignment horizontal="center" vertical="center"/>
      <protection/>
    </xf>
    <xf numFmtId="176" fontId="21" fillId="0" borderId="35" xfId="68" applyNumberFormat="1" applyFont="1" applyFill="1" applyBorder="1" applyAlignment="1">
      <alignment horizontal="center" vertical="center"/>
      <protection/>
    </xf>
    <xf numFmtId="0" fontId="21" fillId="0" borderId="27" xfId="68" applyNumberFormat="1" applyFont="1" applyFill="1" applyBorder="1" applyAlignment="1">
      <alignment horizontal="left" vertical="center" wrapText="1"/>
      <protection/>
    </xf>
    <xf numFmtId="176" fontId="21" fillId="0" borderId="0" xfId="68" applyNumberFormat="1" applyFont="1" applyFill="1" applyBorder="1" applyAlignment="1">
      <alignment horizontal="center" vertical="center"/>
      <protection/>
    </xf>
    <xf numFmtId="0" fontId="21" fillId="0" borderId="58" xfId="68" applyNumberFormat="1" applyFont="1" applyFill="1" applyBorder="1" applyAlignment="1">
      <alignment horizontal="center" vertical="center" wrapText="1"/>
      <protection/>
    </xf>
    <xf numFmtId="0" fontId="21" fillId="0" borderId="41" xfId="68" applyNumberFormat="1" applyFont="1" applyFill="1" applyBorder="1" applyAlignment="1">
      <alignment horizontal="center" vertical="center" wrapText="1"/>
      <protection/>
    </xf>
    <xf numFmtId="178" fontId="22" fillId="0" borderId="45" xfId="68" applyNumberFormat="1" applyFont="1" applyFill="1" applyBorder="1" applyAlignment="1">
      <alignment horizontal="center" vertical="center" wrapText="1"/>
      <protection/>
    </xf>
    <xf numFmtId="178" fontId="22" fillId="0" borderId="34" xfId="68" applyNumberFormat="1" applyFont="1" applyFill="1" applyBorder="1" applyAlignment="1">
      <alignment horizontal="center" vertical="center" wrapText="1"/>
      <protection/>
    </xf>
    <xf numFmtId="0" fontId="23" fillId="0" borderId="60" xfId="68" applyNumberFormat="1" applyFont="1" applyFill="1" applyBorder="1" applyAlignment="1">
      <alignment horizontal="center" vertical="center" wrapText="1"/>
      <protection/>
    </xf>
    <xf numFmtId="0" fontId="23" fillId="0" borderId="12" xfId="68" applyNumberFormat="1" applyFont="1" applyFill="1" applyBorder="1" applyAlignment="1">
      <alignment horizontal="center" vertical="center" wrapText="1"/>
      <protection/>
    </xf>
    <xf numFmtId="0" fontId="21" fillId="0" borderId="41" xfId="68" applyNumberFormat="1" applyFont="1" applyFill="1" applyBorder="1" applyAlignment="1">
      <alignment horizontal="center" vertical="center"/>
      <protection/>
    </xf>
    <xf numFmtId="0" fontId="21" fillId="0" borderId="59" xfId="68" applyNumberFormat="1" applyFont="1" applyFill="1" applyBorder="1" applyAlignment="1">
      <alignment horizontal="center" vertical="center"/>
      <protection/>
    </xf>
    <xf numFmtId="0" fontId="21" fillId="0" borderId="11" xfId="68" applyNumberFormat="1" applyFont="1" applyFill="1" applyBorder="1" applyAlignment="1">
      <alignment horizontal="center" vertical="center"/>
      <protection/>
    </xf>
    <xf numFmtId="0" fontId="21" fillId="0" borderId="43" xfId="68" applyNumberFormat="1" applyFont="1" applyFill="1" applyBorder="1" applyAlignment="1">
      <alignment horizontal="center" vertical="center"/>
      <protection/>
    </xf>
    <xf numFmtId="0" fontId="21" fillId="0" borderId="61" xfId="68" applyNumberFormat="1" applyFont="1" applyFill="1" applyBorder="1" applyAlignment="1">
      <alignment horizontal="center" vertical="center"/>
      <protection/>
    </xf>
    <xf numFmtId="0" fontId="21" fillId="0" borderId="12" xfId="68" applyNumberFormat="1" applyFont="1" applyFill="1" applyBorder="1" applyAlignment="1">
      <alignment horizontal="center" vertical="center"/>
      <protection/>
    </xf>
    <xf numFmtId="0" fontId="21" fillId="0" borderId="13" xfId="68" applyNumberFormat="1" applyFont="1" applyFill="1" applyBorder="1" applyAlignment="1">
      <alignment horizontal="center" vertical="center"/>
      <protection/>
    </xf>
    <xf numFmtId="0" fontId="21" fillId="0" borderId="26" xfId="68" applyNumberFormat="1" applyFont="1" applyFill="1" applyBorder="1" applyAlignment="1">
      <alignment horizontal="center" vertical="center"/>
      <protection/>
    </xf>
    <xf numFmtId="0" fontId="21" fillId="0" borderId="27" xfId="68" applyNumberFormat="1" applyFont="1" applyFill="1" applyBorder="1" applyAlignment="1">
      <alignment horizontal="center" vertical="center"/>
      <protection/>
    </xf>
    <xf numFmtId="0" fontId="21" fillId="0" borderId="28" xfId="68" applyNumberFormat="1" applyFont="1" applyFill="1" applyBorder="1" applyAlignment="1">
      <alignment horizontal="center" vertical="center"/>
      <protection/>
    </xf>
    <xf numFmtId="176" fontId="21" fillId="0" borderId="30" xfId="68" applyNumberFormat="1" applyFont="1" applyFill="1" applyBorder="1" applyAlignment="1">
      <alignment vertical="center"/>
      <protection/>
    </xf>
    <xf numFmtId="0" fontId="21" fillId="0" borderId="30" xfId="68" applyNumberFormat="1" applyFont="1" applyFill="1" applyBorder="1" applyAlignment="1">
      <alignment vertical="center"/>
      <protection/>
    </xf>
    <xf numFmtId="176" fontId="24" fillId="0" borderId="35" xfId="68" applyNumberFormat="1" applyFont="1" applyFill="1" applyBorder="1" applyAlignment="1">
      <alignment vertical="center"/>
      <protection/>
    </xf>
    <xf numFmtId="0" fontId="24" fillId="0" borderId="35" xfId="68" applyNumberFormat="1" applyFont="1" applyFill="1" applyBorder="1" applyAlignment="1">
      <alignment vertical="center"/>
      <protection/>
    </xf>
    <xf numFmtId="0" fontId="31" fillId="0" borderId="23" xfId="68" applyNumberFormat="1" applyFont="1" applyFill="1" applyBorder="1" applyAlignment="1">
      <alignment horizontal="center" vertical="center" wrapText="1"/>
      <protection/>
    </xf>
    <xf numFmtId="0" fontId="31" fillId="0" borderId="22" xfId="68" applyNumberFormat="1" applyFont="1" applyFill="1" applyBorder="1" applyAlignment="1">
      <alignment horizontal="center" vertical="center" wrapText="1"/>
      <protection/>
    </xf>
    <xf numFmtId="0" fontId="33" fillId="0" borderId="58" xfId="68" applyNumberFormat="1" applyFont="1" applyFill="1" applyBorder="1" applyAlignment="1">
      <alignment horizontal="center" vertical="center" wrapText="1"/>
      <protection/>
    </xf>
    <xf numFmtId="0" fontId="33" fillId="0" borderId="41" xfId="68" applyNumberFormat="1" applyFont="1" applyFill="1" applyBorder="1" applyAlignment="1">
      <alignment horizontal="center" vertical="center" wrapText="1"/>
      <protection/>
    </xf>
    <xf numFmtId="178" fontId="22" fillId="0" borderId="37" xfId="68" applyNumberFormat="1" applyFont="1" applyFill="1" applyBorder="1" applyAlignment="1">
      <alignment horizontal="center" vertical="center" wrapText="1"/>
      <protection/>
    </xf>
    <xf numFmtId="178" fontId="22" fillId="0" borderId="18" xfId="68" applyNumberFormat="1" applyFont="1" applyFill="1" applyBorder="1" applyAlignment="1">
      <alignment horizontal="center" vertical="center" wrapText="1"/>
      <protection/>
    </xf>
    <xf numFmtId="178" fontId="22" fillId="0" borderId="38" xfId="68" applyNumberFormat="1" applyFont="1" applyFill="1" applyBorder="1" applyAlignment="1">
      <alignment horizontal="center" vertical="center" wrapText="1"/>
      <protection/>
    </xf>
    <xf numFmtId="178" fontId="22" fillId="0" borderId="62" xfId="68" applyNumberFormat="1" applyFont="1" applyFill="1" applyBorder="1" applyAlignment="1">
      <alignment horizontal="center" vertical="center" wrapText="1"/>
      <protection/>
    </xf>
    <xf numFmtId="0" fontId="21" fillId="0" borderId="37" xfId="68" applyNumberFormat="1" applyFont="1" applyFill="1" applyBorder="1" applyAlignment="1">
      <alignment horizontal="center" vertical="center" wrapText="1"/>
      <protection/>
    </xf>
    <xf numFmtId="0" fontId="21" fillId="0" borderId="62" xfId="68" applyNumberFormat="1" applyFont="1" applyFill="1" applyBorder="1" applyAlignment="1">
      <alignment horizontal="center" vertical="center" wrapText="1"/>
      <protection/>
    </xf>
    <xf numFmtId="0" fontId="21" fillId="0" borderId="32" xfId="68" applyNumberFormat="1" applyFont="1" applyFill="1" applyBorder="1" applyAlignment="1">
      <alignment horizontal="center" vertical="center" wrapText="1"/>
      <protection/>
    </xf>
    <xf numFmtId="0" fontId="21" fillId="0" borderId="63" xfId="68" applyNumberFormat="1" applyFont="1" applyFill="1" applyBorder="1" applyAlignment="1">
      <alignment horizontal="center" vertical="center" wrapText="1"/>
      <protection/>
    </xf>
    <xf numFmtId="0" fontId="24" fillId="0" borderId="48" xfId="68" applyNumberFormat="1" applyFont="1" applyFill="1" applyBorder="1" applyAlignment="1">
      <alignment horizontal="center" vertical="center" wrapText="1"/>
      <protection/>
    </xf>
    <xf numFmtId="0" fontId="24" fillId="0" borderId="44" xfId="68" applyNumberFormat="1" applyFont="1" applyFill="1" applyBorder="1" applyAlignment="1">
      <alignment horizontal="center" vertical="center" wrapText="1"/>
      <protection/>
    </xf>
    <xf numFmtId="0" fontId="24" fillId="0" borderId="40" xfId="68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쉼표 [0] 2 3" xfId="52"/>
    <cellStyle name="쉼표 [0] 3" xfId="53"/>
    <cellStyle name="쉼표 [0] 4" xfId="54"/>
    <cellStyle name="쉼표 [0] 5" xfId="55"/>
    <cellStyle name="연결된 셀" xfId="56"/>
    <cellStyle name="Followed Hyperlink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Currency" xfId="67"/>
    <cellStyle name="Currency [0]" xfId="68"/>
    <cellStyle name="통화 [0] 2" xfId="69"/>
    <cellStyle name="표준 2" xfId="70"/>
    <cellStyle name="표준 2 2" xfId="71"/>
    <cellStyle name="표준 2 3" xfId="72"/>
    <cellStyle name="표준 3" xfId="73"/>
    <cellStyle name="표준 4" xfId="74"/>
    <cellStyle name="표준 5" xfId="75"/>
    <cellStyle name="표준_2003경기장복예산안" xfId="76"/>
    <cellStyle name="Hyperlink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\AppData\Local\Microsoft\Windows\Temporary%20Internet%20Files\Content.IE5\I22VN0HA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75" zoomScalePageLayoutView="0" workbookViewId="0" topLeftCell="A1">
      <selection activeCell="E12" sqref="E12"/>
    </sheetView>
  </sheetViews>
  <sheetFormatPr defaultColWidth="8.88671875" defaultRowHeight="13.5"/>
  <cols>
    <col min="1" max="1" width="1.4375" style="161" customWidth="1"/>
    <col min="2" max="2" width="11.5546875" style="161" bestFit="1" customWidth="1"/>
    <col min="3" max="3" width="13.3359375" style="161" bestFit="1" customWidth="1"/>
    <col min="4" max="5" width="17.99609375" style="161" bestFit="1" customWidth="1"/>
    <col min="6" max="6" width="15.99609375" style="161" bestFit="1" customWidth="1"/>
    <col min="7" max="7" width="9.6640625" style="161" bestFit="1" customWidth="1"/>
    <col min="8" max="8" width="13.3359375" style="161" bestFit="1" customWidth="1"/>
    <col min="9" max="10" width="17.99609375" style="161" bestFit="1" customWidth="1"/>
    <col min="11" max="11" width="15.99609375" style="161" bestFit="1" customWidth="1"/>
    <col min="12" max="16384" width="8.88671875" style="161" customWidth="1"/>
  </cols>
  <sheetData>
    <row r="1" ht="9.75" customHeight="1"/>
    <row r="2" spans="2:11" ht="26.25">
      <c r="B2" s="162" t="s">
        <v>339</v>
      </c>
      <c r="K2" s="163" t="s">
        <v>198</v>
      </c>
    </row>
    <row r="3" ht="9.75" customHeight="1"/>
    <row r="4" spans="2:11" ht="30" customHeight="1">
      <c r="B4" s="370" t="s">
        <v>276</v>
      </c>
      <c r="C4" s="371"/>
      <c r="D4" s="371"/>
      <c r="E4" s="371"/>
      <c r="F4" s="372"/>
      <c r="G4" s="370" t="s">
        <v>268</v>
      </c>
      <c r="H4" s="371"/>
      <c r="I4" s="371"/>
      <c r="J4" s="371"/>
      <c r="K4" s="373"/>
    </row>
    <row r="5" spans="2:11" ht="16.5" customHeight="1">
      <c r="B5" s="360" t="s">
        <v>270</v>
      </c>
      <c r="C5" s="361"/>
      <c r="D5" s="364" t="s">
        <v>119</v>
      </c>
      <c r="E5" s="364" t="s">
        <v>337</v>
      </c>
      <c r="F5" s="358" t="s">
        <v>48</v>
      </c>
      <c r="G5" s="360" t="s">
        <v>270</v>
      </c>
      <c r="H5" s="361"/>
      <c r="I5" s="364" t="s">
        <v>119</v>
      </c>
      <c r="J5" s="364" t="s">
        <v>338</v>
      </c>
      <c r="K5" s="366" t="s">
        <v>48</v>
      </c>
    </row>
    <row r="6" spans="2:11" ht="22.5" customHeight="1">
      <c r="B6" s="362"/>
      <c r="C6" s="363"/>
      <c r="D6" s="365"/>
      <c r="E6" s="365"/>
      <c r="F6" s="359"/>
      <c r="G6" s="362"/>
      <c r="H6" s="363"/>
      <c r="I6" s="365"/>
      <c r="J6" s="365"/>
      <c r="K6" s="367"/>
    </row>
    <row r="7" spans="2:11" ht="24.75" customHeight="1">
      <c r="B7" s="368" t="s">
        <v>267</v>
      </c>
      <c r="C7" s="369"/>
      <c r="D7" s="286">
        <f>SUM(D8:D23)/2</f>
        <v>69179000</v>
      </c>
      <c r="E7" s="286">
        <f>SUM(E8:E23)/2</f>
        <v>70860000</v>
      </c>
      <c r="F7" s="287">
        <f>SUM(F8:F23)/2</f>
        <v>1681000</v>
      </c>
      <c r="G7" s="368" t="s">
        <v>267</v>
      </c>
      <c r="H7" s="369"/>
      <c r="I7" s="286">
        <f>SUM(I8:I28)/2</f>
        <v>69179000</v>
      </c>
      <c r="J7" s="286">
        <f>SUM(J8:J28)/2</f>
        <v>70860000</v>
      </c>
      <c r="K7" s="288">
        <f>SUM(K8:K28)/2</f>
        <v>1681000</v>
      </c>
    </row>
    <row r="8" spans="2:11" ht="24.75" customHeight="1">
      <c r="B8" s="353" t="s">
        <v>221</v>
      </c>
      <c r="C8" s="289" t="s">
        <v>54</v>
      </c>
      <c r="D8" s="290">
        <f>D9</f>
        <v>7200000</v>
      </c>
      <c r="E8" s="290">
        <f>E9</f>
        <v>7200000</v>
      </c>
      <c r="F8" s="291">
        <f>F9</f>
        <v>0</v>
      </c>
      <c r="G8" s="353" t="s">
        <v>272</v>
      </c>
      <c r="H8" s="289" t="s">
        <v>54</v>
      </c>
      <c r="I8" s="290">
        <f>SUM(I9:I11)</f>
        <v>49939000</v>
      </c>
      <c r="J8" s="290">
        <f>SUM(J9:J11)</f>
        <v>49257000</v>
      </c>
      <c r="K8" s="295">
        <f>SUM(K9:K11)</f>
        <v>-682000</v>
      </c>
    </row>
    <row r="9" spans="2:11" ht="24.75" customHeight="1">
      <c r="B9" s="356"/>
      <c r="C9" s="164" t="s">
        <v>266</v>
      </c>
      <c r="D9" s="165">
        <v>7200000</v>
      </c>
      <c r="E9" s="165">
        <v>7200000</v>
      </c>
      <c r="F9" s="166">
        <f>E9-D9</f>
        <v>0</v>
      </c>
      <c r="G9" s="355"/>
      <c r="H9" s="164" t="s">
        <v>117</v>
      </c>
      <c r="I9" s="165">
        <v>42232000</v>
      </c>
      <c r="J9" s="165">
        <v>41430000</v>
      </c>
      <c r="K9" s="167">
        <f>J9-I9</f>
        <v>-802000</v>
      </c>
    </row>
    <row r="10" spans="2:11" ht="24.75" customHeight="1">
      <c r="B10" s="324" t="s">
        <v>213</v>
      </c>
      <c r="C10" s="292" t="s">
        <v>54</v>
      </c>
      <c r="D10" s="293">
        <f>SUM(D11:D14)</f>
        <v>51130000</v>
      </c>
      <c r="E10" s="293">
        <f>SUM(E11:E14)</f>
        <v>50328000</v>
      </c>
      <c r="F10" s="294">
        <f>SUM(F11:F14)</f>
        <v>-802000</v>
      </c>
      <c r="G10" s="355"/>
      <c r="H10" s="164" t="s">
        <v>262</v>
      </c>
      <c r="I10" s="165">
        <v>290000</v>
      </c>
      <c r="J10" s="342">
        <v>320000</v>
      </c>
      <c r="K10" s="167">
        <f>J10-I10</f>
        <v>30000</v>
      </c>
    </row>
    <row r="11" spans="2:11" ht="24.75" customHeight="1">
      <c r="B11" s="325"/>
      <c r="C11" s="235" t="s">
        <v>218</v>
      </c>
      <c r="D11" s="165">
        <v>0</v>
      </c>
      <c r="E11" s="165">
        <v>0</v>
      </c>
      <c r="F11" s="166">
        <f>E11-D11</f>
        <v>0</v>
      </c>
      <c r="G11" s="356"/>
      <c r="H11" s="164" t="s">
        <v>124</v>
      </c>
      <c r="I11" s="165">
        <v>7417000</v>
      </c>
      <c r="J11" s="165">
        <v>7507000</v>
      </c>
      <c r="K11" s="167">
        <f>J11-I11</f>
        <v>90000</v>
      </c>
    </row>
    <row r="12" spans="2:11" ht="24.75" customHeight="1">
      <c r="B12" s="325"/>
      <c r="C12" s="235" t="s">
        <v>217</v>
      </c>
      <c r="D12" s="165">
        <v>49870000</v>
      </c>
      <c r="E12" s="165">
        <v>50028000</v>
      </c>
      <c r="F12" s="166">
        <f>E12-D12</f>
        <v>158000</v>
      </c>
      <c r="G12" s="353" t="s">
        <v>216</v>
      </c>
      <c r="H12" s="292" t="s">
        <v>54</v>
      </c>
      <c r="I12" s="293">
        <f>SUM(I13:I15)</f>
        <v>1500000</v>
      </c>
      <c r="J12" s="293">
        <f>SUM(J13:J15)</f>
        <v>1500000</v>
      </c>
      <c r="K12" s="296">
        <f>SUM(K13:K15)</f>
        <v>0</v>
      </c>
    </row>
    <row r="13" spans="2:11" ht="24.75" customHeight="1">
      <c r="B13" s="325"/>
      <c r="C13" s="235" t="s">
        <v>202</v>
      </c>
      <c r="D13" s="165">
        <v>300000</v>
      </c>
      <c r="E13" s="165">
        <v>300000</v>
      </c>
      <c r="F13" s="166">
        <f>E13-D13</f>
        <v>0</v>
      </c>
      <c r="G13" s="355"/>
      <c r="H13" s="164" t="s">
        <v>134</v>
      </c>
      <c r="I13" s="165">
        <v>0</v>
      </c>
      <c r="J13" s="165">
        <v>0</v>
      </c>
      <c r="K13" s="167">
        <f>J13-I13</f>
        <v>0</v>
      </c>
    </row>
    <row r="14" spans="2:11" ht="24.75" customHeight="1">
      <c r="B14" s="326"/>
      <c r="C14" s="235" t="s">
        <v>229</v>
      </c>
      <c r="D14" s="165">
        <v>960000</v>
      </c>
      <c r="E14" s="165">
        <v>0</v>
      </c>
      <c r="F14" s="166">
        <f>E14-D14</f>
        <v>-960000</v>
      </c>
      <c r="G14" s="355"/>
      <c r="H14" s="164" t="s">
        <v>284</v>
      </c>
      <c r="I14" s="165">
        <v>1000000</v>
      </c>
      <c r="J14" s="165">
        <v>1000000</v>
      </c>
      <c r="K14" s="167">
        <f>J14-I14</f>
        <v>0</v>
      </c>
    </row>
    <row r="15" spans="2:11" ht="24.75" customHeight="1">
      <c r="B15" s="353" t="s">
        <v>212</v>
      </c>
      <c r="C15" s="292" t="s">
        <v>54</v>
      </c>
      <c r="D15" s="293">
        <f>SUM(D16:D17)</f>
        <v>900000</v>
      </c>
      <c r="E15" s="293">
        <f>SUM(E16:E17)</f>
        <v>2248000</v>
      </c>
      <c r="F15" s="294">
        <f>SUM(F16:F17)</f>
        <v>1348000</v>
      </c>
      <c r="G15" s="356"/>
      <c r="H15" s="164" t="s">
        <v>189</v>
      </c>
      <c r="I15" s="165">
        <v>500000</v>
      </c>
      <c r="J15" s="165">
        <v>500000</v>
      </c>
      <c r="K15" s="167">
        <f>J15-I15</f>
        <v>0</v>
      </c>
    </row>
    <row r="16" spans="2:11" ht="24.75" customHeight="1">
      <c r="B16" s="355"/>
      <c r="C16" s="164" t="s">
        <v>278</v>
      </c>
      <c r="D16" s="165">
        <v>600000</v>
      </c>
      <c r="E16" s="165">
        <v>1848000</v>
      </c>
      <c r="F16" s="166">
        <f>E16-D16</f>
        <v>1248000</v>
      </c>
      <c r="G16" s="353" t="s">
        <v>287</v>
      </c>
      <c r="H16" s="292" t="s">
        <v>54</v>
      </c>
      <c r="I16" s="293">
        <f>SUM(I17:I22)</f>
        <v>17719000</v>
      </c>
      <c r="J16" s="293">
        <f>SUM(J17:J22)</f>
        <v>20082000</v>
      </c>
      <c r="K16" s="296">
        <f>SUM(K17:K22)</f>
        <v>2363000</v>
      </c>
    </row>
    <row r="17" spans="2:11" ht="24.75" customHeight="1">
      <c r="B17" s="356"/>
      <c r="C17" s="164" t="s">
        <v>277</v>
      </c>
      <c r="D17" s="165">
        <v>300000</v>
      </c>
      <c r="E17" s="165">
        <v>400000</v>
      </c>
      <c r="F17" s="166">
        <f>E17-D17</f>
        <v>100000</v>
      </c>
      <c r="G17" s="355"/>
      <c r="H17" s="164" t="s">
        <v>121</v>
      </c>
      <c r="I17" s="165">
        <v>11415000</v>
      </c>
      <c r="J17" s="342">
        <v>12370000</v>
      </c>
      <c r="K17" s="167">
        <f aca="true" t="shared" si="0" ref="K17:K22">J17-I17</f>
        <v>955000</v>
      </c>
    </row>
    <row r="18" spans="2:11" ht="24.75" customHeight="1">
      <c r="B18" s="353" t="s">
        <v>289</v>
      </c>
      <c r="C18" s="292" t="s">
        <v>54</v>
      </c>
      <c r="D18" s="293">
        <f>D19</f>
        <v>0</v>
      </c>
      <c r="E18" s="293">
        <f>E19</f>
        <v>0</v>
      </c>
      <c r="F18" s="294">
        <f>F19</f>
        <v>0</v>
      </c>
      <c r="G18" s="355"/>
      <c r="H18" s="164" t="s">
        <v>292</v>
      </c>
      <c r="I18" s="165">
        <v>1044000</v>
      </c>
      <c r="J18" s="165">
        <v>1044000</v>
      </c>
      <c r="K18" s="167">
        <f t="shared" si="0"/>
        <v>0</v>
      </c>
    </row>
    <row r="19" spans="2:11" ht="24.75" customHeight="1">
      <c r="B19" s="356"/>
      <c r="C19" s="164" t="s">
        <v>273</v>
      </c>
      <c r="D19" s="165">
        <v>0</v>
      </c>
      <c r="E19" s="165">
        <v>0</v>
      </c>
      <c r="F19" s="166">
        <f>E19-D19</f>
        <v>0</v>
      </c>
      <c r="G19" s="355"/>
      <c r="H19" s="164" t="s">
        <v>109</v>
      </c>
      <c r="I19" s="165">
        <v>800000</v>
      </c>
      <c r="J19" s="165">
        <v>800000</v>
      </c>
      <c r="K19" s="167">
        <f t="shared" si="0"/>
        <v>0</v>
      </c>
    </row>
    <row r="20" spans="2:11" ht="24.75" customHeight="1">
      <c r="B20" s="353" t="s">
        <v>279</v>
      </c>
      <c r="C20" s="292" t="s">
        <v>54</v>
      </c>
      <c r="D20" s="293">
        <f>D21</f>
        <v>9929000</v>
      </c>
      <c r="E20" s="293">
        <f>E21</f>
        <v>9928000</v>
      </c>
      <c r="F20" s="294">
        <f>F21</f>
        <v>-1000</v>
      </c>
      <c r="G20" s="355"/>
      <c r="H20" s="164" t="s">
        <v>135</v>
      </c>
      <c r="I20" s="165">
        <v>360000</v>
      </c>
      <c r="J20" s="165">
        <v>360000</v>
      </c>
      <c r="K20" s="167">
        <f t="shared" si="0"/>
        <v>0</v>
      </c>
    </row>
    <row r="21" spans="2:11" ht="24.75" customHeight="1">
      <c r="B21" s="356"/>
      <c r="C21" s="164" t="s">
        <v>288</v>
      </c>
      <c r="D21" s="165">
        <v>9929000</v>
      </c>
      <c r="E21" s="165">
        <v>9928000</v>
      </c>
      <c r="F21" s="166">
        <f>E21-D21</f>
        <v>-1000</v>
      </c>
      <c r="G21" s="355"/>
      <c r="H21" s="164" t="s">
        <v>122</v>
      </c>
      <c r="I21" s="165">
        <v>150000</v>
      </c>
      <c r="J21" s="165">
        <v>210000</v>
      </c>
      <c r="K21" s="167">
        <f t="shared" si="0"/>
        <v>60000</v>
      </c>
    </row>
    <row r="22" spans="2:11" ht="24.75" customHeight="1">
      <c r="B22" s="353" t="s">
        <v>291</v>
      </c>
      <c r="C22" s="292" t="s">
        <v>54</v>
      </c>
      <c r="D22" s="293">
        <f>D23</f>
        <v>20000</v>
      </c>
      <c r="E22" s="293">
        <f>E23</f>
        <v>1156000</v>
      </c>
      <c r="F22" s="294">
        <f>F23</f>
        <v>1136000</v>
      </c>
      <c r="G22" s="356"/>
      <c r="H22" s="164" t="s">
        <v>147</v>
      </c>
      <c r="I22" s="165">
        <v>3950000</v>
      </c>
      <c r="J22" s="165">
        <v>5298000</v>
      </c>
      <c r="K22" s="167">
        <f t="shared" si="0"/>
        <v>1348000</v>
      </c>
    </row>
    <row r="23" spans="2:11" ht="24.75" customHeight="1">
      <c r="B23" s="356"/>
      <c r="C23" s="164" t="s">
        <v>125</v>
      </c>
      <c r="D23" s="165">
        <v>20000</v>
      </c>
      <c r="E23" s="165">
        <v>1156000</v>
      </c>
      <c r="F23" s="166">
        <f>E23-D23</f>
        <v>1136000</v>
      </c>
      <c r="G23" s="353" t="s">
        <v>211</v>
      </c>
      <c r="H23" s="292" t="s">
        <v>54</v>
      </c>
      <c r="I23" s="293">
        <f>I24</f>
        <v>9000</v>
      </c>
      <c r="J23" s="293">
        <f>J24</f>
        <v>9000</v>
      </c>
      <c r="K23" s="296">
        <f>K24</f>
        <v>0</v>
      </c>
    </row>
    <row r="24" spans="2:11" ht="24.75" customHeight="1">
      <c r="B24" s="327"/>
      <c r="C24" s="328"/>
      <c r="D24" s="328"/>
      <c r="E24" s="328"/>
      <c r="F24" s="328"/>
      <c r="G24" s="357"/>
      <c r="H24" s="164" t="s">
        <v>290</v>
      </c>
      <c r="I24" s="165">
        <v>9000</v>
      </c>
      <c r="J24" s="165">
        <v>9000</v>
      </c>
      <c r="K24" s="167">
        <f>J24-I24</f>
        <v>0</v>
      </c>
    </row>
    <row r="25" spans="2:11" ht="24.75" customHeight="1">
      <c r="B25" s="329"/>
      <c r="C25" s="330"/>
      <c r="D25" s="330"/>
      <c r="E25" s="330"/>
      <c r="F25" s="330"/>
      <c r="G25" s="353" t="s">
        <v>285</v>
      </c>
      <c r="H25" s="292" t="s">
        <v>54</v>
      </c>
      <c r="I25" s="293">
        <f>I26</f>
        <v>0</v>
      </c>
      <c r="J25" s="293">
        <f>J26</f>
        <v>0</v>
      </c>
      <c r="K25" s="296">
        <f>K26</f>
        <v>0</v>
      </c>
    </row>
    <row r="26" spans="2:11" ht="24.75" customHeight="1">
      <c r="B26" s="329"/>
      <c r="C26" s="330"/>
      <c r="D26" s="330"/>
      <c r="E26" s="330"/>
      <c r="F26" s="330"/>
      <c r="G26" s="356"/>
      <c r="H26" s="164" t="s">
        <v>103</v>
      </c>
      <c r="I26" s="165">
        <v>0</v>
      </c>
      <c r="J26" s="165">
        <v>0</v>
      </c>
      <c r="K26" s="167">
        <f>J26-I26</f>
        <v>0</v>
      </c>
    </row>
    <row r="27" spans="2:11" ht="24.75" customHeight="1">
      <c r="B27" s="329"/>
      <c r="C27" s="330"/>
      <c r="D27" s="330"/>
      <c r="E27" s="330"/>
      <c r="F27" s="330"/>
      <c r="G27" s="353" t="s">
        <v>282</v>
      </c>
      <c r="H27" s="292" t="s">
        <v>54</v>
      </c>
      <c r="I27" s="293">
        <f>I28</f>
        <v>12000</v>
      </c>
      <c r="J27" s="293">
        <f>J28</f>
        <v>12000</v>
      </c>
      <c r="K27" s="296">
        <f>K28</f>
        <v>0</v>
      </c>
    </row>
    <row r="28" spans="2:11" ht="24.75" customHeight="1">
      <c r="B28" s="331"/>
      <c r="C28" s="332"/>
      <c r="D28" s="332"/>
      <c r="E28" s="332"/>
      <c r="F28" s="332"/>
      <c r="G28" s="354"/>
      <c r="H28" s="168" t="s">
        <v>123</v>
      </c>
      <c r="I28" s="169">
        <v>12000</v>
      </c>
      <c r="J28" s="169">
        <v>12000</v>
      </c>
      <c r="K28" s="170">
        <f>J28-I28</f>
        <v>0</v>
      </c>
    </row>
  </sheetData>
  <sheetProtection/>
  <mergeCells count="23">
    <mergeCell ref="K5:K6"/>
    <mergeCell ref="B7:C7"/>
    <mergeCell ref="G7:H7"/>
    <mergeCell ref="B18:B19"/>
    <mergeCell ref="B4:F4"/>
    <mergeCell ref="G4:K4"/>
    <mergeCell ref="B5:C6"/>
    <mergeCell ref="E5:E6"/>
    <mergeCell ref="D5:D6"/>
    <mergeCell ref="I5:I6"/>
    <mergeCell ref="F5:F6"/>
    <mergeCell ref="G5:H6"/>
    <mergeCell ref="J5:J6"/>
    <mergeCell ref="B20:B21"/>
    <mergeCell ref="B22:B23"/>
    <mergeCell ref="G8:G11"/>
    <mergeCell ref="G27:G28"/>
    <mergeCell ref="G12:G15"/>
    <mergeCell ref="G16:G22"/>
    <mergeCell ref="G23:G24"/>
    <mergeCell ref="G25:G26"/>
    <mergeCell ref="B8:B9"/>
    <mergeCell ref="B15:B17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6"/>
  <sheetViews>
    <sheetView zoomScaleSheetLayoutView="75" zoomScalePageLayoutView="0" workbookViewId="0" topLeftCell="A1">
      <pane xSplit="3" ySplit="4" topLeftCell="D74" activePane="bottomRight" state="frozen"/>
      <selection pane="topLeft" activeCell="D5" sqref="D5"/>
      <selection pane="topRight" activeCell="A1" sqref="A1"/>
      <selection pane="bottomLeft" activeCell="A1" sqref="A1"/>
      <selection pane="bottomRight" activeCell="AA85" sqref="AA85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53125" style="9" bestFit="1" customWidth="1"/>
    <col min="6" max="6" width="9.4453125" style="10" bestFit="1" customWidth="1"/>
    <col min="7" max="7" width="5.9960937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13.77734375" style="6" customWidth="1"/>
    <col min="26" max="16384" width="13.77734375" style="1" customWidth="1"/>
  </cols>
  <sheetData>
    <row r="1" spans="1:25" s="11" customFormat="1" ht="33" customHeight="1" thickBot="1">
      <c r="A1" s="375" t="s">
        <v>340</v>
      </c>
      <c r="B1" s="375"/>
      <c r="C1" s="375"/>
      <c r="D1" s="375"/>
      <c r="E1" s="375"/>
      <c r="F1" s="375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377" t="s">
        <v>113</v>
      </c>
      <c r="B2" s="378"/>
      <c r="C2" s="378"/>
      <c r="D2" s="379" t="s">
        <v>1</v>
      </c>
      <c r="E2" s="379" t="s">
        <v>341</v>
      </c>
      <c r="F2" s="383" t="s">
        <v>263</v>
      </c>
      <c r="G2" s="383"/>
      <c r="H2" s="383" t="s">
        <v>137</v>
      </c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4"/>
      <c r="Y2" s="8"/>
    </row>
    <row r="3" spans="1:25" s="3" customFormat="1" ht="32.25" customHeight="1" thickBot="1">
      <c r="A3" s="24" t="s">
        <v>8</v>
      </c>
      <c r="B3" s="25" t="s">
        <v>72</v>
      </c>
      <c r="C3" s="25" t="s">
        <v>69</v>
      </c>
      <c r="D3" s="380"/>
      <c r="E3" s="380"/>
      <c r="F3" s="135" t="s">
        <v>304</v>
      </c>
      <c r="G3" s="26" t="s">
        <v>151</v>
      </c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6"/>
      <c r="Y3" s="8"/>
    </row>
    <row r="4" spans="1:25" s="3" customFormat="1" ht="19.5" customHeight="1">
      <c r="A4" s="381" t="s">
        <v>129</v>
      </c>
      <c r="B4" s="382"/>
      <c r="C4" s="382"/>
      <c r="D4" s="188">
        <v>69179</v>
      </c>
      <c r="E4" s="188">
        <f>SUM(E5,E7,E9,E11,E27,E39,E46,E54,E77)</f>
        <v>70860</v>
      </c>
      <c r="F4" s="240">
        <f>SUM(F5,F7,F9,F11,F27,F39,F46,F54,F77)</f>
        <v>1681</v>
      </c>
      <c r="G4" s="189">
        <f>IF(D4=0,0,F4/D4)</f>
        <v>0.02429928157388803</v>
      </c>
      <c r="H4" s="27" t="s">
        <v>158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34">
        <f>SUM(W5,W7,W9,W11,W27,W39,W46,W54,W77)</f>
        <v>70860000</v>
      </c>
      <c r="X4" s="29" t="s">
        <v>68</v>
      </c>
      <c r="Y4" s="8"/>
    </row>
    <row r="5" spans="1:24" ht="21" customHeight="1">
      <c r="A5" s="34" t="s">
        <v>160</v>
      </c>
      <c r="B5" s="35" t="s">
        <v>160</v>
      </c>
      <c r="C5" s="172" t="s">
        <v>203</v>
      </c>
      <c r="D5" s="182">
        <v>7200</v>
      </c>
      <c r="E5" s="182">
        <f>ROUND(W5/1000,0)</f>
        <v>7200</v>
      </c>
      <c r="F5" s="183">
        <f>E5-D5</f>
        <v>0</v>
      </c>
      <c r="G5" s="184">
        <f>IF(D5=0,0,F5/D5)</f>
        <v>0</v>
      </c>
      <c r="H5" s="39" t="s">
        <v>274</v>
      </c>
      <c r="I5" s="129"/>
      <c r="J5" s="40"/>
      <c r="K5" s="40"/>
      <c r="L5" s="40"/>
      <c r="M5" s="40"/>
      <c r="N5" s="40"/>
      <c r="O5" s="41"/>
      <c r="P5" s="41" t="s">
        <v>200</v>
      </c>
      <c r="Q5" s="41"/>
      <c r="R5" s="41"/>
      <c r="S5" s="41"/>
      <c r="T5" s="41"/>
      <c r="U5" s="41"/>
      <c r="V5" s="42"/>
      <c r="W5" s="42">
        <f>W6</f>
        <v>7200000</v>
      </c>
      <c r="X5" s="43" t="s">
        <v>68</v>
      </c>
    </row>
    <row r="6" spans="1:24" ht="21" customHeight="1">
      <c r="A6" s="44" t="s">
        <v>180</v>
      </c>
      <c r="B6" s="45" t="s">
        <v>180</v>
      </c>
      <c r="C6" s="46" t="s">
        <v>180</v>
      </c>
      <c r="D6" s="47"/>
      <c r="E6" s="47"/>
      <c r="F6" s="48"/>
      <c r="G6" s="30"/>
      <c r="H6" s="52" t="s">
        <v>306</v>
      </c>
      <c r="I6" s="53"/>
      <c r="J6" s="54"/>
      <c r="K6" s="54"/>
      <c r="L6" s="50">
        <v>150000</v>
      </c>
      <c r="M6" s="50" t="s">
        <v>68</v>
      </c>
      <c r="N6" s="49" t="s">
        <v>7</v>
      </c>
      <c r="O6" s="50">
        <v>4</v>
      </c>
      <c r="P6" s="50" t="s">
        <v>25</v>
      </c>
      <c r="Q6" s="49" t="s">
        <v>7</v>
      </c>
      <c r="R6" s="55">
        <v>12</v>
      </c>
      <c r="S6" s="90" t="s">
        <v>71</v>
      </c>
      <c r="T6" s="90" t="s">
        <v>77</v>
      </c>
      <c r="U6" s="90"/>
      <c r="V6" s="50"/>
      <c r="W6" s="50">
        <f>L6*O6*R6</f>
        <v>7200000</v>
      </c>
      <c r="X6" s="56" t="s">
        <v>68</v>
      </c>
    </row>
    <row r="7" spans="1:25" s="11" customFormat="1" ht="19.5" customHeight="1">
      <c r="A7" s="34" t="s">
        <v>35</v>
      </c>
      <c r="B7" s="35" t="s">
        <v>35</v>
      </c>
      <c r="C7" s="35" t="s">
        <v>35</v>
      </c>
      <c r="D7" s="182">
        <v>0</v>
      </c>
      <c r="E7" s="182">
        <v>0</v>
      </c>
      <c r="F7" s="183">
        <f>E7-D7</f>
        <v>0</v>
      </c>
      <c r="G7" s="184">
        <f>IF(D7=0,0,F7/D7)</f>
        <v>0</v>
      </c>
      <c r="H7" s="39" t="s">
        <v>201</v>
      </c>
      <c r="I7" s="129"/>
      <c r="J7" s="40"/>
      <c r="K7" s="40"/>
      <c r="L7" s="40"/>
      <c r="M7" s="40"/>
      <c r="N7" s="40"/>
      <c r="O7" s="41"/>
      <c r="P7" s="41" t="s">
        <v>200</v>
      </c>
      <c r="Q7" s="41"/>
      <c r="R7" s="41"/>
      <c r="S7" s="41"/>
      <c r="T7" s="41"/>
      <c r="U7" s="41"/>
      <c r="V7" s="42"/>
      <c r="W7" s="42">
        <f>W8</f>
        <v>0</v>
      </c>
      <c r="X7" s="43" t="s">
        <v>68</v>
      </c>
      <c r="Y7" s="6"/>
    </row>
    <row r="8" spans="1:24" ht="21" customHeight="1">
      <c r="A8" s="57" t="s">
        <v>39</v>
      </c>
      <c r="B8" s="58" t="s">
        <v>39</v>
      </c>
      <c r="C8" s="58" t="s">
        <v>39</v>
      </c>
      <c r="D8" s="47"/>
      <c r="E8" s="47"/>
      <c r="F8" s="48"/>
      <c r="G8" s="30"/>
      <c r="H8" s="52" t="s">
        <v>81</v>
      </c>
      <c r="I8" s="53"/>
      <c r="J8" s="54"/>
      <c r="K8" s="54"/>
      <c r="L8" s="50"/>
      <c r="M8" s="50"/>
      <c r="N8" s="49"/>
      <c r="O8" s="50"/>
      <c r="P8" s="50"/>
      <c r="Q8" s="49"/>
      <c r="R8" s="55"/>
      <c r="S8" s="90"/>
      <c r="T8" s="90"/>
      <c r="U8" s="90"/>
      <c r="V8" s="50"/>
      <c r="W8" s="50">
        <v>0</v>
      </c>
      <c r="X8" s="56" t="s">
        <v>68</v>
      </c>
    </row>
    <row r="9" spans="1:24" ht="21" customHeight="1">
      <c r="A9" s="34" t="s">
        <v>28</v>
      </c>
      <c r="B9" s="35" t="s">
        <v>28</v>
      </c>
      <c r="C9" s="35" t="s">
        <v>28</v>
      </c>
      <c r="D9" s="182">
        <v>0</v>
      </c>
      <c r="E9" s="182">
        <v>0</v>
      </c>
      <c r="F9" s="183">
        <f>E9-D9</f>
        <v>0</v>
      </c>
      <c r="G9" s="184">
        <f>IF(D9=0,0,F9/D9)</f>
        <v>0</v>
      </c>
      <c r="H9" s="39" t="s">
        <v>322</v>
      </c>
      <c r="I9" s="129"/>
      <c r="J9" s="40"/>
      <c r="K9" s="40"/>
      <c r="L9" s="40"/>
      <c r="M9" s="40"/>
      <c r="N9" s="40"/>
      <c r="O9" s="41"/>
      <c r="P9" s="41" t="s">
        <v>200</v>
      </c>
      <c r="Q9" s="41"/>
      <c r="R9" s="41"/>
      <c r="S9" s="41"/>
      <c r="T9" s="41"/>
      <c r="U9" s="41"/>
      <c r="V9" s="42"/>
      <c r="W9" s="42">
        <f>W10</f>
        <v>0</v>
      </c>
      <c r="X9" s="43" t="s">
        <v>68</v>
      </c>
    </row>
    <row r="10" spans="1:24" ht="21" customHeight="1">
      <c r="A10" s="57" t="s">
        <v>39</v>
      </c>
      <c r="B10" s="58" t="s">
        <v>39</v>
      </c>
      <c r="C10" s="58" t="s">
        <v>39</v>
      </c>
      <c r="D10" s="190">
        <v>0</v>
      </c>
      <c r="E10" s="60">
        <v>0</v>
      </c>
      <c r="F10" s="191"/>
      <c r="G10" s="192"/>
      <c r="H10" s="193"/>
      <c r="I10" s="194"/>
      <c r="J10" s="195"/>
      <c r="K10" s="195"/>
      <c r="L10" s="195"/>
      <c r="M10" s="195"/>
      <c r="N10" s="195"/>
      <c r="O10" s="196"/>
      <c r="P10" s="196"/>
      <c r="Q10" s="196"/>
      <c r="R10" s="196"/>
      <c r="S10" s="196"/>
      <c r="T10" s="196"/>
      <c r="U10" s="196"/>
      <c r="V10" s="197"/>
      <c r="W10" s="197">
        <v>0</v>
      </c>
      <c r="X10" s="228" t="s">
        <v>68</v>
      </c>
    </row>
    <row r="11" spans="1:25" s="11" customFormat="1" ht="19.5" customHeight="1">
      <c r="A11" s="34" t="s">
        <v>46</v>
      </c>
      <c r="B11" s="35" t="s">
        <v>46</v>
      </c>
      <c r="C11" s="304" t="s">
        <v>163</v>
      </c>
      <c r="D11" s="211">
        <v>51130</v>
      </c>
      <c r="E11" s="211">
        <f>SUM(E12,E15,E21,E24)</f>
        <v>50328</v>
      </c>
      <c r="F11" s="212">
        <f>E11-D11</f>
        <v>-802</v>
      </c>
      <c r="G11" s="213">
        <f>IF(D11=0,0,F11/D11)</f>
        <v>-0.015685507529825934</v>
      </c>
      <c r="H11" s="214" t="s">
        <v>293</v>
      </c>
      <c r="I11" s="215"/>
      <c r="J11" s="216"/>
      <c r="K11" s="216"/>
      <c r="L11" s="215"/>
      <c r="M11" s="215"/>
      <c r="N11" s="215"/>
      <c r="O11" s="215"/>
      <c r="P11" s="215"/>
      <c r="Q11" s="217"/>
      <c r="R11" s="217"/>
      <c r="S11" s="217"/>
      <c r="T11" s="217"/>
      <c r="U11" s="217"/>
      <c r="V11" s="217"/>
      <c r="W11" s="218">
        <f>SUM(W12,W15,W21,W24)</f>
        <v>50328000</v>
      </c>
      <c r="X11" s="229" t="s">
        <v>68</v>
      </c>
      <c r="Y11" s="6"/>
    </row>
    <row r="12" spans="1:25" s="11" customFormat="1" ht="19.5" customHeight="1">
      <c r="A12" s="44" t="s">
        <v>139</v>
      </c>
      <c r="B12" s="45" t="s">
        <v>39</v>
      </c>
      <c r="C12" s="35" t="s">
        <v>26</v>
      </c>
      <c r="D12" s="185">
        <v>0</v>
      </c>
      <c r="E12" s="185">
        <v>0</v>
      </c>
      <c r="F12" s="186">
        <f>E12-D12</f>
        <v>0</v>
      </c>
      <c r="G12" s="187">
        <f>IF(D12=0,0,F12/D12)</f>
        <v>0</v>
      </c>
      <c r="H12" s="174" t="s">
        <v>114</v>
      </c>
      <c r="I12" s="175"/>
      <c r="J12" s="176"/>
      <c r="K12" s="176"/>
      <c r="L12" s="176"/>
      <c r="M12" s="176"/>
      <c r="N12" s="176"/>
      <c r="O12" s="177"/>
      <c r="P12" s="177"/>
      <c r="Q12" s="177"/>
      <c r="R12" s="177"/>
      <c r="S12" s="177"/>
      <c r="T12" s="177"/>
      <c r="U12" s="198" t="s">
        <v>185</v>
      </c>
      <c r="V12" s="199"/>
      <c r="W12" s="200">
        <v>0</v>
      </c>
      <c r="X12" s="230" t="s">
        <v>68</v>
      </c>
      <c r="Y12" s="6"/>
    </row>
    <row r="13" spans="1:25" s="11" customFormat="1" ht="19.5" customHeight="1">
      <c r="A13" s="44"/>
      <c r="B13" s="45"/>
      <c r="C13" s="45" t="s">
        <v>46</v>
      </c>
      <c r="D13" s="305"/>
      <c r="E13" s="305"/>
      <c r="F13" s="306"/>
      <c r="G13" s="307"/>
      <c r="H13" s="308"/>
      <c r="I13" s="309"/>
      <c r="J13" s="310"/>
      <c r="K13" s="310"/>
      <c r="L13" s="310"/>
      <c r="M13" s="310"/>
      <c r="N13" s="310"/>
      <c r="O13" s="311"/>
      <c r="P13" s="311"/>
      <c r="Q13" s="311"/>
      <c r="R13" s="311"/>
      <c r="S13" s="311"/>
      <c r="T13" s="311"/>
      <c r="U13" s="312"/>
      <c r="V13" s="313"/>
      <c r="W13" s="313"/>
      <c r="X13" s="314"/>
      <c r="Y13" s="6"/>
    </row>
    <row r="14" spans="1:25" s="11" customFormat="1" ht="19.5" customHeight="1">
      <c r="A14" s="59"/>
      <c r="B14" s="45"/>
      <c r="C14" s="45"/>
      <c r="D14" s="60"/>
      <c r="E14" s="60"/>
      <c r="F14" s="61"/>
      <c r="G14" s="83"/>
      <c r="H14" s="70"/>
      <c r="I14" s="71"/>
      <c r="J14" s="267"/>
      <c r="K14" s="267"/>
      <c r="L14" s="79"/>
      <c r="M14" s="79"/>
      <c r="N14" s="268"/>
      <c r="O14" s="79"/>
      <c r="P14" s="121"/>
      <c r="Q14" s="269"/>
      <c r="R14" s="270"/>
      <c r="S14" s="171"/>
      <c r="T14" s="171"/>
      <c r="U14" s="271"/>
      <c r="V14" s="80"/>
      <c r="W14" s="71"/>
      <c r="X14" s="72"/>
      <c r="Y14" s="6"/>
    </row>
    <row r="15" spans="1:25" s="11" customFormat="1" ht="19.5" customHeight="1">
      <c r="A15" s="59"/>
      <c r="B15" s="45"/>
      <c r="C15" s="35" t="s">
        <v>42</v>
      </c>
      <c r="D15" s="185">
        <v>49870</v>
      </c>
      <c r="E15" s="185">
        <f>SUM(E16:E20)</f>
        <v>50028</v>
      </c>
      <c r="F15" s="186">
        <f>E15-D15</f>
        <v>158</v>
      </c>
      <c r="G15" s="187">
        <f>IF(D15=0,0,F15/D15)</f>
        <v>0.003168237417284941</v>
      </c>
      <c r="H15" s="174" t="s">
        <v>126</v>
      </c>
      <c r="I15" s="175"/>
      <c r="J15" s="176"/>
      <c r="K15" s="176"/>
      <c r="L15" s="176"/>
      <c r="M15" s="176"/>
      <c r="N15" s="176"/>
      <c r="O15" s="177"/>
      <c r="P15" s="177"/>
      <c r="Q15" s="177"/>
      <c r="R15" s="177"/>
      <c r="S15" s="177"/>
      <c r="T15" s="177"/>
      <c r="U15" s="198" t="s">
        <v>185</v>
      </c>
      <c r="V15" s="199"/>
      <c r="W15" s="199">
        <f>W16</f>
        <v>50028000</v>
      </c>
      <c r="X15" s="230" t="s">
        <v>68</v>
      </c>
      <c r="Y15" s="6"/>
    </row>
    <row r="16" spans="1:25" s="11" customFormat="1" ht="19.5" customHeight="1">
      <c r="A16" s="59"/>
      <c r="B16" s="45"/>
      <c r="C16" s="45" t="s">
        <v>46</v>
      </c>
      <c r="D16" s="36">
        <v>49870</v>
      </c>
      <c r="E16" s="36">
        <f>ROUND(W16/1000,0)</f>
        <v>50028</v>
      </c>
      <c r="F16" s="37">
        <f>E16-D16</f>
        <v>158</v>
      </c>
      <c r="G16" s="118">
        <f>IF(D16=0,0,F16/D16)</f>
        <v>0.003168237417284941</v>
      </c>
      <c r="H16" s="206" t="s">
        <v>187</v>
      </c>
      <c r="I16" s="205"/>
      <c r="J16" s="210"/>
      <c r="K16" s="210"/>
      <c r="L16" s="87"/>
      <c r="M16" s="87"/>
      <c r="N16" s="201"/>
      <c r="O16" s="87"/>
      <c r="P16" s="202"/>
      <c r="Q16" s="203"/>
      <c r="R16" s="204"/>
      <c r="S16" s="209"/>
      <c r="T16" s="209"/>
      <c r="U16" s="207" t="s">
        <v>34</v>
      </c>
      <c r="V16" s="208"/>
      <c r="W16" s="208">
        <f>SUM(W17:W19)</f>
        <v>50028000</v>
      </c>
      <c r="X16" s="231" t="s">
        <v>68</v>
      </c>
      <c r="Y16" s="6"/>
    </row>
    <row r="17" spans="1:25" s="11" customFormat="1" ht="19.5" customHeight="1">
      <c r="A17" s="59"/>
      <c r="B17" s="45"/>
      <c r="C17" s="45"/>
      <c r="D17" s="47"/>
      <c r="E17" s="47"/>
      <c r="F17" s="48"/>
      <c r="G17" s="69"/>
      <c r="H17" s="49" t="s">
        <v>261</v>
      </c>
      <c r="I17" s="67"/>
      <c r="J17" s="337"/>
      <c r="K17" s="337"/>
      <c r="L17" s="50"/>
      <c r="M17" s="50"/>
      <c r="N17" s="338"/>
      <c r="O17" s="339"/>
      <c r="P17" s="53"/>
      <c r="Q17" s="73"/>
      <c r="R17" s="340"/>
      <c r="S17" s="75"/>
      <c r="T17" s="90"/>
      <c r="U17" s="376"/>
      <c r="V17" s="376"/>
      <c r="W17" s="67">
        <v>41060000</v>
      </c>
      <c r="X17" s="56" t="s">
        <v>68</v>
      </c>
      <c r="Y17" s="6"/>
    </row>
    <row r="18" spans="1:25" s="11" customFormat="1" ht="19.5" customHeight="1">
      <c r="A18" s="59"/>
      <c r="B18" s="45"/>
      <c r="C18" s="45"/>
      <c r="D18" s="47"/>
      <c r="E18" s="47"/>
      <c r="F18" s="48"/>
      <c r="G18" s="69"/>
      <c r="H18" s="49" t="s">
        <v>260</v>
      </c>
      <c r="I18" s="67"/>
      <c r="J18" s="337"/>
      <c r="K18" s="337"/>
      <c r="L18" s="50">
        <v>2242000</v>
      </c>
      <c r="M18" s="50" t="s">
        <v>68</v>
      </c>
      <c r="N18" s="338" t="s">
        <v>7</v>
      </c>
      <c r="O18" s="339">
        <v>4</v>
      </c>
      <c r="P18" s="53" t="s">
        <v>25</v>
      </c>
      <c r="Q18" s="73"/>
      <c r="R18" s="340"/>
      <c r="S18" s="75"/>
      <c r="T18" s="90" t="s">
        <v>77</v>
      </c>
      <c r="U18" s="341"/>
      <c r="V18" s="49"/>
      <c r="W18" s="67">
        <f>L18*O18</f>
        <v>8968000</v>
      </c>
      <c r="X18" s="56" t="s">
        <v>68</v>
      </c>
      <c r="Y18" s="6"/>
    </row>
    <row r="19" spans="1:25" s="11" customFormat="1" ht="19.5" customHeight="1">
      <c r="A19" s="59"/>
      <c r="B19" s="45"/>
      <c r="C19" s="45"/>
      <c r="D19" s="47"/>
      <c r="E19" s="47"/>
      <c r="F19" s="48"/>
      <c r="G19" s="69"/>
      <c r="H19" s="66" t="s">
        <v>130</v>
      </c>
      <c r="I19" s="67"/>
      <c r="J19" s="337"/>
      <c r="K19" s="337"/>
      <c r="L19" s="50"/>
      <c r="M19" s="50"/>
      <c r="N19" s="338"/>
      <c r="O19" s="339"/>
      <c r="P19" s="53"/>
      <c r="Q19" s="73"/>
      <c r="R19" s="340"/>
      <c r="S19" s="75"/>
      <c r="T19" s="90"/>
      <c r="U19" s="376"/>
      <c r="V19" s="376"/>
      <c r="W19" s="67">
        <v>0</v>
      </c>
      <c r="X19" s="56" t="s">
        <v>68</v>
      </c>
      <c r="Y19" s="6"/>
    </row>
    <row r="20" spans="1:25" s="11" customFormat="1" ht="19.5" customHeight="1">
      <c r="A20" s="59"/>
      <c r="B20" s="81"/>
      <c r="C20" s="82"/>
      <c r="D20" s="60"/>
      <c r="E20" s="60"/>
      <c r="F20" s="61"/>
      <c r="G20" s="83"/>
      <c r="H20" s="80"/>
      <c r="I20" s="79"/>
      <c r="J20" s="84"/>
      <c r="K20" s="84"/>
      <c r="L20" s="79"/>
      <c r="M20" s="79"/>
      <c r="N20" s="80"/>
      <c r="O20" s="79"/>
      <c r="P20" s="79"/>
      <c r="Q20" s="80"/>
      <c r="R20" s="80"/>
      <c r="S20" s="80"/>
      <c r="T20" s="80"/>
      <c r="U20" s="80"/>
      <c r="V20" s="80"/>
      <c r="W20" s="79"/>
      <c r="X20" s="72"/>
      <c r="Y20" s="6"/>
    </row>
    <row r="21" spans="1:25" s="11" customFormat="1" ht="19.5" customHeight="1">
      <c r="A21" s="44"/>
      <c r="B21" s="45"/>
      <c r="C21" s="45" t="s">
        <v>55</v>
      </c>
      <c r="D21" s="185">
        <v>300</v>
      </c>
      <c r="E21" s="185">
        <f>W21/1000</f>
        <v>300</v>
      </c>
      <c r="F21" s="186">
        <f>E21-D21</f>
        <v>0</v>
      </c>
      <c r="G21" s="187">
        <f>IF(D21=0,0,F21/D21)</f>
        <v>0</v>
      </c>
      <c r="H21" s="174" t="s">
        <v>96</v>
      </c>
      <c r="I21" s="175"/>
      <c r="J21" s="176"/>
      <c r="K21" s="176"/>
      <c r="L21" s="176"/>
      <c r="M21" s="176"/>
      <c r="N21" s="176"/>
      <c r="O21" s="177"/>
      <c r="P21" s="177"/>
      <c r="Q21" s="177"/>
      <c r="R21" s="177"/>
      <c r="S21" s="177"/>
      <c r="T21" s="177"/>
      <c r="U21" s="198" t="s">
        <v>185</v>
      </c>
      <c r="V21" s="199"/>
      <c r="W21" s="200">
        <f>W22</f>
        <v>300000</v>
      </c>
      <c r="X21" s="230" t="s">
        <v>68</v>
      </c>
      <c r="Y21" s="6"/>
    </row>
    <row r="22" spans="1:24" ht="21" customHeight="1">
      <c r="A22" s="44"/>
      <c r="B22" s="45"/>
      <c r="C22" s="45"/>
      <c r="D22" s="47">
        <v>300</v>
      </c>
      <c r="E22" s="47">
        <f>ROUND(W22/1000,0)</f>
        <v>300</v>
      </c>
      <c r="F22" s="37">
        <f>E22-D22</f>
        <v>0</v>
      </c>
      <c r="G22" s="118">
        <f>IF(D22=0,0,F22/D22)</f>
        <v>0</v>
      </c>
      <c r="H22" s="66" t="s">
        <v>247</v>
      </c>
      <c r="I22" s="49"/>
      <c r="J22" s="50"/>
      <c r="K22" s="50"/>
      <c r="L22" s="315">
        <v>300000</v>
      </c>
      <c r="M22" s="68" t="s">
        <v>68</v>
      </c>
      <c r="N22" s="68" t="s">
        <v>7</v>
      </c>
      <c r="O22" s="316">
        <v>1</v>
      </c>
      <c r="P22" s="317"/>
      <c r="Q22" s="68"/>
      <c r="R22" s="318"/>
      <c r="S22" s="68"/>
      <c r="T22" s="68" t="s">
        <v>77</v>
      </c>
      <c r="U22" s="50"/>
      <c r="V22" s="67"/>
      <c r="W22" s="50">
        <f>SUM(L22*O22)</f>
        <v>300000</v>
      </c>
      <c r="X22" s="56" t="s">
        <v>68</v>
      </c>
    </row>
    <row r="23" spans="1:24" ht="21" customHeight="1">
      <c r="A23" s="44"/>
      <c r="B23" s="45"/>
      <c r="C23" s="45"/>
      <c r="D23" s="47"/>
      <c r="E23" s="47"/>
      <c r="F23" s="48"/>
      <c r="G23" s="69"/>
      <c r="H23" s="66"/>
      <c r="I23" s="49"/>
      <c r="J23" s="50"/>
      <c r="K23" s="50"/>
      <c r="L23" s="50"/>
      <c r="M23" s="53"/>
      <c r="N23" s="73"/>
      <c r="O23" s="77"/>
      <c r="P23" s="73"/>
      <c r="Q23" s="73"/>
      <c r="R23" s="76"/>
      <c r="S23" s="75"/>
      <c r="T23" s="90"/>
      <c r="U23" s="50"/>
      <c r="V23" s="67"/>
      <c r="W23" s="67"/>
      <c r="X23" s="56"/>
    </row>
    <row r="24" spans="1:24" ht="21" customHeight="1">
      <c r="A24" s="44"/>
      <c r="B24" s="45"/>
      <c r="C24" s="35" t="s">
        <v>36</v>
      </c>
      <c r="D24" s="185">
        <v>960</v>
      </c>
      <c r="E24" s="185">
        <f>E25</f>
        <v>0</v>
      </c>
      <c r="F24" s="186">
        <f>E24-D24</f>
        <v>-960</v>
      </c>
      <c r="G24" s="187">
        <f>IF(D24=0,0,F24/D24)</f>
        <v>-1</v>
      </c>
      <c r="H24" s="174" t="s">
        <v>85</v>
      </c>
      <c r="I24" s="175"/>
      <c r="J24" s="176"/>
      <c r="K24" s="176"/>
      <c r="L24" s="176"/>
      <c r="M24" s="176"/>
      <c r="N24" s="176"/>
      <c r="O24" s="177"/>
      <c r="P24" s="177"/>
      <c r="Q24" s="177"/>
      <c r="R24" s="177"/>
      <c r="S24" s="177"/>
      <c r="T24" s="177"/>
      <c r="U24" s="198" t="s">
        <v>185</v>
      </c>
      <c r="V24" s="199"/>
      <c r="W24" s="199">
        <f>SUM(W25:W25)</f>
        <v>0</v>
      </c>
      <c r="X24" s="230" t="s">
        <v>68</v>
      </c>
    </row>
    <row r="25" spans="1:24" ht="21" customHeight="1">
      <c r="A25" s="44"/>
      <c r="B25" s="45"/>
      <c r="C25" s="45" t="s">
        <v>46</v>
      </c>
      <c r="D25" s="47">
        <v>960</v>
      </c>
      <c r="E25" s="47">
        <f>ROUND(W25/1000,0)</f>
        <v>0</v>
      </c>
      <c r="F25" s="37">
        <f>E25-D25</f>
        <v>-960</v>
      </c>
      <c r="G25" s="118">
        <f>IF(D25=0,0,F25/D25)</f>
        <v>-1</v>
      </c>
      <c r="H25" s="66" t="s">
        <v>101</v>
      </c>
      <c r="I25" s="49"/>
      <c r="J25" s="50"/>
      <c r="K25" s="50"/>
      <c r="L25" s="50"/>
      <c r="M25" s="50" t="s">
        <v>68</v>
      </c>
      <c r="N25" s="49" t="s">
        <v>7</v>
      </c>
      <c r="O25" s="50"/>
      <c r="P25" s="50" t="s">
        <v>25</v>
      </c>
      <c r="Q25" s="49" t="s">
        <v>7</v>
      </c>
      <c r="R25" s="50"/>
      <c r="S25" s="50" t="s">
        <v>22</v>
      </c>
      <c r="T25" s="50" t="s">
        <v>77</v>
      </c>
      <c r="U25" s="50"/>
      <c r="V25" s="67"/>
      <c r="W25" s="67">
        <f>SUM(L25*O25*R25)</f>
        <v>0</v>
      </c>
      <c r="X25" s="56" t="s">
        <v>68</v>
      </c>
    </row>
    <row r="26" spans="1:24" ht="21" customHeight="1">
      <c r="A26" s="232"/>
      <c r="B26" s="82"/>
      <c r="C26" s="82"/>
      <c r="D26" s="60"/>
      <c r="E26" s="60"/>
      <c r="F26" s="61"/>
      <c r="G26" s="83"/>
      <c r="H26" s="70"/>
      <c r="I26" s="79"/>
      <c r="J26" s="84"/>
      <c r="K26" s="84"/>
      <c r="L26" s="85"/>
      <c r="M26" s="79"/>
      <c r="N26" s="84"/>
      <c r="O26" s="79"/>
      <c r="P26" s="79"/>
      <c r="Q26" s="79"/>
      <c r="R26" s="79"/>
      <c r="S26" s="79"/>
      <c r="T26" s="79"/>
      <c r="U26" s="79"/>
      <c r="V26" s="79"/>
      <c r="W26" s="79"/>
      <c r="X26" s="72"/>
    </row>
    <row r="27" spans="1:25" s="11" customFormat="1" ht="19.5" customHeight="1">
      <c r="A27" s="34" t="s">
        <v>12</v>
      </c>
      <c r="B27" s="35" t="s">
        <v>12</v>
      </c>
      <c r="C27" s="304" t="s">
        <v>163</v>
      </c>
      <c r="D27" s="211">
        <v>900</v>
      </c>
      <c r="E27" s="211">
        <f>SUM(E28,E35)</f>
        <v>2248</v>
      </c>
      <c r="F27" s="212">
        <f>E27-D27</f>
        <v>1348</v>
      </c>
      <c r="G27" s="213">
        <f>IF(D27=0,0,F27/D27)</f>
        <v>1.4977777777777779</v>
      </c>
      <c r="H27" s="214" t="s">
        <v>199</v>
      </c>
      <c r="I27" s="215"/>
      <c r="J27" s="216"/>
      <c r="K27" s="216"/>
      <c r="L27" s="215"/>
      <c r="M27" s="215"/>
      <c r="N27" s="215"/>
      <c r="O27" s="215"/>
      <c r="P27" s="215" t="s">
        <v>195</v>
      </c>
      <c r="Q27" s="217"/>
      <c r="R27" s="217"/>
      <c r="S27" s="217"/>
      <c r="T27" s="217"/>
      <c r="U27" s="217"/>
      <c r="V27" s="217"/>
      <c r="W27" s="218">
        <f>W28+W35</f>
        <v>2248000</v>
      </c>
      <c r="X27" s="229" t="s">
        <v>68</v>
      </c>
      <c r="Y27" s="6"/>
    </row>
    <row r="28" spans="1:24" ht="21" customHeight="1">
      <c r="A28" s="44" t="s">
        <v>39</v>
      </c>
      <c r="B28" s="45" t="s">
        <v>39</v>
      </c>
      <c r="C28" s="35" t="s">
        <v>23</v>
      </c>
      <c r="D28" s="185">
        <v>600</v>
      </c>
      <c r="E28" s="185">
        <f>E29+E31</f>
        <v>1848</v>
      </c>
      <c r="F28" s="186">
        <f>E28-D28</f>
        <v>1248</v>
      </c>
      <c r="G28" s="187">
        <v>1</v>
      </c>
      <c r="H28" s="174" t="s">
        <v>132</v>
      </c>
      <c r="I28" s="175"/>
      <c r="J28" s="176"/>
      <c r="K28" s="176"/>
      <c r="L28" s="176"/>
      <c r="M28" s="176"/>
      <c r="N28" s="176"/>
      <c r="O28" s="177"/>
      <c r="P28" s="177"/>
      <c r="Q28" s="177"/>
      <c r="R28" s="177"/>
      <c r="S28" s="177"/>
      <c r="T28" s="177"/>
      <c r="U28" s="198" t="s">
        <v>185</v>
      </c>
      <c r="V28" s="199"/>
      <c r="W28" s="200">
        <f>SUM(W29,W31)</f>
        <v>1848000</v>
      </c>
      <c r="X28" s="230" t="s">
        <v>68</v>
      </c>
    </row>
    <row r="29" spans="1:24" ht="21" customHeight="1">
      <c r="A29" s="44"/>
      <c r="B29" s="45"/>
      <c r="C29" s="45" t="s">
        <v>12</v>
      </c>
      <c r="D29" s="36">
        <v>0</v>
      </c>
      <c r="E29" s="47">
        <f>ROUND(W29/1000,0)</f>
        <v>0</v>
      </c>
      <c r="F29" s="37">
        <f>E29-D29</f>
        <v>0</v>
      </c>
      <c r="G29" s="118">
        <v>1</v>
      </c>
      <c r="H29" s="130" t="s">
        <v>214</v>
      </c>
      <c r="I29" s="13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374" t="s">
        <v>185</v>
      </c>
      <c r="V29" s="374"/>
      <c r="W29" s="132">
        <f>SUM(W30:W30)</f>
        <v>0</v>
      </c>
      <c r="X29" s="133" t="s">
        <v>68</v>
      </c>
    </row>
    <row r="30" spans="1:24" ht="21.75" customHeight="1">
      <c r="A30" s="44"/>
      <c r="B30" s="45"/>
      <c r="C30" s="45"/>
      <c r="D30" s="47"/>
      <c r="E30" s="60"/>
      <c r="F30" s="48"/>
      <c r="G30" s="30"/>
      <c r="H30" s="66" t="s">
        <v>83</v>
      </c>
      <c r="I30" s="49"/>
      <c r="J30" s="50"/>
      <c r="K30" s="50"/>
      <c r="L30" s="50"/>
      <c r="M30" s="90"/>
      <c r="N30" s="73"/>
      <c r="O30" s="68"/>
      <c r="P30" s="73"/>
      <c r="Q30" s="78"/>
      <c r="R30" s="75"/>
      <c r="S30" s="75"/>
      <c r="T30" s="90"/>
      <c r="U30" s="50"/>
      <c r="V30" s="67"/>
      <c r="W30" s="67">
        <v>0</v>
      </c>
      <c r="X30" s="56" t="s">
        <v>68</v>
      </c>
    </row>
    <row r="31" spans="1:24" ht="18" customHeight="1">
      <c r="A31" s="44"/>
      <c r="B31" s="45"/>
      <c r="C31" s="45"/>
      <c r="D31" s="36">
        <v>600</v>
      </c>
      <c r="E31" s="47">
        <f>ROUND(W31/1000,0)</f>
        <v>1848</v>
      </c>
      <c r="F31" s="37">
        <f>E31-D31</f>
        <v>1248</v>
      </c>
      <c r="G31" s="38">
        <f>IF(D31=0,0,F31/D31)</f>
        <v>2.08</v>
      </c>
      <c r="H31" s="130" t="s">
        <v>214</v>
      </c>
      <c r="I31" s="13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374" t="s">
        <v>185</v>
      </c>
      <c r="V31" s="374"/>
      <c r="W31" s="132">
        <f>W32+W33</f>
        <v>1848000</v>
      </c>
      <c r="X31" s="133" t="s">
        <v>68</v>
      </c>
    </row>
    <row r="32" spans="1:24" ht="18" customHeight="1">
      <c r="A32" s="44"/>
      <c r="B32" s="45"/>
      <c r="C32" s="45"/>
      <c r="D32" s="47"/>
      <c r="E32" s="47"/>
      <c r="F32" s="48"/>
      <c r="G32" s="30"/>
      <c r="H32" s="66" t="s">
        <v>309</v>
      </c>
      <c r="I32" s="49"/>
      <c r="J32" s="50"/>
      <c r="K32" s="50"/>
      <c r="L32" s="50">
        <v>50000</v>
      </c>
      <c r="M32" s="90" t="s">
        <v>68</v>
      </c>
      <c r="N32" s="73" t="s">
        <v>7</v>
      </c>
      <c r="O32" s="68">
        <v>12</v>
      </c>
      <c r="P32" s="73" t="s">
        <v>71</v>
      </c>
      <c r="Q32" s="78"/>
      <c r="R32" s="75"/>
      <c r="S32" s="75"/>
      <c r="T32" s="90" t="s">
        <v>77</v>
      </c>
      <c r="U32" s="50"/>
      <c r="V32" s="67"/>
      <c r="W32" s="67">
        <f>L32*O32</f>
        <v>600000</v>
      </c>
      <c r="X32" s="56" t="s">
        <v>68</v>
      </c>
    </row>
    <row r="33" spans="1:24" ht="18" customHeight="1">
      <c r="A33" s="44"/>
      <c r="B33" s="45"/>
      <c r="C33" s="45"/>
      <c r="D33" s="47"/>
      <c r="E33" s="47"/>
      <c r="F33" s="48"/>
      <c r="G33" s="30"/>
      <c r="H33" s="66" t="s">
        <v>357</v>
      </c>
      <c r="I33" s="49"/>
      <c r="J33" s="50"/>
      <c r="K33" s="50"/>
      <c r="L33" s="50"/>
      <c r="M33" s="90"/>
      <c r="N33" s="73"/>
      <c r="O33" s="68"/>
      <c r="P33" s="73"/>
      <c r="Q33" s="78"/>
      <c r="R33" s="75"/>
      <c r="S33" s="75"/>
      <c r="T33" s="90" t="s">
        <v>77</v>
      </c>
      <c r="U33" s="50"/>
      <c r="V33" s="67"/>
      <c r="W33" s="67">
        <v>1248000</v>
      </c>
      <c r="X33" s="56" t="s">
        <v>68</v>
      </c>
    </row>
    <row r="34" spans="1:24" ht="18" customHeight="1">
      <c r="A34" s="44"/>
      <c r="B34" s="45"/>
      <c r="C34" s="58"/>
      <c r="D34" s="60"/>
      <c r="E34" s="60"/>
      <c r="F34" s="61"/>
      <c r="G34" s="173"/>
      <c r="H34" s="66"/>
      <c r="I34" s="49"/>
      <c r="J34" s="50"/>
      <c r="K34" s="50"/>
      <c r="L34" s="50"/>
      <c r="M34" s="90"/>
      <c r="N34" s="73"/>
      <c r="O34" s="68"/>
      <c r="P34" s="73"/>
      <c r="Q34" s="78"/>
      <c r="R34" s="75"/>
      <c r="S34" s="75"/>
      <c r="T34" s="90"/>
      <c r="U34" s="50"/>
      <c r="V34" s="67"/>
      <c r="W34" s="67"/>
      <c r="X34" s="56"/>
    </row>
    <row r="35" spans="1:24" ht="18" customHeight="1">
      <c r="A35" s="44"/>
      <c r="B35" s="45"/>
      <c r="C35" s="45" t="s">
        <v>52</v>
      </c>
      <c r="D35" s="185">
        <v>300</v>
      </c>
      <c r="E35" s="185">
        <f>E36</f>
        <v>400</v>
      </c>
      <c r="F35" s="186">
        <f>E35-D35</f>
        <v>100</v>
      </c>
      <c r="G35" s="187">
        <f>IF(D35=0,0,F35/D35)</f>
        <v>0.3333333333333333</v>
      </c>
      <c r="H35" s="174" t="s">
        <v>128</v>
      </c>
      <c r="I35" s="175"/>
      <c r="J35" s="176"/>
      <c r="K35" s="176"/>
      <c r="L35" s="176"/>
      <c r="M35" s="176"/>
      <c r="N35" s="176"/>
      <c r="O35" s="177"/>
      <c r="P35" s="177"/>
      <c r="Q35" s="177"/>
      <c r="R35" s="177"/>
      <c r="S35" s="177"/>
      <c r="T35" s="177"/>
      <c r="U35" s="198" t="s">
        <v>185</v>
      </c>
      <c r="V35" s="199"/>
      <c r="W35" s="199">
        <f>W36</f>
        <v>400000</v>
      </c>
      <c r="X35" s="230" t="s">
        <v>68</v>
      </c>
    </row>
    <row r="36" spans="1:24" ht="25.5" customHeight="1">
      <c r="A36" s="44"/>
      <c r="B36" s="45"/>
      <c r="C36" s="45" t="s">
        <v>12</v>
      </c>
      <c r="D36" s="47">
        <v>300</v>
      </c>
      <c r="E36" s="47">
        <f>ROUND(W36/1000,0)</f>
        <v>400</v>
      </c>
      <c r="F36" s="37">
        <f>E36-D36</f>
        <v>100</v>
      </c>
      <c r="G36" s="118">
        <f>IF(D36=0,0,F36/D36)</f>
        <v>0.3333333333333333</v>
      </c>
      <c r="H36" s="130" t="s">
        <v>250</v>
      </c>
      <c r="I36" s="136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374" t="s">
        <v>185</v>
      </c>
      <c r="V36" s="374"/>
      <c r="W36" s="132">
        <f>SUM(W37:W37)</f>
        <v>400000</v>
      </c>
      <c r="X36" s="133" t="s">
        <v>68</v>
      </c>
    </row>
    <row r="37" spans="1:24" ht="21" customHeight="1">
      <c r="A37" s="44"/>
      <c r="B37" s="45"/>
      <c r="C37" s="45"/>
      <c r="D37" s="47"/>
      <c r="E37" s="47"/>
      <c r="F37" s="48"/>
      <c r="G37" s="69"/>
      <c r="H37" s="66" t="s">
        <v>286</v>
      </c>
      <c r="I37" s="49"/>
      <c r="J37" s="50"/>
      <c r="K37" s="50"/>
      <c r="L37" s="50"/>
      <c r="M37" s="90"/>
      <c r="N37" s="73"/>
      <c r="O37" s="68"/>
      <c r="P37" s="73"/>
      <c r="Q37" s="78"/>
      <c r="R37" s="75"/>
      <c r="S37" s="75"/>
      <c r="T37" s="90"/>
      <c r="U37" s="50"/>
      <c r="V37" s="67"/>
      <c r="W37" s="67">
        <v>400000</v>
      </c>
      <c r="X37" s="56" t="s">
        <v>68</v>
      </c>
    </row>
    <row r="38" spans="1:24" ht="21" customHeight="1">
      <c r="A38" s="57"/>
      <c r="B38" s="58"/>
      <c r="C38" s="58"/>
      <c r="D38" s="60"/>
      <c r="E38" s="60"/>
      <c r="F38" s="61"/>
      <c r="G38" s="173"/>
      <c r="H38" s="70"/>
      <c r="I38" s="80"/>
      <c r="J38" s="79"/>
      <c r="K38" s="79"/>
      <c r="L38" s="79"/>
      <c r="M38" s="171"/>
      <c r="N38" s="178"/>
      <c r="O38" s="179"/>
      <c r="P38" s="178"/>
      <c r="Q38" s="180"/>
      <c r="R38" s="181"/>
      <c r="S38" s="181"/>
      <c r="T38" s="171"/>
      <c r="U38" s="79"/>
      <c r="V38" s="71"/>
      <c r="W38" s="71"/>
      <c r="X38" s="72"/>
    </row>
    <row r="39" spans="1:24" ht="21" customHeight="1">
      <c r="A39" s="34" t="s">
        <v>53</v>
      </c>
      <c r="B39" s="35" t="s">
        <v>53</v>
      </c>
      <c r="C39" s="304" t="s">
        <v>163</v>
      </c>
      <c r="D39" s="211">
        <v>0</v>
      </c>
      <c r="E39" s="211">
        <f>E40+E43</f>
        <v>0</v>
      </c>
      <c r="F39" s="212">
        <f>E39-D39</f>
        <v>0</v>
      </c>
      <c r="G39" s="213">
        <f>IF(D39=0,0,F39/D39)</f>
        <v>0</v>
      </c>
      <c r="H39" s="214" t="s">
        <v>210</v>
      </c>
      <c r="I39" s="215"/>
      <c r="J39" s="216"/>
      <c r="K39" s="216"/>
      <c r="L39" s="215"/>
      <c r="M39" s="215"/>
      <c r="N39" s="215"/>
      <c r="O39" s="215"/>
      <c r="P39" s="215" t="s">
        <v>195</v>
      </c>
      <c r="Q39" s="217"/>
      <c r="R39" s="217"/>
      <c r="S39" s="217"/>
      <c r="T39" s="217"/>
      <c r="U39" s="217"/>
      <c r="V39" s="217"/>
      <c r="W39" s="218">
        <f>W40+W43</f>
        <v>0</v>
      </c>
      <c r="X39" s="229" t="s">
        <v>68</v>
      </c>
    </row>
    <row r="40" spans="1:24" ht="21" customHeight="1">
      <c r="A40" s="44"/>
      <c r="B40" s="45"/>
      <c r="C40" s="35" t="s">
        <v>63</v>
      </c>
      <c r="D40" s="185">
        <v>0</v>
      </c>
      <c r="E40" s="185">
        <v>0</v>
      </c>
      <c r="F40" s="186">
        <f>E40-D40</f>
        <v>0</v>
      </c>
      <c r="G40" s="187">
        <f>IF(D40=0,0,F40/D40)</f>
        <v>0</v>
      </c>
      <c r="H40" s="174" t="s">
        <v>303</v>
      </c>
      <c r="I40" s="175"/>
      <c r="J40" s="176"/>
      <c r="K40" s="176"/>
      <c r="L40" s="176"/>
      <c r="M40" s="176"/>
      <c r="N40" s="176"/>
      <c r="O40" s="177"/>
      <c r="P40" s="177"/>
      <c r="Q40" s="177"/>
      <c r="R40" s="177"/>
      <c r="S40" s="177"/>
      <c r="T40" s="177"/>
      <c r="U40" s="198" t="s">
        <v>185</v>
      </c>
      <c r="V40" s="199"/>
      <c r="W40" s="200">
        <f>W41</f>
        <v>0</v>
      </c>
      <c r="X40" s="230" t="s">
        <v>68</v>
      </c>
    </row>
    <row r="41" spans="1:24" ht="21" customHeight="1">
      <c r="A41" s="44"/>
      <c r="B41" s="45"/>
      <c r="C41" s="45" t="s">
        <v>47</v>
      </c>
      <c r="D41" s="36">
        <v>0</v>
      </c>
      <c r="E41" s="47">
        <f>ROUND(W41/1000,0)</f>
        <v>0</v>
      </c>
      <c r="F41" s="37">
        <f>E41-D41</f>
        <v>0</v>
      </c>
      <c r="G41" s="38">
        <f>IF(D41=0,0,F41/D41)</f>
        <v>0</v>
      </c>
      <c r="H41" s="130" t="s">
        <v>303</v>
      </c>
      <c r="I41" s="136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374" t="s">
        <v>185</v>
      </c>
      <c r="V41" s="374"/>
      <c r="W41" s="132">
        <f>W42</f>
        <v>0</v>
      </c>
      <c r="X41" s="133" t="s">
        <v>68</v>
      </c>
    </row>
    <row r="42" spans="1:24" ht="21" customHeight="1">
      <c r="A42" s="44"/>
      <c r="B42" s="45"/>
      <c r="C42" s="45" t="s">
        <v>53</v>
      </c>
      <c r="D42" s="47"/>
      <c r="E42" s="47"/>
      <c r="F42" s="48"/>
      <c r="G42" s="30"/>
      <c r="H42" s="66" t="s">
        <v>302</v>
      </c>
      <c r="I42" s="49"/>
      <c r="J42" s="50"/>
      <c r="K42" s="50"/>
      <c r="L42" s="50"/>
      <c r="M42" s="90"/>
      <c r="N42" s="73"/>
      <c r="O42" s="68"/>
      <c r="P42" s="73"/>
      <c r="Q42" s="78"/>
      <c r="R42" s="75"/>
      <c r="S42" s="75"/>
      <c r="T42" s="90"/>
      <c r="U42" s="50"/>
      <c r="V42" s="67"/>
      <c r="W42" s="67">
        <v>0</v>
      </c>
      <c r="X42" s="56" t="s">
        <v>68</v>
      </c>
    </row>
    <row r="43" spans="1:24" ht="21" customHeight="1">
      <c r="A43" s="44"/>
      <c r="B43" s="45"/>
      <c r="C43" s="35" t="s">
        <v>36</v>
      </c>
      <c r="D43" s="185">
        <v>0</v>
      </c>
      <c r="E43" s="185">
        <v>0</v>
      </c>
      <c r="F43" s="186">
        <f>E43-D43</f>
        <v>0</v>
      </c>
      <c r="G43" s="187">
        <f>IF(D43=0,0,F43/D43)</f>
        <v>0</v>
      </c>
      <c r="H43" s="174" t="s">
        <v>315</v>
      </c>
      <c r="I43" s="175"/>
      <c r="J43" s="176"/>
      <c r="K43" s="176"/>
      <c r="L43" s="176"/>
      <c r="M43" s="176"/>
      <c r="N43" s="176"/>
      <c r="O43" s="177"/>
      <c r="P43" s="177"/>
      <c r="Q43" s="177"/>
      <c r="R43" s="177"/>
      <c r="S43" s="177"/>
      <c r="T43" s="177"/>
      <c r="U43" s="198" t="s">
        <v>185</v>
      </c>
      <c r="V43" s="199"/>
      <c r="W43" s="199">
        <f>W44</f>
        <v>0</v>
      </c>
      <c r="X43" s="230" t="s">
        <v>68</v>
      </c>
    </row>
    <row r="44" spans="1:24" ht="21" customHeight="1">
      <c r="A44" s="44"/>
      <c r="B44" s="45"/>
      <c r="C44" s="45" t="s">
        <v>53</v>
      </c>
      <c r="D44" s="47">
        <v>0</v>
      </c>
      <c r="E44" s="47">
        <f>ROUND(W44/1000,0)</f>
        <v>0</v>
      </c>
      <c r="F44" s="37">
        <f>E44-D44</f>
        <v>0</v>
      </c>
      <c r="G44" s="38">
        <f>IF(D44=0,0,F44/D44)</f>
        <v>0</v>
      </c>
      <c r="H44" s="66" t="s">
        <v>308</v>
      </c>
      <c r="I44" s="49"/>
      <c r="J44" s="50"/>
      <c r="K44" s="50"/>
      <c r="L44" s="50"/>
      <c r="M44" s="90"/>
      <c r="N44" s="73"/>
      <c r="O44" s="68"/>
      <c r="P44" s="73"/>
      <c r="Q44" s="78"/>
      <c r="R44" s="75"/>
      <c r="S44" s="75"/>
      <c r="T44" s="90"/>
      <c r="U44" s="50"/>
      <c r="V44" s="67"/>
      <c r="W44" s="67">
        <v>0</v>
      </c>
      <c r="X44" s="56" t="s">
        <v>68</v>
      </c>
    </row>
    <row r="45" spans="1:24" ht="21" customHeight="1">
      <c r="A45" s="57"/>
      <c r="B45" s="58"/>
      <c r="C45" s="58"/>
      <c r="D45" s="60"/>
      <c r="E45" s="60"/>
      <c r="F45" s="61"/>
      <c r="G45" s="173"/>
      <c r="H45" s="70"/>
      <c r="I45" s="80"/>
      <c r="J45" s="79"/>
      <c r="K45" s="79"/>
      <c r="L45" s="79"/>
      <c r="M45" s="171"/>
      <c r="N45" s="178"/>
      <c r="O45" s="179"/>
      <c r="P45" s="178"/>
      <c r="Q45" s="180"/>
      <c r="R45" s="181"/>
      <c r="S45" s="181"/>
      <c r="T45" s="171"/>
      <c r="U45" s="79"/>
      <c r="V45" s="71"/>
      <c r="W45" s="71"/>
      <c r="X45" s="72"/>
    </row>
    <row r="46" spans="1:24" ht="21" customHeight="1">
      <c r="A46" s="34" t="s">
        <v>6</v>
      </c>
      <c r="B46" s="35" t="s">
        <v>6</v>
      </c>
      <c r="C46" s="304" t="s">
        <v>163</v>
      </c>
      <c r="D46" s="211">
        <v>0</v>
      </c>
      <c r="E46" s="211">
        <f>SUM(E47,E50)</f>
        <v>0</v>
      </c>
      <c r="F46" s="212">
        <f>E46-D46</f>
        <v>0</v>
      </c>
      <c r="G46" s="213">
        <f>IF(D46=0,0,F46/D46)</f>
        <v>0</v>
      </c>
      <c r="H46" s="214" t="s">
        <v>232</v>
      </c>
      <c r="I46" s="215"/>
      <c r="J46" s="216"/>
      <c r="K46" s="216"/>
      <c r="L46" s="215"/>
      <c r="M46" s="215"/>
      <c r="N46" s="215"/>
      <c r="O46" s="215"/>
      <c r="P46" s="215" t="s">
        <v>195</v>
      </c>
      <c r="Q46" s="217"/>
      <c r="R46" s="217"/>
      <c r="S46" s="217"/>
      <c r="T46" s="217"/>
      <c r="U46" s="217"/>
      <c r="V46" s="217"/>
      <c r="W46" s="218">
        <f>W48+W50</f>
        <v>0</v>
      </c>
      <c r="X46" s="229" t="s">
        <v>68</v>
      </c>
    </row>
    <row r="47" spans="1:26" ht="21" customHeight="1">
      <c r="A47" s="44"/>
      <c r="B47" s="45"/>
      <c r="C47" s="35" t="s">
        <v>44</v>
      </c>
      <c r="D47" s="185">
        <v>0</v>
      </c>
      <c r="E47" s="185">
        <f>E48</f>
        <v>0</v>
      </c>
      <c r="F47" s="186">
        <f>E47-D47</f>
        <v>0</v>
      </c>
      <c r="G47" s="187">
        <f>IF(D47=0,0,F47/D47)</f>
        <v>0</v>
      </c>
      <c r="H47" s="174" t="s">
        <v>307</v>
      </c>
      <c r="I47" s="175"/>
      <c r="J47" s="176"/>
      <c r="K47" s="176"/>
      <c r="L47" s="176"/>
      <c r="M47" s="176"/>
      <c r="N47" s="176"/>
      <c r="O47" s="177"/>
      <c r="P47" s="177"/>
      <c r="Q47" s="177"/>
      <c r="R47" s="177"/>
      <c r="S47" s="177"/>
      <c r="T47" s="177"/>
      <c r="U47" s="198" t="s">
        <v>185</v>
      </c>
      <c r="V47" s="199"/>
      <c r="W47" s="200">
        <f>SUM(W48:W48)</f>
        <v>0</v>
      </c>
      <c r="X47" s="230" t="s">
        <v>68</v>
      </c>
      <c r="Y47" s="23"/>
      <c r="Z47" s="21"/>
    </row>
    <row r="48" spans="1:26" ht="21" customHeight="1">
      <c r="A48" s="44"/>
      <c r="B48" s="45"/>
      <c r="C48" s="45" t="s">
        <v>6</v>
      </c>
      <c r="D48" s="36">
        <v>0</v>
      </c>
      <c r="E48" s="47">
        <f>ROUND(W48/1000,0)</f>
        <v>0</v>
      </c>
      <c r="F48" s="37">
        <f>E48-D48</f>
        <v>0</v>
      </c>
      <c r="G48" s="38">
        <f>IF(D48=0,0,F48/D48)</f>
        <v>0</v>
      </c>
      <c r="H48" s="130" t="s">
        <v>307</v>
      </c>
      <c r="I48" s="136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374" t="s">
        <v>185</v>
      </c>
      <c r="V48" s="374"/>
      <c r="W48" s="132">
        <v>0</v>
      </c>
      <c r="X48" s="133" t="s">
        <v>68</v>
      </c>
      <c r="Y48" s="23"/>
      <c r="Z48" s="21"/>
    </row>
    <row r="49" spans="1:26" ht="21" customHeight="1">
      <c r="A49" s="44"/>
      <c r="B49" s="45"/>
      <c r="C49" s="45"/>
      <c r="D49" s="47"/>
      <c r="E49" s="47"/>
      <c r="F49" s="48"/>
      <c r="G49" s="30"/>
      <c r="H49" s="66" t="s">
        <v>178</v>
      </c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90"/>
      <c r="V49" s="90"/>
      <c r="W49" s="67">
        <v>0</v>
      </c>
      <c r="X49" s="56" t="s">
        <v>68</v>
      </c>
      <c r="Y49" s="23"/>
      <c r="Z49" s="21"/>
    </row>
    <row r="50" spans="1:26" ht="21" customHeight="1">
      <c r="A50" s="44"/>
      <c r="B50" s="45"/>
      <c r="C50" s="35" t="s">
        <v>40</v>
      </c>
      <c r="D50" s="185">
        <v>0</v>
      </c>
      <c r="E50" s="185">
        <f>E51</f>
        <v>0</v>
      </c>
      <c r="F50" s="186">
        <f>E50-D50</f>
        <v>0</v>
      </c>
      <c r="G50" s="187">
        <f>IF(D50=0,0,F50/D50)</f>
        <v>0</v>
      </c>
      <c r="H50" s="174" t="s">
        <v>116</v>
      </c>
      <c r="I50" s="175"/>
      <c r="J50" s="176"/>
      <c r="K50" s="176"/>
      <c r="L50" s="176"/>
      <c r="M50" s="176"/>
      <c r="N50" s="176"/>
      <c r="O50" s="177"/>
      <c r="P50" s="177"/>
      <c r="Q50" s="177"/>
      <c r="R50" s="177"/>
      <c r="S50" s="177"/>
      <c r="T50" s="177"/>
      <c r="U50" s="198" t="s">
        <v>185</v>
      </c>
      <c r="V50" s="199"/>
      <c r="W50" s="199">
        <f>SUM(W51:W51)</f>
        <v>0</v>
      </c>
      <c r="X50" s="230" t="s">
        <v>68</v>
      </c>
      <c r="Y50" s="23"/>
      <c r="Z50" s="21"/>
    </row>
    <row r="51" spans="1:26" ht="21" customHeight="1">
      <c r="A51" s="44"/>
      <c r="B51" s="45"/>
      <c r="C51" s="45" t="s">
        <v>6</v>
      </c>
      <c r="D51" s="47">
        <v>0</v>
      </c>
      <c r="E51" s="47">
        <f>ROUND(W51/1000,0)</f>
        <v>0</v>
      </c>
      <c r="F51" s="37">
        <f>E51-D51</f>
        <v>0</v>
      </c>
      <c r="G51" s="38">
        <f>IF(D51=0,0,F51/D51)</f>
        <v>0</v>
      </c>
      <c r="H51" s="130" t="s">
        <v>115</v>
      </c>
      <c r="I51" s="134"/>
      <c r="J51" s="50"/>
      <c r="K51" s="50"/>
      <c r="L51" s="50"/>
      <c r="M51" s="90"/>
      <c r="N51" s="73"/>
      <c r="O51" s="68"/>
      <c r="P51" s="73"/>
      <c r="Q51" s="78"/>
      <c r="R51" s="75"/>
      <c r="S51" s="75"/>
      <c r="T51" s="90"/>
      <c r="U51" s="374" t="s">
        <v>185</v>
      </c>
      <c r="V51" s="374"/>
      <c r="W51" s="132">
        <v>0</v>
      </c>
      <c r="X51" s="133" t="s">
        <v>68</v>
      </c>
      <c r="Y51" s="23"/>
      <c r="Z51" s="21"/>
    </row>
    <row r="52" spans="1:26" ht="21" customHeight="1">
      <c r="A52" s="44"/>
      <c r="B52" s="45"/>
      <c r="C52" s="45" t="s">
        <v>177</v>
      </c>
      <c r="D52" s="47"/>
      <c r="E52" s="47"/>
      <c r="F52" s="48"/>
      <c r="G52" s="30"/>
      <c r="H52" s="70"/>
      <c r="I52" s="80"/>
      <c r="J52" s="50"/>
      <c r="K52" s="50"/>
      <c r="L52" s="50"/>
      <c r="M52" s="90"/>
      <c r="N52" s="73"/>
      <c r="O52" s="68"/>
      <c r="P52" s="73"/>
      <c r="Q52" s="78"/>
      <c r="R52" s="75"/>
      <c r="S52" s="75"/>
      <c r="T52" s="90"/>
      <c r="U52" s="171"/>
      <c r="V52" s="171"/>
      <c r="W52" s="71"/>
      <c r="X52" s="72"/>
      <c r="Y52" s="23"/>
      <c r="Z52" s="21"/>
    </row>
    <row r="53" spans="1:24" ht="21" customHeight="1">
      <c r="A53" s="57"/>
      <c r="B53" s="58"/>
      <c r="C53" s="58"/>
      <c r="D53" s="60"/>
      <c r="E53" s="60"/>
      <c r="F53" s="61"/>
      <c r="G53" s="173"/>
      <c r="H53" s="70"/>
      <c r="I53" s="80"/>
      <c r="J53" s="79"/>
      <c r="K53" s="79"/>
      <c r="L53" s="79"/>
      <c r="M53" s="171"/>
      <c r="N53" s="178"/>
      <c r="O53" s="179"/>
      <c r="P53" s="178"/>
      <c r="Q53" s="180"/>
      <c r="R53" s="181"/>
      <c r="S53" s="181"/>
      <c r="T53" s="171"/>
      <c r="U53" s="79"/>
      <c r="V53" s="71"/>
      <c r="W53" s="71"/>
      <c r="X53" s="72"/>
    </row>
    <row r="54" spans="1:24" ht="21" customHeight="1">
      <c r="A54" s="34" t="s">
        <v>5</v>
      </c>
      <c r="B54" s="35" t="s">
        <v>5</v>
      </c>
      <c r="C54" s="304" t="s">
        <v>163</v>
      </c>
      <c r="D54" s="211">
        <v>9929</v>
      </c>
      <c r="E54" s="211">
        <f>SUM(E55,E69,E74)</f>
        <v>9928</v>
      </c>
      <c r="F54" s="212">
        <f>E54-D54</f>
        <v>-1</v>
      </c>
      <c r="G54" s="213">
        <f>IF(D54=0,0,F54/D54)</f>
        <v>-0.00010071507704703394</v>
      </c>
      <c r="H54" s="214" t="s">
        <v>190</v>
      </c>
      <c r="I54" s="215"/>
      <c r="J54" s="216"/>
      <c r="K54" s="216"/>
      <c r="L54" s="215"/>
      <c r="M54" s="215"/>
      <c r="N54" s="215"/>
      <c r="O54" s="215"/>
      <c r="P54" s="215" t="s">
        <v>195</v>
      </c>
      <c r="Q54" s="217"/>
      <c r="R54" s="217"/>
      <c r="S54" s="217"/>
      <c r="T54" s="217"/>
      <c r="U54" s="217"/>
      <c r="V54" s="217"/>
      <c r="W54" s="218">
        <f>SUM(W55,W69,W74)</f>
        <v>9928000</v>
      </c>
      <c r="X54" s="229" t="s">
        <v>68</v>
      </c>
    </row>
    <row r="55" spans="1:24" ht="21" customHeight="1">
      <c r="A55" s="44"/>
      <c r="B55" s="45"/>
      <c r="C55" s="35" t="s">
        <v>56</v>
      </c>
      <c r="D55" s="185">
        <v>8906</v>
      </c>
      <c r="E55" s="185">
        <f>SUM(E56,E59,E61,E65)</f>
        <v>8905</v>
      </c>
      <c r="F55" s="186">
        <f>E55-D55</f>
        <v>-1</v>
      </c>
      <c r="G55" s="187">
        <f>IF(D55=0,0,F55/D55)</f>
        <v>-0.00011228385358185493</v>
      </c>
      <c r="H55" s="174" t="s">
        <v>319</v>
      </c>
      <c r="I55" s="175"/>
      <c r="J55" s="176"/>
      <c r="K55" s="176"/>
      <c r="L55" s="176"/>
      <c r="M55" s="176"/>
      <c r="N55" s="176"/>
      <c r="O55" s="177"/>
      <c r="P55" s="177"/>
      <c r="Q55" s="177"/>
      <c r="R55" s="177"/>
      <c r="S55" s="177"/>
      <c r="T55" s="177"/>
      <c r="U55" s="198" t="s">
        <v>185</v>
      </c>
      <c r="V55" s="199"/>
      <c r="W55" s="200">
        <f>SUM(W56,W59,W61,W65)</f>
        <v>8905000</v>
      </c>
      <c r="X55" s="230" t="s">
        <v>68</v>
      </c>
    </row>
    <row r="56" spans="1:24" ht="21" customHeight="1">
      <c r="A56" s="44"/>
      <c r="B56" s="45"/>
      <c r="C56" s="45" t="s">
        <v>5</v>
      </c>
      <c r="D56" s="36">
        <v>8469</v>
      </c>
      <c r="E56" s="47">
        <f>ROUND(W56/1000,0)</f>
        <v>8469</v>
      </c>
      <c r="F56" s="37">
        <f>E56-D56</f>
        <v>0</v>
      </c>
      <c r="G56" s="38">
        <f>IF(D56=0,0,F56/D56)</f>
        <v>0</v>
      </c>
      <c r="H56" s="130" t="s">
        <v>324</v>
      </c>
      <c r="I56" s="136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374" t="s">
        <v>185</v>
      </c>
      <c r="V56" s="374"/>
      <c r="W56" s="132">
        <f>ROUNDUP(SUM(V57:W58),-3)</f>
        <v>8469000</v>
      </c>
      <c r="X56" s="133" t="s">
        <v>68</v>
      </c>
    </row>
    <row r="57" spans="1:24" ht="21" customHeight="1">
      <c r="A57" s="44"/>
      <c r="B57" s="45"/>
      <c r="C57" s="45"/>
      <c r="D57" s="47"/>
      <c r="E57" s="47"/>
      <c r="F57" s="48"/>
      <c r="G57" s="30"/>
      <c r="H57" s="66" t="s">
        <v>311</v>
      </c>
      <c r="I57" s="4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90"/>
      <c r="V57" s="90"/>
      <c r="W57" s="67">
        <v>8468478</v>
      </c>
      <c r="X57" s="56" t="s">
        <v>68</v>
      </c>
    </row>
    <row r="58" spans="1:24" ht="21" customHeight="1">
      <c r="A58" s="44"/>
      <c r="B58" s="45"/>
      <c r="C58" s="45"/>
      <c r="D58" s="60"/>
      <c r="E58" s="60"/>
      <c r="F58" s="61"/>
      <c r="G58" s="173"/>
      <c r="H58" s="70" t="s">
        <v>136</v>
      </c>
      <c r="I58" s="80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171"/>
      <c r="V58" s="171"/>
      <c r="W58" s="71">
        <v>0</v>
      </c>
      <c r="X58" s="72" t="s">
        <v>68</v>
      </c>
    </row>
    <row r="59" spans="1:24" ht="21" customHeight="1">
      <c r="A59" s="44"/>
      <c r="B59" s="45"/>
      <c r="C59" s="45"/>
      <c r="D59" s="36">
        <v>1</v>
      </c>
      <c r="E59" s="47">
        <f>ROUND(W59/1000,0)</f>
        <v>0</v>
      </c>
      <c r="F59" s="37">
        <f>E59-D59</f>
        <v>-1</v>
      </c>
      <c r="G59" s="38">
        <f>IF(D59=0,0,F59/D59)</f>
        <v>-1</v>
      </c>
      <c r="H59" s="130" t="s">
        <v>301</v>
      </c>
      <c r="I59" s="136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374" t="s">
        <v>185</v>
      </c>
      <c r="V59" s="374"/>
      <c r="W59" s="132"/>
      <c r="X59" s="133" t="s">
        <v>68</v>
      </c>
    </row>
    <row r="60" spans="1:24" ht="21" customHeight="1">
      <c r="A60" s="44"/>
      <c r="B60" s="45"/>
      <c r="C60" s="45"/>
      <c r="D60" s="60"/>
      <c r="E60" s="60"/>
      <c r="F60" s="61"/>
      <c r="G60" s="173"/>
      <c r="H60" s="70"/>
      <c r="I60" s="80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171"/>
      <c r="V60" s="171"/>
      <c r="W60" s="71"/>
      <c r="X60" s="72"/>
    </row>
    <row r="61" spans="1:24" ht="21" customHeight="1">
      <c r="A61" s="44"/>
      <c r="B61" s="45"/>
      <c r="C61" s="45"/>
      <c r="D61" s="36">
        <v>436</v>
      </c>
      <c r="E61" s="47">
        <f>ROUND(W61/1000,0)</f>
        <v>436</v>
      </c>
      <c r="F61" s="37">
        <f>E61-D61</f>
        <v>0</v>
      </c>
      <c r="G61" s="38">
        <f>IF(D61=0,0,F61/D61)</f>
        <v>0</v>
      </c>
      <c r="H61" s="130" t="s">
        <v>316</v>
      </c>
      <c r="I61" s="136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374" t="s">
        <v>185</v>
      </c>
      <c r="V61" s="374"/>
      <c r="W61" s="132">
        <f>ROUNDUP(SUM(V62:W63),-3)</f>
        <v>436000</v>
      </c>
      <c r="X61" s="133" t="s">
        <v>68</v>
      </c>
    </row>
    <row r="62" spans="1:24" ht="21" customHeight="1">
      <c r="A62" s="44"/>
      <c r="B62" s="45"/>
      <c r="C62" s="45"/>
      <c r="D62" s="47"/>
      <c r="E62" s="47"/>
      <c r="F62" s="48"/>
      <c r="G62" s="30"/>
      <c r="H62" s="66" t="s">
        <v>314</v>
      </c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90"/>
      <c r="V62" s="90"/>
      <c r="W62" s="67">
        <v>435323</v>
      </c>
      <c r="X62" s="56" t="s">
        <v>68</v>
      </c>
    </row>
    <row r="63" spans="1:24" ht="21" customHeight="1">
      <c r="A63" s="44"/>
      <c r="B63" s="45"/>
      <c r="C63" s="45"/>
      <c r="D63" s="47"/>
      <c r="E63" s="47"/>
      <c r="F63" s="48"/>
      <c r="G63" s="30"/>
      <c r="H63" s="66" t="s">
        <v>120</v>
      </c>
      <c r="I63" s="4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90"/>
      <c r="V63" s="90"/>
      <c r="W63" s="67">
        <v>0</v>
      </c>
      <c r="X63" s="56" t="s">
        <v>68</v>
      </c>
    </row>
    <row r="64" spans="1:24" ht="21" customHeight="1">
      <c r="A64" s="44"/>
      <c r="B64" s="45"/>
      <c r="C64" s="45"/>
      <c r="D64" s="60"/>
      <c r="E64" s="60"/>
      <c r="F64" s="61"/>
      <c r="G64" s="173"/>
      <c r="H64" s="70"/>
      <c r="I64" s="80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171"/>
      <c r="V64" s="171"/>
      <c r="W64" s="71"/>
      <c r="X64" s="72"/>
    </row>
    <row r="65" spans="1:24" ht="21" customHeight="1">
      <c r="A65" s="44"/>
      <c r="B65" s="45"/>
      <c r="C65" s="45"/>
      <c r="D65" s="47">
        <v>0</v>
      </c>
      <c r="E65" s="47">
        <f>ROUND(W65/1000,0)</f>
        <v>0</v>
      </c>
      <c r="F65" s="37">
        <f>E65-D65</f>
        <v>0</v>
      </c>
      <c r="G65" s="38">
        <f>IF(D65=0,0,F65/D65)</f>
        <v>0</v>
      </c>
      <c r="H65" s="130" t="s">
        <v>313</v>
      </c>
      <c r="I65" s="136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374" t="s">
        <v>185</v>
      </c>
      <c r="V65" s="374"/>
      <c r="W65" s="132">
        <f>ROUND(SUM(V66:W67),-3)</f>
        <v>0</v>
      </c>
      <c r="X65" s="133" t="s">
        <v>68</v>
      </c>
    </row>
    <row r="66" spans="1:24" ht="21" customHeight="1">
      <c r="A66" s="44"/>
      <c r="B66" s="45"/>
      <c r="C66" s="45"/>
      <c r="D66" s="47"/>
      <c r="E66" s="47"/>
      <c r="F66" s="48"/>
      <c r="G66" s="30"/>
      <c r="H66" s="66" t="s">
        <v>330</v>
      </c>
      <c r="I66" s="49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90"/>
      <c r="V66" s="90"/>
      <c r="W66" s="67">
        <v>0</v>
      </c>
      <c r="X66" s="56" t="s">
        <v>68</v>
      </c>
    </row>
    <row r="67" spans="1:24" ht="21" customHeight="1">
      <c r="A67" s="44"/>
      <c r="B67" s="45"/>
      <c r="C67" s="45"/>
      <c r="D67" s="47"/>
      <c r="E67" s="47"/>
      <c r="F67" s="48"/>
      <c r="G67" s="30"/>
      <c r="H67" s="66" t="s">
        <v>99</v>
      </c>
      <c r="I67" s="49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90"/>
      <c r="V67" s="90"/>
      <c r="W67" s="67">
        <v>0</v>
      </c>
      <c r="X67" s="56" t="s">
        <v>68</v>
      </c>
    </row>
    <row r="68" spans="1:24" ht="21" customHeight="1">
      <c r="A68" s="44"/>
      <c r="B68" s="45"/>
      <c r="C68" s="45"/>
      <c r="D68" s="47"/>
      <c r="E68" s="47"/>
      <c r="F68" s="48"/>
      <c r="G68" s="30"/>
      <c r="H68" s="66"/>
      <c r="I68" s="49"/>
      <c r="J68" s="50"/>
      <c r="K68" s="50"/>
      <c r="L68" s="50"/>
      <c r="M68" s="90"/>
      <c r="N68" s="73"/>
      <c r="O68" s="68"/>
      <c r="P68" s="73"/>
      <c r="Q68" s="78"/>
      <c r="R68" s="75"/>
      <c r="S68" s="75"/>
      <c r="T68" s="90"/>
      <c r="U68" s="50"/>
      <c r="V68" s="67"/>
      <c r="W68" s="67"/>
      <c r="X68" s="56"/>
    </row>
    <row r="69" spans="1:24" ht="21" customHeight="1">
      <c r="A69" s="44"/>
      <c r="B69" s="45"/>
      <c r="C69" s="35" t="s">
        <v>56</v>
      </c>
      <c r="D69" s="185">
        <v>1023</v>
      </c>
      <c r="E69" s="185">
        <f>E70</f>
        <v>1023</v>
      </c>
      <c r="F69" s="186">
        <f>E69-D69</f>
        <v>0</v>
      </c>
      <c r="G69" s="187">
        <f>IF(D69=0,0,F69/D69)</f>
        <v>0</v>
      </c>
      <c r="H69" s="174" t="s">
        <v>127</v>
      </c>
      <c r="I69" s="175"/>
      <c r="J69" s="176"/>
      <c r="K69" s="176"/>
      <c r="L69" s="176"/>
      <c r="M69" s="176"/>
      <c r="N69" s="176"/>
      <c r="O69" s="177"/>
      <c r="P69" s="177"/>
      <c r="Q69" s="177"/>
      <c r="R69" s="177"/>
      <c r="S69" s="177"/>
      <c r="T69" s="177"/>
      <c r="U69" s="198" t="s">
        <v>185</v>
      </c>
      <c r="V69" s="199"/>
      <c r="W69" s="199">
        <f>W70</f>
        <v>1023000</v>
      </c>
      <c r="X69" s="230" t="s">
        <v>68</v>
      </c>
    </row>
    <row r="70" spans="1:24" ht="21" customHeight="1">
      <c r="A70" s="44"/>
      <c r="B70" s="45"/>
      <c r="C70" s="45" t="s">
        <v>5</v>
      </c>
      <c r="D70" s="47">
        <v>1023</v>
      </c>
      <c r="E70" s="47">
        <f>ROUND(W70/1000,0)</f>
        <v>1023</v>
      </c>
      <c r="F70" s="37">
        <f>E70-D70</f>
        <v>0</v>
      </c>
      <c r="G70" s="38">
        <f>IF(D70=0,0,F70/D70)</f>
        <v>0</v>
      </c>
      <c r="H70" s="130" t="s">
        <v>320</v>
      </c>
      <c r="I70" s="136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374"/>
      <c r="V70" s="374"/>
      <c r="W70" s="132">
        <f>ROUNDUP(SUM(V71:W72),-3)</f>
        <v>1023000</v>
      </c>
      <c r="X70" s="133" t="s">
        <v>68</v>
      </c>
    </row>
    <row r="71" spans="1:24" ht="21" customHeight="1">
      <c r="A71" s="44"/>
      <c r="B71" s="45"/>
      <c r="C71" s="45" t="s">
        <v>177</v>
      </c>
      <c r="D71" s="47"/>
      <c r="E71" s="47"/>
      <c r="F71" s="48"/>
      <c r="G71" s="69"/>
      <c r="H71" s="66" t="s">
        <v>329</v>
      </c>
      <c r="I71" s="49"/>
      <c r="J71" s="50"/>
      <c r="K71" s="50"/>
      <c r="L71" s="50"/>
      <c r="M71" s="50"/>
      <c r="N71" s="50"/>
      <c r="O71" s="50"/>
      <c r="P71" s="53"/>
      <c r="Q71" s="53"/>
      <c r="R71" s="53"/>
      <c r="S71" s="50"/>
      <c r="T71" s="50"/>
      <c r="U71" s="50"/>
      <c r="V71" s="67"/>
      <c r="W71" s="67">
        <v>1022757</v>
      </c>
      <c r="X71" s="56" t="s">
        <v>68</v>
      </c>
    </row>
    <row r="72" spans="1:24" ht="21" customHeight="1">
      <c r="A72" s="44"/>
      <c r="B72" s="45"/>
      <c r="C72" s="45"/>
      <c r="D72" s="47"/>
      <c r="E72" s="47"/>
      <c r="F72" s="48"/>
      <c r="G72" s="69"/>
      <c r="H72" s="66" t="s">
        <v>90</v>
      </c>
      <c r="I72" s="49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90"/>
      <c r="V72" s="90"/>
      <c r="W72" s="67">
        <v>0</v>
      </c>
      <c r="X72" s="56" t="s">
        <v>68</v>
      </c>
    </row>
    <row r="73" spans="1:24" ht="21" customHeight="1">
      <c r="A73" s="44"/>
      <c r="B73" s="45"/>
      <c r="C73" s="45"/>
      <c r="D73" s="47"/>
      <c r="E73" s="47"/>
      <c r="F73" s="48"/>
      <c r="G73" s="69"/>
      <c r="H73" s="66"/>
      <c r="I73" s="49"/>
      <c r="J73" s="50"/>
      <c r="K73" s="50"/>
      <c r="L73" s="50"/>
      <c r="M73" s="50"/>
      <c r="N73" s="50"/>
      <c r="O73" s="50"/>
      <c r="P73" s="53"/>
      <c r="Q73" s="53"/>
      <c r="R73" s="53"/>
      <c r="S73" s="50"/>
      <c r="T73" s="50"/>
      <c r="U73" s="50"/>
      <c r="V73" s="67"/>
      <c r="W73" s="67"/>
      <c r="X73" s="56"/>
    </row>
    <row r="74" spans="1:24" ht="21" customHeight="1">
      <c r="A74" s="44"/>
      <c r="B74" s="45"/>
      <c r="C74" s="35" t="s">
        <v>50</v>
      </c>
      <c r="D74" s="185">
        <v>0</v>
      </c>
      <c r="E74" s="185">
        <f>E75</f>
        <v>0</v>
      </c>
      <c r="F74" s="186">
        <f>E74-D74</f>
        <v>0</v>
      </c>
      <c r="G74" s="187">
        <f>IF(D74=0,0,F74/D74)</f>
        <v>0</v>
      </c>
      <c r="H74" s="174" t="s">
        <v>297</v>
      </c>
      <c r="I74" s="175"/>
      <c r="J74" s="176"/>
      <c r="K74" s="176"/>
      <c r="L74" s="176"/>
      <c r="M74" s="176"/>
      <c r="N74" s="176"/>
      <c r="O74" s="177"/>
      <c r="P74" s="177"/>
      <c r="Q74" s="177"/>
      <c r="R74" s="177"/>
      <c r="S74" s="177"/>
      <c r="T74" s="177"/>
      <c r="U74" s="198" t="s">
        <v>185</v>
      </c>
      <c r="V74" s="199"/>
      <c r="W74" s="199">
        <f>ROUND(SUM(V75:W76),-3)</f>
        <v>0</v>
      </c>
      <c r="X74" s="230" t="s">
        <v>68</v>
      </c>
    </row>
    <row r="75" spans="1:24" ht="21" customHeight="1">
      <c r="A75" s="44"/>
      <c r="B75" s="45"/>
      <c r="C75" s="45" t="s">
        <v>3</v>
      </c>
      <c r="D75" s="47">
        <v>0</v>
      </c>
      <c r="E75" s="47">
        <f>ROUND(W75/1000,0)</f>
        <v>0</v>
      </c>
      <c r="F75" s="37">
        <f>E75-D75</f>
        <v>0</v>
      </c>
      <c r="G75" s="38">
        <f>IF(D75=0,0,F75/D75)</f>
        <v>0</v>
      </c>
      <c r="H75" s="66"/>
      <c r="I75" s="49"/>
      <c r="J75" s="50"/>
      <c r="K75" s="50"/>
      <c r="L75" s="50"/>
      <c r="M75" s="90"/>
      <c r="N75" s="73"/>
      <c r="O75" s="68"/>
      <c r="P75" s="73"/>
      <c r="Q75" s="78"/>
      <c r="R75" s="75"/>
      <c r="S75" s="75"/>
      <c r="T75" s="90"/>
      <c r="U75" s="50"/>
      <c r="V75" s="67"/>
      <c r="W75" s="67">
        <f>L75*O75</f>
        <v>0</v>
      </c>
      <c r="X75" s="56" t="s">
        <v>68</v>
      </c>
    </row>
    <row r="76" spans="1:24" ht="21" customHeight="1">
      <c r="A76" s="57"/>
      <c r="B76" s="58"/>
      <c r="C76" s="58"/>
      <c r="D76" s="60"/>
      <c r="E76" s="60"/>
      <c r="F76" s="61"/>
      <c r="G76" s="83"/>
      <c r="H76" s="70"/>
      <c r="I76" s="80"/>
      <c r="J76" s="79"/>
      <c r="K76" s="79"/>
      <c r="L76" s="79"/>
      <c r="M76" s="79"/>
      <c r="N76" s="79"/>
      <c r="O76" s="79"/>
      <c r="P76" s="121"/>
      <c r="Q76" s="121"/>
      <c r="R76" s="121"/>
      <c r="S76" s="79"/>
      <c r="T76" s="79"/>
      <c r="U76" s="79"/>
      <c r="V76" s="71"/>
      <c r="W76" s="71">
        <v>0</v>
      </c>
      <c r="X76" s="72" t="s">
        <v>68</v>
      </c>
    </row>
    <row r="77" spans="1:24" ht="21" customHeight="1">
      <c r="A77" s="44" t="s">
        <v>74</v>
      </c>
      <c r="B77" s="86" t="s">
        <v>74</v>
      </c>
      <c r="C77" s="304" t="s">
        <v>163</v>
      </c>
      <c r="D77" s="211">
        <v>20</v>
      </c>
      <c r="E77" s="211">
        <f>SUM(E78,E81,E89)</f>
        <v>1156</v>
      </c>
      <c r="F77" s="212">
        <f>E77-D77</f>
        <v>1136</v>
      </c>
      <c r="G77" s="213">
        <f>IF(D77=0,0,F77/D77)</f>
        <v>56.8</v>
      </c>
      <c r="H77" s="214" t="s">
        <v>209</v>
      </c>
      <c r="I77" s="215"/>
      <c r="J77" s="216"/>
      <c r="K77" s="216"/>
      <c r="L77" s="215"/>
      <c r="M77" s="215"/>
      <c r="N77" s="215"/>
      <c r="O77" s="215"/>
      <c r="P77" s="215" t="s">
        <v>195</v>
      </c>
      <c r="Q77" s="217"/>
      <c r="R77" s="217"/>
      <c r="S77" s="217"/>
      <c r="T77" s="217"/>
      <c r="U77" s="217"/>
      <c r="V77" s="217"/>
      <c r="W77" s="227">
        <f>SUM(W78,W81,W89)</f>
        <v>1156000</v>
      </c>
      <c r="X77" s="233" t="s">
        <v>68</v>
      </c>
    </row>
    <row r="78" spans="1:46" s="4" customFormat="1" ht="21" customHeight="1">
      <c r="A78" s="44"/>
      <c r="B78" s="95"/>
      <c r="C78" s="35" t="s">
        <v>45</v>
      </c>
      <c r="D78" s="185">
        <v>0</v>
      </c>
      <c r="E78" s="185">
        <f>E79</f>
        <v>0</v>
      </c>
      <c r="F78" s="186">
        <f>E78-D78</f>
        <v>0</v>
      </c>
      <c r="G78" s="187">
        <f>IF(D78=0,0,F78/D78)</f>
        <v>0</v>
      </c>
      <c r="H78" s="174" t="s">
        <v>299</v>
      </c>
      <c r="I78" s="175"/>
      <c r="J78" s="176"/>
      <c r="K78" s="176"/>
      <c r="L78" s="176"/>
      <c r="M78" s="176"/>
      <c r="N78" s="176"/>
      <c r="O78" s="177"/>
      <c r="P78" s="177"/>
      <c r="Q78" s="177"/>
      <c r="R78" s="177"/>
      <c r="S78" s="177"/>
      <c r="T78" s="177"/>
      <c r="U78" s="198" t="s">
        <v>185</v>
      </c>
      <c r="V78" s="199"/>
      <c r="W78" s="200">
        <f>SUM(W79:W79)</f>
        <v>0</v>
      </c>
      <c r="X78" s="230" t="s">
        <v>68</v>
      </c>
      <c r="Y78" s="219"/>
      <c r="Z78" s="220"/>
      <c r="AA78" s="220"/>
      <c r="AB78" s="221"/>
      <c r="AC78" s="222"/>
      <c r="AD78" s="223"/>
      <c r="AE78" s="224"/>
      <c r="AF78" s="225"/>
      <c r="AG78" s="225"/>
      <c r="AH78" s="224"/>
      <c r="AI78" s="224"/>
      <c r="AJ78" s="224"/>
      <c r="AK78" s="224"/>
      <c r="AL78" s="224"/>
      <c r="AM78" s="223"/>
      <c r="AN78" s="223"/>
      <c r="AO78" s="223"/>
      <c r="AP78" s="223"/>
      <c r="AQ78" s="223"/>
      <c r="AR78" s="223"/>
      <c r="AS78" s="226"/>
      <c r="AT78" s="224"/>
    </row>
    <row r="79" spans="1:24" ht="21" customHeight="1">
      <c r="A79" s="59"/>
      <c r="B79" s="97"/>
      <c r="C79" s="45" t="s">
        <v>41</v>
      </c>
      <c r="D79" s="36">
        <v>0</v>
      </c>
      <c r="E79" s="47">
        <f>ROUND(W79/1000,0)</f>
        <v>0</v>
      </c>
      <c r="F79" s="37">
        <f>E79-D79</f>
        <v>0</v>
      </c>
      <c r="G79" s="38">
        <f>IF(D79=0,0,F79/D79)</f>
        <v>0</v>
      </c>
      <c r="H79" s="130" t="s">
        <v>299</v>
      </c>
      <c r="I79" s="136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374" t="s">
        <v>185</v>
      </c>
      <c r="V79" s="374"/>
      <c r="W79" s="132">
        <f>SUM(W80:W80)</f>
        <v>0</v>
      </c>
      <c r="X79" s="133" t="s">
        <v>68</v>
      </c>
    </row>
    <row r="80" spans="1:25" s="11" customFormat="1" ht="19.5" customHeight="1">
      <c r="A80" s="59"/>
      <c r="B80" s="89"/>
      <c r="C80" s="45"/>
      <c r="D80" s="47"/>
      <c r="E80" s="47"/>
      <c r="F80" s="48"/>
      <c r="G80" s="30"/>
      <c r="H80" s="66"/>
      <c r="I80" s="49"/>
      <c r="J80" s="50"/>
      <c r="K80" s="50"/>
      <c r="L80" s="50"/>
      <c r="M80" s="90"/>
      <c r="N80" s="73"/>
      <c r="O80" s="68"/>
      <c r="P80" s="73"/>
      <c r="Q80" s="78"/>
      <c r="R80" s="75"/>
      <c r="S80" s="75"/>
      <c r="T80" s="90"/>
      <c r="U80" s="50"/>
      <c r="V80" s="67"/>
      <c r="W80" s="67">
        <f>L80*O80</f>
        <v>0</v>
      </c>
      <c r="X80" s="56" t="s">
        <v>68</v>
      </c>
      <c r="Y80" s="6"/>
    </row>
    <row r="81" spans="1:25" s="11" customFormat="1" ht="19.5" customHeight="1">
      <c r="A81" s="59"/>
      <c r="B81" s="89"/>
      <c r="C81" s="35" t="s">
        <v>49</v>
      </c>
      <c r="D81" s="185">
        <v>20</v>
      </c>
      <c r="E81" s="185">
        <f>E82</f>
        <v>20</v>
      </c>
      <c r="F81" s="186">
        <f>E81-D81</f>
        <v>0</v>
      </c>
      <c r="G81" s="187">
        <f>IF(D81=0,0,F81/D81)</f>
        <v>0</v>
      </c>
      <c r="H81" s="174" t="s">
        <v>300</v>
      </c>
      <c r="I81" s="175"/>
      <c r="J81" s="176"/>
      <c r="K81" s="176"/>
      <c r="L81" s="176"/>
      <c r="M81" s="176"/>
      <c r="N81" s="176"/>
      <c r="O81" s="177"/>
      <c r="P81" s="177"/>
      <c r="Q81" s="177"/>
      <c r="R81" s="177"/>
      <c r="S81" s="177"/>
      <c r="T81" s="177"/>
      <c r="U81" s="198" t="s">
        <v>185</v>
      </c>
      <c r="V81" s="199"/>
      <c r="W81" s="199">
        <f>SUM(W82:W82)</f>
        <v>20000</v>
      </c>
      <c r="X81" s="230" t="s">
        <v>68</v>
      </c>
      <c r="Y81" s="6"/>
    </row>
    <row r="82" spans="1:25" s="11" customFormat="1" ht="19.5" customHeight="1">
      <c r="A82" s="59"/>
      <c r="B82" s="89"/>
      <c r="C82" s="45" t="s">
        <v>59</v>
      </c>
      <c r="D82" s="47">
        <v>20</v>
      </c>
      <c r="E82" s="47">
        <f>ROUND(W82/1000,0)</f>
        <v>20</v>
      </c>
      <c r="F82" s="37">
        <f>E82-D82</f>
        <v>0</v>
      </c>
      <c r="G82" s="38">
        <f>IF(D82=0,0,F82/D82)</f>
        <v>0</v>
      </c>
      <c r="H82" s="319" t="s">
        <v>317</v>
      </c>
      <c r="I82" s="31"/>
      <c r="J82" s="32"/>
      <c r="K82" s="32"/>
      <c r="L82" s="32"/>
      <c r="M82" s="32"/>
      <c r="N82" s="32"/>
      <c r="O82" s="32"/>
      <c r="P82" s="32" t="s">
        <v>64</v>
      </c>
      <c r="Q82" s="32"/>
      <c r="R82" s="32"/>
      <c r="S82" s="32"/>
      <c r="T82" s="32"/>
      <c r="U82" s="374" t="s">
        <v>185</v>
      </c>
      <c r="V82" s="374"/>
      <c r="W82" s="132">
        <f>SUM(W83:W87)</f>
        <v>20000</v>
      </c>
      <c r="X82" s="133" t="s">
        <v>68</v>
      </c>
      <c r="Y82" s="6"/>
    </row>
    <row r="83" spans="1:25" s="11" customFormat="1" ht="19.5" customHeight="1">
      <c r="A83" s="59"/>
      <c r="B83" s="89"/>
      <c r="C83" s="45" t="s">
        <v>39</v>
      </c>
      <c r="D83" s="47"/>
      <c r="E83" s="47"/>
      <c r="F83" s="48"/>
      <c r="G83" s="69"/>
      <c r="H83" s="239" t="s">
        <v>244</v>
      </c>
      <c r="I83" s="49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67"/>
      <c r="W83" s="67">
        <v>8000</v>
      </c>
      <c r="X83" s="56" t="s">
        <v>68</v>
      </c>
      <c r="Y83" s="6"/>
    </row>
    <row r="84" spans="1:25" s="11" customFormat="1" ht="19.5" customHeight="1">
      <c r="A84" s="59"/>
      <c r="B84" s="89"/>
      <c r="C84" s="45"/>
      <c r="D84" s="47"/>
      <c r="E84" s="47"/>
      <c r="F84" s="48"/>
      <c r="G84" s="69"/>
      <c r="H84" s="66" t="s">
        <v>93</v>
      </c>
      <c r="I84" s="4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67"/>
      <c r="W84" s="67">
        <v>1000</v>
      </c>
      <c r="X84" s="56" t="s">
        <v>68</v>
      </c>
      <c r="Y84" s="6"/>
    </row>
    <row r="85" spans="1:25" s="11" customFormat="1" ht="19.5" customHeight="1">
      <c r="A85" s="59"/>
      <c r="B85" s="89"/>
      <c r="C85" s="45"/>
      <c r="D85" s="47"/>
      <c r="E85" s="47"/>
      <c r="F85" s="48"/>
      <c r="G85" s="69"/>
      <c r="H85" s="66" t="s">
        <v>94</v>
      </c>
      <c r="I85" s="49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67"/>
      <c r="W85" s="67">
        <v>8000</v>
      </c>
      <c r="X85" s="56" t="s">
        <v>68</v>
      </c>
      <c r="Y85" s="6"/>
    </row>
    <row r="86" spans="1:25" s="11" customFormat="1" ht="19.5" customHeight="1">
      <c r="A86" s="59"/>
      <c r="B86" s="89"/>
      <c r="C86" s="45"/>
      <c r="D86" s="47"/>
      <c r="E86" s="47"/>
      <c r="F86" s="48"/>
      <c r="G86" s="69"/>
      <c r="H86" s="66" t="s">
        <v>242</v>
      </c>
      <c r="I86" s="49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67"/>
      <c r="W86" s="67">
        <v>1000</v>
      </c>
      <c r="X86" s="56" t="s">
        <v>68</v>
      </c>
      <c r="Y86" s="6"/>
    </row>
    <row r="87" spans="1:25" s="11" customFormat="1" ht="19.5" customHeight="1">
      <c r="A87" s="59"/>
      <c r="B87" s="89"/>
      <c r="C87" s="45"/>
      <c r="D87" s="47"/>
      <c r="E87" s="47"/>
      <c r="F87" s="48"/>
      <c r="G87" s="69"/>
      <c r="H87" s="66" t="s">
        <v>256</v>
      </c>
      <c r="I87" s="50"/>
      <c r="J87" s="50"/>
      <c r="K87" s="50"/>
      <c r="L87" s="50"/>
      <c r="M87" s="50"/>
      <c r="N87" s="50"/>
      <c r="O87" s="50"/>
      <c r="P87" s="376"/>
      <c r="Q87" s="376"/>
      <c r="R87" s="50"/>
      <c r="S87" s="50"/>
      <c r="T87" s="50"/>
      <c r="U87" s="50"/>
      <c r="V87" s="50"/>
      <c r="W87" s="50">
        <v>2000</v>
      </c>
      <c r="X87" s="56" t="s">
        <v>68</v>
      </c>
      <c r="Y87" s="6"/>
    </row>
    <row r="88" spans="1:25" s="11" customFormat="1" ht="19.5" customHeight="1">
      <c r="A88" s="59"/>
      <c r="B88" s="89"/>
      <c r="C88" s="45"/>
      <c r="D88" s="47"/>
      <c r="E88" s="47"/>
      <c r="F88" s="48"/>
      <c r="G88" s="69"/>
      <c r="H88" s="66"/>
      <c r="I88" s="49"/>
      <c r="J88" s="50"/>
      <c r="K88" s="50"/>
      <c r="L88" s="50"/>
      <c r="M88" s="50"/>
      <c r="N88" s="50"/>
      <c r="O88" s="50"/>
      <c r="P88" s="53"/>
      <c r="Q88" s="53"/>
      <c r="R88" s="53"/>
      <c r="S88" s="50"/>
      <c r="T88" s="50"/>
      <c r="U88" s="50"/>
      <c r="V88" s="67"/>
      <c r="W88" s="67"/>
      <c r="X88" s="56"/>
      <c r="Y88" s="6"/>
    </row>
    <row r="89" spans="1:25" s="11" customFormat="1" ht="19.5" customHeight="1">
      <c r="A89" s="59"/>
      <c r="B89" s="89"/>
      <c r="C89" s="35" t="s">
        <v>36</v>
      </c>
      <c r="D89" s="185">
        <v>0</v>
      </c>
      <c r="E89" s="185">
        <f>E90</f>
        <v>1136</v>
      </c>
      <c r="F89" s="186">
        <f>E89-D89</f>
        <v>1136</v>
      </c>
      <c r="G89" s="187">
        <f>IF(D89=0,0,F89/D89)</f>
        <v>0</v>
      </c>
      <c r="H89" s="174" t="s">
        <v>298</v>
      </c>
      <c r="I89" s="175"/>
      <c r="J89" s="176"/>
      <c r="K89" s="176"/>
      <c r="L89" s="176"/>
      <c r="M89" s="176"/>
      <c r="N89" s="176"/>
      <c r="O89" s="177"/>
      <c r="P89" s="177"/>
      <c r="Q89" s="177"/>
      <c r="R89" s="177"/>
      <c r="S89" s="177"/>
      <c r="T89" s="177"/>
      <c r="U89" s="198" t="s">
        <v>185</v>
      </c>
      <c r="V89" s="199"/>
      <c r="W89" s="199">
        <f>SUM(W90:W90)</f>
        <v>1136000</v>
      </c>
      <c r="X89" s="230" t="s">
        <v>68</v>
      </c>
      <c r="Y89" s="6"/>
    </row>
    <row r="90" spans="1:25" s="11" customFormat="1" ht="19.5" customHeight="1">
      <c r="A90" s="59"/>
      <c r="B90" s="89"/>
      <c r="C90" s="45" t="s">
        <v>74</v>
      </c>
      <c r="D90" s="47">
        <v>0</v>
      </c>
      <c r="E90" s="47">
        <f>ROUND(W90/1000,0)</f>
        <v>1136</v>
      </c>
      <c r="F90" s="37">
        <f>E90-D90</f>
        <v>1136</v>
      </c>
      <c r="G90" s="38">
        <f>IF(D90=0,0,F90/D90)</f>
        <v>0</v>
      </c>
      <c r="H90" s="96" t="s">
        <v>346</v>
      </c>
      <c r="I90" s="92"/>
      <c r="J90" s="88"/>
      <c r="K90" s="88"/>
      <c r="L90" s="88"/>
      <c r="M90" s="88"/>
      <c r="N90" s="88"/>
      <c r="O90" s="88"/>
      <c r="P90" s="88" t="s">
        <v>64</v>
      </c>
      <c r="Q90" s="88"/>
      <c r="R90" s="88"/>
      <c r="S90" s="88"/>
      <c r="T90" s="88"/>
      <c r="U90" s="374" t="s">
        <v>185</v>
      </c>
      <c r="V90" s="374"/>
      <c r="W90" s="132">
        <f>SUM(W91:W94)+1468</f>
        <v>1136000</v>
      </c>
      <c r="X90" s="133" t="s">
        <v>68</v>
      </c>
      <c r="Y90" s="6"/>
    </row>
    <row r="91" spans="1:25" s="11" customFormat="1" ht="19.5" customHeight="1">
      <c r="A91" s="59"/>
      <c r="B91" s="89"/>
      <c r="C91" s="45"/>
      <c r="D91" s="47"/>
      <c r="E91" s="47"/>
      <c r="F91" s="48"/>
      <c r="G91" s="30"/>
      <c r="H91" s="239" t="s">
        <v>345</v>
      </c>
      <c r="I91" s="49"/>
      <c r="J91" s="50"/>
      <c r="K91" s="50"/>
      <c r="L91" s="50">
        <v>60000</v>
      </c>
      <c r="M91" s="50" t="s">
        <v>68</v>
      </c>
      <c r="N91" s="50" t="s">
        <v>7</v>
      </c>
      <c r="O91" s="50">
        <v>1</v>
      </c>
      <c r="P91" s="50" t="s">
        <v>25</v>
      </c>
      <c r="Q91" s="50" t="s">
        <v>7</v>
      </c>
      <c r="R91" s="50">
        <v>9</v>
      </c>
      <c r="S91" s="50" t="s">
        <v>71</v>
      </c>
      <c r="T91" s="50" t="s">
        <v>77</v>
      </c>
      <c r="U91" s="50"/>
      <c r="V91" s="67"/>
      <c r="W91" s="346">
        <f>SUM(L91*O91*R91)</f>
        <v>540000</v>
      </c>
      <c r="X91" s="56" t="s">
        <v>68</v>
      </c>
      <c r="Y91" s="6"/>
    </row>
    <row r="92" spans="1:25" s="11" customFormat="1" ht="19.5" customHeight="1">
      <c r="A92" s="59"/>
      <c r="B92" s="89"/>
      <c r="C92" s="45"/>
      <c r="D92" s="47"/>
      <c r="E92" s="47"/>
      <c r="F92" s="48"/>
      <c r="G92" s="30"/>
      <c r="H92" s="66" t="s">
        <v>347</v>
      </c>
      <c r="I92" s="49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67"/>
      <c r="W92" s="346">
        <v>594528</v>
      </c>
      <c r="X92" s="56" t="s">
        <v>68</v>
      </c>
      <c r="Y92" s="6"/>
    </row>
    <row r="93" spans="1:25" s="11" customFormat="1" ht="19.5" customHeight="1">
      <c r="A93" s="59"/>
      <c r="B93" s="89"/>
      <c r="C93" s="45"/>
      <c r="D93" s="47"/>
      <c r="E93" s="47"/>
      <c r="F93" s="48"/>
      <c r="G93" s="30"/>
      <c r="H93" s="66" t="s">
        <v>368</v>
      </c>
      <c r="I93" s="49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67"/>
      <c r="W93" s="346">
        <v>4</v>
      </c>
      <c r="X93" s="56" t="s">
        <v>68</v>
      </c>
      <c r="Y93" s="6"/>
    </row>
    <row r="94" spans="1:25" s="11" customFormat="1" ht="19.5" customHeight="1" thickBot="1">
      <c r="A94" s="99"/>
      <c r="B94" s="100"/>
      <c r="C94" s="100"/>
      <c r="D94" s="102"/>
      <c r="E94" s="102"/>
      <c r="F94" s="103"/>
      <c r="G94" s="104"/>
      <c r="H94" s="62"/>
      <c r="I94" s="63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344"/>
      <c r="W94" s="347"/>
      <c r="X94" s="65"/>
      <c r="Y94" s="6"/>
    </row>
    <row r="95" spans="1:25" s="11" customFormat="1" ht="19.5" customHeight="1">
      <c r="A95" s="7"/>
      <c r="B95" s="7"/>
      <c r="C95" s="7"/>
      <c r="D95" s="9"/>
      <c r="E95" s="9"/>
      <c r="F95" s="10"/>
      <c r="G95" s="1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6"/>
    </row>
    <row r="106" ht="19.5" customHeight="1">
      <c r="Y106" s="6" t="s">
        <v>237</v>
      </c>
    </row>
  </sheetData>
  <sheetProtection/>
  <mergeCells count="24">
    <mergeCell ref="E2:E3"/>
    <mergeCell ref="U41:V41"/>
    <mergeCell ref="F2:G2"/>
    <mergeCell ref="H2:X3"/>
    <mergeCell ref="U29:V29"/>
    <mergeCell ref="U48:V48"/>
    <mergeCell ref="A1:F1"/>
    <mergeCell ref="P87:Q87"/>
    <mergeCell ref="U90:V90"/>
    <mergeCell ref="U17:V17"/>
    <mergeCell ref="U19:V19"/>
    <mergeCell ref="A2:C2"/>
    <mergeCell ref="D2:D3"/>
    <mergeCell ref="A4:C4"/>
    <mergeCell ref="U56:V56"/>
    <mergeCell ref="U79:V79"/>
    <mergeCell ref="U82:V82"/>
    <mergeCell ref="U36:V36"/>
    <mergeCell ref="U31:V31"/>
    <mergeCell ref="U51:V51"/>
    <mergeCell ref="U59:V59"/>
    <mergeCell ref="U70:V70"/>
    <mergeCell ref="U61:V61"/>
    <mergeCell ref="U65:V65"/>
  </mergeCells>
  <printOptions horizontalCentered="1" vertic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5" r:id="rId1"/>
  <headerFooter alignWithMargins="0">
    <oddFooter>&amp;C&amp;"돋움,Regular"&amp;P/&amp;N&amp;R&amp;"돋움,Regular"공동생활가정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zoomScaleSheetLayoutView="75" zoomScalePageLayoutView="0" workbookViewId="0" topLeftCell="A1">
      <pane xSplit="3" ySplit="5" topLeftCell="D147" activePane="bottomRight" state="frozen"/>
      <selection pane="topLeft" activeCell="O108" sqref="O108"/>
      <selection pane="topRight" activeCell="A1" sqref="A1"/>
      <selection pane="bottomLeft" activeCell="A1" sqref="A1"/>
      <selection pane="bottomRight" activeCell="S155" sqref="S155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8.5546875" style="22" bestFit="1" customWidth="1"/>
    <col min="4" max="4" width="10.3359375" style="18" customWidth="1"/>
    <col min="5" max="5" width="10.3359375" style="18" bestFit="1" customWidth="1"/>
    <col min="6" max="6" width="10.214843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51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88671875" style="5" bestFit="1" customWidth="1"/>
    <col min="20" max="20" width="3.21484375" style="5" bestFit="1" customWidth="1"/>
    <col min="21" max="21" width="3.99609375" style="5" bestFit="1" customWidth="1"/>
    <col min="22" max="22" width="7.5546875" style="5" bestFit="1" customWidth="1"/>
    <col min="23" max="23" width="3.21484375" style="5" customWidth="1"/>
    <col min="24" max="24" width="3.21484375" style="5" bestFit="1" customWidth="1"/>
    <col min="25" max="25" width="4.77734375" style="5" customWidth="1"/>
    <col min="26" max="26" width="4.5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 customWidth="1"/>
  </cols>
  <sheetData>
    <row r="1" spans="1:32" s="11" customFormat="1" ht="21" customHeight="1">
      <c r="A1" s="375" t="s">
        <v>342</v>
      </c>
      <c r="B1" s="375"/>
      <c r="C1" s="375"/>
      <c r="D1" s="375"/>
      <c r="E1" s="375"/>
      <c r="F1" s="105"/>
      <c r="G1" s="105"/>
      <c r="H1" s="105"/>
      <c r="I1" s="105"/>
      <c r="J1" s="105"/>
      <c r="K1" s="105"/>
      <c r="L1" s="105"/>
      <c r="M1" s="105"/>
      <c r="N1" s="143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1" s="3" customFormat="1" ht="27" customHeight="1">
      <c r="A2" s="377" t="s">
        <v>113</v>
      </c>
      <c r="B2" s="378"/>
      <c r="C2" s="378"/>
      <c r="D2" s="401" t="s">
        <v>343</v>
      </c>
      <c r="E2" s="401" t="s">
        <v>344</v>
      </c>
      <c r="F2" s="403"/>
      <c r="G2" s="403"/>
      <c r="H2" s="403"/>
      <c r="I2" s="403"/>
      <c r="J2" s="403"/>
      <c r="K2" s="403"/>
      <c r="L2" s="404"/>
      <c r="M2" s="383" t="s">
        <v>263</v>
      </c>
      <c r="N2" s="383"/>
      <c r="O2" s="387" t="s">
        <v>0</v>
      </c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9"/>
    </row>
    <row r="3" spans="1:31" s="3" customFormat="1" ht="27" customHeight="1">
      <c r="A3" s="24" t="s">
        <v>8</v>
      </c>
      <c r="B3" s="25" t="s">
        <v>72</v>
      </c>
      <c r="C3" s="25" t="s">
        <v>69</v>
      </c>
      <c r="D3" s="402"/>
      <c r="E3" s="152" t="s">
        <v>235</v>
      </c>
      <c r="F3" s="152" t="s">
        <v>257</v>
      </c>
      <c r="G3" s="152" t="s">
        <v>225</v>
      </c>
      <c r="H3" s="152" t="s">
        <v>255</v>
      </c>
      <c r="I3" s="152" t="s">
        <v>12</v>
      </c>
      <c r="J3" s="152" t="s">
        <v>227</v>
      </c>
      <c r="K3" s="152" t="s">
        <v>236</v>
      </c>
      <c r="L3" s="152" t="s">
        <v>74</v>
      </c>
      <c r="M3" s="135" t="s">
        <v>304</v>
      </c>
      <c r="N3" s="106" t="s">
        <v>151</v>
      </c>
      <c r="O3" s="390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2"/>
    </row>
    <row r="4" spans="1:32" s="11" customFormat="1" ht="21" customHeight="1">
      <c r="A4" s="399" t="s">
        <v>271</v>
      </c>
      <c r="B4" s="400"/>
      <c r="C4" s="400"/>
      <c r="D4" s="249">
        <v>69178.6</v>
      </c>
      <c r="E4" s="249">
        <f aca="true" t="shared" si="0" ref="E4:L4">SUM(E5,E101,E114,E173,E182,E185)</f>
        <v>70859.6</v>
      </c>
      <c r="F4" s="345">
        <f t="shared" si="0"/>
        <v>50035.6</v>
      </c>
      <c r="G4" s="345">
        <f t="shared" si="0"/>
        <v>0</v>
      </c>
      <c r="H4" s="345">
        <f t="shared" si="0"/>
        <v>300</v>
      </c>
      <c r="I4" s="345">
        <f t="shared" si="0"/>
        <v>3273</v>
      </c>
      <c r="J4" s="345">
        <f t="shared" si="0"/>
        <v>15677</v>
      </c>
      <c r="K4" s="345">
        <f t="shared" si="0"/>
        <v>437</v>
      </c>
      <c r="L4" s="345">
        <f t="shared" si="0"/>
        <v>1137</v>
      </c>
      <c r="M4" s="250">
        <f>E4-D4</f>
        <v>1681</v>
      </c>
      <c r="N4" s="251">
        <f>IF(D4=0,0,M4/D4)</f>
        <v>0.024299422075612975</v>
      </c>
      <c r="O4" s="252" t="s">
        <v>179</v>
      </c>
      <c r="P4" s="253"/>
      <c r="Q4" s="253"/>
      <c r="R4" s="253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>
        <f>SUM(AD5,AD101,AD114,AD173,AD182,AD185)</f>
        <v>70860000</v>
      </c>
      <c r="AE4" s="255" t="s">
        <v>68</v>
      </c>
      <c r="AF4" s="2"/>
    </row>
    <row r="5" spans="1:32" s="11" customFormat="1" ht="21" customHeight="1">
      <c r="A5" s="109" t="s">
        <v>15</v>
      </c>
      <c r="B5" s="397" t="s">
        <v>264</v>
      </c>
      <c r="C5" s="398"/>
      <c r="D5" s="256">
        <v>49938.6</v>
      </c>
      <c r="E5" s="256">
        <f aca="true" t="shared" si="1" ref="E5:L5">SUM(E6,E57,E68)</f>
        <v>49256.6</v>
      </c>
      <c r="F5" s="256">
        <f t="shared" si="1"/>
        <v>45027.6</v>
      </c>
      <c r="G5" s="256">
        <f t="shared" si="1"/>
        <v>0</v>
      </c>
      <c r="H5" s="256">
        <f t="shared" si="1"/>
        <v>300</v>
      </c>
      <c r="I5" s="256">
        <f t="shared" si="1"/>
        <v>0</v>
      </c>
      <c r="J5" s="256">
        <f t="shared" si="1"/>
        <v>3739</v>
      </c>
      <c r="K5" s="256">
        <f t="shared" si="1"/>
        <v>190</v>
      </c>
      <c r="L5" s="256">
        <f t="shared" si="1"/>
        <v>0</v>
      </c>
      <c r="M5" s="257">
        <f>E5-D5</f>
        <v>-682</v>
      </c>
      <c r="N5" s="258">
        <f>IF(D5=0,0,M5/D5)</f>
        <v>-0.013656770514191428</v>
      </c>
      <c r="O5" s="259" t="s">
        <v>15</v>
      </c>
      <c r="P5" s="259"/>
      <c r="Q5" s="259"/>
      <c r="R5" s="259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>
        <f>SUM(AD6,AD57,AD68)</f>
        <v>49257000</v>
      </c>
      <c r="AE5" s="261" t="s">
        <v>68</v>
      </c>
      <c r="AF5" s="2"/>
    </row>
    <row r="6" spans="1:32" s="11" customFormat="1" ht="21" customHeight="1">
      <c r="A6" s="44"/>
      <c r="B6" s="35" t="s">
        <v>10</v>
      </c>
      <c r="C6" s="262" t="s">
        <v>75</v>
      </c>
      <c r="D6" s="263">
        <v>42231.6</v>
      </c>
      <c r="E6" s="350">
        <f aca="true" t="shared" si="2" ref="E6:L6">SUM(E7,E11,E14,E23,E26,E52)</f>
        <v>41429.6</v>
      </c>
      <c r="F6" s="263">
        <f t="shared" si="2"/>
        <v>41059.6</v>
      </c>
      <c r="G6" s="263">
        <f t="shared" si="2"/>
        <v>0</v>
      </c>
      <c r="H6" s="263">
        <f t="shared" si="2"/>
        <v>300</v>
      </c>
      <c r="I6" s="263">
        <f t="shared" si="2"/>
        <v>0</v>
      </c>
      <c r="J6" s="263">
        <f t="shared" si="2"/>
        <v>70</v>
      </c>
      <c r="K6" s="263">
        <f t="shared" si="2"/>
        <v>0</v>
      </c>
      <c r="L6" s="263">
        <f t="shared" si="2"/>
        <v>0</v>
      </c>
      <c r="M6" s="264">
        <f>E6-D6</f>
        <v>-802</v>
      </c>
      <c r="N6" s="213">
        <f>IF(D6=0,0,M6/D6)</f>
        <v>-0.018990518947896835</v>
      </c>
      <c r="O6" s="217" t="s">
        <v>10</v>
      </c>
      <c r="P6" s="217"/>
      <c r="Q6" s="217"/>
      <c r="R6" s="217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>
        <f>SUM(AD7,AD11,AD14,AD23,AD26,AD52)</f>
        <v>41430000</v>
      </c>
      <c r="AE6" s="229" t="s">
        <v>68</v>
      </c>
      <c r="AF6" s="2"/>
    </row>
    <row r="7" spans="1:32" s="11" customFormat="1" ht="21" customHeight="1">
      <c r="A7" s="44"/>
      <c r="B7" s="45"/>
      <c r="C7" s="35" t="s">
        <v>17</v>
      </c>
      <c r="D7" s="111">
        <v>27108</v>
      </c>
      <c r="E7" s="111">
        <f>SUM(F7:L7)</f>
        <v>27108</v>
      </c>
      <c r="F7" s="111">
        <f>SUMIF($AB$8:$AB$10,"보조",$AD$8:$AD$10)/1000</f>
        <v>27108</v>
      </c>
      <c r="G7" s="111">
        <f>SUMIF($AB$8:$AB$10,"7종",$AD$8:$AD$10)/1000</f>
        <v>0</v>
      </c>
      <c r="H7" s="111">
        <f>SUMIF($AB$8:$AB$10,"시비",$AD$8:$AD$10)/1000</f>
        <v>0</v>
      </c>
      <c r="I7" s="111">
        <f>SUMIF($AB$8:$AB$10,"후원",$AD$8:$AD$10)/1000</f>
        <v>0</v>
      </c>
      <c r="J7" s="111">
        <f>SUMIF($AB$8:$AB$10,"입소",$AD$8:$AD$10)/1000</f>
        <v>0</v>
      </c>
      <c r="K7" s="111">
        <f>SUMIF($AB$8:$AB$10,"법인",$AD$8:$AD$10)/1000</f>
        <v>0</v>
      </c>
      <c r="L7" s="111">
        <f>SUMIF($AB$8:$AB$10,"잡수",$AD$8:$AD$10)/1000</f>
        <v>0</v>
      </c>
      <c r="M7" s="110">
        <f>E7-D7</f>
        <v>0</v>
      </c>
      <c r="N7" s="118">
        <f>IF(D7=0,0,M7/D7)</f>
        <v>0</v>
      </c>
      <c r="O7" s="113" t="s">
        <v>144</v>
      </c>
      <c r="P7" s="113"/>
      <c r="Q7" s="31"/>
      <c r="R7" s="31"/>
      <c r="S7" s="31"/>
      <c r="T7" s="32"/>
      <c r="U7" s="32"/>
      <c r="V7" s="32"/>
      <c r="W7" s="98" t="s">
        <v>200</v>
      </c>
      <c r="X7" s="98"/>
      <c r="Y7" s="98"/>
      <c r="Z7" s="98"/>
      <c r="AA7" s="98"/>
      <c r="AB7" s="98"/>
      <c r="AC7" s="115"/>
      <c r="AD7" s="115">
        <f>SUM(AD8:AD9)</f>
        <v>27108000</v>
      </c>
      <c r="AE7" s="116" t="s">
        <v>68</v>
      </c>
      <c r="AF7" s="1"/>
    </row>
    <row r="8" spans="1:32" s="11" customFormat="1" ht="21" customHeight="1">
      <c r="A8" s="44"/>
      <c r="B8" s="45"/>
      <c r="C8" s="45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69"/>
      <c r="O8" s="49" t="s">
        <v>248</v>
      </c>
      <c r="P8" s="31"/>
      <c r="Q8" s="31"/>
      <c r="R8" s="49" t="s">
        <v>76</v>
      </c>
      <c r="S8" s="277">
        <v>2191000</v>
      </c>
      <c r="T8" s="50" t="s">
        <v>68</v>
      </c>
      <c r="U8" s="49" t="s">
        <v>7</v>
      </c>
      <c r="V8" s="50">
        <v>4</v>
      </c>
      <c r="W8" s="50" t="s">
        <v>71</v>
      </c>
      <c r="X8" s="50"/>
      <c r="Y8" s="50"/>
      <c r="Z8" s="50" t="s">
        <v>77</v>
      </c>
      <c r="AA8" s="50"/>
      <c r="AB8" s="50" t="s">
        <v>4</v>
      </c>
      <c r="AC8" s="67"/>
      <c r="AD8" s="67">
        <f>S8*V8</f>
        <v>8764000</v>
      </c>
      <c r="AE8" s="56" t="s">
        <v>68</v>
      </c>
      <c r="AF8" s="2"/>
    </row>
    <row r="9" spans="1:32" s="11" customFormat="1" ht="21" customHeight="1">
      <c r="A9" s="44"/>
      <c r="B9" s="45"/>
      <c r="C9" s="45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69"/>
      <c r="O9" s="49"/>
      <c r="P9" s="31"/>
      <c r="Q9" s="31"/>
      <c r="R9" s="49" t="s">
        <v>57</v>
      </c>
      <c r="S9" s="277">
        <v>2293000</v>
      </c>
      <c r="T9" s="50" t="s">
        <v>68</v>
      </c>
      <c r="U9" s="49" t="s">
        <v>7</v>
      </c>
      <c r="V9" s="50">
        <v>8</v>
      </c>
      <c r="W9" s="50" t="s">
        <v>71</v>
      </c>
      <c r="X9" s="50"/>
      <c r="Y9" s="50"/>
      <c r="Z9" s="50" t="s">
        <v>77</v>
      </c>
      <c r="AA9" s="50"/>
      <c r="AB9" s="50" t="s">
        <v>4</v>
      </c>
      <c r="AC9" s="67"/>
      <c r="AD9" s="67">
        <f>S9*V9</f>
        <v>18344000</v>
      </c>
      <c r="AE9" s="56" t="s">
        <v>68</v>
      </c>
      <c r="AF9" s="2"/>
    </row>
    <row r="10" spans="1:32" s="11" customFormat="1" ht="21" customHeight="1">
      <c r="A10" s="44"/>
      <c r="B10" s="45"/>
      <c r="C10" s="45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69"/>
      <c r="O10" s="49"/>
      <c r="P10" s="49"/>
      <c r="Q10" s="49"/>
      <c r="R10" s="49"/>
      <c r="S10" s="49"/>
      <c r="T10" s="50"/>
      <c r="U10" s="50"/>
      <c r="V10" s="79"/>
      <c r="W10" s="79"/>
      <c r="X10" s="79"/>
      <c r="Y10" s="79"/>
      <c r="Z10" s="79"/>
      <c r="AA10" s="79"/>
      <c r="AB10" s="79"/>
      <c r="AC10" s="71"/>
      <c r="AD10" s="71"/>
      <c r="AE10" s="72"/>
      <c r="AF10" s="1"/>
    </row>
    <row r="11" spans="1:32" s="11" customFormat="1" ht="21" customHeight="1">
      <c r="A11" s="44"/>
      <c r="B11" s="45"/>
      <c r="C11" s="35" t="s">
        <v>171</v>
      </c>
      <c r="D11" s="111">
        <v>960</v>
      </c>
      <c r="E11" s="111">
        <f>SUM(F11:L11)</f>
        <v>0</v>
      </c>
      <c r="F11" s="111">
        <f>SUMIF($AB$12:$AB$13,"보조",$AD$12:$AD$13)/1000</f>
        <v>0</v>
      </c>
      <c r="G11" s="111">
        <f>SUMIF($AB$12:$AB$13,"7종",$AD$12:$AD$13)/1000</f>
        <v>0</v>
      </c>
      <c r="H11" s="111">
        <f>SUMIF($AB$12:$AB$13,"시비",$AD$12:$AD$13)/1000</f>
        <v>0</v>
      </c>
      <c r="I11" s="111">
        <f>SUMIF($AB$12:$AB$13,"후원",$AD$12:$AD$13)/1000</f>
        <v>0</v>
      </c>
      <c r="J11" s="111">
        <f>SUMIF($AB$12:$AB$13,"입소",$AD$12:$AD$13)/1000</f>
        <v>0</v>
      </c>
      <c r="K11" s="111">
        <f>SUMIF($AB$12:$AB$13,"법인",$AD$12:$AD$13)/1000</f>
        <v>0</v>
      </c>
      <c r="L11" s="111">
        <f>SUMIF($AB$12:$AB$13,"잡수",$AD$12:$AD$13)/1000</f>
        <v>0</v>
      </c>
      <c r="M11" s="110">
        <f>E11-D11</f>
        <v>-960</v>
      </c>
      <c r="N11" s="118">
        <f>IF(D11=0,0,M11/D11)</f>
        <v>-1</v>
      </c>
      <c r="O11" s="96" t="s">
        <v>188</v>
      </c>
      <c r="P11" s="147"/>
      <c r="Q11" s="92"/>
      <c r="R11" s="92"/>
      <c r="S11" s="92"/>
      <c r="T11" s="88"/>
      <c r="U11" s="88"/>
      <c r="V11" s="32"/>
      <c r="W11" s="98" t="s">
        <v>200</v>
      </c>
      <c r="X11" s="98"/>
      <c r="Y11" s="98"/>
      <c r="Z11" s="98"/>
      <c r="AA11" s="98"/>
      <c r="AB11" s="98"/>
      <c r="AC11" s="115"/>
      <c r="AD11" s="115">
        <f>SUM(AD12)</f>
        <v>0</v>
      </c>
      <c r="AE11" s="116" t="s">
        <v>68</v>
      </c>
      <c r="AF11" s="1"/>
    </row>
    <row r="12" spans="1:32" s="11" customFormat="1" ht="21" customHeight="1">
      <c r="A12" s="44"/>
      <c r="B12" s="45"/>
      <c r="C12" s="45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69"/>
      <c r="O12" s="80" t="s">
        <v>2</v>
      </c>
      <c r="P12" s="80"/>
      <c r="Q12" s="49"/>
      <c r="R12" s="49"/>
      <c r="S12" s="50"/>
      <c r="T12" s="50" t="s">
        <v>68</v>
      </c>
      <c r="U12" s="49" t="s">
        <v>7</v>
      </c>
      <c r="V12" s="50"/>
      <c r="W12" s="50" t="s">
        <v>25</v>
      </c>
      <c r="X12" s="49" t="s">
        <v>7</v>
      </c>
      <c r="Y12" s="55"/>
      <c r="Z12" s="90" t="s">
        <v>22</v>
      </c>
      <c r="AA12" s="90" t="s">
        <v>77</v>
      </c>
      <c r="AB12" s="50" t="s">
        <v>66</v>
      </c>
      <c r="AC12" s="67"/>
      <c r="AD12" s="50">
        <f>S12*V12*Y12</f>
        <v>0</v>
      </c>
      <c r="AE12" s="56" t="s">
        <v>68</v>
      </c>
      <c r="AF12" s="1"/>
    </row>
    <row r="13" spans="1:32" s="11" customFormat="1" ht="21" customHeight="1">
      <c r="A13" s="44"/>
      <c r="B13" s="45"/>
      <c r="C13" s="45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69"/>
      <c r="O13" s="49"/>
      <c r="P13" s="49"/>
      <c r="Q13" s="49"/>
      <c r="R13" s="49"/>
      <c r="S13" s="50"/>
      <c r="T13" s="50"/>
      <c r="U13" s="49"/>
      <c r="V13" s="50"/>
      <c r="W13" s="50"/>
      <c r="X13" s="49"/>
      <c r="Y13" s="91"/>
      <c r="Z13" s="50"/>
      <c r="AA13" s="50"/>
      <c r="AB13" s="50"/>
      <c r="AC13" s="67"/>
      <c r="AD13" s="50"/>
      <c r="AE13" s="56"/>
      <c r="AF13" s="1"/>
    </row>
    <row r="14" spans="1:32" s="11" customFormat="1" ht="21" customHeight="1">
      <c r="A14" s="44"/>
      <c r="B14" s="45"/>
      <c r="C14" s="35" t="s">
        <v>11</v>
      </c>
      <c r="D14" s="111">
        <v>7554.6</v>
      </c>
      <c r="E14" s="111">
        <f>SUM(F14:L14)</f>
        <v>7554.6</v>
      </c>
      <c r="F14" s="111">
        <f>SUMIF($AB$16:$AB$22,"보조",$AD$16:$AD$22)/1000</f>
        <v>7554.6</v>
      </c>
      <c r="G14" s="111">
        <f>SUMIF($AB$16:$AB$22,"7종",$AD$16:$AD$22)/1000</f>
        <v>0</v>
      </c>
      <c r="H14" s="111">
        <f>SUMIF($AB$16:$AB$22,"시비",$AD$16:$AD$22)/1000</f>
        <v>0</v>
      </c>
      <c r="I14" s="111">
        <f>SUMIF($AB$16:$AB$22,"후원",$AD$16:$AD$22)/1000</f>
        <v>0</v>
      </c>
      <c r="J14" s="111">
        <f>SUMIF($AB$16:$AB$22,"입소",$AD$16:$AD$22)/1000</f>
        <v>0</v>
      </c>
      <c r="K14" s="111">
        <f>SUMIF($AB$16:$AB$22,"법인",$AD$16:$AD$22)/1000</f>
        <v>0</v>
      </c>
      <c r="L14" s="111">
        <f>SUMIF($AB$16:$AB$22,"잡수",$AD$16:$AD$22)/1000</f>
        <v>0</v>
      </c>
      <c r="M14" s="110">
        <f>E14-D14</f>
        <v>0</v>
      </c>
      <c r="N14" s="118">
        <f>IF(D14=0,0,M14/D14)</f>
        <v>0</v>
      </c>
      <c r="O14" s="96" t="s">
        <v>154</v>
      </c>
      <c r="P14" s="147"/>
      <c r="Q14" s="92"/>
      <c r="R14" s="92"/>
      <c r="S14" s="92"/>
      <c r="T14" s="88"/>
      <c r="U14" s="88"/>
      <c r="V14" s="88"/>
      <c r="W14" s="148" t="s">
        <v>200</v>
      </c>
      <c r="X14" s="148"/>
      <c r="Y14" s="148"/>
      <c r="Z14" s="148"/>
      <c r="AA14" s="148"/>
      <c r="AB14" s="148"/>
      <c r="AC14" s="150"/>
      <c r="AD14" s="150">
        <f>SUM(명절휴가비,연장근로수당)</f>
        <v>7555000</v>
      </c>
      <c r="AE14" s="149" t="s">
        <v>68</v>
      </c>
      <c r="AF14" s="1"/>
    </row>
    <row r="15" spans="1:32" s="11" customFormat="1" ht="21" customHeight="1">
      <c r="A15" s="44"/>
      <c r="B15" s="45"/>
      <c r="C15" s="45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69"/>
      <c r="O15" s="80" t="s">
        <v>157</v>
      </c>
      <c r="P15" s="49"/>
      <c r="Q15" s="49"/>
      <c r="R15" s="49"/>
      <c r="S15" s="49"/>
      <c r="T15" s="50"/>
      <c r="U15" s="50"/>
      <c r="V15" s="50"/>
      <c r="W15" s="79" t="s">
        <v>295</v>
      </c>
      <c r="X15" s="79"/>
      <c r="Y15" s="79"/>
      <c r="Z15" s="79"/>
      <c r="AA15" s="79"/>
      <c r="AB15" s="79"/>
      <c r="AC15" s="71" t="s">
        <v>37</v>
      </c>
      <c r="AD15" s="71">
        <f>ROUND(SUM(AD16:AD18),-3)</f>
        <v>2691000</v>
      </c>
      <c r="AE15" s="72" t="s">
        <v>68</v>
      </c>
      <c r="AF15" s="17"/>
    </row>
    <row r="16" spans="1:32" s="11" customFormat="1" ht="21" customHeight="1">
      <c r="A16" s="44"/>
      <c r="B16" s="45"/>
      <c r="C16" s="4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69"/>
      <c r="O16" s="49" t="s">
        <v>248</v>
      </c>
      <c r="P16" s="49"/>
      <c r="Q16" s="49"/>
      <c r="R16" s="49" t="s">
        <v>76</v>
      </c>
      <c r="S16" s="277">
        <v>2191000</v>
      </c>
      <c r="T16" s="50" t="s">
        <v>68</v>
      </c>
      <c r="U16" s="49" t="s">
        <v>7</v>
      </c>
      <c r="V16" s="76">
        <v>0.6</v>
      </c>
      <c r="W16" s="49"/>
      <c r="X16" s="50"/>
      <c r="Y16" s="50"/>
      <c r="Z16" s="50" t="s">
        <v>77</v>
      </c>
      <c r="AA16" s="50"/>
      <c r="AB16" s="50" t="s">
        <v>4</v>
      </c>
      <c r="AC16" s="67"/>
      <c r="AD16" s="67">
        <f>ROUND(S16*V16,-2)</f>
        <v>1314600</v>
      </c>
      <c r="AE16" s="56" t="s">
        <v>68</v>
      </c>
      <c r="AF16" s="17"/>
    </row>
    <row r="17" spans="1:32" s="11" customFormat="1" ht="21" customHeight="1">
      <c r="A17" s="44"/>
      <c r="B17" s="45"/>
      <c r="C17" s="4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69"/>
      <c r="O17" s="49"/>
      <c r="P17" s="49"/>
      <c r="Q17" s="49"/>
      <c r="R17" s="49" t="s">
        <v>57</v>
      </c>
      <c r="S17" s="277">
        <v>2293000</v>
      </c>
      <c r="T17" s="50" t="s">
        <v>68</v>
      </c>
      <c r="U17" s="49" t="s">
        <v>7</v>
      </c>
      <c r="V17" s="76">
        <v>0.6</v>
      </c>
      <c r="W17" s="50"/>
      <c r="X17" s="50"/>
      <c r="Y17" s="50"/>
      <c r="Z17" s="50" t="s">
        <v>77</v>
      </c>
      <c r="AA17" s="50"/>
      <c r="AB17" s="50" t="s">
        <v>4</v>
      </c>
      <c r="AC17" s="67"/>
      <c r="AD17" s="67">
        <f>ROUND(S17*V17,-3)</f>
        <v>1376000</v>
      </c>
      <c r="AE17" s="56" t="s">
        <v>68</v>
      </c>
      <c r="AF17" s="17"/>
    </row>
    <row r="18" spans="1:32" s="11" customFormat="1" ht="21" customHeight="1">
      <c r="A18" s="44"/>
      <c r="B18" s="45"/>
      <c r="C18" s="4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69"/>
      <c r="O18" s="49"/>
      <c r="P18" s="49"/>
      <c r="Q18" s="49"/>
      <c r="R18" s="49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67"/>
      <c r="AD18" s="67"/>
      <c r="AE18" s="56"/>
      <c r="AF18" s="17"/>
    </row>
    <row r="19" spans="1:32" s="11" customFormat="1" ht="21" customHeight="1">
      <c r="A19" s="44"/>
      <c r="B19" s="45"/>
      <c r="C19" s="45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69"/>
      <c r="O19" s="80" t="s">
        <v>259</v>
      </c>
      <c r="P19" s="49"/>
      <c r="Q19" s="49"/>
      <c r="R19" s="49"/>
      <c r="S19" s="49"/>
      <c r="T19" s="50"/>
      <c r="U19" s="50"/>
      <c r="V19" s="50"/>
      <c r="W19" s="79" t="s">
        <v>295</v>
      </c>
      <c r="X19" s="79"/>
      <c r="Y19" s="79"/>
      <c r="Z19" s="79"/>
      <c r="AA19" s="79"/>
      <c r="AB19" s="79"/>
      <c r="AC19" s="71" t="s">
        <v>37</v>
      </c>
      <c r="AD19" s="71">
        <f>ROUND(SUM(AD20:AD22),-3)</f>
        <v>4864000</v>
      </c>
      <c r="AE19" s="72" t="s">
        <v>68</v>
      </c>
      <c r="AF19" s="17"/>
    </row>
    <row r="20" spans="1:32" s="11" customFormat="1" ht="21" customHeight="1">
      <c r="A20" s="44"/>
      <c r="B20" s="45"/>
      <c r="C20" s="45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69"/>
      <c r="O20" s="49" t="s">
        <v>248</v>
      </c>
      <c r="P20" s="49"/>
      <c r="Q20" s="49"/>
      <c r="R20" s="49" t="s">
        <v>76</v>
      </c>
      <c r="S20" s="277">
        <v>2191000</v>
      </c>
      <c r="T20" s="50" t="s">
        <v>68</v>
      </c>
      <c r="U20" s="90" t="s">
        <v>16</v>
      </c>
      <c r="V20" s="320">
        <v>209</v>
      </c>
      <c r="W20" s="321">
        <v>1.5</v>
      </c>
      <c r="X20" s="49" t="s">
        <v>7</v>
      </c>
      <c r="Y20" s="323">
        <v>25</v>
      </c>
      <c r="Z20" s="322">
        <v>4</v>
      </c>
      <c r="AA20" s="50" t="s">
        <v>77</v>
      </c>
      <c r="AB20" s="50" t="s">
        <v>4</v>
      </c>
      <c r="AC20" s="67"/>
      <c r="AD20" s="67">
        <f>ROUND(ROUNDDOWN(S20/V20*W20*Y20,-1)*Z20,-3)</f>
        <v>1572000</v>
      </c>
      <c r="AE20" s="56" t="s">
        <v>68</v>
      </c>
      <c r="AF20" s="17"/>
    </row>
    <row r="21" spans="1:32" s="11" customFormat="1" ht="21" customHeight="1">
      <c r="A21" s="44"/>
      <c r="B21" s="45"/>
      <c r="C21" s="45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69"/>
      <c r="O21" s="49"/>
      <c r="P21" s="49"/>
      <c r="Q21" s="49"/>
      <c r="R21" s="49" t="s">
        <v>57</v>
      </c>
      <c r="S21" s="277">
        <v>2293000</v>
      </c>
      <c r="T21" s="50" t="s">
        <v>68</v>
      </c>
      <c r="U21" s="90" t="s">
        <v>16</v>
      </c>
      <c r="V21" s="320">
        <v>209</v>
      </c>
      <c r="W21" s="321">
        <v>1.5</v>
      </c>
      <c r="X21" s="49" t="s">
        <v>7</v>
      </c>
      <c r="Y21" s="323">
        <v>25</v>
      </c>
      <c r="Z21" s="322">
        <v>8</v>
      </c>
      <c r="AA21" s="50" t="s">
        <v>77</v>
      </c>
      <c r="AB21" s="50" t="s">
        <v>4</v>
      </c>
      <c r="AC21" s="67"/>
      <c r="AD21" s="67">
        <f>ROUNDUP(ROUNDDOWN(S21/V21*W21*Y21,-1)*Z21,-3)</f>
        <v>3292000</v>
      </c>
      <c r="AE21" s="56" t="s">
        <v>68</v>
      </c>
      <c r="AF21" s="17"/>
    </row>
    <row r="22" spans="1:32" s="11" customFormat="1" ht="21" customHeight="1">
      <c r="A22" s="44"/>
      <c r="B22" s="45"/>
      <c r="C22" s="4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69"/>
      <c r="O22" s="49"/>
      <c r="P22" s="49"/>
      <c r="Q22" s="49"/>
      <c r="R22" s="49"/>
      <c r="S22" s="277"/>
      <c r="T22" s="50"/>
      <c r="U22" s="90"/>
      <c r="V22" s="320"/>
      <c r="W22" s="321"/>
      <c r="X22" s="49"/>
      <c r="Y22" s="323"/>
      <c r="Z22" s="322"/>
      <c r="AA22" s="50"/>
      <c r="AB22" s="50"/>
      <c r="AC22" s="67"/>
      <c r="AD22" s="67"/>
      <c r="AE22" s="56"/>
      <c r="AF22" s="17"/>
    </row>
    <row r="23" spans="1:32" s="11" customFormat="1" ht="21" customHeight="1">
      <c r="A23" s="44"/>
      <c r="B23" s="45"/>
      <c r="C23" s="35" t="s">
        <v>166</v>
      </c>
      <c r="D23" s="111">
        <v>2889</v>
      </c>
      <c r="E23" s="111">
        <f>SUM(F23:L23)</f>
        <v>2889</v>
      </c>
      <c r="F23" s="111">
        <f>SUMIF($AB$24:$AB$25,"보조",$AD$24:$AD$25)/1000</f>
        <v>2889</v>
      </c>
      <c r="G23" s="111">
        <f>SUMIF($AB$24:$AB$25,"7종",$AD$24:$AD$25)/1000</f>
        <v>0</v>
      </c>
      <c r="H23" s="111">
        <f>SUMIF($AB$24:$AB$25,"시비",$AD$24:$AD$25)/1000</f>
        <v>0</v>
      </c>
      <c r="I23" s="111">
        <f>SUMIF($AB$24:$AB$25,"후원",$AD$24:$AD$25)/1000</f>
        <v>0</v>
      </c>
      <c r="J23" s="111">
        <f>SUMIF($AB$24:$AB$25,"입소",$AD$24:$AD$25)/1000</f>
        <v>0</v>
      </c>
      <c r="K23" s="111">
        <f>SUMIF($AB$24:$AB$25,"법인",$AD$24:$AD$25)/1000</f>
        <v>0</v>
      </c>
      <c r="L23" s="111">
        <f>SUMIF($AB$24:$AB$25,"잡수",$AD$24:$AD$25)/1000</f>
        <v>0</v>
      </c>
      <c r="M23" s="110">
        <f>E23-D23</f>
        <v>0</v>
      </c>
      <c r="N23" s="118">
        <f>IF(D23=0,0,M23/D23)</f>
        <v>0</v>
      </c>
      <c r="O23" s="96" t="s">
        <v>184</v>
      </c>
      <c r="P23" s="147"/>
      <c r="Q23" s="92"/>
      <c r="R23" s="92"/>
      <c r="S23" s="92"/>
      <c r="T23" s="88"/>
      <c r="U23" s="88"/>
      <c r="V23" s="88"/>
      <c r="W23" s="148" t="s">
        <v>295</v>
      </c>
      <c r="X23" s="148"/>
      <c r="Y23" s="148"/>
      <c r="Z23" s="148"/>
      <c r="AA23" s="148"/>
      <c r="AB23" s="148"/>
      <c r="AC23" s="150" t="s">
        <v>37</v>
      </c>
      <c r="AD23" s="150">
        <f>ROUND(SUM(AD24:AD24),-3)</f>
        <v>2889000</v>
      </c>
      <c r="AE23" s="149" t="s">
        <v>68</v>
      </c>
      <c r="AF23" s="2"/>
    </row>
    <row r="24" spans="1:32" s="11" customFormat="1" ht="21" customHeight="1">
      <c r="A24" s="44"/>
      <c r="B24" s="45"/>
      <c r="C24" s="45"/>
      <c r="D24" s="107"/>
      <c r="E24" s="107"/>
      <c r="F24" s="107"/>
      <c r="G24" s="107"/>
      <c r="H24" s="107"/>
      <c r="I24" s="107"/>
      <c r="J24" s="107"/>
      <c r="K24" s="107"/>
      <c r="L24" s="107"/>
      <c r="M24" s="112"/>
      <c r="N24" s="69"/>
      <c r="O24" s="49"/>
      <c r="P24" s="49"/>
      <c r="Q24" s="49"/>
      <c r="R24" s="49"/>
      <c r="S24" s="50">
        <f>SUM(AD7,AD14)-AD22</f>
        <v>34663000</v>
      </c>
      <c r="T24" s="90" t="s">
        <v>68</v>
      </c>
      <c r="U24" s="90" t="s">
        <v>16</v>
      </c>
      <c r="V24" s="336">
        <v>12</v>
      </c>
      <c r="W24" s="73" t="s">
        <v>71</v>
      </c>
      <c r="X24" s="50"/>
      <c r="Y24" s="50"/>
      <c r="Z24" s="50"/>
      <c r="AA24" s="50" t="s">
        <v>77</v>
      </c>
      <c r="AB24" s="50" t="s">
        <v>4</v>
      </c>
      <c r="AC24" s="67"/>
      <c r="AD24" s="67">
        <f>ROUNDUP(S24/V24,-3)</f>
        <v>2889000</v>
      </c>
      <c r="AE24" s="56" t="s">
        <v>68</v>
      </c>
      <c r="AF24" s="2"/>
    </row>
    <row r="25" spans="1:32" s="11" customFormat="1" ht="21" customHeight="1">
      <c r="A25" s="44"/>
      <c r="B25" s="45"/>
      <c r="C25" s="45"/>
      <c r="D25" s="107"/>
      <c r="E25" s="107"/>
      <c r="F25" s="107"/>
      <c r="G25" s="107"/>
      <c r="H25" s="107"/>
      <c r="I25" s="107"/>
      <c r="J25" s="107"/>
      <c r="K25" s="107"/>
      <c r="L25" s="107"/>
      <c r="M25" s="112"/>
      <c r="N25" s="69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51"/>
      <c r="AD25" s="51"/>
      <c r="AE25" s="33"/>
      <c r="AF25" s="2"/>
    </row>
    <row r="26" spans="1:31" s="11" customFormat="1" ht="21" customHeight="1">
      <c r="A26" s="44"/>
      <c r="B26" s="45"/>
      <c r="C26" s="35" t="s">
        <v>148</v>
      </c>
      <c r="D26" s="111">
        <v>3350</v>
      </c>
      <c r="E26" s="111">
        <f>SUM(F26:L26)</f>
        <v>3508</v>
      </c>
      <c r="F26" s="111">
        <v>3508</v>
      </c>
      <c r="G26" s="111">
        <f>SUMIF($AB$29:$AB$51,"7종",$AD$29:$AD$51)/1000</f>
        <v>0</v>
      </c>
      <c r="H26" s="111">
        <f>SUMIF($AB$29:$AB$51,"시비",$AD$29:$AD$51)/1000</f>
        <v>0</v>
      </c>
      <c r="I26" s="111">
        <f>SUMIF($AB$29:$AB$51,"후원",$AD$29:$AD$51)/1000</f>
        <v>0</v>
      </c>
      <c r="J26" s="111">
        <f>SUMIF($AB$29:$AB$51,"입소",$AD$29:$AD$51)/1000</f>
        <v>0</v>
      </c>
      <c r="K26" s="111">
        <f>SUMIF($AB$29:$AB$51,"법인",$AD$29:$AD$51)/1000</f>
        <v>0</v>
      </c>
      <c r="L26" s="111">
        <f>SUMIF($AB$29:$AB$51,"잡수",$AD$29:$AD$51)/1000</f>
        <v>0</v>
      </c>
      <c r="M26" s="110">
        <f>E26-D26</f>
        <v>158</v>
      </c>
      <c r="N26" s="118">
        <f>IF(D26=0,0,M26/D26)</f>
        <v>0.047164179104477615</v>
      </c>
      <c r="O26" s="96" t="s">
        <v>269</v>
      </c>
      <c r="P26" s="147"/>
      <c r="Q26" s="92"/>
      <c r="R26" s="92"/>
      <c r="S26" s="92"/>
      <c r="T26" s="88"/>
      <c r="U26" s="88"/>
      <c r="V26" s="92"/>
      <c r="W26" s="148" t="s">
        <v>200</v>
      </c>
      <c r="X26" s="148"/>
      <c r="Y26" s="148"/>
      <c r="Z26" s="148"/>
      <c r="AA26" s="148"/>
      <c r="AB26" s="148"/>
      <c r="AC26" s="150"/>
      <c r="AD26" s="150">
        <f>SUM(AD28,AD32,AD36,AD40,AD44,AD48)</f>
        <v>3508000</v>
      </c>
      <c r="AE26" s="149" t="s">
        <v>68</v>
      </c>
    </row>
    <row r="27" spans="1:32" s="11" customFormat="1" ht="21" customHeight="1">
      <c r="A27" s="44"/>
      <c r="B27" s="45"/>
      <c r="C27" s="45" t="s">
        <v>29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69"/>
      <c r="O27" s="31"/>
      <c r="P27" s="31"/>
      <c r="Q27" s="31"/>
      <c r="R27" s="31"/>
      <c r="S27" s="31"/>
      <c r="T27" s="32"/>
      <c r="U27" s="32"/>
      <c r="V27" s="31"/>
      <c r="W27" s="32"/>
      <c r="X27" s="32"/>
      <c r="Y27" s="32"/>
      <c r="Z27" s="32"/>
      <c r="AA27" s="32"/>
      <c r="AB27" s="32"/>
      <c r="AC27" s="51"/>
      <c r="AD27" s="51"/>
      <c r="AE27" s="33"/>
      <c r="AF27" s="2"/>
    </row>
    <row r="28" spans="1:32" s="11" customFormat="1" ht="21" customHeight="1">
      <c r="A28" s="44"/>
      <c r="B28" s="45"/>
      <c r="C28" s="45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69"/>
      <c r="O28" s="80" t="s">
        <v>312</v>
      </c>
      <c r="P28" s="49"/>
      <c r="Q28" s="49"/>
      <c r="R28" s="49"/>
      <c r="S28" s="49"/>
      <c r="T28" s="50"/>
      <c r="U28" s="50"/>
      <c r="V28" s="49"/>
      <c r="W28" s="79" t="s">
        <v>295</v>
      </c>
      <c r="X28" s="79"/>
      <c r="Y28" s="79"/>
      <c r="Z28" s="79"/>
      <c r="AA28" s="79"/>
      <c r="AB28" s="79"/>
      <c r="AC28" s="71"/>
      <c r="AD28" s="71">
        <f>AD29+AD30+480</f>
        <v>1614000</v>
      </c>
      <c r="AE28" s="72" t="s">
        <v>68</v>
      </c>
      <c r="AF28" s="2"/>
    </row>
    <row r="29" spans="1:32" s="11" customFormat="1" ht="21" customHeight="1">
      <c r="A29" s="44"/>
      <c r="B29" s="45"/>
      <c r="C29" s="4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69"/>
      <c r="O29" s="49"/>
      <c r="P29" s="49"/>
      <c r="Q29" s="49"/>
      <c r="R29" s="49"/>
      <c r="S29" s="50">
        <v>135900</v>
      </c>
      <c r="T29" s="90" t="s">
        <v>68</v>
      </c>
      <c r="U29" s="73" t="s">
        <v>7</v>
      </c>
      <c r="V29" s="348">
        <v>6</v>
      </c>
      <c r="W29" s="90" t="s">
        <v>360</v>
      </c>
      <c r="X29" s="275"/>
      <c r="Y29" s="75"/>
      <c r="Z29" s="75"/>
      <c r="AA29" s="90" t="s">
        <v>77</v>
      </c>
      <c r="AB29" s="50" t="s">
        <v>4</v>
      </c>
      <c r="AC29" s="67"/>
      <c r="AD29" s="67">
        <f>S29*V29</f>
        <v>815400</v>
      </c>
      <c r="AE29" s="56" t="s">
        <v>68</v>
      </c>
      <c r="AF29" s="2"/>
    </row>
    <row r="30" spans="1:32" s="11" customFormat="1" ht="21" customHeight="1">
      <c r="A30" s="44"/>
      <c r="B30" s="45"/>
      <c r="C30" s="4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69"/>
      <c r="O30" s="49"/>
      <c r="P30" s="49"/>
      <c r="Q30" s="49"/>
      <c r="R30" s="49"/>
      <c r="S30" s="50">
        <v>133020</v>
      </c>
      <c r="T30" s="90" t="s">
        <v>68</v>
      </c>
      <c r="U30" s="73" t="s">
        <v>7</v>
      </c>
      <c r="V30" s="348">
        <v>6</v>
      </c>
      <c r="W30" s="90" t="s">
        <v>361</v>
      </c>
      <c r="X30" s="275"/>
      <c r="Y30" s="75"/>
      <c r="Z30" s="75"/>
      <c r="AA30" s="90" t="s">
        <v>77</v>
      </c>
      <c r="AB30" s="50" t="s">
        <v>4</v>
      </c>
      <c r="AC30" s="67"/>
      <c r="AD30" s="67">
        <f>S30*V30</f>
        <v>798120</v>
      </c>
      <c r="AE30" s="56" t="s">
        <v>68</v>
      </c>
      <c r="AF30" s="2"/>
    </row>
    <row r="31" spans="1:32" s="11" customFormat="1" ht="21" customHeight="1">
      <c r="A31" s="44"/>
      <c r="B31" s="45"/>
      <c r="C31" s="4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69"/>
      <c r="O31" s="49"/>
      <c r="P31" s="49"/>
      <c r="Q31" s="49"/>
      <c r="R31" s="49"/>
      <c r="S31" s="50"/>
      <c r="T31" s="90"/>
      <c r="U31" s="73"/>
      <c r="V31" s="348"/>
      <c r="W31" s="90"/>
      <c r="X31" s="275"/>
      <c r="Y31" s="75"/>
      <c r="Z31" s="75"/>
      <c r="AA31" s="90"/>
      <c r="AB31" s="50"/>
      <c r="AC31" s="67"/>
      <c r="AD31" s="67"/>
      <c r="AE31" s="56"/>
      <c r="AF31" s="2"/>
    </row>
    <row r="32" spans="1:32" s="11" customFormat="1" ht="21" customHeight="1">
      <c r="A32" s="44"/>
      <c r="B32" s="45"/>
      <c r="C32" s="4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69"/>
      <c r="O32" s="49" t="s">
        <v>318</v>
      </c>
      <c r="P32" s="49"/>
      <c r="Q32" s="49"/>
      <c r="R32" s="49"/>
      <c r="S32" s="50"/>
      <c r="T32" s="90"/>
      <c r="U32" s="73"/>
      <c r="V32" s="348"/>
      <c r="W32" s="171" t="s">
        <v>295</v>
      </c>
      <c r="X32" s="351"/>
      <c r="Y32" s="181"/>
      <c r="Z32" s="181"/>
      <c r="AA32" s="171"/>
      <c r="AB32" s="79"/>
      <c r="AC32" s="71" t="s">
        <v>37</v>
      </c>
      <c r="AD32" s="71">
        <f>AD33+AD34+560</f>
        <v>1130000</v>
      </c>
      <c r="AE32" s="72" t="s">
        <v>68</v>
      </c>
      <c r="AF32" s="2"/>
    </row>
    <row r="33" spans="1:32" s="11" customFormat="1" ht="21" customHeight="1">
      <c r="A33" s="44"/>
      <c r="B33" s="45"/>
      <c r="C33" s="45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69"/>
      <c r="O33" s="80"/>
      <c r="P33" s="49"/>
      <c r="Q33" s="49"/>
      <c r="R33" s="49"/>
      <c r="S33" s="50">
        <v>94220</v>
      </c>
      <c r="T33" s="50" t="s">
        <v>68</v>
      </c>
      <c r="U33" s="90" t="s">
        <v>7</v>
      </c>
      <c r="V33" s="49">
        <v>4</v>
      </c>
      <c r="W33" s="50" t="s">
        <v>362</v>
      </c>
      <c r="X33" s="50"/>
      <c r="Y33" s="50"/>
      <c r="Z33" s="50"/>
      <c r="AA33" s="50" t="s">
        <v>77</v>
      </c>
      <c r="AB33" s="50" t="s">
        <v>4</v>
      </c>
      <c r="AC33" s="67"/>
      <c r="AD33" s="67">
        <f>S33*V33</f>
        <v>376880</v>
      </c>
      <c r="AE33" s="56" t="s">
        <v>68</v>
      </c>
      <c r="AF33" s="2"/>
    </row>
    <row r="34" spans="1:32" s="11" customFormat="1" ht="21" customHeight="1">
      <c r="A34" s="44"/>
      <c r="B34" s="45"/>
      <c r="C34" s="45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69"/>
      <c r="O34" s="49"/>
      <c r="P34" s="49"/>
      <c r="Q34" s="49"/>
      <c r="R34" s="49"/>
      <c r="S34" s="50">
        <v>94070</v>
      </c>
      <c r="T34" s="50" t="s">
        <v>68</v>
      </c>
      <c r="U34" s="90" t="s">
        <v>7</v>
      </c>
      <c r="V34" s="49">
        <v>8</v>
      </c>
      <c r="W34" s="50" t="s">
        <v>360</v>
      </c>
      <c r="X34" s="50"/>
      <c r="Y34" s="50"/>
      <c r="Z34" s="50"/>
      <c r="AA34" s="50" t="s">
        <v>77</v>
      </c>
      <c r="AB34" s="50" t="s">
        <v>4</v>
      </c>
      <c r="AC34" s="67"/>
      <c r="AD34" s="67">
        <f>S34*V34</f>
        <v>752560</v>
      </c>
      <c r="AE34" s="56" t="s">
        <v>68</v>
      </c>
      <c r="AF34" s="2"/>
    </row>
    <row r="35" spans="1:32" s="11" customFormat="1" ht="21" customHeight="1">
      <c r="A35" s="44"/>
      <c r="B35" s="45"/>
      <c r="C35" s="4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69"/>
      <c r="O35" s="49"/>
      <c r="P35" s="49"/>
      <c r="Q35" s="49"/>
      <c r="R35" s="49"/>
      <c r="S35" s="50"/>
      <c r="T35" s="90"/>
      <c r="U35" s="73"/>
      <c r="V35" s="348"/>
      <c r="W35" s="90"/>
      <c r="X35" s="276"/>
      <c r="Y35" s="75"/>
      <c r="Z35" s="75"/>
      <c r="AA35" s="90"/>
      <c r="AB35" s="50"/>
      <c r="AC35" s="67"/>
      <c r="AD35" s="67"/>
      <c r="AE35" s="56"/>
      <c r="AF35" s="2"/>
    </row>
    <row r="36" spans="1:32" s="11" customFormat="1" ht="21" customHeight="1">
      <c r="A36" s="44"/>
      <c r="B36" s="45"/>
      <c r="C36" s="4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69"/>
      <c r="O36" s="49" t="s">
        <v>294</v>
      </c>
      <c r="P36" s="49"/>
      <c r="Q36" s="49"/>
      <c r="R36" s="49"/>
      <c r="S36" s="50"/>
      <c r="T36" s="90"/>
      <c r="U36" s="73"/>
      <c r="V36" s="348"/>
      <c r="W36" s="171" t="s">
        <v>295</v>
      </c>
      <c r="X36" s="352"/>
      <c r="Y36" s="181"/>
      <c r="Z36" s="181"/>
      <c r="AA36" s="171"/>
      <c r="AB36" s="79"/>
      <c r="AC36" s="71" t="s">
        <v>37</v>
      </c>
      <c r="AD36" s="71">
        <f>AD37+AD38</f>
        <v>84000</v>
      </c>
      <c r="AE36" s="72" t="s">
        <v>68</v>
      </c>
      <c r="AF36" s="2"/>
    </row>
    <row r="37" spans="1:32" s="11" customFormat="1" ht="21" customHeight="1">
      <c r="A37" s="44"/>
      <c r="B37" s="45"/>
      <c r="C37" s="4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69"/>
      <c r="O37" s="49"/>
      <c r="P37" s="49"/>
      <c r="Q37" s="49"/>
      <c r="R37" s="49"/>
      <c r="S37" s="50">
        <v>6950</v>
      </c>
      <c r="T37" s="90" t="s">
        <v>68</v>
      </c>
      <c r="U37" s="73" t="s">
        <v>7</v>
      </c>
      <c r="V37" s="49">
        <v>4</v>
      </c>
      <c r="W37" s="90" t="s">
        <v>363</v>
      </c>
      <c r="X37" s="50"/>
      <c r="Y37" s="50"/>
      <c r="Z37" s="50"/>
      <c r="AA37" s="90" t="s">
        <v>77</v>
      </c>
      <c r="AB37" s="50" t="s">
        <v>4</v>
      </c>
      <c r="AC37" s="67"/>
      <c r="AD37" s="67">
        <f>ROUND(S37*V37,-3)</f>
        <v>28000</v>
      </c>
      <c r="AE37" s="56" t="s">
        <v>68</v>
      </c>
      <c r="AF37" s="2"/>
    </row>
    <row r="38" spans="1:32" s="11" customFormat="1" ht="21" customHeight="1">
      <c r="A38" s="44"/>
      <c r="B38" s="45"/>
      <c r="C38" s="4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69"/>
      <c r="O38" s="49"/>
      <c r="P38" s="49"/>
      <c r="Q38" s="49"/>
      <c r="R38" s="49"/>
      <c r="S38" s="50">
        <v>6940</v>
      </c>
      <c r="T38" s="90" t="s">
        <v>68</v>
      </c>
      <c r="U38" s="73" t="s">
        <v>7</v>
      </c>
      <c r="V38" s="49">
        <v>8</v>
      </c>
      <c r="W38" s="90" t="s">
        <v>364</v>
      </c>
      <c r="X38" s="50"/>
      <c r="Y38" s="50"/>
      <c r="Z38" s="50"/>
      <c r="AA38" s="90" t="s">
        <v>77</v>
      </c>
      <c r="AB38" s="50" t="s">
        <v>4</v>
      </c>
      <c r="AC38" s="67"/>
      <c r="AD38" s="67">
        <f>ROUND(S38*V38,-3)</f>
        <v>56000</v>
      </c>
      <c r="AE38" s="56" t="s">
        <v>68</v>
      </c>
      <c r="AF38" s="2"/>
    </row>
    <row r="39" spans="1:32" s="11" customFormat="1" ht="21" customHeight="1">
      <c r="A39" s="44"/>
      <c r="B39" s="45"/>
      <c r="C39" s="4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9"/>
      <c r="O39" s="80"/>
      <c r="P39" s="49"/>
      <c r="Q39" s="49"/>
      <c r="R39" s="49"/>
      <c r="S39" s="49"/>
      <c r="T39" s="50"/>
      <c r="U39" s="50"/>
      <c r="V39" s="49"/>
      <c r="W39" s="50"/>
      <c r="X39" s="50"/>
      <c r="Y39" s="50"/>
      <c r="Z39" s="50"/>
      <c r="AA39" s="50"/>
      <c r="AB39" s="50"/>
      <c r="AC39" s="67"/>
      <c r="AD39" s="67"/>
      <c r="AE39" s="56"/>
      <c r="AF39" s="2"/>
    </row>
    <row r="40" spans="1:32" s="11" customFormat="1" ht="21" customHeight="1">
      <c r="A40" s="44"/>
      <c r="B40" s="45"/>
      <c r="C40" s="45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69"/>
      <c r="O40" s="49" t="s">
        <v>326</v>
      </c>
      <c r="P40" s="49"/>
      <c r="Q40" s="49"/>
      <c r="R40" s="49"/>
      <c r="S40" s="277"/>
      <c r="T40" s="90"/>
      <c r="U40" s="73"/>
      <c r="V40" s="348"/>
      <c r="W40" s="178" t="s">
        <v>295</v>
      </c>
      <c r="X40" s="180"/>
      <c r="Y40" s="181"/>
      <c r="Z40" s="181"/>
      <c r="AA40" s="171"/>
      <c r="AB40" s="79"/>
      <c r="AC40" s="71" t="s">
        <v>37</v>
      </c>
      <c r="AD40" s="71">
        <f>AD41+AD42+320</f>
        <v>326000</v>
      </c>
      <c r="AE40" s="72" t="s">
        <v>68</v>
      </c>
      <c r="AF40" s="2"/>
    </row>
    <row r="41" spans="1:32" s="11" customFormat="1" ht="21" customHeight="1">
      <c r="A41" s="44"/>
      <c r="B41" s="45"/>
      <c r="C41" s="45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69"/>
      <c r="O41" s="49"/>
      <c r="P41" s="49"/>
      <c r="Q41" s="49"/>
      <c r="R41" s="49"/>
      <c r="S41" s="277">
        <v>27180</v>
      </c>
      <c r="T41" s="90" t="s">
        <v>68</v>
      </c>
      <c r="U41" s="73" t="s">
        <v>7</v>
      </c>
      <c r="V41" s="54">
        <v>4</v>
      </c>
      <c r="W41" s="90" t="s">
        <v>365</v>
      </c>
      <c r="X41" s="78"/>
      <c r="Y41" s="75"/>
      <c r="Z41" s="75"/>
      <c r="AA41" s="90" t="s">
        <v>77</v>
      </c>
      <c r="AB41" s="50" t="s">
        <v>4</v>
      </c>
      <c r="AC41" s="67"/>
      <c r="AD41" s="67">
        <f>S41*V41</f>
        <v>108720</v>
      </c>
      <c r="AE41" s="56" t="s">
        <v>68</v>
      </c>
      <c r="AF41" s="2"/>
    </row>
    <row r="42" spans="1:32" s="11" customFormat="1" ht="21" customHeight="1">
      <c r="A42" s="44"/>
      <c r="B42" s="45"/>
      <c r="C42" s="45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69"/>
      <c r="O42" s="49"/>
      <c r="P42" s="49"/>
      <c r="Q42" s="49"/>
      <c r="R42" s="49"/>
      <c r="S42" s="277">
        <v>27120</v>
      </c>
      <c r="T42" s="90" t="s">
        <v>68</v>
      </c>
      <c r="U42" s="73" t="s">
        <v>7</v>
      </c>
      <c r="V42" s="54">
        <v>8</v>
      </c>
      <c r="W42" s="90" t="s">
        <v>360</v>
      </c>
      <c r="X42" s="78"/>
      <c r="Y42" s="75"/>
      <c r="Z42" s="75"/>
      <c r="AA42" s="90" t="s">
        <v>77</v>
      </c>
      <c r="AB42" s="50" t="s">
        <v>4</v>
      </c>
      <c r="AC42" s="67"/>
      <c r="AD42" s="67">
        <f>S42*V42</f>
        <v>216960</v>
      </c>
      <c r="AE42" s="56" t="s">
        <v>68</v>
      </c>
      <c r="AF42" s="2"/>
    </row>
    <row r="43" spans="1:32" s="11" customFormat="1" ht="21" customHeight="1">
      <c r="A43" s="44"/>
      <c r="B43" s="45"/>
      <c r="C43" s="45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69"/>
      <c r="O43" s="49"/>
      <c r="P43" s="49"/>
      <c r="Q43" s="49"/>
      <c r="R43" s="49"/>
      <c r="S43" s="277"/>
      <c r="T43" s="90"/>
      <c r="U43" s="73"/>
      <c r="V43" s="49"/>
      <c r="W43" s="90"/>
      <c r="X43" s="78"/>
      <c r="Y43" s="75"/>
      <c r="Z43" s="75"/>
      <c r="AA43" s="90"/>
      <c r="AB43" s="50"/>
      <c r="AC43" s="67"/>
      <c r="AD43" s="67"/>
      <c r="AE43" s="56"/>
      <c r="AF43" s="2"/>
    </row>
    <row r="44" spans="1:32" s="11" customFormat="1" ht="21" customHeight="1">
      <c r="A44" s="44"/>
      <c r="B44" s="45"/>
      <c r="C44" s="45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69"/>
      <c r="O44" s="80" t="s">
        <v>251</v>
      </c>
      <c r="P44" s="49"/>
      <c r="Q44" s="49"/>
      <c r="R44" s="49"/>
      <c r="S44" s="49"/>
      <c r="T44" s="50"/>
      <c r="U44" s="50"/>
      <c r="V44" s="49"/>
      <c r="W44" s="79" t="s">
        <v>295</v>
      </c>
      <c r="X44" s="79"/>
      <c r="Y44" s="79"/>
      <c r="Z44" s="79"/>
      <c r="AA44" s="79"/>
      <c r="AB44" s="79"/>
      <c r="AC44" s="71" t="s">
        <v>37</v>
      </c>
      <c r="AD44" s="71">
        <f>AD45+AD46+640</f>
        <v>330000</v>
      </c>
      <c r="AE44" s="72" t="s">
        <v>68</v>
      </c>
      <c r="AF44" s="2"/>
    </row>
    <row r="45" spans="1:32" s="11" customFormat="1" ht="21" customHeight="1">
      <c r="A45" s="44"/>
      <c r="B45" s="45"/>
      <c r="C45" s="45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69"/>
      <c r="O45" s="49"/>
      <c r="P45" s="49"/>
      <c r="Q45" s="49"/>
      <c r="R45" s="49"/>
      <c r="S45" s="50">
        <v>27480</v>
      </c>
      <c r="T45" s="90" t="s">
        <v>68</v>
      </c>
      <c r="U45" s="73" t="s">
        <v>7</v>
      </c>
      <c r="V45" s="348">
        <v>4</v>
      </c>
      <c r="W45" s="73" t="s">
        <v>366</v>
      </c>
      <c r="X45" s="78"/>
      <c r="Y45" s="75"/>
      <c r="Z45" s="75"/>
      <c r="AA45" s="90" t="s">
        <v>77</v>
      </c>
      <c r="AB45" s="50" t="s">
        <v>4</v>
      </c>
      <c r="AC45" s="67"/>
      <c r="AD45" s="67">
        <f>S45*V45</f>
        <v>109920</v>
      </c>
      <c r="AE45" s="56" t="s">
        <v>68</v>
      </c>
      <c r="AF45" s="2"/>
    </row>
    <row r="46" spans="1:32" s="11" customFormat="1" ht="21" customHeight="1">
      <c r="A46" s="44"/>
      <c r="B46" s="45"/>
      <c r="C46" s="45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69"/>
      <c r="O46" s="49"/>
      <c r="P46" s="49"/>
      <c r="Q46" s="49"/>
      <c r="R46" s="49"/>
      <c r="S46" s="50">
        <v>27430</v>
      </c>
      <c r="T46" s="90" t="s">
        <v>68</v>
      </c>
      <c r="U46" s="73" t="s">
        <v>7</v>
      </c>
      <c r="V46" s="348">
        <v>8</v>
      </c>
      <c r="W46" s="73" t="s">
        <v>360</v>
      </c>
      <c r="X46" s="78"/>
      <c r="Y46" s="75"/>
      <c r="Z46" s="75"/>
      <c r="AA46" s="90" t="s">
        <v>77</v>
      </c>
      <c r="AB46" s="50" t="s">
        <v>4</v>
      </c>
      <c r="AC46" s="67"/>
      <c r="AD46" s="67">
        <f>S46*V46</f>
        <v>219440</v>
      </c>
      <c r="AE46" s="56" t="s">
        <v>367</v>
      </c>
      <c r="AF46" s="2"/>
    </row>
    <row r="47" spans="1:32" s="11" customFormat="1" ht="21" customHeight="1">
      <c r="A47" s="44"/>
      <c r="B47" s="45"/>
      <c r="C47" s="45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69"/>
      <c r="O47" s="49"/>
      <c r="P47" s="49"/>
      <c r="Q47" s="49"/>
      <c r="R47" s="49"/>
      <c r="S47" s="50"/>
      <c r="T47" s="90"/>
      <c r="U47" s="73"/>
      <c r="V47" s="348"/>
      <c r="W47" s="73"/>
      <c r="X47" s="78"/>
      <c r="Y47" s="75"/>
      <c r="Z47" s="75"/>
      <c r="AA47" s="90"/>
      <c r="AB47" s="50"/>
      <c r="AC47" s="67"/>
      <c r="AD47" s="67"/>
      <c r="AE47" s="56"/>
      <c r="AF47" s="2"/>
    </row>
    <row r="48" spans="1:32" s="11" customFormat="1" ht="21" customHeight="1">
      <c r="A48" s="44"/>
      <c r="B48" s="45"/>
      <c r="C48" s="45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69"/>
      <c r="O48" s="49" t="s">
        <v>349</v>
      </c>
      <c r="P48" s="49"/>
      <c r="Q48" s="49"/>
      <c r="R48" s="49"/>
      <c r="S48" s="49"/>
      <c r="T48" s="50"/>
      <c r="U48" s="50"/>
      <c r="V48" s="49"/>
      <c r="W48" s="79" t="s">
        <v>295</v>
      </c>
      <c r="X48" s="79"/>
      <c r="Y48" s="79"/>
      <c r="Z48" s="79"/>
      <c r="AA48" s="79"/>
      <c r="AB48" s="79"/>
      <c r="AC48" s="71" t="s">
        <v>37</v>
      </c>
      <c r="AD48" s="71">
        <v>24000</v>
      </c>
      <c r="AE48" s="72" t="s">
        <v>68</v>
      </c>
      <c r="AF48" s="2"/>
    </row>
    <row r="49" spans="1:32" s="11" customFormat="1" ht="21" customHeight="1">
      <c r="A49" s="44"/>
      <c r="B49" s="45"/>
      <c r="C49" s="45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69"/>
      <c r="O49" s="49"/>
      <c r="P49" s="49"/>
      <c r="Q49" s="49"/>
      <c r="R49" s="49"/>
      <c r="S49" s="49" t="s">
        <v>350</v>
      </c>
      <c r="T49" s="50"/>
      <c r="U49" s="50"/>
      <c r="V49" s="349">
        <v>12730</v>
      </c>
      <c r="W49" s="50"/>
      <c r="X49" s="50"/>
      <c r="Y49" s="50"/>
      <c r="Z49" s="50"/>
      <c r="AA49" s="50"/>
      <c r="AB49" s="50" t="s">
        <v>352</v>
      </c>
      <c r="AC49" s="67"/>
      <c r="AD49" s="67">
        <f>V49</f>
        <v>12730</v>
      </c>
      <c r="AE49" s="56" t="s">
        <v>68</v>
      </c>
      <c r="AF49" s="2"/>
    </row>
    <row r="50" spans="1:32" s="11" customFormat="1" ht="21" customHeight="1">
      <c r="A50" s="44"/>
      <c r="B50" s="45"/>
      <c r="C50" s="45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69"/>
      <c r="O50" s="49"/>
      <c r="P50" s="49"/>
      <c r="Q50" s="49"/>
      <c r="R50" s="49"/>
      <c r="S50" s="49" t="s">
        <v>351</v>
      </c>
      <c r="T50" s="50"/>
      <c r="U50" s="50"/>
      <c r="V50" s="349">
        <v>10740</v>
      </c>
      <c r="W50" s="50"/>
      <c r="X50" s="50"/>
      <c r="Y50" s="50"/>
      <c r="Z50" s="50"/>
      <c r="AA50" s="50"/>
      <c r="AB50" s="50" t="s">
        <v>353</v>
      </c>
      <c r="AC50" s="67"/>
      <c r="AD50" s="67">
        <f>V50</f>
        <v>10740</v>
      </c>
      <c r="AE50" s="56" t="s">
        <v>68</v>
      </c>
      <c r="AF50" s="2"/>
    </row>
    <row r="51" spans="1:32" s="11" customFormat="1" ht="21" customHeight="1">
      <c r="A51" s="44"/>
      <c r="B51" s="45"/>
      <c r="C51" s="45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69"/>
      <c r="O51" s="80"/>
      <c r="P51" s="49"/>
      <c r="Q51" s="49"/>
      <c r="R51" s="49"/>
      <c r="S51" s="49"/>
      <c r="T51" s="50"/>
      <c r="U51" s="50"/>
      <c r="V51" s="49"/>
      <c r="W51" s="79"/>
      <c r="X51" s="79"/>
      <c r="Y51" s="79"/>
      <c r="Z51" s="79"/>
      <c r="AA51" s="79"/>
      <c r="AB51" s="79"/>
      <c r="AC51" s="71"/>
      <c r="AD51" s="71"/>
      <c r="AE51" s="72"/>
      <c r="AF51" s="2"/>
    </row>
    <row r="52" spans="1:32" s="11" customFormat="1" ht="21" customHeight="1">
      <c r="A52" s="44"/>
      <c r="B52" s="45"/>
      <c r="C52" s="35" t="s">
        <v>219</v>
      </c>
      <c r="D52" s="111">
        <v>370</v>
      </c>
      <c r="E52" s="111">
        <f>SUM(F52:L52)</f>
        <v>370</v>
      </c>
      <c r="F52" s="111">
        <f>SUMIF($AB$53:$AB$56,"보조",$AD$53:$AD$56)/1000</f>
        <v>0</v>
      </c>
      <c r="G52" s="111">
        <f>SUMIF($AB$53:$AB$56,"7종",$AD$53:$AD$56)/1000</f>
        <v>0</v>
      </c>
      <c r="H52" s="111">
        <f>SUMIF($AB$53:$AB$56,"시비",$AD$53:$AD$56)/1000</f>
        <v>300</v>
      </c>
      <c r="I52" s="111">
        <f>SUMIF($AB$53:$AB$56,"후원",$AD$53:$AD$56)/1000</f>
        <v>0</v>
      </c>
      <c r="J52" s="111">
        <f>SUMIF($AB$53:$AB$56,"입소",$AD$53:$AD$56)/1000</f>
        <v>70</v>
      </c>
      <c r="K52" s="111">
        <f>SUMIF($AB$53:$AB$56,"법인",$AD$53:$AD$56)/1000</f>
        <v>0</v>
      </c>
      <c r="L52" s="111">
        <f>SUMIF($AB$53:$AB$56,"잡수",$AD$53:$AD$56)/1000</f>
        <v>0</v>
      </c>
      <c r="M52" s="110">
        <f>E52-D52</f>
        <v>0</v>
      </c>
      <c r="N52" s="118">
        <f>IF(D52=0,0,M52/D52)</f>
        <v>0</v>
      </c>
      <c r="O52" s="96" t="s">
        <v>281</v>
      </c>
      <c r="P52" s="147"/>
      <c r="Q52" s="92"/>
      <c r="R52" s="92"/>
      <c r="S52" s="92"/>
      <c r="T52" s="88"/>
      <c r="U52" s="88"/>
      <c r="V52" s="88"/>
      <c r="W52" s="148" t="s">
        <v>200</v>
      </c>
      <c r="X52" s="148"/>
      <c r="Y52" s="148"/>
      <c r="Z52" s="148"/>
      <c r="AA52" s="148"/>
      <c r="AB52" s="148"/>
      <c r="AC52" s="150"/>
      <c r="AD52" s="150">
        <f>SUM(AD53:AD55)</f>
        <v>370000</v>
      </c>
      <c r="AE52" s="149" t="s">
        <v>68</v>
      </c>
      <c r="AF52" s="21"/>
    </row>
    <row r="53" spans="1:32" s="11" customFormat="1" ht="21" customHeight="1">
      <c r="A53" s="44"/>
      <c r="B53" s="45"/>
      <c r="C53" s="45" t="s">
        <v>283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69"/>
      <c r="O53" s="49" t="s">
        <v>91</v>
      </c>
      <c r="P53" s="49"/>
      <c r="Q53" s="49"/>
      <c r="R53" s="49"/>
      <c r="S53" s="50">
        <v>300000</v>
      </c>
      <c r="T53" s="90" t="s">
        <v>68</v>
      </c>
      <c r="U53" s="73" t="s">
        <v>7</v>
      </c>
      <c r="V53" s="68">
        <v>1</v>
      </c>
      <c r="W53" s="73" t="s">
        <v>25</v>
      </c>
      <c r="X53" s="78"/>
      <c r="Y53" s="75"/>
      <c r="Z53" s="75"/>
      <c r="AA53" s="90" t="s">
        <v>77</v>
      </c>
      <c r="AB53" s="50" t="s">
        <v>66</v>
      </c>
      <c r="AC53" s="67"/>
      <c r="AD53" s="67">
        <f>ROUNDUP(S53*V53,-3)</f>
        <v>300000</v>
      </c>
      <c r="AE53" s="56" t="s">
        <v>68</v>
      </c>
      <c r="AF53" s="2"/>
    </row>
    <row r="54" spans="1:32" s="11" customFormat="1" ht="21" customHeight="1">
      <c r="A54" s="44"/>
      <c r="B54" s="45"/>
      <c r="C54" s="45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69"/>
      <c r="O54" s="49" t="s">
        <v>323</v>
      </c>
      <c r="P54" s="49"/>
      <c r="Q54" s="49"/>
      <c r="R54" s="49"/>
      <c r="S54" s="50">
        <v>50000</v>
      </c>
      <c r="T54" s="90" t="s">
        <v>68</v>
      </c>
      <c r="U54" s="73" t="s">
        <v>7</v>
      </c>
      <c r="V54" s="68">
        <v>1</v>
      </c>
      <c r="W54" s="73" t="s">
        <v>25</v>
      </c>
      <c r="X54" s="78"/>
      <c r="Y54" s="75"/>
      <c r="Z54" s="75"/>
      <c r="AA54" s="90" t="s">
        <v>77</v>
      </c>
      <c r="AB54" s="50" t="s">
        <v>51</v>
      </c>
      <c r="AC54" s="67"/>
      <c r="AD54" s="67">
        <f>ROUNDUP(S54*V54,-3)</f>
        <v>50000</v>
      </c>
      <c r="AE54" s="56" t="s">
        <v>68</v>
      </c>
      <c r="AF54" s="2"/>
    </row>
    <row r="55" spans="1:32" s="11" customFormat="1" ht="21" customHeight="1">
      <c r="A55" s="44"/>
      <c r="B55" s="45"/>
      <c r="C55" s="45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69"/>
      <c r="O55" s="49" t="s">
        <v>333</v>
      </c>
      <c r="P55" s="49"/>
      <c r="Q55" s="49"/>
      <c r="R55" s="49"/>
      <c r="S55" s="50">
        <v>20000</v>
      </c>
      <c r="T55" s="90" t="s">
        <v>68</v>
      </c>
      <c r="U55" s="73" t="s">
        <v>7</v>
      </c>
      <c r="V55" s="68">
        <v>1</v>
      </c>
      <c r="W55" s="73" t="s">
        <v>25</v>
      </c>
      <c r="X55" s="78"/>
      <c r="Y55" s="75"/>
      <c r="Z55" s="75"/>
      <c r="AA55" s="90" t="s">
        <v>77</v>
      </c>
      <c r="AB55" s="50" t="s">
        <v>51</v>
      </c>
      <c r="AC55" s="67"/>
      <c r="AD55" s="67">
        <f>ROUNDUP(S55*V55,-3)</f>
        <v>20000</v>
      </c>
      <c r="AE55" s="56" t="s">
        <v>68</v>
      </c>
      <c r="AF55" s="2"/>
    </row>
    <row r="56" spans="1:32" s="11" customFormat="1" ht="21" customHeight="1">
      <c r="A56" s="44"/>
      <c r="B56" s="58"/>
      <c r="C56" s="5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83"/>
      <c r="O56" s="80"/>
      <c r="P56" s="80"/>
      <c r="Q56" s="80"/>
      <c r="R56" s="80"/>
      <c r="S56" s="79"/>
      <c r="T56" s="85"/>
      <c r="U56" s="85"/>
      <c r="V56" s="85"/>
      <c r="W56" s="79"/>
      <c r="X56" s="85"/>
      <c r="Y56" s="85"/>
      <c r="Z56" s="85"/>
      <c r="AA56" s="79"/>
      <c r="AB56" s="85"/>
      <c r="AC56" s="85"/>
      <c r="AD56" s="79"/>
      <c r="AE56" s="119"/>
      <c r="AF56" s="2"/>
    </row>
    <row r="57" spans="1:32" s="11" customFormat="1" ht="21" customHeight="1">
      <c r="A57" s="44"/>
      <c r="B57" s="45" t="s">
        <v>182</v>
      </c>
      <c r="C57" s="45" t="s">
        <v>75</v>
      </c>
      <c r="D57" s="107">
        <v>290</v>
      </c>
      <c r="E57" s="107">
        <f aca="true" t="shared" si="3" ref="E57:L57">SUM(E58,E61,E63)</f>
        <v>320</v>
      </c>
      <c r="F57" s="107">
        <f t="shared" si="3"/>
        <v>100</v>
      </c>
      <c r="G57" s="107">
        <f t="shared" si="3"/>
        <v>0</v>
      </c>
      <c r="H57" s="107">
        <f t="shared" si="3"/>
        <v>0</v>
      </c>
      <c r="I57" s="107">
        <f t="shared" si="3"/>
        <v>0</v>
      </c>
      <c r="J57" s="107">
        <f t="shared" si="3"/>
        <v>80</v>
      </c>
      <c r="K57" s="107">
        <f t="shared" si="3"/>
        <v>140</v>
      </c>
      <c r="L57" s="107">
        <f t="shared" si="3"/>
        <v>0</v>
      </c>
      <c r="M57" s="107">
        <f>E57-D57</f>
        <v>30</v>
      </c>
      <c r="N57" s="69">
        <f>IF(D57=0,0,M57/D57)</f>
        <v>0.10344827586206896</v>
      </c>
      <c r="O57" s="31" t="s">
        <v>222</v>
      </c>
      <c r="P57" s="31"/>
      <c r="Q57" s="31"/>
      <c r="R57" s="31"/>
      <c r="S57" s="32"/>
      <c r="T57" s="32"/>
      <c r="U57" s="32"/>
      <c r="V57" s="32"/>
      <c r="W57" s="88"/>
      <c r="X57" s="88"/>
      <c r="Y57" s="88"/>
      <c r="Z57" s="88"/>
      <c r="AA57" s="88"/>
      <c r="AB57" s="88"/>
      <c r="AC57" s="93"/>
      <c r="AD57" s="93">
        <f>SUM(AD58,AD61,AD63)</f>
        <v>320000</v>
      </c>
      <c r="AE57" s="94" t="s">
        <v>68</v>
      </c>
      <c r="AF57" s="5"/>
    </row>
    <row r="58" spans="1:31" s="11" customFormat="1" ht="21" customHeight="1">
      <c r="A58" s="44"/>
      <c r="B58" s="45" t="s">
        <v>33</v>
      </c>
      <c r="C58" s="35" t="s">
        <v>174</v>
      </c>
      <c r="D58" s="111">
        <v>50</v>
      </c>
      <c r="E58" s="111">
        <f>SUM(F58:L58)</f>
        <v>80</v>
      </c>
      <c r="F58" s="111">
        <f>SUMIF($AB$59:$AB$60,"보조",$AD$59:$AD$60)/1000</f>
        <v>0</v>
      </c>
      <c r="G58" s="111">
        <f>SUMIF($AB$59:$AB$60,"7종",$AD$59:$AD$60)/1000</f>
        <v>0</v>
      </c>
      <c r="H58" s="111">
        <f>SUMIF($AB$59:$AB$60,"시비",$AD$59:$AD$60)/1000</f>
        <v>0</v>
      </c>
      <c r="I58" s="111">
        <f>SUMIF($AB$59:$AB$60,"후원",$AD$59:$AD$60)/1000</f>
        <v>0</v>
      </c>
      <c r="J58" s="111">
        <f>SUMIF($AB$59:$AB$60,"입소",$AD$59:$AD$60)/1000</f>
        <v>80</v>
      </c>
      <c r="K58" s="111">
        <f>SUMIF($AB$59:$AB$60,"법인",$AD$59:$AD$60)/1000</f>
        <v>0</v>
      </c>
      <c r="L58" s="111">
        <f>SUMIF($AB$59:$AB$60,"잡수",$AD$59:$AD$60)/1000</f>
        <v>0</v>
      </c>
      <c r="M58" s="110">
        <f>E58-D58</f>
        <v>30</v>
      </c>
      <c r="N58" s="118">
        <f>IF(D58=0,0,M58/D58)</f>
        <v>0.6</v>
      </c>
      <c r="O58" s="96" t="s">
        <v>138</v>
      </c>
      <c r="P58" s="134"/>
      <c r="Q58" s="136"/>
      <c r="R58" s="136"/>
      <c r="S58" s="136"/>
      <c r="T58" s="87"/>
      <c r="U58" s="87"/>
      <c r="V58" s="87"/>
      <c r="W58" s="87"/>
      <c r="X58" s="87"/>
      <c r="Y58" s="148" t="s">
        <v>18</v>
      </c>
      <c r="Z58" s="148"/>
      <c r="AA58" s="148"/>
      <c r="AB58" s="148"/>
      <c r="AC58" s="150"/>
      <c r="AD58" s="150">
        <f>AD59</f>
        <v>80000</v>
      </c>
      <c r="AE58" s="149" t="s">
        <v>68</v>
      </c>
    </row>
    <row r="59" spans="1:32" s="11" customFormat="1" ht="21" customHeight="1">
      <c r="A59" s="44"/>
      <c r="B59" s="45"/>
      <c r="C59" s="45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69"/>
      <c r="O59" s="49" t="s">
        <v>334</v>
      </c>
      <c r="P59" s="49"/>
      <c r="Q59" s="49"/>
      <c r="R59" s="49"/>
      <c r="S59" s="50"/>
      <c r="T59" s="54"/>
      <c r="U59" s="54"/>
      <c r="V59" s="50"/>
      <c r="W59" s="49"/>
      <c r="X59" s="50"/>
      <c r="Y59" s="50"/>
      <c r="Z59" s="50"/>
      <c r="AA59" s="50"/>
      <c r="AB59" s="50" t="s">
        <v>51</v>
      </c>
      <c r="AC59" s="50"/>
      <c r="AD59" s="50">
        <v>80000</v>
      </c>
      <c r="AE59" s="56" t="s">
        <v>68</v>
      </c>
      <c r="AF59" s="2"/>
    </row>
    <row r="60" spans="1:32" s="11" customFormat="1" ht="21" customHeight="1">
      <c r="A60" s="44"/>
      <c r="B60" s="45"/>
      <c r="C60" s="5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83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119"/>
      <c r="AF60" s="1"/>
    </row>
    <row r="61" spans="1:32" s="11" customFormat="1" ht="21" customHeight="1">
      <c r="A61" s="44"/>
      <c r="B61" s="45"/>
      <c r="C61" s="45" t="s">
        <v>146</v>
      </c>
      <c r="D61" s="111">
        <v>0</v>
      </c>
      <c r="E61" s="111">
        <f>SUM(F61:L61)</f>
        <v>0</v>
      </c>
      <c r="F61" s="111">
        <f>SUMIF($AB$62:$AB$62,"보조",$AD$62:$AD$62)/1000</f>
        <v>0</v>
      </c>
      <c r="G61" s="111">
        <f>SUMIF($AB$62:$AB$62,"7종",$AD$62:$AD$62)/1000</f>
        <v>0</v>
      </c>
      <c r="H61" s="111">
        <f>SUMIF($AB$62:$AB$62,"시비",$AD$62:$AD$62)/1000</f>
        <v>0</v>
      </c>
      <c r="I61" s="111">
        <f>SUMIF($AB$62:$AB$62,"후원",$AD$62:$AD$62)/1000</f>
        <v>0</v>
      </c>
      <c r="J61" s="111">
        <f>SUMIF($AB$62:$AB$62,"입소",$AD$62:$AD$62)/1000</f>
        <v>0</v>
      </c>
      <c r="K61" s="111">
        <f>SUMIF($AB$62:$AB$62,"법인",$AD$62:$AD$62)/1000</f>
        <v>0</v>
      </c>
      <c r="L61" s="111">
        <f>SUMIF($AB$62:$AB$62,"잡수",$AD$62:$AD$62)/1000</f>
        <v>0</v>
      </c>
      <c r="M61" s="107">
        <f>E61-D61</f>
        <v>0</v>
      </c>
      <c r="N61" s="69">
        <f>IF(D61=0,0,M61/D61)</f>
        <v>0</v>
      </c>
      <c r="O61" s="96" t="s">
        <v>215</v>
      </c>
      <c r="P61" s="147"/>
      <c r="Q61" s="31"/>
      <c r="R61" s="31"/>
      <c r="S61" s="31"/>
      <c r="T61" s="32"/>
      <c r="U61" s="32"/>
      <c r="V61" s="32"/>
      <c r="W61" s="32"/>
      <c r="X61" s="32"/>
      <c r="Y61" s="148" t="s">
        <v>18</v>
      </c>
      <c r="Z61" s="148"/>
      <c r="AA61" s="148"/>
      <c r="AB61" s="148"/>
      <c r="AC61" s="150"/>
      <c r="AD61" s="150">
        <v>0</v>
      </c>
      <c r="AE61" s="149" t="s">
        <v>68</v>
      </c>
      <c r="AF61" s="1"/>
    </row>
    <row r="62" spans="1:32" s="11" customFormat="1" ht="21" customHeight="1">
      <c r="A62" s="44"/>
      <c r="B62" s="45"/>
      <c r="C62" s="5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83"/>
      <c r="O62" s="80"/>
      <c r="P62" s="80"/>
      <c r="Q62" s="80"/>
      <c r="R62" s="80"/>
      <c r="S62" s="79"/>
      <c r="T62" s="84"/>
      <c r="U62" s="84"/>
      <c r="V62" s="79"/>
      <c r="W62" s="80"/>
      <c r="X62" s="79"/>
      <c r="Y62" s="79"/>
      <c r="Z62" s="79"/>
      <c r="AA62" s="79"/>
      <c r="AB62" s="79"/>
      <c r="AC62" s="79"/>
      <c r="AD62" s="79"/>
      <c r="AE62" s="72"/>
      <c r="AF62" s="1"/>
    </row>
    <row r="63" spans="1:32" s="11" customFormat="1" ht="21" customHeight="1">
      <c r="A63" s="44"/>
      <c r="B63" s="45"/>
      <c r="C63" s="45" t="s">
        <v>153</v>
      </c>
      <c r="D63" s="111">
        <v>240</v>
      </c>
      <c r="E63" s="111">
        <f>SUM(F63:L63)</f>
        <v>240</v>
      </c>
      <c r="F63" s="111">
        <f>SUMIF($AB$64:$AB$67,"보조",$AD$64:$AD$67)/1000</f>
        <v>100</v>
      </c>
      <c r="G63" s="111">
        <f>SUMIF($AB$64:$AB$67,"7종",$AD$64:$AD$67)/1000</f>
        <v>0</v>
      </c>
      <c r="H63" s="111">
        <f>SUMIF($AB$64:$AB$67,"시비",$AD$64:$AD$67)/1000</f>
        <v>0</v>
      </c>
      <c r="I63" s="111">
        <f>SUMIF($AB$64:$AB$67,"후원",$AD$64:$AD$67)/1000</f>
        <v>0</v>
      </c>
      <c r="J63" s="111">
        <f>SUMIF($AB$64:$AB$67,"입소",$AD$64:$AD$67)/1000</f>
        <v>0</v>
      </c>
      <c r="K63" s="111">
        <f>SUMIF($AB$64:$AB$67,"법인",$AD$64:$AD$67)/1000</f>
        <v>140</v>
      </c>
      <c r="L63" s="111">
        <f>SUMIF($AB$64:$AB$67,"잡수",$AD$64:$AD$67)/1000</f>
        <v>0</v>
      </c>
      <c r="M63" s="107">
        <f>E63-D63</f>
        <v>0</v>
      </c>
      <c r="N63" s="69">
        <f>IF(D63=0,0,M63/D63)</f>
        <v>0</v>
      </c>
      <c r="O63" s="113" t="s">
        <v>162</v>
      </c>
      <c r="P63" s="31"/>
      <c r="Q63" s="31"/>
      <c r="R63" s="31"/>
      <c r="S63" s="31"/>
      <c r="T63" s="32"/>
      <c r="U63" s="32"/>
      <c r="V63" s="32"/>
      <c r="W63" s="32"/>
      <c r="X63" s="32"/>
      <c r="Y63" s="148" t="s">
        <v>18</v>
      </c>
      <c r="Z63" s="148"/>
      <c r="AA63" s="148"/>
      <c r="AB63" s="148"/>
      <c r="AC63" s="150"/>
      <c r="AD63" s="150">
        <f>SUM(AD64:AD66)</f>
        <v>240000</v>
      </c>
      <c r="AE63" s="149" t="s">
        <v>68</v>
      </c>
      <c r="AF63" s="1"/>
    </row>
    <row r="64" spans="1:32" s="11" customFormat="1" ht="21" customHeight="1">
      <c r="A64" s="44"/>
      <c r="B64" s="45"/>
      <c r="C64" s="45"/>
      <c r="D64" s="333"/>
      <c r="E64" s="333"/>
      <c r="F64" s="107"/>
      <c r="G64" s="107"/>
      <c r="H64" s="107"/>
      <c r="I64" s="107"/>
      <c r="J64" s="107"/>
      <c r="K64" s="107"/>
      <c r="L64" s="107"/>
      <c r="M64" s="107"/>
      <c r="N64" s="69"/>
      <c r="O64" s="49" t="s">
        <v>84</v>
      </c>
      <c r="P64" s="49"/>
      <c r="Q64" s="49"/>
      <c r="R64" s="49"/>
      <c r="S64" s="50">
        <v>50000</v>
      </c>
      <c r="T64" s="50" t="s">
        <v>68</v>
      </c>
      <c r="U64" s="49" t="s">
        <v>7</v>
      </c>
      <c r="V64" s="334">
        <v>2</v>
      </c>
      <c r="W64" s="49" t="s">
        <v>7</v>
      </c>
      <c r="X64" s="335">
        <v>1</v>
      </c>
      <c r="Y64" s="55"/>
      <c r="Z64" s="90"/>
      <c r="AA64" s="90" t="s">
        <v>77</v>
      </c>
      <c r="AB64" s="90" t="s">
        <v>4</v>
      </c>
      <c r="AC64" s="50"/>
      <c r="AD64" s="50">
        <f>S64*V64*X64</f>
        <v>100000</v>
      </c>
      <c r="AE64" s="56" t="s">
        <v>68</v>
      </c>
      <c r="AF64" s="1"/>
    </row>
    <row r="65" spans="1:32" s="11" customFormat="1" ht="21" customHeight="1">
      <c r="A65" s="44"/>
      <c r="B65" s="45"/>
      <c r="C65" s="45"/>
      <c r="D65" s="333"/>
      <c r="E65" s="333"/>
      <c r="F65" s="107"/>
      <c r="G65" s="107"/>
      <c r="H65" s="107"/>
      <c r="I65" s="107"/>
      <c r="J65" s="107"/>
      <c r="K65" s="107"/>
      <c r="L65" s="107"/>
      <c r="M65" s="107"/>
      <c r="N65" s="69"/>
      <c r="O65" s="49"/>
      <c r="P65" s="49"/>
      <c r="Q65" s="49"/>
      <c r="R65" s="49"/>
      <c r="S65" s="50">
        <v>50000</v>
      </c>
      <c r="T65" s="50" t="s">
        <v>68</v>
      </c>
      <c r="U65" s="49" t="s">
        <v>7</v>
      </c>
      <c r="V65" s="334">
        <v>2</v>
      </c>
      <c r="W65" s="49" t="s">
        <v>7</v>
      </c>
      <c r="X65" s="335">
        <v>1</v>
      </c>
      <c r="Y65" s="55"/>
      <c r="Z65" s="90"/>
      <c r="AA65" s="90" t="s">
        <v>77</v>
      </c>
      <c r="AB65" s="90" t="s">
        <v>40</v>
      </c>
      <c r="AC65" s="50"/>
      <c r="AD65" s="50">
        <f>S65*V65*X65</f>
        <v>100000</v>
      </c>
      <c r="AE65" s="56" t="s">
        <v>68</v>
      </c>
      <c r="AF65" s="1"/>
    </row>
    <row r="66" spans="1:32" s="14" customFormat="1" ht="21" customHeight="1">
      <c r="A66" s="44"/>
      <c r="B66" s="45"/>
      <c r="C66" s="45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69"/>
      <c r="O66" s="49" t="s">
        <v>296</v>
      </c>
      <c r="P66" s="49"/>
      <c r="Q66" s="49"/>
      <c r="R66" s="49"/>
      <c r="S66" s="50">
        <v>10000</v>
      </c>
      <c r="T66" s="50" t="s">
        <v>68</v>
      </c>
      <c r="U66" s="49" t="s">
        <v>7</v>
      </c>
      <c r="V66" s="50">
        <v>4</v>
      </c>
      <c r="W66" s="50" t="s">
        <v>13</v>
      </c>
      <c r="X66" s="49"/>
      <c r="Y66" s="55"/>
      <c r="Z66" s="90"/>
      <c r="AA66" s="90" t="s">
        <v>77</v>
      </c>
      <c r="AB66" s="90" t="s">
        <v>40</v>
      </c>
      <c r="AC66" s="50"/>
      <c r="AD66" s="50">
        <f>S66*V66</f>
        <v>40000</v>
      </c>
      <c r="AE66" s="56" t="s">
        <v>68</v>
      </c>
      <c r="AF66" s="4"/>
    </row>
    <row r="67" spans="1:32" s="14" customFormat="1" ht="21" customHeight="1">
      <c r="A67" s="44"/>
      <c r="B67" s="45"/>
      <c r="C67" s="45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69"/>
      <c r="O67" s="49"/>
      <c r="P67" s="49"/>
      <c r="Q67" s="49"/>
      <c r="R67" s="49"/>
      <c r="S67" s="50"/>
      <c r="T67" s="54"/>
      <c r="U67" s="54"/>
      <c r="V67" s="50"/>
      <c r="W67" s="49"/>
      <c r="X67" s="50"/>
      <c r="Y67" s="50"/>
      <c r="Z67" s="50"/>
      <c r="AA67" s="50"/>
      <c r="AB67" s="50"/>
      <c r="AC67" s="50"/>
      <c r="AD67" s="50"/>
      <c r="AE67" s="56"/>
      <c r="AF67" s="4"/>
    </row>
    <row r="68" spans="1:32" s="11" customFormat="1" ht="21" customHeight="1">
      <c r="A68" s="44"/>
      <c r="B68" s="35" t="s">
        <v>73</v>
      </c>
      <c r="C68" s="144" t="s">
        <v>75</v>
      </c>
      <c r="D68" s="145">
        <v>7417</v>
      </c>
      <c r="E68" s="145">
        <f aca="true" t="shared" si="4" ref="E68:L68">SUM(E69,E72,E80,E87,E94,E98)</f>
        <v>7507</v>
      </c>
      <c r="F68" s="145">
        <f t="shared" si="4"/>
        <v>3868</v>
      </c>
      <c r="G68" s="145">
        <f t="shared" si="4"/>
        <v>0</v>
      </c>
      <c r="H68" s="145">
        <f t="shared" si="4"/>
        <v>0</v>
      </c>
      <c r="I68" s="145">
        <f t="shared" si="4"/>
        <v>0</v>
      </c>
      <c r="J68" s="145">
        <f t="shared" si="4"/>
        <v>3589</v>
      </c>
      <c r="K68" s="145">
        <f t="shared" si="4"/>
        <v>50</v>
      </c>
      <c r="L68" s="145">
        <f t="shared" si="4"/>
        <v>0</v>
      </c>
      <c r="M68" s="145">
        <f>E68-D68</f>
        <v>90</v>
      </c>
      <c r="N68" s="146">
        <f>IF(D68=0,0,M68/D68)</f>
        <v>0.012134286099501146</v>
      </c>
      <c r="O68" s="147" t="s">
        <v>73</v>
      </c>
      <c r="P68" s="147"/>
      <c r="Q68" s="147"/>
      <c r="R68" s="147"/>
      <c r="S68" s="148"/>
      <c r="T68" s="153"/>
      <c r="U68" s="148"/>
      <c r="V68" s="395"/>
      <c r="W68" s="396"/>
      <c r="X68" s="148"/>
      <c r="Y68" s="148"/>
      <c r="Z68" s="148"/>
      <c r="AA68" s="148"/>
      <c r="AB68" s="148"/>
      <c r="AC68" s="148"/>
      <c r="AD68" s="148">
        <f>SUM(AD69,AD72,AD80,AD87,AD94,AD98)</f>
        <v>7507000</v>
      </c>
      <c r="AE68" s="149" t="s">
        <v>68</v>
      </c>
      <c r="AF68" s="1"/>
    </row>
    <row r="69" spans="1:34" s="11" customFormat="1" ht="21" customHeight="1">
      <c r="A69" s="44"/>
      <c r="B69" s="45"/>
      <c r="C69" s="45" t="s">
        <v>152</v>
      </c>
      <c r="D69" s="111">
        <v>100</v>
      </c>
      <c r="E69" s="111">
        <f>SUM(F69:L69)</f>
        <v>50</v>
      </c>
      <c r="F69" s="111">
        <f>SUMIF($AB$70:$AB$71,"보조",$AD$70:$AD$71)/1000</f>
        <v>0</v>
      </c>
      <c r="G69" s="111">
        <f>SUMIF($AB$70:$AB$71,"7종",$AD$70:$AD$71)/1000</f>
        <v>0</v>
      </c>
      <c r="H69" s="111">
        <f>SUMIF($AB$70:$AB$71,"시비",$AD$70:$AD$71)/1000</f>
        <v>0</v>
      </c>
      <c r="I69" s="111">
        <f>SUMIF($AB$70:$AB$71,"후원",$AD$70:$AD$71)/1000</f>
        <v>0</v>
      </c>
      <c r="J69" s="111">
        <f>SUMIF($AB$70:$AB$71,"입소",$AD$70:$AD$71)/1000</f>
        <v>50</v>
      </c>
      <c r="K69" s="111">
        <f>SUMIF($AB$70:$AB$71,"법인",$AD$70:$AD$71)/1000</f>
        <v>0</v>
      </c>
      <c r="L69" s="111">
        <f>SUMIF($AB$70:$AB$71,"잡수",$AD$70:$AD$71)/1000</f>
        <v>0</v>
      </c>
      <c r="M69" s="107">
        <f>E69-D69</f>
        <v>-50</v>
      </c>
      <c r="N69" s="69">
        <f>IF(D69=0,0,M69/D69)</f>
        <v>-0.5</v>
      </c>
      <c r="O69" s="113" t="s">
        <v>150</v>
      </c>
      <c r="P69" s="31"/>
      <c r="Q69" s="31"/>
      <c r="R69" s="31"/>
      <c r="S69" s="31"/>
      <c r="T69" s="32"/>
      <c r="U69" s="32"/>
      <c r="V69" s="32"/>
      <c r="W69" s="32"/>
      <c r="X69" s="32"/>
      <c r="Y69" s="148" t="s">
        <v>18</v>
      </c>
      <c r="Z69" s="148"/>
      <c r="AA69" s="148"/>
      <c r="AB69" s="148"/>
      <c r="AC69" s="150"/>
      <c r="AD69" s="150">
        <f>SUM(AD70:AD70)</f>
        <v>50000</v>
      </c>
      <c r="AE69" s="149" t="s">
        <v>68</v>
      </c>
      <c r="AF69" s="20"/>
      <c r="AG69" s="19"/>
      <c r="AH69" s="19"/>
    </row>
    <row r="70" spans="1:32" s="11" customFormat="1" ht="21" customHeight="1">
      <c r="A70" s="44"/>
      <c r="B70" s="45"/>
      <c r="C70" s="45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69"/>
      <c r="O70" s="49" t="s">
        <v>118</v>
      </c>
      <c r="P70" s="49"/>
      <c r="Q70" s="49"/>
      <c r="R70" s="49"/>
      <c r="S70" s="50">
        <v>50000</v>
      </c>
      <c r="T70" s="54" t="s">
        <v>68</v>
      </c>
      <c r="U70" s="54" t="s">
        <v>7</v>
      </c>
      <c r="V70" s="50">
        <v>1</v>
      </c>
      <c r="W70" s="54" t="s">
        <v>25</v>
      </c>
      <c r="X70" s="50" t="s">
        <v>7</v>
      </c>
      <c r="Y70" s="50">
        <v>1</v>
      </c>
      <c r="Z70" s="50" t="s">
        <v>13</v>
      </c>
      <c r="AA70" s="50" t="s">
        <v>77</v>
      </c>
      <c r="AB70" s="50" t="s">
        <v>51</v>
      </c>
      <c r="AC70" s="50"/>
      <c r="AD70" s="50">
        <f>S70*V70*Y70</f>
        <v>50000</v>
      </c>
      <c r="AE70" s="56" t="s">
        <v>68</v>
      </c>
      <c r="AF70" s="2"/>
    </row>
    <row r="71" spans="1:32" s="11" customFormat="1" ht="21" customHeight="1">
      <c r="A71" s="44"/>
      <c r="B71" s="45"/>
      <c r="C71" s="45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69"/>
      <c r="O71" s="49"/>
      <c r="P71" s="49"/>
      <c r="Q71" s="49"/>
      <c r="R71" s="49"/>
      <c r="S71" s="50"/>
      <c r="T71" s="54"/>
      <c r="U71" s="54"/>
      <c r="V71" s="50"/>
      <c r="W71" s="54"/>
      <c r="X71" s="50"/>
      <c r="Y71" s="50"/>
      <c r="Z71" s="50"/>
      <c r="AA71" s="50"/>
      <c r="AB71" s="50"/>
      <c r="AC71" s="50"/>
      <c r="AD71" s="50"/>
      <c r="AE71" s="56" t="s">
        <v>68</v>
      </c>
      <c r="AF71" s="2"/>
    </row>
    <row r="72" spans="1:32" s="11" customFormat="1" ht="21" customHeight="1">
      <c r="A72" s="44"/>
      <c r="B72" s="45"/>
      <c r="C72" s="35" t="s">
        <v>186</v>
      </c>
      <c r="D72" s="111">
        <v>2328</v>
      </c>
      <c r="E72" s="111">
        <f>SUM(F72:L72)</f>
        <v>2348</v>
      </c>
      <c r="F72" s="111">
        <f>SUMIF($AB$73:$AB$79,"보조",$AD$73:$AD$79)/1000</f>
        <v>868</v>
      </c>
      <c r="G72" s="111">
        <f>SUMIF($AB$73:$AB$79,"7종",$AD$73:$AD$79)/1000</f>
        <v>0</v>
      </c>
      <c r="H72" s="111">
        <f>SUMIF($AB$73:$AB$79,"시비",$AD$73:$AD$79)/1000</f>
        <v>0</v>
      </c>
      <c r="I72" s="111">
        <f>SUMIF($AB$73:$AB$79,"후원",$AD$73:$AD$79)/1000</f>
        <v>0</v>
      </c>
      <c r="J72" s="111">
        <f>SUMIF($AB$73:$AB$79,"입소",$AD$73:$AD$79)/1000</f>
        <v>1480</v>
      </c>
      <c r="K72" s="111">
        <f>SUMIF($AB$73:$AB$79,"법인",$AD$73:$AD$79)/1000</f>
        <v>0</v>
      </c>
      <c r="L72" s="111">
        <f>SUMIF($AB$73:$AB$79,"잡수",$AD$73:$AD$79)/1000</f>
        <v>0</v>
      </c>
      <c r="M72" s="110">
        <f>E72-D72</f>
        <v>20</v>
      </c>
      <c r="N72" s="118">
        <f>IF(D72=0,0,M72/D72)</f>
        <v>0.00859106529209622</v>
      </c>
      <c r="O72" s="96" t="s">
        <v>275</v>
      </c>
      <c r="P72" s="92"/>
      <c r="Q72" s="92"/>
      <c r="R72" s="92"/>
      <c r="S72" s="92"/>
      <c r="T72" s="88"/>
      <c r="U72" s="88"/>
      <c r="V72" s="88"/>
      <c r="W72" s="88"/>
      <c r="X72" s="88"/>
      <c r="Y72" s="148" t="s">
        <v>183</v>
      </c>
      <c r="Z72" s="148"/>
      <c r="AA72" s="148"/>
      <c r="AB72" s="148"/>
      <c r="AC72" s="150"/>
      <c r="AD72" s="150">
        <f>ROUNDDOWN(SUM(AD73:AD78),-3)</f>
        <v>2348000</v>
      </c>
      <c r="AE72" s="149" t="s">
        <v>68</v>
      </c>
      <c r="AF72" s="1"/>
    </row>
    <row r="73" spans="1:32" s="11" customFormat="1" ht="21" customHeight="1">
      <c r="A73" s="44"/>
      <c r="B73" s="45"/>
      <c r="C73" s="45" t="s">
        <v>32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69"/>
      <c r="O73" s="136" t="s">
        <v>104</v>
      </c>
      <c r="P73" s="49"/>
      <c r="Q73" s="49"/>
      <c r="R73" s="49"/>
      <c r="S73" s="50"/>
      <c r="T73" s="54"/>
      <c r="U73" s="50"/>
      <c r="V73" s="246"/>
      <c r="W73" s="247"/>
      <c r="X73" s="247"/>
      <c r="Y73" s="246"/>
      <c r="Z73" s="248"/>
      <c r="AA73" s="246"/>
      <c r="AB73" s="87" t="s">
        <v>4</v>
      </c>
      <c r="AC73" s="87"/>
      <c r="AD73" s="50">
        <v>527000</v>
      </c>
      <c r="AE73" s="278" t="s">
        <v>68</v>
      </c>
      <c r="AF73" s="1"/>
    </row>
    <row r="74" spans="1:32" s="11" customFormat="1" ht="21" customHeight="1">
      <c r="A74" s="44"/>
      <c r="B74" s="45"/>
      <c r="C74" s="45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69"/>
      <c r="O74" s="49" t="s">
        <v>82</v>
      </c>
      <c r="P74" s="49"/>
      <c r="Q74" s="49"/>
      <c r="R74" s="49"/>
      <c r="S74" s="50"/>
      <c r="T74" s="54"/>
      <c r="U74" s="54"/>
      <c r="V74" s="246"/>
      <c r="W74" s="247"/>
      <c r="X74" s="247"/>
      <c r="Y74" s="246"/>
      <c r="Z74" s="248"/>
      <c r="AA74" s="246"/>
      <c r="AB74" s="50" t="s">
        <v>51</v>
      </c>
      <c r="AC74" s="50"/>
      <c r="AD74" s="50">
        <v>200000</v>
      </c>
      <c r="AE74" s="56" t="s">
        <v>68</v>
      </c>
      <c r="AF74" s="20"/>
    </row>
    <row r="75" spans="1:32" s="11" customFormat="1" ht="21" customHeight="1">
      <c r="A75" s="44"/>
      <c r="B75" s="45"/>
      <c r="C75" s="45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69"/>
      <c r="O75" s="49" t="s">
        <v>80</v>
      </c>
      <c r="P75" s="49"/>
      <c r="Q75" s="49"/>
      <c r="R75" s="49"/>
      <c r="S75" s="50">
        <v>31000</v>
      </c>
      <c r="T75" s="54" t="s">
        <v>68</v>
      </c>
      <c r="U75" s="54" t="s">
        <v>7</v>
      </c>
      <c r="V75" s="50">
        <v>11</v>
      </c>
      <c r="W75" s="49" t="s">
        <v>71</v>
      </c>
      <c r="X75" s="50"/>
      <c r="Y75" s="50"/>
      <c r="Z75" s="50"/>
      <c r="AA75" s="50" t="s">
        <v>77</v>
      </c>
      <c r="AB75" s="50" t="s">
        <v>4</v>
      </c>
      <c r="AC75" s="50"/>
      <c r="AD75" s="50">
        <f>S75*V75</f>
        <v>341000</v>
      </c>
      <c r="AE75" s="56" t="s">
        <v>68</v>
      </c>
      <c r="AF75" s="20"/>
    </row>
    <row r="76" spans="1:32" s="11" customFormat="1" ht="21" customHeight="1">
      <c r="A76" s="44"/>
      <c r="B76" s="45"/>
      <c r="C76" s="45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69"/>
      <c r="O76" s="49"/>
      <c r="P76" s="49"/>
      <c r="Q76" s="49"/>
      <c r="R76" s="49"/>
      <c r="S76" s="50">
        <v>31000</v>
      </c>
      <c r="T76" s="54" t="s">
        <v>68</v>
      </c>
      <c r="U76" s="54" t="s">
        <v>7</v>
      </c>
      <c r="V76" s="50">
        <v>1</v>
      </c>
      <c r="W76" s="49" t="s">
        <v>71</v>
      </c>
      <c r="X76" s="50"/>
      <c r="Y76" s="50"/>
      <c r="Z76" s="50"/>
      <c r="AA76" s="50" t="s">
        <v>77</v>
      </c>
      <c r="AB76" s="50" t="s">
        <v>51</v>
      </c>
      <c r="AC76" s="50"/>
      <c r="AD76" s="50">
        <f>S76*V76</f>
        <v>31000</v>
      </c>
      <c r="AE76" s="56" t="s">
        <v>68</v>
      </c>
      <c r="AF76" s="20"/>
    </row>
    <row r="77" spans="1:32" s="11" customFormat="1" ht="21" customHeight="1">
      <c r="A77" s="44"/>
      <c r="B77" s="45"/>
      <c r="C77" s="45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69"/>
      <c r="O77" s="49" t="s">
        <v>97</v>
      </c>
      <c r="P77" s="49"/>
      <c r="Q77" s="49"/>
      <c r="R77" s="49"/>
      <c r="S77" s="50"/>
      <c r="T77" s="54"/>
      <c r="U77" s="54"/>
      <c r="V77" s="50"/>
      <c r="W77" s="50"/>
      <c r="X77" s="50"/>
      <c r="Y77" s="50"/>
      <c r="Z77" s="50"/>
      <c r="AA77" s="50"/>
      <c r="AB77" s="50" t="s">
        <v>51</v>
      </c>
      <c r="AC77" s="50"/>
      <c r="AD77" s="50">
        <v>200000</v>
      </c>
      <c r="AE77" s="56" t="s">
        <v>68</v>
      </c>
      <c r="AF77" s="20"/>
    </row>
    <row r="78" spans="1:32" s="11" customFormat="1" ht="21" customHeight="1">
      <c r="A78" s="44"/>
      <c r="B78" s="45"/>
      <c r="C78" s="45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69"/>
      <c r="O78" s="49" t="s">
        <v>131</v>
      </c>
      <c r="P78" s="49"/>
      <c r="Q78" s="49"/>
      <c r="R78" s="49"/>
      <c r="S78" s="50"/>
      <c r="T78" s="54"/>
      <c r="U78" s="54"/>
      <c r="V78" s="50"/>
      <c r="W78" s="49"/>
      <c r="X78" s="50"/>
      <c r="Y78" s="50"/>
      <c r="Z78" s="50"/>
      <c r="AA78" s="50"/>
      <c r="AB78" s="50" t="s">
        <v>51</v>
      </c>
      <c r="AC78" s="50"/>
      <c r="AD78" s="50">
        <v>1049000</v>
      </c>
      <c r="AE78" s="56" t="s">
        <v>68</v>
      </c>
      <c r="AF78" s="20"/>
    </row>
    <row r="79" spans="1:32" s="11" customFormat="1" ht="21" customHeight="1">
      <c r="A79" s="44"/>
      <c r="B79" s="45"/>
      <c r="C79" s="5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83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3"/>
      <c r="AE79" s="274"/>
      <c r="AF79" s="1"/>
    </row>
    <row r="80" spans="1:32" s="11" customFormat="1" ht="21" customHeight="1">
      <c r="A80" s="44"/>
      <c r="B80" s="45"/>
      <c r="C80" s="45" t="s">
        <v>142</v>
      </c>
      <c r="D80" s="111">
        <v>3814</v>
      </c>
      <c r="E80" s="111">
        <f>SUM(F80:L80)</f>
        <v>3994</v>
      </c>
      <c r="F80" s="111">
        <f>SUMIF($AB$81:$AB$86,"보조",$AD$81:$AD$86)/1000</f>
        <v>3000</v>
      </c>
      <c r="G80" s="111">
        <f>SUMIF($AB$81:$AB$86,"7종",$AD$81:$AD$86)/1000</f>
        <v>0</v>
      </c>
      <c r="H80" s="111">
        <f>SUMIF($AB$81:$AB$86,"시비",$AD$81:$AD$86)/1000</f>
        <v>0</v>
      </c>
      <c r="I80" s="111">
        <f>SUMIF($AB$81:$AB$86,"후원",$AD$81:$AD$86)/1000</f>
        <v>0</v>
      </c>
      <c r="J80" s="111">
        <f>SUMIF($AB$81:$AB$86,"입소",$AD$81:$AD$86)/1000</f>
        <v>994</v>
      </c>
      <c r="K80" s="111">
        <f>SUMIF($AB$81:$AB$86,"법인",$AD$81:$AD$86)/1000</f>
        <v>0</v>
      </c>
      <c r="L80" s="111">
        <f>SUMIF($AB$81:$AB$86,"잡수",$AD$81:$AD$86)/1000</f>
        <v>0</v>
      </c>
      <c r="M80" s="107">
        <f>E80-D80</f>
        <v>180</v>
      </c>
      <c r="N80" s="69">
        <f>IF(D80=0,0,M80/D80)</f>
        <v>0.04719454640797063</v>
      </c>
      <c r="O80" s="113" t="s">
        <v>165</v>
      </c>
      <c r="P80" s="31"/>
      <c r="Q80" s="31"/>
      <c r="R80" s="31"/>
      <c r="S80" s="31"/>
      <c r="T80" s="32"/>
      <c r="U80" s="32"/>
      <c r="V80" s="32"/>
      <c r="W80" s="32"/>
      <c r="X80" s="32"/>
      <c r="Y80" s="148" t="s">
        <v>18</v>
      </c>
      <c r="Z80" s="148"/>
      <c r="AA80" s="148"/>
      <c r="AB80" s="148"/>
      <c r="AC80" s="150"/>
      <c r="AD80" s="150">
        <f>ROUND(SUM(AD81:AD85),-3)</f>
        <v>3994000</v>
      </c>
      <c r="AE80" s="149" t="s">
        <v>68</v>
      </c>
      <c r="AF80" s="1"/>
    </row>
    <row r="81" spans="1:32" s="11" customFormat="1" ht="21" customHeight="1">
      <c r="A81" s="44"/>
      <c r="B81" s="45"/>
      <c r="C81" s="45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69"/>
      <c r="O81" s="136" t="s">
        <v>95</v>
      </c>
      <c r="P81" s="49"/>
      <c r="Q81" s="49"/>
      <c r="R81" s="49"/>
      <c r="S81" s="50">
        <v>40000</v>
      </c>
      <c r="T81" s="247" t="s">
        <v>68</v>
      </c>
      <c r="U81" s="247" t="s">
        <v>7</v>
      </c>
      <c r="V81" s="246">
        <v>10</v>
      </c>
      <c r="W81" s="248" t="s">
        <v>71</v>
      </c>
      <c r="X81" s="246" t="s">
        <v>77</v>
      </c>
      <c r="Y81" s="50"/>
      <c r="Z81" s="50"/>
      <c r="AA81" s="50"/>
      <c r="AB81" s="50" t="s">
        <v>4</v>
      </c>
      <c r="AC81" s="50"/>
      <c r="AD81" s="50">
        <f>S81*V81</f>
        <v>400000</v>
      </c>
      <c r="AE81" s="56" t="s">
        <v>68</v>
      </c>
      <c r="AF81" s="1"/>
    </row>
    <row r="82" spans="1:32" s="11" customFormat="1" ht="21" customHeight="1">
      <c r="A82" s="44"/>
      <c r="B82" s="45"/>
      <c r="C82" s="45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69"/>
      <c r="O82" s="49"/>
      <c r="P82" s="49"/>
      <c r="Q82" s="49"/>
      <c r="R82" s="49"/>
      <c r="S82" s="50">
        <v>30000</v>
      </c>
      <c r="T82" s="247" t="s">
        <v>68</v>
      </c>
      <c r="U82" s="247" t="s">
        <v>7</v>
      </c>
      <c r="V82" s="246">
        <v>2</v>
      </c>
      <c r="W82" s="248" t="s">
        <v>71</v>
      </c>
      <c r="X82" s="246" t="s">
        <v>77</v>
      </c>
      <c r="Y82" s="50"/>
      <c r="Z82" s="50"/>
      <c r="AA82" s="50"/>
      <c r="AB82" s="50" t="s">
        <v>51</v>
      </c>
      <c r="AC82" s="50"/>
      <c r="AD82" s="50">
        <f>S82*V82</f>
        <v>60000</v>
      </c>
      <c r="AE82" s="56" t="s">
        <v>68</v>
      </c>
      <c r="AF82" s="1"/>
    </row>
    <row r="83" spans="1:32" s="11" customFormat="1" ht="21" customHeight="1">
      <c r="A83" s="44"/>
      <c r="B83" s="45"/>
      <c r="C83" s="45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69"/>
      <c r="O83" s="49" t="s">
        <v>238</v>
      </c>
      <c r="P83" s="49"/>
      <c r="Q83" s="49"/>
      <c r="R83" s="49"/>
      <c r="S83" s="50">
        <v>268000</v>
      </c>
      <c r="T83" s="54" t="s">
        <v>68</v>
      </c>
      <c r="U83" s="54" t="s">
        <v>7</v>
      </c>
      <c r="V83" s="50">
        <v>10</v>
      </c>
      <c r="W83" s="49" t="s">
        <v>71</v>
      </c>
      <c r="X83" s="50" t="s">
        <v>77</v>
      </c>
      <c r="Y83" s="50"/>
      <c r="Z83" s="50"/>
      <c r="AA83" s="50"/>
      <c r="AB83" s="50" t="s">
        <v>4</v>
      </c>
      <c r="AC83" s="50"/>
      <c r="AD83" s="50">
        <f>S83*V83-80000</f>
        <v>2600000</v>
      </c>
      <c r="AE83" s="56" t="s">
        <v>68</v>
      </c>
      <c r="AF83" s="1"/>
    </row>
    <row r="84" spans="1:32" s="11" customFormat="1" ht="21" customHeight="1">
      <c r="A84" s="44"/>
      <c r="B84" s="45"/>
      <c r="C84" s="45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69"/>
      <c r="O84" s="49"/>
      <c r="P84" s="49"/>
      <c r="Q84" s="49"/>
      <c r="R84" s="49"/>
      <c r="S84" s="50">
        <v>250000</v>
      </c>
      <c r="T84" s="54" t="s">
        <v>68</v>
      </c>
      <c r="U84" s="54" t="s">
        <v>7</v>
      </c>
      <c r="V84" s="50">
        <v>2</v>
      </c>
      <c r="W84" s="49" t="s">
        <v>71</v>
      </c>
      <c r="X84" s="50" t="s">
        <v>77</v>
      </c>
      <c r="Y84" s="50"/>
      <c r="Z84" s="50"/>
      <c r="AA84" s="50"/>
      <c r="AB84" s="50" t="s">
        <v>51</v>
      </c>
      <c r="AC84" s="50"/>
      <c r="AD84" s="50">
        <f>S84*V84</f>
        <v>500000</v>
      </c>
      <c r="AE84" s="56" t="s">
        <v>68</v>
      </c>
      <c r="AF84" s="1"/>
    </row>
    <row r="85" spans="1:32" s="14" customFormat="1" ht="21" customHeight="1">
      <c r="A85" s="44"/>
      <c r="B85" s="45"/>
      <c r="C85" s="45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69"/>
      <c r="O85" s="49" t="s">
        <v>79</v>
      </c>
      <c r="P85" s="49"/>
      <c r="Q85" s="49"/>
      <c r="R85" s="49"/>
      <c r="S85" s="50"/>
      <c r="T85" s="54"/>
      <c r="U85" s="54"/>
      <c r="V85" s="50"/>
      <c r="W85" s="49"/>
      <c r="X85" s="50"/>
      <c r="Y85" s="50"/>
      <c r="Z85" s="50"/>
      <c r="AA85" s="50"/>
      <c r="AB85" s="50" t="s">
        <v>51</v>
      </c>
      <c r="AC85" s="50"/>
      <c r="AD85" s="50">
        <v>434000</v>
      </c>
      <c r="AE85" s="56" t="s">
        <v>68</v>
      </c>
      <c r="AF85" s="4"/>
    </row>
    <row r="86" spans="1:32" s="14" customFormat="1" ht="21" customHeight="1">
      <c r="A86" s="44"/>
      <c r="B86" s="45"/>
      <c r="C86" s="45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69"/>
      <c r="O86" s="117"/>
      <c r="P86" s="49"/>
      <c r="Q86" s="49"/>
      <c r="R86" s="49"/>
      <c r="S86" s="50"/>
      <c r="T86" s="54"/>
      <c r="U86" s="54"/>
      <c r="V86" s="50"/>
      <c r="W86" s="49"/>
      <c r="X86" s="50"/>
      <c r="Y86" s="50"/>
      <c r="Z86" s="50"/>
      <c r="AA86" s="50"/>
      <c r="AB86" s="50"/>
      <c r="AC86" s="50"/>
      <c r="AD86" s="50"/>
      <c r="AE86" s="56"/>
      <c r="AF86" s="4"/>
    </row>
    <row r="87" spans="1:31" ht="21" customHeight="1">
      <c r="A87" s="44"/>
      <c r="B87" s="45"/>
      <c r="C87" s="35" t="s">
        <v>141</v>
      </c>
      <c r="D87" s="111">
        <v>675</v>
      </c>
      <c r="E87" s="111">
        <f>SUM(F87:L87)</f>
        <v>565</v>
      </c>
      <c r="F87" s="111">
        <f>SUMIF($AB$88:$AB$93,"보조",$AD$88:$AD$93)/1000</f>
        <v>0</v>
      </c>
      <c r="G87" s="111">
        <f>SUMIF($AB$88:$AB$93,"7종",$AD$88:$AD$93)/1000</f>
        <v>0</v>
      </c>
      <c r="H87" s="111">
        <f>SUMIF($AB$88:$AB$93,"시비",$AD$88:$AD$93)/1000</f>
        <v>0</v>
      </c>
      <c r="I87" s="111">
        <f>SUMIF($AB$88:$AB$93,"후원",$AD$88:$AD$93)/1000</f>
        <v>0</v>
      </c>
      <c r="J87" s="111">
        <f>SUMIF($AB$88:$AB$93,"입소",$AD$88:$AD$93)/1000</f>
        <v>565</v>
      </c>
      <c r="K87" s="111">
        <f>SUMIF($AB$88:$AB$93,"법인",$AD$88:$AD$93)/1000</f>
        <v>0</v>
      </c>
      <c r="L87" s="111">
        <f>SUMIF($AB$88:$AB$93,"잡수",$AD$88:$AD$93)/1000</f>
        <v>0</v>
      </c>
      <c r="M87" s="110">
        <f>E87-D87</f>
        <v>-110</v>
      </c>
      <c r="N87" s="118">
        <f>IF(D87=0,0,M87/D87)</f>
        <v>-0.16296296296296298</v>
      </c>
      <c r="O87" s="96" t="s">
        <v>172</v>
      </c>
      <c r="P87" s="92"/>
      <c r="Q87" s="92"/>
      <c r="R87" s="92"/>
      <c r="S87" s="92"/>
      <c r="T87" s="88"/>
      <c r="U87" s="88"/>
      <c r="V87" s="88"/>
      <c r="W87" s="88"/>
      <c r="X87" s="88"/>
      <c r="Y87" s="148" t="s">
        <v>18</v>
      </c>
      <c r="Z87" s="148"/>
      <c r="AA87" s="148"/>
      <c r="AB87" s="148"/>
      <c r="AC87" s="150"/>
      <c r="AD87" s="150">
        <f>SUM(AD88:AD93)</f>
        <v>565000</v>
      </c>
      <c r="AE87" s="149" t="s">
        <v>68</v>
      </c>
    </row>
    <row r="88" spans="1:32" s="11" customFormat="1" ht="21" customHeight="1">
      <c r="A88" s="44"/>
      <c r="B88" s="45"/>
      <c r="C88" s="45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69"/>
      <c r="O88" s="49" t="s">
        <v>239</v>
      </c>
      <c r="P88" s="266"/>
      <c r="Q88" s="266"/>
      <c r="R88" s="266"/>
      <c r="S88" s="49"/>
      <c r="T88" s="67"/>
      <c r="U88" s="265"/>
      <c r="V88" s="246">
        <v>60000</v>
      </c>
      <c r="W88" s="247" t="s">
        <v>68</v>
      </c>
      <c r="X88" s="247" t="s">
        <v>7</v>
      </c>
      <c r="Y88" s="246">
        <v>1</v>
      </c>
      <c r="Z88" s="248" t="s">
        <v>13</v>
      </c>
      <c r="AA88" s="246" t="s">
        <v>77</v>
      </c>
      <c r="AB88" s="50" t="s">
        <v>51</v>
      </c>
      <c r="AC88" s="50"/>
      <c r="AD88" s="50">
        <f>V88*Y88</f>
        <v>60000</v>
      </c>
      <c r="AE88" s="56" t="s">
        <v>68</v>
      </c>
      <c r="AF88" s="1"/>
    </row>
    <row r="89" spans="1:32" s="11" customFormat="1" ht="21" customHeight="1">
      <c r="A89" s="44"/>
      <c r="B89" s="45"/>
      <c r="C89" s="45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69"/>
      <c r="O89" s="49" t="s">
        <v>327</v>
      </c>
      <c r="P89" s="266"/>
      <c r="Q89" s="266"/>
      <c r="R89" s="266"/>
      <c r="S89" s="49"/>
      <c r="T89" s="67"/>
      <c r="U89" s="265"/>
      <c r="V89" s="246">
        <v>35000</v>
      </c>
      <c r="W89" s="247" t="s">
        <v>68</v>
      </c>
      <c r="X89" s="247" t="s">
        <v>7</v>
      </c>
      <c r="Y89" s="246">
        <v>1</v>
      </c>
      <c r="Z89" s="248" t="s">
        <v>13</v>
      </c>
      <c r="AA89" s="246" t="s">
        <v>77</v>
      </c>
      <c r="AB89" s="50" t="s">
        <v>51</v>
      </c>
      <c r="AC89" s="50"/>
      <c r="AD89" s="50">
        <f>V89*Y89</f>
        <v>35000</v>
      </c>
      <c r="AE89" s="56" t="s">
        <v>68</v>
      </c>
      <c r="AF89" s="1"/>
    </row>
    <row r="90" spans="1:32" s="11" customFormat="1" ht="21" customHeight="1">
      <c r="A90" s="44"/>
      <c r="B90" s="45"/>
      <c r="C90" s="45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69"/>
      <c r="O90" s="49" t="s">
        <v>328</v>
      </c>
      <c r="P90" s="266"/>
      <c r="Q90" s="266"/>
      <c r="R90" s="266"/>
      <c r="S90" s="49"/>
      <c r="T90" s="67"/>
      <c r="U90" s="265"/>
      <c r="V90" s="246">
        <v>20000</v>
      </c>
      <c r="W90" s="247" t="s">
        <v>68</v>
      </c>
      <c r="X90" s="247" t="s">
        <v>7</v>
      </c>
      <c r="Y90" s="246">
        <v>1</v>
      </c>
      <c r="Z90" s="248" t="s">
        <v>13</v>
      </c>
      <c r="AA90" s="246" t="s">
        <v>77</v>
      </c>
      <c r="AB90" s="50" t="s">
        <v>51</v>
      </c>
      <c r="AC90" s="50"/>
      <c r="AD90" s="50">
        <f>V90*Y90</f>
        <v>20000</v>
      </c>
      <c r="AE90" s="56" t="s">
        <v>68</v>
      </c>
      <c r="AF90" s="1"/>
    </row>
    <row r="91" spans="1:32" s="11" customFormat="1" ht="21" customHeight="1">
      <c r="A91" s="44"/>
      <c r="B91" s="45"/>
      <c r="C91" s="45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69"/>
      <c r="O91" s="49" t="s">
        <v>194</v>
      </c>
      <c r="P91" s="266"/>
      <c r="Q91" s="266"/>
      <c r="R91" s="266"/>
      <c r="S91" s="50">
        <v>755710</v>
      </c>
      <c r="T91" s="54" t="s">
        <v>68</v>
      </c>
      <c r="U91" s="54" t="s">
        <v>7</v>
      </c>
      <c r="V91" s="50">
        <v>1</v>
      </c>
      <c r="W91" s="49" t="s">
        <v>13</v>
      </c>
      <c r="X91" s="90" t="s">
        <v>16</v>
      </c>
      <c r="Y91" s="276">
        <v>3</v>
      </c>
      <c r="Z91" s="50"/>
      <c r="AA91" s="50" t="s">
        <v>77</v>
      </c>
      <c r="AB91" s="50" t="s">
        <v>51</v>
      </c>
      <c r="AC91" s="50"/>
      <c r="AD91" s="50">
        <f>ROUNDDOWN(S91*V91/Y91,-4)</f>
        <v>250000</v>
      </c>
      <c r="AE91" s="56" t="s">
        <v>68</v>
      </c>
      <c r="AF91" s="1"/>
    </row>
    <row r="92" spans="1:32" s="11" customFormat="1" ht="21" customHeight="1">
      <c r="A92" s="44"/>
      <c r="B92" s="45"/>
      <c r="C92" s="45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69"/>
      <c r="O92" s="49" t="s">
        <v>87</v>
      </c>
      <c r="P92" s="266"/>
      <c r="Q92" s="266"/>
      <c r="R92" s="266"/>
      <c r="S92" s="49"/>
      <c r="T92" s="67"/>
      <c r="U92" s="265"/>
      <c r="V92" s="246"/>
      <c r="W92" s="247"/>
      <c r="X92" s="247"/>
      <c r="Y92" s="246"/>
      <c r="Z92" s="248"/>
      <c r="AA92" s="246" t="s">
        <v>77</v>
      </c>
      <c r="AB92" s="50" t="s">
        <v>51</v>
      </c>
      <c r="AC92" s="50"/>
      <c r="AD92" s="50">
        <v>200000</v>
      </c>
      <c r="AE92" s="56" t="s">
        <v>68</v>
      </c>
      <c r="AF92" s="1"/>
    </row>
    <row r="93" spans="1:32" s="11" customFormat="1" ht="21" customHeight="1">
      <c r="A93" s="44"/>
      <c r="B93" s="45"/>
      <c r="C93" s="45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69"/>
      <c r="O93" s="49"/>
      <c r="P93" s="120"/>
      <c r="Q93" s="120"/>
      <c r="R93" s="120"/>
      <c r="S93" s="120"/>
      <c r="T93" s="120"/>
      <c r="U93" s="120"/>
      <c r="V93" s="120"/>
      <c r="W93" s="120"/>
      <c r="X93" s="120"/>
      <c r="Y93" s="74"/>
      <c r="Z93" s="74"/>
      <c r="AA93" s="74"/>
      <c r="AB93" s="74"/>
      <c r="AC93" s="74"/>
      <c r="AD93" s="50"/>
      <c r="AE93" s="56"/>
      <c r="AF93" s="1"/>
    </row>
    <row r="94" spans="1:32" s="11" customFormat="1" ht="21" customHeight="1">
      <c r="A94" s="44"/>
      <c r="B94" s="45"/>
      <c r="C94" s="35" t="s">
        <v>143</v>
      </c>
      <c r="D94" s="111">
        <v>400</v>
      </c>
      <c r="E94" s="111">
        <f>SUM(F94:L94)</f>
        <v>500</v>
      </c>
      <c r="F94" s="111">
        <f>SUMIF($AB$95:$AB$97,"보조",$AD$95:$AD$97)/1000</f>
        <v>0</v>
      </c>
      <c r="G94" s="111">
        <f>SUMIF($AB$95:$AB$97,"7종",$AD$95:$AD$97)/1000</f>
        <v>0</v>
      </c>
      <c r="H94" s="111">
        <f>SUMIF($AB$95:$AB$97,"시비",$AD$95:$AD$97)/1000</f>
        <v>0</v>
      </c>
      <c r="I94" s="111">
        <f>SUMIF($AB$95:$AB$97,"후원",$AD$95:$AD$97)/1000</f>
        <v>0</v>
      </c>
      <c r="J94" s="111">
        <f>SUMIF($AB$95:$AB$97,"입소",$AD$95:$AD$97)/1000</f>
        <v>500</v>
      </c>
      <c r="K94" s="111">
        <f>SUMIF($AB$95:$AB$97,"법인",$AD$95:$AD$97)/1000</f>
        <v>0</v>
      </c>
      <c r="L94" s="111">
        <f>SUMIF($AB$95:$AB$97,"잡수",$AD$95:$AD$97)/1000</f>
        <v>0</v>
      </c>
      <c r="M94" s="110">
        <f>E94-D94</f>
        <v>100</v>
      </c>
      <c r="N94" s="118">
        <f>IF(D94=0,0,M94/D94)</f>
        <v>0.25</v>
      </c>
      <c r="O94" s="96" t="s">
        <v>159</v>
      </c>
      <c r="P94" s="92"/>
      <c r="Q94" s="92"/>
      <c r="R94" s="92"/>
      <c r="S94" s="92"/>
      <c r="T94" s="88"/>
      <c r="U94" s="88"/>
      <c r="V94" s="88"/>
      <c r="W94" s="88"/>
      <c r="X94" s="88"/>
      <c r="Y94" s="148" t="s">
        <v>18</v>
      </c>
      <c r="Z94" s="148"/>
      <c r="AA94" s="148"/>
      <c r="AB94" s="148"/>
      <c r="AC94" s="150"/>
      <c r="AD94" s="150">
        <f>SUM(AD95:AD96)</f>
        <v>500000</v>
      </c>
      <c r="AE94" s="149" t="s">
        <v>68</v>
      </c>
      <c r="AF94" s="1"/>
    </row>
    <row r="95" spans="1:32" s="11" customFormat="1" ht="21" customHeight="1">
      <c r="A95" s="44"/>
      <c r="B95" s="45"/>
      <c r="C95" s="45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69"/>
      <c r="O95" s="49" t="s">
        <v>233</v>
      </c>
      <c r="P95" s="49"/>
      <c r="Q95" s="49"/>
      <c r="R95" s="49"/>
      <c r="S95" s="50"/>
      <c r="T95" s="54"/>
      <c r="U95" s="54"/>
      <c r="V95" s="50"/>
      <c r="W95" s="49"/>
      <c r="X95" s="50"/>
      <c r="Y95" s="50"/>
      <c r="Z95" s="50"/>
      <c r="AA95" s="50"/>
      <c r="AB95" s="50" t="s">
        <v>51</v>
      </c>
      <c r="AC95" s="50"/>
      <c r="AD95" s="50">
        <v>400000</v>
      </c>
      <c r="AE95" s="56" t="s">
        <v>68</v>
      </c>
      <c r="AF95" s="1"/>
    </row>
    <row r="96" spans="1:32" s="11" customFormat="1" ht="21" customHeight="1">
      <c r="A96" s="44"/>
      <c r="B96" s="45"/>
      <c r="C96" s="45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69"/>
      <c r="O96" s="49" t="s">
        <v>98</v>
      </c>
      <c r="P96" s="49"/>
      <c r="Q96" s="49"/>
      <c r="R96" s="49"/>
      <c r="S96" s="50"/>
      <c r="T96" s="54"/>
      <c r="U96" s="54"/>
      <c r="V96" s="50"/>
      <c r="W96" s="49"/>
      <c r="X96" s="50"/>
      <c r="Y96" s="50"/>
      <c r="Z96" s="50"/>
      <c r="AA96" s="50"/>
      <c r="AB96" s="50" t="s">
        <v>51</v>
      </c>
      <c r="AC96" s="50"/>
      <c r="AD96" s="50">
        <v>100000</v>
      </c>
      <c r="AE96" s="56" t="s">
        <v>68</v>
      </c>
      <c r="AF96" s="1"/>
    </row>
    <row r="97" spans="1:32" s="11" customFormat="1" ht="21" customHeight="1">
      <c r="A97" s="44"/>
      <c r="B97" s="45"/>
      <c r="C97" s="5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83"/>
      <c r="O97" s="80"/>
      <c r="P97" s="80"/>
      <c r="Q97" s="80"/>
      <c r="R97" s="80"/>
      <c r="S97" s="79"/>
      <c r="T97" s="84"/>
      <c r="U97" s="79"/>
      <c r="V97" s="393"/>
      <c r="W97" s="394"/>
      <c r="X97" s="79"/>
      <c r="Y97" s="79"/>
      <c r="Z97" s="79"/>
      <c r="AA97" s="79"/>
      <c r="AB97" s="79"/>
      <c r="AC97" s="79"/>
      <c r="AD97" s="79"/>
      <c r="AE97" s="72"/>
      <c r="AF97" s="1"/>
    </row>
    <row r="98" spans="1:32" s="11" customFormat="1" ht="21" customHeight="1">
      <c r="A98" s="44"/>
      <c r="B98" s="45"/>
      <c r="C98" s="35" t="s">
        <v>164</v>
      </c>
      <c r="D98" s="111">
        <v>100</v>
      </c>
      <c r="E98" s="111">
        <f>SUM(F98:L98)</f>
        <v>50</v>
      </c>
      <c r="F98" s="111">
        <f>SUMIF($AB$99:$AB$100,"보조",$AD$99:$AD$100)/1000</f>
        <v>0</v>
      </c>
      <c r="G98" s="111">
        <f>SUMIF($AB$99:$AB$100,"7종",$AD$99:$AD$100)/1000</f>
        <v>0</v>
      </c>
      <c r="H98" s="111">
        <f>SUMIF($AB$99:$AB$100,"시비",$AD$99:$AD$100)/1000</f>
        <v>0</v>
      </c>
      <c r="I98" s="111">
        <f>SUMIF($AB$99:$AB$100,"후원",$AD$99:$AD$100)/1000</f>
        <v>0</v>
      </c>
      <c r="J98" s="111">
        <f>SUMIF($AB$99:$AB$100,"입소",$AD$99:$AD$100)/1000</f>
        <v>0</v>
      </c>
      <c r="K98" s="111">
        <f>SUMIF($AB$99:$AB$100,"법인",$AD$99:$AD$100)/1000</f>
        <v>50</v>
      </c>
      <c r="L98" s="111">
        <f>SUMIF($AB$99:$AB$100,"잡수",$AD$99:$AD$100)/1000</f>
        <v>0</v>
      </c>
      <c r="M98" s="110">
        <f>E98-D98</f>
        <v>-50</v>
      </c>
      <c r="N98" s="118">
        <f>IF(D98=0,0,M98/D98)</f>
        <v>-0.5</v>
      </c>
      <c r="O98" s="113" t="s">
        <v>305</v>
      </c>
      <c r="P98" s="92"/>
      <c r="Q98" s="92"/>
      <c r="R98" s="92"/>
      <c r="S98" s="92"/>
      <c r="T98" s="88"/>
      <c r="U98" s="88"/>
      <c r="V98" s="88"/>
      <c r="W98" s="88"/>
      <c r="X98" s="88"/>
      <c r="Y98" s="148" t="s">
        <v>18</v>
      </c>
      <c r="Z98" s="148"/>
      <c r="AA98" s="148"/>
      <c r="AB98" s="148"/>
      <c r="AC98" s="150"/>
      <c r="AD98" s="150">
        <f>SUM(AD99:AD99)</f>
        <v>50000</v>
      </c>
      <c r="AE98" s="149" t="s">
        <v>68</v>
      </c>
      <c r="AF98" s="1"/>
    </row>
    <row r="99" spans="1:32" s="11" customFormat="1" ht="20.25" customHeight="1">
      <c r="A99" s="44"/>
      <c r="B99" s="45"/>
      <c r="C99" s="4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69"/>
      <c r="O99" s="49"/>
      <c r="P99" s="49"/>
      <c r="Q99" s="49"/>
      <c r="R99" s="49"/>
      <c r="S99" s="50">
        <v>50000</v>
      </c>
      <c r="T99" s="50" t="s">
        <v>68</v>
      </c>
      <c r="U99" s="73" t="s">
        <v>7</v>
      </c>
      <c r="V99" s="50">
        <v>1</v>
      </c>
      <c r="W99" s="50" t="s">
        <v>25</v>
      </c>
      <c r="X99" s="73"/>
      <c r="Y99" s="50"/>
      <c r="Z99" s="50"/>
      <c r="AA99" s="50" t="s">
        <v>77</v>
      </c>
      <c r="AB99" s="50" t="s">
        <v>40</v>
      </c>
      <c r="AC99" s="67"/>
      <c r="AD99" s="67">
        <f>S99*V99</f>
        <v>50000</v>
      </c>
      <c r="AE99" s="56" t="s">
        <v>68</v>
      </c>
      <c r="AF99" s="2"/>
    </row>
    <row r="100" spans="1:32" s="11" customFormat="1" ht="21" customHeight="1">
      <c r="A100" s="44"/>
      <c r="B100" s="45"/>
      <c r="C100" s="4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83"/>
      <c r="O100" s="80"/>
      <c r="P100" s="80"/>
      <c r="Q100" s="80"/>
      <c r="R100" s="80"/>
      <c r="S100" s="79"/>
      <c r="T100" s="80"/>
      <c r="U100" s="79"/>
      <c r="V100" s="121"/>
      <c r="W100" s="121"/>
      <c r="X100" s="79"/>
      <c r="Y100" s="79"/>
      <c r="Z100" s="79"/>
      <c r="AA100" s="79"/>
      <c r="AB100" s="79"/>
      <c r="AC100" s="79"/>
      <c r="AD100" s="79"/>
      <c r="AE100" s="72"/>
      <c r="AF100" s="2"/>
    </row>
    <row r="101" spans="1:32" s="11" customFormat="1" ht="21" customHeight="1">
      <c r="A101" s="109" t="s">
        <v>192</v>
      </c>
      <c r="B101" s="411" t="s">
        <v>145</v>
      </c>
      <c r="C101" s="411"/>
      <c r="D101" s="155">
        <v>1500</v>
      </c>
      <c r="E101" s="155">
        <f aca="true" t="shared" si="5" ref="E101:L101">E102</f>
        <v>1500</v>
      </c>
      <c r="F101" s="155">
        <f t="shared" si="5"/>
        <v>0</v>
      </c>
      <c r="G101" s="155">
        <f t="shared" si="5"/>
        <v>0</v>
      </c>
      <c r="H101" s="155">
        <f t="shared" si="5"/>
        <v>0</v>
      </c>
      <c r="I101" s="155">
        <f t="shared" si="5"/>
        <v>0</v>
      </c>
      <c r="J101" s="155">
        <f t="shared" si="5"/>
        <v>1500</v>
      </c>
      <c r="K101" s="155">
        <f t="shared" si="5"/>
        <v>0</v>
      </c>
      <c r="L101" s="155">
        <f t="shared" si="5"/>
        <v>0</v>
      </c>
      <c r="M101" s="155">
        <f>E101-D101</f>
        <v>0</v>
      </c>
      <c r="N101" s="142">
        <f>IF(D101=0,0,M101/D101)</f>
        <v>0</v>
      </c>
      <c r="O101" s="31" t="s">
        <v>216</v>
      </c>
      <c r="P101" s="31"/>
      <c r="Q101" s="31"/>
      <c r="R101" s="31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>
        <f>AD102</f>
        <v>1500000</v>
      </c>
      <c r="AE101" s="33" t="s">
        <v>68</v>
      </c>
      <c r="AF101" s="2"/>
    </row>
    <row r="102" spans="1:32" s="11" customFormat="1" ht="21" customHeight="1">
      <c r="A102" s="154" t="s">
        <v>24</v>
      </c>
      <c r="B102" s="45" t="s">
        <v>14</v>
      </c>
      <c r="C102" s="45" t="s">
        <v>75</v>
      </c>
      <c r="D102" s="107">
        <v>1500</v>
      </c>
      <c r="E102" s="107">
        <f aca="true" t="shared" si="6" ref="E102:L102">SUM(E103,E106,E110)</f>
        <v>1500</v>
      </c>
      <c r="F102" s="107">
        <f t="shared" si="6"/>
        <v>0</v>
      </c>
      <c r="G102" s="107">
        <f t="shared" si="6"/>
        <v>0</v>
      </c>
      <c r="H102" s="107">
        <f t="shared" si="6"/>
        <v>0</v>
      </c>
      <c r="I102" s="107">
        <f t="shared" si="6"/>
        <v>0</v>
      </c>
      <c r="J102" s="107">
        <f t="shared" si="6"/>
        <v>1500</v>
      </c>
      <c r="K102" s="107">
        <f t="shared" si="6"/>
        <v>0</v>
      </c>
      <c r="L102" s="107">
        <f t="shared" si="6"/>
        <v>0</v>
      </c>
      <c r="M102" s="107">
        <f>E102-D102</f>
        <v>0</v>
      </c>
      <c r="N102" s="69">
        <f>IF(D102=0,0,M102/D102)</f>
        <v>0</v>
      </c>
      <c r="O102" s="92" t="s">
        <v>14</v>
      </c>
      <c r="P102" s="92"/>
      <c r="Q102" s="92"/>
      <c r="R102" s="92"/>
      <c r="S102" s="92"/>
      <c r="T102" s="88"/>
      <c r="U102" s="88"/>
      <c r="V102" s="88"/>
      <c r="W102" s="88"/>
      <c r="X102" s="88"/>
      <c r="Y102" s="88"/>
      <c r="Z102" s="88"/>
      <c r="AA102" s="88"/>
      <c r="AB102" s="88"/>
      <c r="AC102" s="93"/>
      <c r="AD102" s="93">
        <f>SUM(AD103,AD106,AD110)</f>
        <v>1500000</v>
      </c>
      <c r="AE102" s="94" t="s">
        <v>68</v>
      </c>
      <c r="AF102" s="1"/>
    </row>
    <row r="103" spans="1:32" s="11" customFormat="1" ht="21" customHeight="1">
      <c r="A103" s="44"/>
      <c r="B103" s="45"/>
      <c r="C103" s="35" t="s">
        <v>14</v>
      </c>
      <c r="D103" s="111">
        <v>0</v>
      </c>
      <c r="E103" s="111">
        <f>SUM(F103:L103)</f>
        <v>0</v>
      </c>
      <c r="F103" s="111">
        <f>SUMIF($AB$104:$AB$105,"보조",$AD$104:$AD$105)/1000</f>
        <v>0</v>
      </c>
      <c r="G103" s="111">
        <f>SUMIF($AB$104:$AB$105,"7종",$AD$104:$AD$105)/1000</f>
        <v>0</v>
      </c>
      <c r="H103" s="111">
        <f>SUMIF($AB$104:$AB$105,"시비",$AD$104:$AD$105)/1000</f>
        <v>0</v>
      </c>
      <c r="I103" s="111">
        <f>SUMIF($AB$104:$AB$105,"후원",$AD$104:$AD$105)/1000</f>
        <v>0</v>
      </c>
      <c r="J103" s="111">
        <f>SUMIF($AB$104:$AB$105,"입소",$AD$104:$AD$105)/1000</f>
        <v>0</v>
      </c>
      <c r="K103" s="111">
        <f>SUMIF($AB$104:$AB$105,"법인",$AD$104:$AD$105)/1000</f>
        <v>0</v>
      </c>
      <c r="L103" s="111">
        <f>SUMIF($AB$104:$AB$105,"잡수",$AD$104:$AD$105)/1000</f>
        <v>0</v>
      </c>
      <c r="M103" s="110">
        <f>E103-D103</f>
        <v>0</v>
      </c>
      <c r="N103" s="118">
        <f>IF(D103=0,0,M103/D103)</f>
        <v>0</v>
      </c>
      <c r="O103" s="96" t="s">
        <v>156</v>
      </c>
      <c r="P103" s="92"/>
      <c r="Q103" s="92"/>
      <c r="R103" s="92"/>
      <c r="S103" s="92"/>
      <c r="T103" s="88"/>
      <c r="U103" s="88"/>
      <c r="V103" s="88"/>
      <c r="W103" s="88"/>
      <c r="X103" s="88"/>
      <c r="Y103" s="148" t="s">
        <v>18</v>
      </c>
      <c r="Z103" s="148"/>
      <c r="AA103" s="148"/>
      <c r="AB103" s="148"/>
      <c r="AC103" s="150"/>
      <c r="AD103" s="150">
        <f>SUM(AD104:AD104)</f>
        <v>0</v>
      </c>
      <c r="AE103" s="149" t="s">
        <v>68</v>
      </c>
      <c r="AF103" s="1"/>
    </row>
    <row r="104" spans="1:32" s="11" customFormat="1" ht="21" customHeight="1">
      <c r="A104" s="44"/>
      <c r="B104" s="45"/>
      <c r="C104" s="45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69"/>
      <c r="O104" s="117" t="s">
        <v>58</v>
      </c>
      <c r="P104" s="31"/>
      <c r="Q104" s="31"/>
      <c r="R104" s="31"/>
      <c r="S104" s="31"/>
      <c r="T104" s="32"/>
      <c r="U104" s="32"/>
      <c r="V104" s="32"/>
      <c r="W104" s="32"/>
      <c r="X104" s="32"/>
      <c r="Y104" s="32"/>
      <c r="Z104" s="32"/>
      <c r="AA104" s="32"/>
      <c r="AB104" s="50"/>
      <c r="AC104" s="51"/>
      <c r="AD104" s="67">
        <v>0</v>
      </c>
      <c r="AE104" s="56" t="s">
        <v>68</v>
      </c>
      <c r="AF104" s="2"/>
    </row>
    <row r="105" spans="1:32" s="11" customFormat="1" ht="21" customHeight="1">
      <c r="A105" s="44"/>
      <c r="B105" s="45"/>
      <c r="C105" s="45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69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22"/>
      <c r="AE105" s="119"/>
      <c r="AF105" s="2"/>
    </row>
    <row r="106" spans="1:32" s="11" customFormat="1" ht="21" customHeight="1">
      <c r="A106" s="44"/>
      <c r="B106" s="45"/>
      <c r="C106" s="35" t="s">
        <v>149</v>
      </c>
      <c r="D106" s="111">
        <v>1000</v>
      </c>
      <c r="E106" s="111">
        <f>SUM(F106:L106)</f>
        <v>1000</v>
      </c>
      <c r="F106" s="111">
        <f>SUMIF($AB$107:$AB$109,"보조",$AD$107:$AD$109)/1000</f>
        <v>0</v>
      </c>
      <c r="G106" s="111">
        <f>SUMIF($AB$107:$AB$109,"7종",$AD$107:$AD$109)/1000</f>
        <v>0</v>
      </c>
      <c r="H106" s="111">
        <f>SUMIF($AB$107:$AB$109,"시비",$AD$107:$AD$109)/1000</f>
        <v>0</v>
      </c>
      <c r="I106" s="111">
        <f>SUMIF($AB$107:$AB$109,"후원",$AD$107:$AD$109)/1000</f>
        <v>0</v>
      </c>
      <c r="J106" s="111">
        <f>SUMIF($AB$107:$AB$109,"입소",$AD$107:$AD$109)/1000</f>
        <v>1000</v>
      </c>
      <c r="K106" s="111">
        <f>SUMIF($AB$107:$AB$109,"법인",$AD$107:$AD$109)/1000</f>
        <v>0</v>
      </c>
      <c r="L106" s="111">
        <f>SUMIF($AB$107:$AB$109,"잡수",$AD$107:$AD$109)/1000</f>
        <v>0</v>
      </c>
      <c r="M106" s="110">
        <f>E106-D106</f>
        <v>0</v>
      </c>
      <c r="N106" s="118">
        <f>IF(D106=0,0,M106/D106)</f>
        <v>0</v>
      </c>
      <c r="O106" s="96" t="s">
        <v>196</v>
      </c>
      <c r="P106" s="92"/>
      <c r="Q106" s="92"/>
      <c r="R106" s="92"/>
      <c r="S106" s="92"/>
      <c r="T106" s="88"/>
      <c r="U106" s="88"/>
      <c r="V106" s="88"/>
      <c r="W106" s="88"/>
      <c r="X106" s="88"/>
      <c r="Y106" s="148" t="s">
        <v>18</v>
      </c>
      <c r="Z106" s="148"/>
      <c r="AA106" s="148"/>
      <c r="AB106" s="148"/>
      <c r="AC106" s="150"/>
      <c r="AD106" s="150">
        <f>SUM(AD107:AD108)</f>
        <v>1000000</v>
      </c>
      <c r="AE106" s="149" t="s">
        <v>68</v>
      </c>
      <c r="AF106" s="1"/>
    </row>
    <row r="107" spans="1:32" s="11" customFormat="1" ht="21" customHeight="1">
      <c r="A107" s="44"/>
      <c r="B107" s="45"/>
      <c r="C107" s="45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69"/>
      <c r="O107" s="49" t="s">
        <v>110</v>
      </c>
      <c r="P107" s="49"/>
      <c r="Q107" s="49"/>
      <c r="R107" s="49"/>
      <c r="S107" s="50"/>
      <c r="T107" s="54"/>
      <c r="U107" s="54"/>
      <c r="V107" s="50"/>
      <c r="W107" s="49"/>
      <c r="X107" s="50"/>
      <c r="Y107" s="50"/>
      <c r="Z107" s="50"/>
      <c r="AA107" s="50"/>
      <c r="AB107" s="50" t="s">
        <v>67</v>
      </c>
      <c r="AC107" s="50"/>
      <c r="AD107" s="50"/>
      <c r="AE107" s="56" t="s">
        <v>68</v>
      </c>
      <c r="AF107" s="343"/>
    </row>
    <row r="108" spans="1:32" s="11" customFormat="1" ht="21" customHeight="1">
      <c r="A108" s="44"/>
      <c r="B108" s="45"/>
      <c r="C108" s="45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69"/>
      <c r="O108" s="49" t="s">
        <v>336</v>
      </c>
      <c r="P108" s="49"/>
      <c r="Q108" s="49"/>
      <c r="R108" s="49"/>
      <c r="S108" s="50"/>
      <c r="T108" s="54"/>
      <c r="U108" s="54"/>
      <c r="V108" s="50"/>
      <c r="W108" s="49"/>
      <c r="X108" s="50"/>
      <c r="Y108" s="50"/>
      <c r="Z108" s="50"/>
      <c r="AA108" s="50"/>
      <c r="AB108" s="50" t="s">
        <v>51</v>
      </c>
      <c r="AC108" s="50"/>
      <c r="AD108" s="50">
        <v>1000000</v>
      </c>
      <c r="AE108" s="56" t="s">
        <v>68</v>
      </c>
      <c r="AF108" s="2"/>
    </row>
    <row r="109" spans="1:32" s="11" customFormat="1" ht="21" customHeight="1">
      <c r="A109" s="44"/>
      <c r="B109" s="45"/>
      <c r="C109" s="45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69"/>
      <c r="O109" s="49"/>
      <c r="P109" s="49"/>
      <c r="Q109" s="49"/>
      <c r="R109" s="49"/>
      <c r="S109" s="50"/>
      <c r="T109" s="114"/>
      <c r="U109" s="54"/>
      <c r="V109" s="67"/>
      <c r="W109" s="67"/>
      <c r="X109" s="50"/>
      <c r="Y109" s="50"/>
      <c r="Z109" s="50"/>
      <c r="AA109" s="50"/>
      <c r="AB109" s="50"/>
      <c r="AC109" s="50"/>
      <c r="AD109" s="50"/>
      <c r="AE109" s="56"/>
      <c r="AF109" s="2"/>
    </row>
    <row r="110" spans="1:32" s="11" customFormat="1" ht="21" customHeight="1">
      <c r="A110" s="44"/>
      <c r="B110" s="45"/>
      <c r="C110" s="35" t="s">
        <v>168</v>
      </c>
      <c r="D110" s="111">
        <v>500</v>
      </c>
      <c r="E110" s="111">
        <f>SUM(F110:L110)</f>
        <v>500</v>
      </c>
      <c r="F110" s="111">
        <f>SUMIF($AB$111:$AB$113,"보조",$AD$111:$AD$113)/1000</f>
        <v>0</v>
      </c>
      <c r="G110" s="111">
        <f>SUMIF($AB$111:$AB$113,"7종",$AD$111:$AD$113)/1000</f>
        <v>0</v>
      </c>
      <c r="H110" s="111">
        <f>SUMIF($AB$111:$AB$113,"시비",$AD$111:$AD$113)/1000</f>
        <v>0</v>
      </c>
      <c r="I110" s="111">
        <f>SUMIF($AB$111:$AB$113,"후원",$AD$111:$AD$113)/1000</f>
        <v>0</v>
      </c>
      <c r="J110" s="111">
        <f>SUMIF($AB$111:$AB$113,"입소",$AD$111:$AD$113)/1000</f>
        <v>500</v>
      </c>
      <c r="K110" s="111">
        <f>SUMIF($AB$111:$AB$113,"법인",$AD$111:$AD$113)/1000</f>
        <v>0</v>
      </c>
      <c r="L110" s="111">
        <f>SUMIF($AB$111:$AB$113,"잡수",$AD$111:$AD$113)/1000</f>
        <v>0</v>
      </c>
      <c r="M110" s="110">
        <f>E110-D110</f>
        <v>0</v>
      </c>
      <c r="N110" s="118">
        <f>IF(D110=0,0,M110/D110)</f>
        <v>0</v>
      </c>
      <c r="O110" s="96" t="s">
        <v>265</v>
      </c>
      <c r="P110" s="92"/>
      <c r="Q110" s="92"/>
      <c r="R110" s="92"/>
      <c r="S110" s="92"/>
      <c r="T110" s="88"/>
      <c r="U110" s="88"/>
      <c r="V110" s="88"/>
      <c r="W110" s="88"/>
      <c r="X110" s="88"/>
      <c r="Y110" s="148" t="s">
        <v>18</v>
      </c>
      <c r="Z110" s="148"/>
      <c r="AA110" s="148"/>
      <c r="AB110" s="148"/>
      <c r="AC110" s="150"/>
      <c r="AD110" s="150">
        <f>SUM(AD111:AD112)</f>
        <v>500000</v>
      </c>
      <c r="AE110" s="149" t="s">
        <v>68</v>
      </c>
      <c r="AF110" s="1"/>
    </row>
    <row r="111" spans="1:32" s="1" customFormat="1" ht="21" customHeight="1">
      <c r="A111" s="44"/>
      <c r="B111" s="45"/>
      <c r="C111" s="45" t="s">
        <v>30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69"/>
      <c r="O111" s="49" t="s">
        <v>110</v>
      </c>
      <c r="P111" s="49"/>
      <c r="Q111" s="49"/>
      <c r="R111" s="49"/>
      <c r="S111" s="50"/>
      <c r="T111" s="54"/>
      <c r="U111" s="54"/>
      <c r="V111" s="50"/>
      <c r="W111" s="49"/>
      <c r="X111" s="50"/>
      <c r="Y111" s="50"/>
      <c r="Z111" s="50"/>
      <c r="AA111" s="50"/>
      <c r="AB111" s="50" t="s">
        <v>4</v>
      </c>
      <c r="AC111" s="50"/>
      <c r="AD111" s="50">
        <v>0</v>
      </c>
      <c r="AE111" s="56" t="s">
        <v>68</v>
      </c>
      <c r="AF111" s="2"/>
    </row>
    <row r="112" spans="1:32" s="1" customFormat="1" ht="21" customHeight="1">
      <c r="A112" s="44"/>
      <c r="B112" s="45"/>
      <c r="C112" s="45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69"/>
      <c r="O112" s="49" t="s">
        <v>335</v>
      </c>
      <c r="P112" s="49"/>
      <c r="Q112" s="49"/>
      <c r="R112" s="49"/>
      <c r="S112" s="50"/>
      <c r="T112" s="54"/>
      <c r="U112" s="54"/>
      <c r="V112" s="50"/>
      <c r="W112" s="49"/>
      <c r="X112" s="50"/>
      <c r="Y112" s="50"/>
      <c r="Z112" s="50"/>
      <c r="AA112" s="50"/>
      <c r="AB112" s="50" t="s">
        <v>51</v>
      </c>
      <c r="AC112" s="50"/>
      <c r="AD112" s="50">
        <v>500000</v>
      </c>
      <c r="AE112" s="56" t="s">
        <v>68</v>
      </c>
      <c r="AF112" s="2"/>
    </row>
    <row r="113" spans="1:32" s="1" customFormat="1" ht="21" customHeight="1">
      <c r="A113" s="44"/>
      <c r="B113" s="45"/>
      <c r="C113" s="45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69"/>
      <c r="O113" s="49"/>
      <c r="P113" s="49"/>
      <c r="Q113" s="49"/>
      <c r="R113" s="49"/>
      <c r="S113" s="50"/>
      <c r="T113" s="54"/>
      <c r="U113" s="54"/>
      <c r="V113" s="50"/>
      <c r="W113" s="49"/>
      <c r="X113" s="50"/>
      <c r="Y113" s="50"/>
      <c r="Z113" s="50"/>
      <c r="AA113" s="50"/>
      <c r="AB113" s="50"/>
      <c r="AC113" s="50"/>
      <c r="AD113" s="50"/>
      <c r="AE113" s="56"/>
      <c r="AF113" s="2"/>
    </row>
    <row r="114" spans="1:32" s="11" customFormat="1" ht="21" customHeight="1">
      <c r="A114" s="156" t="s">
        <v>3</v>
      </c>
      <c r="B114" s="409" t="s">
        <v>145</v>
      </c>
      <c r="C114" s="410"/>
      <c r="D114" s="157">
        <v>17719</v>
      </c>
      <c r="E114" s="157">
        <f aca="true" t="shared" si="7" ref="E114:L114">SUM(E115,E140)</f>
        <v>20083</v>
      </c>
      <c r="F114" s="157">
        <f t="shared" si="7"/>
        <v>5000</v>
      </c>
      <c r="G114" s="157">
        <f t="shared" si="7"/>
        <v>0</v>
      </c>
      <c r="H114" s="157">
        <f t="shared" si="7"/>
        <v>0</v>
      </c>
      <c r="I114" s="157">
        <f t="shared" si="7"/>
        <v>3271</v>
      </c>
      <c r="J114" s="157">
        <f t="shared" si="7"/>
        <v>10430</v>
      </c>
      <c r="K114" s="157">
        <f t="shared" si="7"/>
        <v>246</v>
      </c>
      <c r="L114" s="157">
        <f t="shared" si="7"/>
        <v>1136</v>
      </c>
      <c r="M114" s="157">
        <f>SUM(M115,M125,M129,M132,M137)</f>
        <v>1076</v>
      </c>
      <c r="N114" s="158">
        <f>IF(D114=0,0,M114/D114)</f>
        <v>0.06072577459224561</v>
      </c>
      <c r="O114" s="92" t="s">
        <v>3</v>
      </c>
      <c r="P114" s="92"/>
      <c r="Q114" s="92"/>
      <c r="R114" s="92"/>
      <c r="S114" s="92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>
        <f>SUM(AD115,AD140)</f>
        <v>20083000</v>
      </c>
      <c r="AE114" s="94" t="s">
        <v>68</v>
      </c>
      <c r="AF114" s="13"/>
    </row>
    <row r="115" spans="1:32" s="11" customFormat="1" ht="21" customHeight="1">
      <c r="A115" s="45"/>
      <c r="B115" s="35" t="s">
        <v>73</v>
      </c>
      <c r="C115" s="35" t="s">
        <v>75</v>
      </c>
      <c r="D115" s="110">
        <v>13769</v>
      </c>
      <c r="E115" s="110">
        <f aca="true" t="shared" si="8" ref="E115:L115">SUM(E116,E125,E129,E132,E137)</f>
        <v>14785</v>
      </c>
      <c r="F115" s="110">
        <f t="shared" si="8"/>
        <v>5000</v>
      </c>
      <c r="G115" s="110">
        <f t="shared" si="8"/>
        <v>0</v>
      </c>
      <c r="H115" s="110">
        <f t="shared" si="8"/>
        <v>0</v>
      </c>
      <c r="I115" s="110">
        <f t="shared" si="8"/>
        <v>1423</v>
      </c>
      <c r="J115" s="110">
        <f t="shared" si="8"/>
        <v>6980</v>
      </c>
      <c r="K115" s="110">
        <f t="shared" si="8"/>
        <v>246</v>
      </c>
      <c r="L115" s="110">
        <f t="shared" si="8"/>
        <v>1136</v>
      </c>
      <c r="M115" s="110">
        <f>E115-D115</f>
        <v>1016</v>
      </c>
      <c r="N115" s="118">
        <f>IF(D115=0,0,M115/D115)</f>
        <v>0.07378894618345559</v>
      </c>
      <c r="O115" s="92"/>
      <c r="P115" s="92"/>
      <c r="Q115" s="92"/>
      <c r="R115" s="92"/>
      <c r="S115" s="92"/>
      <c r="T115" s="88"/>
      <c r="U115" s="88"/>
      <c r="V115" s="88"/>
      <c r="W115" s="88"/>
      <c r="X115" s="88"/>
      <c r="Y115" s="88" t="s">
        <v>183</v>
      </c>
      <c r="Z115" s="88"/>
      <c r="AA115" s="88"/>
      <c r="AB115" s="88"/>
      <c r="AC115" s="93"/>
      <c r="AD115" s="93">
        <f>SUM(AD116,AD125,AD129,AD132,AD137)</f>
        <v>14785000</v>
      </c>
      <c r="AE115" s="94" t="s">
        <v>68</v>
      </c>
      <c r="AF115" s="1"/>
    </row>
    <row r="116" spans="1:32" s="11" customFormat="1" ht="21" customHeight="1">
      <c r="A116" s="45"/>
      <c r="B116" s="45"/>
      <c r="C116" s="35" t="s">
        <v>19</v>
      </c>
      <c r="D116" s="111">
        <v>11415</v>
      </c>
      <c r="E116" s="111">
        <f>SUM(F116:L116)</f>
        <v>12371</v>
      </c>
      <c r="F116" s="111">
        <f>SUMIF($AB$117:$AB$124,"보조",$AD$117:$AD$124)/1000</f>
        <v>5000</v>
      </c>
      <c r="G116" s="111">
        <f>SUMIF($AB$117:$AB$124,"7종",$AD$117:$AD$124)/1000</f>
        <v>0</v>
      </c>
      <c r="H116" s="111">
        <f>SUMIF($AB$117:$AB$124,"시비",$AD$117:$AD$124)/1000</f>
        <v>0</v>
      </c>
      <c r="I116" s="111">
        <f>SUMIF($AB$117:$AB$124,"후원",$AD$117:$AD$124)/1000</f>
        <v>1423</v>
      </c>
      <c r="J116" s="111">
        <f>SUMIF($AB$117:$AB$124,"입소",$AD$117:$AD$124)/1000</f>
        <v>4566</v>
      </c>
      <c r="K116" s="111">
        <f>SUMIF($AB$117:$AB$124,"법인",$AD$117:$AD$124)/1000</f>
        <v>246</v>
      </c>
      <c r="L116" s="111">
        <f>SUMIF($AB$117:$AB$124,"잡수",$AD$117:$AD$124)/1000</f>
        <v>1136</v>
      </c>
      <c r="M116" s="110">
        <f>E116-D116</f>
        <v>956</v>
      </c>
      <c r="N116" s="118">
        <f>IF(D116=0,0,M116/D116)</f>
        <v>0.08374945247481384</v>
      </c>
      <c r="O116" s="96" t="s">
        <v>161</v>
      </c>
      <c r="P116" s="92"/>
      <c r="Q116" s="92"/>
      <c r="R116" s="92"/>
      <c r="S116" s="92"/>
      <c r="T116" s="88"/>
      <c r="U116" s="88"/>
      <c r="V116" s="88"/>
      <c r="W116" s="88"/>
      <c r="X116" s="88"/>
      <c r="Y116" s="148" t="s">
        <v>18</v>
      </c>
      <c r="Z116" s="148"/>
      <c r="AA116" s="148"/>
      <c r="AB116" s="148"/>
      <c r="AC116" s="150"/>
      <c r="AD116" s="150">
        <f>ROUND(SUM(AD117:AD123),-3)</f>
        <v>12371000</v>
      </c>
      <c r="AE116" s="149" t="s">
        <v>68</v>
      </c>
      <c r="AF116" s="1"/>
    </row>
    <row r="117" spans="1:32" s="11" customFormat="1" ht="21" customHeight="1">
      <c r="A117" s="45"/>
      <c r="B117" s="45"/>
      <c r="C117" s="45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69"/>
      <c r="O117" s="49" t="s">
        <v>354</v>
      </c>
      <c r="P117" s="49"/>
      <c r="Q117" s="50"/>
      <c r="R117" s="50"/>
      <c r="S117" s="50">
        <v>125000</v>
      </c>
      <c r="T117" s="50" t="s">
        <v>68</v>
      </c>
      <c r="U117" s="54" t="s">
        <v>7</v>
      </c>
      <c r="V117" s="50">
        <v>10</v>
      </c>
      <c r="W117" s="50" t="s">
        <v>71</v>
      </c>
      <c r="X117" s="54" t="s">
        <v>7</v>
      </c>
      <c r="Y117" s="50">
        <v>4</v>
      </c>
      <c r="Z117" s="50" t="s">
        <v>25</v>
      </c>
      <c r="AA117" s="90" t="s">
        <v>77</v>
      </c>
      <c r="AB117" s="50" t="s">
        <v>4</v>
      </c>
      <c r="AC117" s="67"/>
      <c r="AD117" s="67">
        <f>S117*V117*Y117</f>
        <v>5000000</v>
      </c>
      <c r="AE117" s="56" t="s">
        <v>68</v>
      </c>
      <c r="AF117" s="2"/>
    </row>
    <row r="118" spans="1:32" s="11" customFormat="1" ht="21" customHeight="1">
      <c r="A118" s="45"/>
      <c r="B118" s="45"/>
      <c r="C118" s="45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69"/>
      <c r="O118" s="49" t="s">
        <v>354</v>
      </c>
      <c r="P118" s="49"/>
      <c r="Q118" s="49"/>
      <c r="R118" s="49"/>
      <c r="S118" s="50"/>
      <c r="T118" s="50"/>
      <c r="U118" s="54"/>
      <c r="V118" s="50"/>
      <c r="W118" s="50"/>
      <c r="X118" s="54"/>
      <c r="Y118" s="50"/>
      <c r="Z118" s="50"/>
      <c r="AA118" s="90"/>
      <c r="AB118" s="50" t="s">
        <v>51</v>
      </c>
      <c r="AC118" s="67"/>
      <c r="AD118" s="67">
        <v>4566000</v>
      </c>
      <c r="AE118" s="56" t="s">
        <v>68</v>
      </c>
      <c r="AF118" s="2"/>
    </row>
    <row r="119" spans="1:32" s="11" customFormat="1" ht="21" customHeight="1">
      <c r="A119" s="45"/>
      <c r="B119" s="45"/>
      <c r="C119" s="45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69"/>
      <c r="O119" s="49" t="s">
        <v>354</v>
      </c>
      <c r="P119" s="49"/>
      <c r="Q119" s="49"/>
      <c r="R119" s="49"/>
      <c r="S119" s="50"/>
      <c r="T119" s="50"/>
      <c r="U119" s="54"/>
      <c r="V119" s="50"/>
      <c r="W119" s="50"/>
      <c r="X119" s="54"/>
      <c r="Y119" s="50"/>
      <c r="Z119" s="50"/>
      <c r="AA119" s="90"/>
      <c r="AB119" s="50" t="s">
        <v>60</v>
      </c>
      <c r="AC119" s="67"/>
      <c r="AD119" s="67">
        <v>1123000</v>
      </c>
      <c r="AE119" s="56" t="s">
        <v>68</v>
      </c>
      <c r="AF119" s="2"/>
    </row>
    <row r="120" spans="1:32" s="11" customFormat="1" ht="21" customHeight="1">
      <c r="A120" s="45"/>
      <c r="B120" s="45"/>
      <c r="C120" s="45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69"/>
      <c r="O120" s="49" t="s">
        <v>354</v>
      </c>
      <c r="P120" s="49"/>
      <c r="Q120" s="49"/>
      <c r="R120" s="49"/>
      <c r="S120" s="50"/>
      <c r="T120" s="50"/>
      <c r="U120" s="54"/>
      <c r="V120" s="50"/>
      <c r="W120" s="50"/>
      <c r="X120" s="54"/>
      <c r="Y120" s="50"/>
      <c r="Z120" s="50"/>
      <c r="AA120" s="90"/>
      <c r="AB120" s="50" t="s">
        <v>40</v>
      </c>
      <c r="AC120" s="67"/>
      <c r="AD120" s="67">
        <v>246000</v>
      </c>
      <c r="AE120" s="56" t="s">
        <v>68</v>
      </c>
      <c r="AF120" s="2"/>
    </row>
    <row r="121" spans="1:32" s="11" customFormat="1" ht="21" customHeight="1">
      <c r="A121" s="45"/>
      <c r="B121" s="45"/>
      <c r="C121" s="45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69"/>
      <c r="O121" s="49" t="s">
        <v>354</v>
      </c>
      <c r="P121" s="49"/>
      <c r="Q121" s="49"/>
      <c r="R121" s="49"/>
      <c r="S121" s="50"/>
      <c r="T121" s="50"/>
      <c r="U121" s="54"/>
      <c r="V121" s="50"/>
      <c r="W121" s="50"/>
      <c r="X121" s="54"/>
      <c r="Y121" s="50"/>
      <c r="Z121" s="50"/>
      <c r="AA121" s="90"/>
      <c r="AB121" s="50" t="s">
        <v>61</v>
      </c>
      <c r="AC121" s="67"/>
      <c r="AD121" s="67">
        <v>596000</v>
      </c>
      <c r="AE121" s="56" t="s">
        <v>68</v>
      </c>
      <c r="AF121" s="2"/>
    </row>
    <row r="122" spans="1:32" s="11" customFormat="1" ht="21" customHeight="1">
      <c r="A122" s="45"/>
      <c r="B122" s="45"/>
      <c r="C122" s="45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69"/>
      <c r="O122" s="49" t="s">
        <v>355</v>
      </c>
      <c r="P122" s="49"/>
      <c r="Q122" s="49"/>
      <c r="R122" s="49"/>
      <c r="S122" s="50">
        <v>60000</v>
      </c>
      <c r="T122" s="50" t="s">
        <v>68</v>
      </c>
      <c r="U122" s="54" t="s">
        <v>7</v>
      </c>
      <c r="V122" s="50">
        <v>9</v>
      </c>
      <c r="W122" s="50" t="s">
        <v>71</v>
      </c>
      <c r="X122" s="54" t="s">
        <v>7</v>
      </c>
      <c r="Y122" s="50">
        <v>1</v>
      </c>
      <c r="Z122" s="50" t="s">
        <v>25</v>
      </c>
      <c r="AA122" s="90" t="s">
        <v>77</v>
      </c>
      <c r="AB122" s="50" t="s">
        <v>356</v>
      </c>
      <c r="AC122" s="67"/>
      <c r="AD122" s="67">
        <f>S122*V122*Y122</f>
        <v>540000</v>
      </c>
      <c r="AE122" s="56" t="s">
        <v>68</v>
      </c>
      <c r="AF122" s="2"/>
    </row>
    <row r="123" spans="1:32" s="11" customFormat="1" ht="21" customHeight="1">
      <c r="A123" s="45"/>
      <c r="B123" s="45"/>
      <c r="C123" s="45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69"/>
      <c r="O123" s="49" t="s">
        <v>245</v>
      </c>
      <c r="P123" s="49"/>
      <c r="Q123" s="50"/>
      <c r="R123" s="50"/>
      <c r="S123" s="50"/>
      <c r="T123" s="50"/>
      <c r="U123" s="54"/>
      <c r="V123" s="50"/>
      <c r="W123" s="50"/>
      <c r="X123" s="54"/>
      <c r="Y123" s="50"/>
      <c r="Z123" s="50"/>
      <c r="AA123" s="90"/>
      <c r="AB123" s="50" t="s">
        <v>60</v>
      </c>
      <c r="AC123" s="67"/>
      <c r="AD123" s="67">
        <v>300000</v>
      </c>
      <c r="AE123" s="56" t="s">
        <v>68</v>
      </c>
      <c r="AF123" s="2"/>
    </row>
    <row r="124" spans="1:32" s="11" customFormat="1" ht="21" customHeight="1">
      <c r="A124" s="45"/>
      <c r="B124" s="45"/>
      <c r="C124" s="5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83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22"/>
      <c r="AE124" s="119"/>
      <c r="AF124" s="2"/>
    </row>
    <row r="125" spans="1:32" s="11" customFormat="1" ht="21" customHeight="1">
      <c r="A125" s="45"/>
      <c r="B125" s="45"/>
      <c r="C125" s="45" t="s">
        <v>197</v>
      </c>
      <c r="D125" s="111">
        <v>1044</v>
      </c>
      <c r="E125" s="111">
        <f>SUM(F125:L125)</f>
        <v>1044</v>
      </c>
      <c r="F125" s="111">
        <f>SUMIF($AB$126:$AB$128,"보조",$AD$126:$AD$128)/1000</f>
        <v>0</v>
      </c>
      <c r="G125" s="111">
        <f>SUMIF($AB$126:$AB$128,"7종",$AD$126:$AD$128)/1000</f>
        <v>0</v>
      </c>
      <c r="H125" s="111">
        <f>SUMIF($AB$126:$AB$128,"시비",$AD$126:$AD$128)/1000</f>
        <v>0</v>
      </c>
      <c r="I125" s="111">
        <f>SUMIF($AB$126:$AB$128,"후원",$AD$126:$AD$128)/1000</f>
        <v>0</v>
      </c>
      <c r="J125" s="111">
        <f>SUMIF($AB$126:$AB$128,"입소",$AD$126:$AD$128)/1000</f>
        <v>1044</v>
      </c>
      <c r="K125" s="111">
        <f>SUMIF($AB$126:$AB$128,"법인",$AD$126:$AD$128)/1000</f>
        <v>0</v>
      </c>
      <c r="L125" s="111">
        <f>SUMIF($AB$126:$AB$128,"잡수",$AD$126:$AD$128)/1000</f>
        <v>0</v>
      </c>
      <c r="M125" s="107">
        <f>E125-D125</f>
        <v>0</v>
      </c>
      <c r="N125" s="69">
        <f>IF(D125=0,0,M125/D125)</f>
        <v>0</v>
      </c>
      <c r="O125" s="96" t="s">
        <v>280</v>
      </c>
      <c r="P125" s="92"/>
      <c r="Q125" s="92"/>
      <c r="R125" s="92"/>
      <c r="S125" s="92"/>
      <c r="T125" s="88"/>
      <c r="U125" s="88"/>
      <c r="V125" s="88"/>
      <c r="W125" s="88"/>
      <c r="X125" s="88"/>
      <c r="Y125" s="148" t="s">
        <v>18</v>
      </c>
      <c r="Z125" s="148"/>
      <c r="AA125" s="148"/>
      <c r="AB125" s="148"/>
      <c r="AC125" s="150"/>
      <c r="AD125" s="150">
        <f>ROUND(SUM(AD126:AD128),-3)</f>
        <v>1044000</v>
      </c>
      <c r="AE125" s="149" t="s">
        <v>68</v>
      </c>
      <c r="AF125" s="1"/>
    </row>
    <row r="126" spans="1:32" s="11" customFormat="1" ht="21" customHeight="1">
      <c r="A126" s="45"/>
      <c r="B126" s="45"/>
      <c r="C126" s="45" t="s">
        <v>43</v>
      </c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69"/>
      <c r="O126" s="49" t="s">
        <v>332</v>
      </c>
      <c r="P126" s="49"/>
      <c r="Q126" s="49"/>
      <c r="R126" s="49"/>
      <c r="S126" s="50"/>
      <c r="T126" s="54"/>
      <c r="U126" s="54"/>
      <c r="V126" s="50"/>
      <c r="W126" s="50"/>
      <c r="X126" s="50"/>
      <c r="Y126" s="50"/>
      <c r="Z126" s="50"/>
      <c r="AA126" s="50"/>
      <c r="AB126" s="50" t="s">
        <v>51</v>
      </c>
      <c r="AC126" s="50"/>
      <c r="AD126" s="50">
        <v>705000</v>
      </c>
      <c r="AE126" s="56" t="s">
        <v>68</v>
      </c>
      <c r="AF126" s="2"/>
    </row>
    <row r="127" spans="1:32" s="11" customFormat="1" ht="21" customHeight="1">
      <c r="A127" s="45"/>
      <c r="B127" s="45"/>
      <c r="C127" s="45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69"/>
      <c r="O127" s="49" t="s">
        <v>321</v>
      </c>
      <c r="P127" s="49"/>
      <c r="Q127" s="49"/>
      <c r="R127" s="49"/>
      <c r="S127" s="50"/>
      <c r="T127" s="54"/>
      <c r="U127" s="54"/>
      <c r="V127" s="50"/>
      <c r="W127" s="50"/>
      <c r="X127" s="50"/>
      <c r="Y127" s="50"/>
      <c r="Z127" s="50"/>
      <c r="AA127" s="50"/>
      <c r="AB127" s="50" t="s">
        <v>51</v>
      </c>
      <c r="AC127" s="50"/>
      <c r="AD127" s="50">
        <v>339000</v>
      </c>
      <c r="AE127" s="56" t="s">
        <v>68</v>
      </c>
      <c r="AF127" s="2"/>
    </row>
    <row r="128" spans="1:32" s="11" customFormat="1" ht="21" customHeight="1">
      <c r="A128" s="45"/>
      <c r="B128" s="45"/>
      <c r="C128" s="45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69"/>
      <c r="O128" s="237"/>
      <c r="P128" s="237"/>
      <c r="Q128" s="237"/>
      <c r="R128" s="237"/>
      <c r="S128" s="242"/>
      <c r="T128" s="243"/>
      <c r="U128" s="238"/>
      <c r="V128" s="244"/>
      <c r="W128" s="242"/>
      <c r="X128" s="242"/>
      <c r="Y128" s="242"/>
      <c r="Z128" s="242"/>
      <c r="AA128" s="242"/>
      <c r="AB128" s="242"/>
      <c r="AC128" s="242"/>
      <c r="AD128" s="242"/>
      <c r="AE128" s="245"/>
      <c r="AF128" s="1"/>
    </row>
    <row r="129" spans="1:32" s="11" customFormat="1" ht="21" customHeight="1">
      <c r="A129" s="45"/>
      <c r="B129" s="45"/>
      <c r="C129" s="35" t="s">
        <v>21</v>
      </c>
      <c r="D129" s="111">
        <v>800</v>
      </c>
      <c r="E129" s="111">
        <f>SUM(F129:L129)</f>
        <v>800</v>
      </c>
      <c r="F129" s="111">
        <f>SUMIF($AB$130:$AB$131,"보조",$AD$130:$AD$131)/1000</f>
        <v>0</v>
      </c>
      <c r="G129" s="111">
        <f>SUMIF($AB$130:$AB$131,"7종",$AD$130:$AD$131)/1000</f>
        <v>0</v>
      </c>
      <c r="H129" s="111">
        <f>SUMIF($AB$130:$AB$131,"시비",$AD$130:$AD$131)/1000</f>
        <v>0</v>
      </c>
      <c r="I129" s="111">
        <f>SUMIF($AB$130:$AB$131,"후원",$AD$130:$AD$131)/1000</f>
        <v>0</v>
      </c>
      <c r="J129" s="111">
        <f>SUMIF($AB$130:$AB$131,"입소",$AD$130:$AD$131)/1000</f>
        <v>800</v>
      </c>
      <c r="K129" s="111">
        <f>SUMIF($AB$130:$AB$131,"법인",$AD$130:$AD$131)/1000</f>
        <v>0</v>
      </c>
      <c r="L129" s="111">
        <f>SUMIF($AB$130:$AB$131,"잡수",$AD$130:$AD$131)/1000</f>
        <v>0</v>
      </c>
      <c r="M129" s="110">
        <f>E129-D129</f>
        <v>0</v>
      </c>
      <c r="N129" s="118">
        <f>IF(D129=0,0,M129/D129)</f>
        <v>0</v>
      </c>
      <c r="O129" s="96" t="s">
        <v>206</v>
      </c>
      <c r="P129" s="147"/>
      <c r="Q129" s="92"/>
      <c r="R129" s="92"/>
      <c r="S129" s="92"/>
      <c r="T129" s="88"/>
      <c r="U129" s="88"/>
      <c r="V129" s="88"/>
      <c r="W129" s="88"/>
      <c r="X129" s="88"/>
      <c r="Y129" s="148" t="s">
        <v>18</v>
      </c>
      <c r="Z129" s="148"/>
      <c r="AA129" s="148"/>
      <c r="AB129" s="148"/>
      <c r="AC129" s="150"/>
      <c r="AD129" s="150">
        <f>SUM(AD130:AD131)</f>
        <v>800000</v>
      </c>
      <c r="AE129" s="149" t="s">
        <v>68</v>
      </c>
      <c r="AF129" s="1"/>
    </row>
    <row r="130" spans="1:32" s="11" customFormat="1" ht="21" customHeight="1">
      <c r="A130" s="45"/>
      <c r="B130" s="45"/>
      <c r="C130" s="45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69"/>
      <c r="O130" s="49" t="s">
        <v>176</v>
      </c>
      <c r="P130" s="49"/>
      <c r="Q130" s="50"/>
      <c r="R130" s="50"/>
      <c r="S130" s="50">
        <v>200000</v>
      </c>
      <c r="T130" s="50" t="s">
        <v>68</v>
      </c>
      <c r="U130" s="49" t="s">
        <v>7</v>
      </c>
      <c r="V130" s="50">
        <v>4</v>
      </c>
      <c r="W130" s="50" t="s">
        <v>25</v>
      </c>
      <c r="X130" s="49"/>
      <c r="Y130" s="50"/>
      <c r="Z130" s="50"/>
      <c r="AA130" s="50" t="s">
        <v>77</v>
      </c>
      <c r="AB130" s="50" t="s">
        <v>51</v>
      </c>
      <c r="AC130" s="67"/>
      <c r="AD130" s="67">
        <f>S130*V130</f>
        <v>800000</v>
      </c>
      <c r="AE130" s="56" t="s">
        <v>68</v>
      </c>
      <c r="AF130" s="1"/>
    </row>
    <row r="131" spans="1:32" s="11" customFormat="1" ht="21" customHeight="1">
      <c r="A131" s="45"/>
      <c r="B131" s="45"/>
      <c r="C131" s="45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69"/>
      <c r="O131" s="49"/>
      <c r="P131" s="49"/>
      <c r="Q131" s="50"/>
      <c r="R131" s="50"/>
      <c r="S131" s="50"/>
      <c r="T131" s="50"/>
      <c r="U131" s="49"/>
      <c r="V131" s="50"/>
      <c r="W131" s="50"/>
      <c r="X131" s="49"/>
      <c r="Y131" s="50"/>
      <c r="Z131" s="50"/>
      <c r="AA131" s="50"/>
      <c r="AB131" s="50"/>
      <c r="AC131" s="67"/>
      <c r="AD131" s="67"/>
      <c r="AE131" s="56"/>
      <c r="AF131" s="1"/>
    </row>
    <row r="132" spans="1:32" s="11" customFormat="1" ht="21" customHeight="1">
      <c r="A132" s="45"/>
      <c r="B132" s="45"/>
      <c r="C132" s="35" t="s">
        <v>31</v>
      </c>
      <c r="D132" s="111">
        <v>360</v>
      </c>
      <c r="E132" s="111">
        <f>SUM(F132:L132)</f>
        <v>360</v>
      </c>
      <c r="F132" s="111">
        <f>SUMIF($AB$133:$AB$136,"보조",$AD$133:$AD$136)/1000</f>
        <v>0</v>
      </c>
      <c r="G132" s="111">
        <f>SUMIF($AB$133:$AB$136,"7종",$AD$133:$AD$136)/1000</f>
        <v>0</v>
      </c>
      <c r="H132" s="111">
        <f>SUMIF($AB$133:$AB$136,"시비",$AD$133:$AD$136)/1000</f>
        <v>0</v>
      </c>
      <c r="I132" s="111">
        <f>SUMIF($AB$133:$AB$136,"후원",$AD$133:$AD$136)/1000</f>
        <v>0</v>
      </c>
      <c r="J132" s="111">
        <f>SUMIF($AB$133:$AB$136,"입소",$AD$133:$AD$136)/1000</f>
        <v>360</v>
      </c>
      <c r="K132" s="111">
        <f>SUMIF($AB$133:$AB$136,"법인",$AD$133:$AD$136)/1000</f>
        <v>0</v>
      </c>
      <c r="L132" s="111">
        <f>SUMIF($AB$133:$AB$136,"잡수",$AD$133:$AD$136)/1000</f>
        <v>0</v>
      </c>
      <c r="M132" s="110">
        <f>E132-D132</f>
        <v>0</v>
      </c>
      <c r="N132" s="118">
        <f>IF(D132=0,0,M132/D132)</f>
        <v>0</v>
      </c>
      <c r="O132" s="96" t="s">
        <v>220</v>
      </c>
      <c r="P132" s="147"/>
      <c r="Q132" s="92"/>
      <c r="R132" s="92"/>
      <c r="S132" s="92"/>
      <c r="T132" s="88"/>
      <c r="U132" s="88"/>
      <c r="V132" s="88"/>
      <c r="W132" s="88"/>
      <c r="X132" s="88"/>
      <c r="Y132" s="148" t="s">
        <v>18</v>
      </c>
      <c r="Z132" s="148"/>
      <c r="AA132" s="148"/>
      <c r="AB132" s="148"/>
      <c r="AC132" s="150"/>
      <c r="AD132" s="150">
        <f>SUM(AD133:AD135)</f>
        <v>360000</v>
      </c>
      <c r="AE132" s="149" t="s">
        <v>68</v>
      </c>
      <c r="AF132" s="1"/>
    </row>
    <row r="133" spans="1:32" s="14" customFormat="1" ht="21" customHeight="1">
      <c r="A133" s="45"/>
      <c r="B133" s="45"/>
      <c r="C133" s="45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69"/>
      <c r="O133" s="49" t="s">
        <v>310</v>
      </c>
      <c r="P133" s="49"/>
      <c r="Q133" s="50"/>
      <c r="R133" s="50"/>
      <c r="S133" s="50">
        <v>40000</v>
      </c>
      <c r="T133" s="50" t="s">
        <v>68</v>
      </c>
      <c r="U133" s="49" t="s">
        <v>7</v>
      </c>
      <c r="V133" s="50">
        <v>1</v>
      </c>
      <c r="W133" s="50" t="s">
        <v>13</v>
      </c>
      <c r="X133" s="49" t="s">
        <v>7</v>
      </c>
      <c r="Y133" s="50">
        <v>4</v>
      </c>
      <c r="Z133" s="50" t="s">
        <v>25</v>
      </c>
      <c r="AA133" s="50" t="s">
        <v>77</v>
      </c>
      <c r="AB133" s="50" t="s">
        <v>51</v>
      </c>
      <c r="AC133" s="67"/>
      <c r="AD133" s="67">
        <f>S133*V133*Y133</f>
        <v>160000</v>
      </c>
      <c r="AE133" s="56" t="s">
        <v>68</v>
      </c>
      <c r="AF133" s="5"/>
    </row>
    <row r="134" spans="1:32" s="14" customFormat="1" ht="21" customHeight="1">
      <c r="A134" s="45"/>
      <c r="B134" s="45"/>
      <c r="C134" s="45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236"/>
      <c r="O134" s="66" t="s">
        <v>105</v>
      </c>
      <c r="P134" s="49"/>
      <c r="Q134" s="49"/>
      <c r="R134" s="49"/>
      <c r="S134" s="50"/>
      <c r="T134" s="50"/>
      <c r="U134" s="49"/>
      <c r="V134" s="50"/>
      <c r="W134" s="50"/>
      <c r="X134" s="49"/>
      <c r="Y134" s="55"/>
      <c r="Z134" s="90"/>
      <c r="AA134" s="90"/>
      <c r="AB134" s="50" t="s">
        <v>51</v>
      </c>
      <c r="AC134" s="67"/>
      <c r="AD134" s="50">
        <v>100000</v>
      </c>
      <c r="AE134" s="56" t="s">
        <v>68</v>
      </c>
      <c r="AF134" s="5"/>
    </row>
    <row r="135" spans="1:32" s="14" customFormat="1" ht="21" customHeight="1">
      <c r="A135" s="45"/>
      <c r="B135" s="45"/>
      <c r="C135" s="45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69"/>
      <c r="O135" s="49" t="s">
        <v>325</v>
      </c>
      <c r="P135" s="49"/>
      <c r="Q135" s="49"/>
      <c r="R135" s="49"/>
      <c r="S135" s="50"/>
      <c r="T135" s="50"/>
      <c r="U135" s="49"/>
      <c r="V135" s="50"/>
      <c r="W135" s="50"/>
      <c r="X135" s="49"/>
      <c r="Y135" s="279"/>
      <c r="Z135" s="74"/>
      <c r="AA135" s="281"/>
      <c r="AB135" s="50" t="s">
        <v>51</v>
      </c>
      <c r="AC135" s="50"/>
      <c r="AD135" s="50">
        <v>100000</v>
      </c>
      <c r="AE135" s="56" t="s">
        <v>68</v>
      </c>
      <c r="AF135" s="5"/>
    </row>
    <row r="136" spans="1:32" s="11" customFormat="1" ht="21" customHeight="1">
      <c r="A136" s="45"/>
      <c r="B136" s="45"/>
      <c r="C136" s="58"/>
      <c r="D136" s="137"/>
      <c r="E136" s="137"/>
      <c r="F136" s="137"/>
      <c r="G136" s="137"/>
      <c r="H136" s="137"/>
      <c r="I136" s="137"/>
      <c r="J136" s="137"/>
      <c r="K136" s="137"/>
      <c r="L136" s="137"/>
      <c r="M136" s="123"/>
      <c r="N136" s="83"/>
      <c r="O136" s="282"/>
      <c r="P136" s="282"/>
      <c r="Q136" s="282"/>
      <c r="R136" s="282"/>
      <c r="S136" s="282"/>
      <c r="T136" s="124"/>
      <c r="U136" s="50"/>
      <c r="V136" s="90"/>
      <c r="W136" s="50"/>
      <c r="X136" s="50"/>
      <c r="Y136" s="50"/>
      <c r="Z136" s="50"/>
      <c r="AA136" s="50"/>
      <c r="AB136" s="50"/>
      <c r="AC136" s="50"/>
      <c r="AD136" s="50"/>
      <c r="AE136" s="56"/>
      <c r="AF136" s="1"/>
    </row>
    <row r="137" spans="1:32" s="11" customFormat="1" ht="21" customHeight="1">
      <c r="A137" s="45"/>
      <c r="B137" s="45"/>
      <c r="C137" s="45" t="s">
        <v>9</v>
      </c>
      <c r="D137" s="111">
        <v>150</v>
      </c>
      <c r="E137" s="111">
        <f>SUM(F137:L137)</f>
        <v>210</v>
      </c>
      <c r="F137" s="111">
        <f>SUMIF($AB$138:$AB$139,"보조",$AD$138:$AD$139)/1000</f>
        <v>0</v>
      </c>
      <c r="G137" s="111">
        <f>SUMIF($AB$138:$AB$139,"7종",$AD$138:$AD$139)/1000</f>
        <v>0</v>
      </c>
      <c r="H137" s="111">
        <f>SUMIF($AB$138:$AB$139,"시비",$AD$138:$AD$139)/1000</f>
        <v>0</v>
      </c>
      <c r="I137" s="111">
        <f>SUMIF($AB$138:$AB$139,"후원",$AD$138:$AD$139)/1000</f>
        <v>0</v>
      </c>
      <c r="J137" s="111">
        <f>SUMIF($AB$138:$AB$139,"입소",$AD$138:$AD$139)/1000</f>
        <v>210</v>
      </c>
      <c r="K137" s="111">
        <f>SUMIF($AB$138:$AB$139,"법인",$AD$138:$AD$139)/1000</f>
        <v>0</v>
      </c>
      <c r="L137" s="111">
        <f>SUMIF($AB$138:$AB$139,"잡수",$AD$138:$AD$139)/1000</f>
        <v>0</v>
      </c>
      <c r="M137" s="107">
        <f>E137-D137</f>
        <v>60</v>
      </c>
      <c r="N137" s="69">
        <f>IF(D137=0,0,M137/D137)</f>
        <v>0.4</v>
      </c>
      <c r="O137" s="96" t="s">
        <v>170</v>
      </c>
      <c r="P137" s="92"/>
      <c r="Q137" s="92"/>
      <c r="R137" s="92"/>
      <c r="S137" s="92"/>
      <c r="T137" s="88"/>
      <c r="U137" s="88"/>
      <c r="V137" s="88"/>
      <c r="W137" s="88"/>
      <c r="X137" s="88"/>
      <c r="Y137" s="148" t="s">
        <v>18</v>
      </c>
      <c r="Z137" s="148"/>
      <c r="AA137" s="148"/>
      <c r="AB137" s="148"/>
      <c r="AC137" s="150"/>
      <c r="AD137" s="150">
        <f>ROUND(SUM(AD138:AD138),-3)</f>
        <v>210000</v>
      </c>
      <c r="AE137" s="149" t="s">
        <v>68</v>
      </c>
      <c r="AF137" s="1"/>
    </row>
    <row r="138" spans="1:32" s="11" customFormat="1" ht="21" customHeight="1">
      <c r="A138" s="45"/>
      <c r="B138" s="45"/>
      <c r="C138" s="45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69"/>
      <c r="O138" s="49" t="s">
        <v>241</v>
      </c>
      <c r="P138" s="49"/>
      <c r="Q138" s="49"/>
      <c r="R138" s="49"/>
      <c r="S138" s="50">
        <v>35000</v>
      </c>
      <c r="T138" s="54" t="s">
        <v>68</v>
      </c>
      <c r="U138" s="54" t="s">
        <v>7</v>
      </c>
      <c r="V138" s="50">
        <v>6</v>
      </c>
      <c r="W138" s="50" t="s">
        <v>71</v>
      </c>
      <c r="X138" s="90"/>
      <c r="Y138" s="279"/>
      <c r="Z138" s="74"/>
      <c r="AA138" s="280" t="s">
        <v>77</v>
      </c>
      <c r="AB138" s="50" t="s">
        <v>51</v>
      </c>
      <c r="AC138" s="50"/>
      <c r="AD138" s="50">
        <f>+S138*V138</f>
        <v>210000</v>
      </c>
      <c r="AE138" s="56" t="s">
        <v>68</v>
      </c>
      <c r="AF138" s="1"/>
    </row>
    <row r="139" spans="1:32" s="11" customFormat="1" ht="21" customHeight="1">
      <c r="A139" s="45"/>
      <c r="B139" s="45"/>
      <c r="C139" s="45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69"/>
      <c r="O139" s="49"/>
      <c r="P139" s="49"/>
      <c r="Q139" s="49"/>
      <c r="R139" s="49"/>
      <c r="S139" s="50"/>
      <c r="T139" s="54"/>
      <c r="U139" s="49"/>
      <c r="V139" s="50"/>
      <c r="W139" s="49"/>
      <c r="X139" s="50"/>
      <c r="Y139" s="50"/>
      <c r="Z139" s="50"/>
      <c r="AA139" s="50"/>
      <c r="AB139" s="50"/>
      <c r="AC139" s="50"/>
      <c r="AD139" s="50"/>
      <c r="AE139" s="56"/>
      <c r="AF139" s="1"/>
    </row>
    <row r="140" spans="1:32" s="11" customFormat="1" ht="21" customHeight="1">
      <c r="A140" s="45"/>
      <c r="B140" s="35" t="s">
        <v>193</v>
      </c>
      <c r="C140" s="144" t="s">
        <v>75</v>
      </c>
      <c r="D140" s="145">
        <v>3950</v>
      </c>
      <c r="E140" s="145">
        <f aca="true" t="shared" si="9" ref="E140:L140">SUM(E141,E145,E148,E151,E156,E160,E165,E169)</f>
        <v>5298</v>
      </c>
      <c r="F140" s="145">
        <f t="shared" si="9"/>
        <v>0</v>
      </c>
      <c r="G140" s="145">
        <f t="shared" si="9"/>
        <v>0</v>
      </c>
      <c r="H140" s="145">
        <f t="shared" si="9"/>
        <v>0</v>
      </c>
      <c r="I140" s="145">
        <f t="shared" si="9"/>
        <v>1848</v>
      </c>
      <c r="J140" s="145">
        <f t="shared" si="9"/>
        <v>3450</v>
      </c>
      <c r="K140" s="145">
        <f t="shared" si="9"/>
        <v>0</v>
      </c>
      <c r="L140" s="145">
        <f t="shared" si="9"/>
        <v>0</v>
      </c>
      <c r="M140" s="145">
        <f>E140-D140</f>
        <v>1348</v>
      </c>
      <c r="N140" s="146">
        <f>IF(D140=0,0,M140/D140)</f>
        <v>0.3412658227848101</v>
      </c>
      <c r="O140" s="147"/>
      <c r="P140" s="147"/>
      <c r="Q140" s="147"/>
      <c r="R140" s="147"/>
      <c r="S140" s="147"/>
      <c r="T140" s="148"/>
      <c r="U140" s="148"/>
      <c r="V140" s="148"/>
      <c r="W140" s="148"/>
      <c r="X140" s="148"/>
      <c r="Y140" s="148" t="s">
        <v>183</v>
      </c>
      <c r="Z140" s="148"/>
      <c r="AA140" s="148"/>
      <c r="AB140" s="148"/>
      <c r="AC140" s="150"/>
      <c r="AD140" s="150">
        <f>SUM(AD141,AD145,AD148,AD151,AD156,AD160,AD165,AD169)</f>
        <v>5298000</v>
      </c>
      <c r="AE140" s="149" t="s">
        <v>68</v>
      </c>
      <c r="AF140" s="1"/>
    </row>
    <row r="141" spans="1:32" s="15" customFormat="1" ht="24" customHeight="1">
      <c r="A141" s="45"/>
      <c r="B141" s="45" t="s">
        <v>3</v>
      </c>
      <c r="C141" s="35" t="s">
        <v>173</v>
      </c>
      <c r="D141" s="111">
        <v>340</v>
      </c>
      <c r="E141" s="111">
        <f>SUM(F141:L141)</f>
        <v>340</v>
      </c>
      <c r="F141" s="111">
        <f>SUMIF($AB$142:$AB$144,"보조",$AD$142:$AD$144)/1000</f>
        <v>0</v>
      </c>
      <c r="G141" s="111">
        <f>SUMIF($AB$142:$AB$144,"7종",$AD$142:$AD$144)/1000</f>
        <v>0</v>
      </c>
      <c r="H141" s="111">
        <f>SUMIF($AB$142:$AB$144,"시비",$AD$142:$AD$144)/1000</f>
        <v>0</v>
      </c>
      <c r="I141" s="111">
        <f>SUMIF($AB$142:$AB$144,"후원",$AD$142:$AD$144)/1000</f>
        <v>0</v>
      </c>
      <c r="J141" s="111">
        <f>SUMIF($AB$142:$AB$144,"입소",$AD$142:$AD$144)/1000</f>
        <v>340</v>
      </c>
      <c r="K141" s="111">
        <f>SUMIF($AB$142:$AB$144,"법인",$AD$142:$AD$144)/1000</f>
        <v>0</v>
      </c>
      <c r="L141" s="111">
        <f>SUMIF($AB$142:$AB$144,"잡수",$AD$142:$AD$144)/1000</f>
        <v>0</v>
      </c>
      <c r="M141" s="107">
        <f>E141-D141</f>
        <v>0</v>
      </c>
      <c r="N141" s="69">
        <f>IF(D141=0,0,M141/D141)</f>
        <v>0</v>
      </c>
      <c r="O141" s="239"/>
      <c r="P141" s="136"/>
      <c r="Q141" s="136"/>
      <c r="R141" s="136"/>
      <c r="S141" s="136"/>
      <c r="T141" s="87"/>
      <c r="U141" s="87"/>
      <c r="V141" s="87"/>
      <c r="W141" s="131" t="s">
        <v>167</v>
      </c>
      <c r="X141" s="131"/>
      <c r="Y141" s="131"/>
      <c r="Z141" s="131"/>
      <c r="AA141" s="131"/>
      <c r="AB141" s="131"/>
      <c r="AC141" s="132"/>
      <c r="AD141" s="132">
        <f>SUM(AD142:AD143)</f>
        <v>340000</v>
      </c>
      <c r="AE141" s="133" t="s">
        <v>68</v>
      </c>
      <c r="AF141" s="16"/>
    </row>
    <row r="142" spans="1:32" s="15" customFormat="1" ht="24" customHeight="1">
      <c r="A142" s="45"/>
      <c r="B142" s="45"/>
      <c r="C142" s="45" t="s">
        <v>205</v>
      </c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69"/>
      <c r="O142" s="49" t="s">
        <v>331</v>
      </c>
      <c r="P142" s="49"/>
      <c r="Q142" s="49"/>
      <c r="R142" s="49"/>
      <c r="S142" s="50">
        <v>50000</v>
      </c>
      <c r="T142" s="54" t="s">
        <v>68</v>
      </c>
      <c r="U142" s="54" t="s">
        <v>7</v>
      </c>
      <c r="V142" s="50">
        <v>4</v>
      </c>
      <c r="W142" s="50" t="s">
        <v>25</v>
      </c>
      <c r="X142" s="90"/>
      <c r="Y142" s="279"/>
      <c r="Z142" s="74"/>
      <c r="AA142" s="280" t="s">
        <v>77</v>
      </c>
      <c r="AB142" s="50" t="s">
        <v>51</v>
      </c>
      <c r="AC142" s="50"/>
      <c r="AD142" s="50">
        <f>S142*V142</f>
        <v>200000</v>
      </c>
      <c r="AE142" s="56" t="s">
        <v>68</v>
      </c>
      <c r="AF142" s="16"/>
    </row>
    <row r="143" spans="1:32" s="15" customFormat="1" ht="24" customHeight="1">
      <c r="A143" s="45"/>
      <c r="B143" s="45"/>
      <c r="C143" s="45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69"/>
      <c r="O143" s="49" t="s">
        <v>252</v>
      </c>
      <c r="P143" s="49"/>
      <c r="Q143" s="49"/>
      <c r="R143" s="49"/>
      <c r="S143" s="50">
        <v>70000</v>
      </c>
      <c r="T143" s="54" t="s">
        <v>68</v>
      </c>
      <c r="U143" s="54" t="s">
        <v>7</v>
      </c>
      <c r="V143" s="50">
        <v>2</v>
      </c>
      <c r="W143" s="50" t="s">
        <v>13</v>
      </c>
      <c r="X143" s="90"/>
      <c r="Y143" s="279"/>
      <c r="Z143" s="74"/>
      <c r="AA143" s="280" t="s">
        <v>77</v>
      </c>
      <c r="AB143" s="50" t="s">
        <v>51</v>
      </c>
      <c r="AC143" s="50"/>
      <c r="AD143" s="50">
        <f>S143*V143</f>
        <v>140000</v>
      </c>
      <c r="AE143" s="56" t="s">
        <v>68</v>
      </c>
      <c r="AF143" s="16"/>
    </row>
    <row r="144" spans="1:32" s="15" customFormat="1" ht="24" customHeight="1">
      <c r="A144" s="45"/>
      <c r="B144" s="45"/>
      <c r="C144" s="5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83"/>
      <c r="O144" s="80"/>
      <c r="P144" s="80"/>
      <c r="Q144" s="80"/>
      <c r="R144" s="80"/>
      <c r="S144" s="79"/>
      <c r="T144" s="79"/>
      <c r="U144" s="80"/>
      <c r="V144" s="79"/>
      <c r="W144" s="79"/>
      <c r="X144" s="79"/>
      <c r="Y144" s="79"/>
      <c r="Z144" s="79"/>
      <c r="AA144" s="79"/>
      <c r="AB144" s="79"/>
      <c r="AC144" s="79"/>
      <c r="AD144" s="79"/>
      <c r="AE144" s="72"/>
      <c r="AF144" s="16"/>
    </row>
    <row r="145" spans="1:32" s="15" customFormat="1" ht="24" customHeight="1">
      <c r="A145" s="45"/>
      <c r="B145" s="45"/>
      <c r="C145" s="35" t="s">
        <v>140</v>
      </c>
      <c r="D145" s="111">
        <v>200</v>
      </c>
      <c r="E145" s="111">
        <f>SUM(F145:L145)</f>
        <v>200</v>
      </c>
      <c r="F145" s="111">
        <f>SUMIF($AB$146:$AB$147,"보조",$AD$146:$AD$147)/1000</f>
        <v>0</v>
      </c>
      <c r="G145" s="111">
        <f>SUMIF($AB$146:$AB$147,"7종",$AD$146:$AD$147)/1000</f>
        <v>0</v>
      </c>
      <c r="H145" s="111">
        <f>SUMIF($AB$146:$AB$147,"시비",$AD$146:$AD$147)/1000</f>
        <v>0</v>
      </c>
      <c r="I145" s="111">
        <f>SUMIF($AB$146:$AB$147,"후원",$AD$146:$AD$147)/1000</f>
        <v>0</v>
      </c>
      <c r="J145" s="111">
        <f>SUMIF($AB$146:$AB$147,"입소",$AD$146:$AD$147)/1000</f>
        <v>200</v>
      </c>
      <c r="K145" s="111">
        <f>SUMIF($AB$146:$AB$147,"법인",$AD$146:$AD$147)/1000</f>
        <v>0</v>
      </c>
      <c r="L145" s="111">
        <f>SUMIF($AB$146:$AB$147,"잡수",$AD$146:$AD$147)/1000</f>
        <v>0</v>
      </c>
      <c r="M145" s="107">
        <f>E145-D145</f>
        <v>0</v>
      </c>
      <c r="N145" s="69">
        <f>IF(D145=0,0,M145/D145)</f>
        <v>0</v>
      </c>
      <c r="O145" s="239"/>
      <c r="P145" s="92"/>
      <c r="Q145" s="92"/>
      <c r="R145" s="301"/>
      <c r="S145" s="301"/>
      <c r="T145" s="301"/>
      <c r="U145" s="301"/>
      <c r="V145" s="301"/>
      <c r="W145" s="131" t="s">
        <v>167</v>
      </c>
      <c r="X145" s="131"/>
      <c r="Y145" s="131"/>
      <c r="Z145" s="131"/>
      <c r="AA145" s="131"/>
      <c r="AB145" s="131"/>
      <c r="AC145" s="132"/>
      <c r="AD145" s="132">
        <f>SUM(AD146:AD146)</f>
        <v>200000</v>
      </c>
      <c r="AE145" s="133" t="s">
        <v>68</v>
      </c>
      <c r="AF145" s="16"/>
    </row>
    <row r="146" spans="1:32" s="15" customFormat="1" ht="24" customHeight="1">
      <c r="A146" s="45"/>
      <c r="B146" s="45"/>
      <c r="C146" s="45" t="s">
        <v>3</v>
      </c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69"/>
      <c r="O146" s="49" t="s">
        <v>224</v>
      </c>
      <c r="P146" s="49"/>
      <c r="Q146" s="49"/>
      <c r="R146" s="49"/>
      <c r="S146" s="50">
        <v>200000</v>
      </c>
      <c r="T146" s="54" t="s">
        <v>68</v>
      </c>
      <c r="U146" s="54" t="s">
        <v>7</v>
      </c>
      <c r="V146" s="50">
        <v>1</v>
      </c>
      <c r="W146" s="49" t="s">
        <v>13</v>
      </c>
      <c r="X146" s="50"/>
      <c r="Y146" s="283"/>
      <c r="Z146" s="283" t="s">
        <v>77</v>
      </c>
      <c r="AA146" s="283"/>
      <c r="AB146" s="283" t="s">
        <v>51</v>
      </c>
      <c r="AC146" s="283"/>
      <c r="AD146" s="284">
        <f>S146*V146</f>
        <v>200000</v>
      </c>
      <c r="AE146" s="285" t="s">
        <v>68</v>
      </c>
      <c r="AF146" s="16"/>
    </row>
    <row r="147" spans="1:33" s="15" customFormat="1" ht="24" customHeight="1">
      <c r="A147" s="45"/>
      <c r="B147" s="45"/>
      <c r="C147" s="5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83"/>
      <c r="O147" s="80"/>
      <c r="P147" s="80"/>
      <c r="Q147" s="80"/>
      <c r="R147" s="80"/>
      <c r="S147" s="80"/>
      <c r="T147" s="79"/>
      <c r="U147" s="79"/>
      <c r="V147" s="79"/>
      <c r="W147" s="79"/>
      <c r="X147" s="79"/>
      <c r="Y147" s="79"/>
      <c r="Z147" s="79"/>
      <c r="AA147" s="79"/>
      <c r="AB147" s="79"/>
      <c r="AC147" s="71"/>
      <c r="AD147" s="71"/>
      <c r="AE147" s="72"/>
      <c r="AF147" s="16"/>
      <c r="AG147" s="16"/>
    </row>
    <row r="148" spans="1:33" s="15" customFormat="1" ht="24" customHeight="1">
      <c r="A148" s="45"/>
      <c r="B148" s="45"/>
      <c r="C148" s="35" t="s">
        <v>175</v>
      </c>
      <c r="D148" s="111">
        <v>300</v>
      </c>
      <c r="E148" s="111">
        <f>SUM(F148:L148)</f>
        <v>300</v>
      </c>
      <c r="F148" s="111">
        <f>SUMIF($AB$149:$AB$150,"보조",$AD$149:$AD$150)/1000</f>
        <v>0</v>
      </c>
      <c r="G148" s="111">
        <f>SUMIF($AB$149:$AB$150,"7종",$AD$149:$AD$150)/1000</f>
        <v>0</v>
      </c>
      <c r="H148" s="111">
        <f>SUMIF($AB$149:$AB$150,"시비",$AD$149:$AD$150)/1000</f>
        <v>0</v>
      </c>
      <c r="I148" s="111">
        <f>SUMIF($AB$149:$AB$150,"후원",$AD$149:$AD$150)/1000</f>
        <v>0</v>
      </c>
      <c r="J148" s="111">
        <f>SUMIF($AB$149:$AB$150,"입소",$AD$149:$AD$150)/1000</f>
        <v>300</v>
      </c>
      <c r="K148" s="111">
        <f>SUMIF($AB$149:$AB$150,"법인",$AD$149:$AD$150)/1000</f>
        <v>0</v>
      </c>
      <c r="L148" s="111">
        <f>SUMIF($AB$149:$AB$150,"잡수",$AD$149:$AD$150)/1000</f>
        <v>0</v>
      </c>
      <c r="M148" s="110">
        <f>E148-D148</f>
        <v>0</v>
      </c>
      <c r="N148" s="118">
        <f>IF(D148=0,0,M148/D148)</f>
        <v>0</v>
      </c>
      <c r="O148" s="239"/>
      <c r="P148" s="92"/>
      <c r="Q148" s="92"/>
      <c r="R148" s="301"/>
      <c r="S148" s="301"/>
      <c r="T148" s="301"/>
      <c r="U148" s="301"/>
      <c r="V148" s="301"/>
      <c r="W148" s="131" t="s">
        <v>167</v>
      </c>
      <c r="X148" s="131"/>
      <c r="Y148" s="131"/>
      <c r="Z148" s="131"/>
      <c r="AA148" s="131"/>
      <c r="AB148" s="131"/>
      <c r="AC148" s="132"/>
      <c r="AD148" s="132">
        <f>SUM(AD149:AD149)</f>
        <v>300000</v>
      </c>
      <c r="AE148" s="133" t="s">
        <v>68</v>
      </c>
      <c r="AF148" s="16"/>
      <c r="AG148" s="16"/>
    </row>
    <row r="149" spans="1:33" s="15" customFormat="1" ht="24" customHeight="1">
      <c r="A149" s="45"/>
      <c r="B149" s="45"/>
      <c r="C149" s="45" t="s">
        <v>205</v>
      </c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69"/>
      <c r="O149" s="49" t="s">
        <v>230</v>
      </c>
      <c r="P149" s="31"/>
      <c r="Q149" s="31"/>
      <c r="R149" s="266" t="s">
        <v>228</v>
      </c>
      <c r="S149" s="50">
        <v>10000</v>
      </c>
      <c r="T149" s="50" t="s">
        <v>68</v>
      </c>
      <c r="U149" s="49" t="s">
        <v>7</v>
      </c>
      <c r="V149" s="50">
        <v>5</v>
      </c>
      <c r="W149" s="50" t="s">
        <v>25</v>
      </c>
      <c r="X149" s="49" t="s">
        <v>7</v>
      </c>
      <c r="Y149" s="55">
        <v>6</v>
      </c>
      <c r="Z149" s="90" t="s">
        <v>13</v>
      </c>
      <c r="AA149" s="90" t="s">
        <v>77</v>
      </c>
      <c r="AB149" s="50" t="s">
        <v>51</v>
      </c>
      <c r="AC149" s="67"/>
      <c r="AD149" s="50">
        <f>S149*V149*Y149</f>
        <v>300000</v>
      </c>
      <c r="AE149" s="56" t="s">
        <v>68</v>
      </c>
      <c r="AF149" s="16"/>
      <c r="AG149" s="16"/>
    </row>
    <row r="150" spans="1:32" s="15" customFormat="1" ht="24" customHeight="1">
      <c r="A150" s="45"/>
      <c r="B150" s="45"/>
      <c r="C150" s="5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83"/>
      <c r="O150" s="80"/>
      <c r="P150" s="80"/>
      <c r="Q150" s="80"/>
      <c r="R150" s="80"/>
      <c r="S150" s="80"/>
      <c r="T150" s="79"/>
      <c r="U150" s="79"/>
      <c r="V150" s="79"/>
      <c r="W150" s="79"/>
      <c r="X150" s="79"/>
      <c r="Y150" s="79"/>
      <c r="Z150" s="79"/>
      <c r="AA150" s="79"/>
      <c r="AB150" s="79"/>
      <c r="AC150" s="71"/>
      <c r="AD150" s="302"/>
      <c r="AE150" s="72"/>
      <c r="AF150" s="16"/>
    </row>
    <row r="151" spans="1:32" s="15" customFormat="1" ht="24" customHeight="1">
      <c r="A151" s="45"/>
      <c r="B151" s="45"/>
      <c r="C151" s="35" t="s">
        <v>62</v>
      </c>
      <c r="D151" s="111">
        <v>1900</v>
      </c>
      <c r="E151" s="111">
        <f>SUM(F151:L151)</f>
        <v>1900</v>
      </c>
      <c r="F151" s="111">
        <f>SUMIF($AB$152:$AB$155,"보조",$AD$152:$AD$155)/1000</f>
        <v>0</v>
      </c>
      <c r="G151" s="111">
        <f>SUMIF($AB$152:$AB$155,"7종",$AD$152:$AD$155)/1000</f>
        <v>0</v>
      </c>
      <c r="H151" s="111">
        <f>SUMIF($AB$152:$AB$155,"시비",$AD$152:$AD$155)/1000</f>
        <v>0</v>
      </c>
      <c r="I151" s="111">
        <f>SUMIF($AB$152:$AB$155,"후원",$AD$152:$AD$155)/1000</f>
        <v>0</v>
      </c>
      <c r="J151" s="111">
        <f>SUMIF($AB$152:$AB$155,"입소",$AD$152:$AD$155)/1000</f>
        <v>1900</v>
      </c>
      <c r="K151" s="111">
        <f>SUMIF($AB$152:$AB$155,"법인",$AD$152:$AD$155)/1000</f>
        <v>0</v>
      </c>
      <c r="L151" s="111">
        <f>SUMIF($AB$152:$AB$155,"잡수",$AD$152:$AD$155)/1000</f>
        <v>0</v>
      </c>
      <c r="M151" s="110">
        <f>E151-D151</f>
        <v>0</v>
      </c>
      <c r="N151" s="118">
        <f>IF(D151=0,0,M151/D151)</f>
        <v>0</v>
      </c>
      <c r="O151" s="239"/>
      <c r="P151" s="92"/>
      <c r="Q151" s="92"/>
      <c r="R151" s="301"/>
      <c r="S151" s="301"/>
      <c r="T151" s="301"/>
      <c r="U151" s="301"/>
      <c r="V151" s="301"/>
      <c r="W151" s="131" t="s">
        <v>167</v>
      </c>
      <c r="X151" s="131"/>
      <c r="Y151" s="131"/>
      <c r="Z151" s="131"/>
      <c r="AA151" s="131"/>
      <c r="AB151" s="131"/>
      <c r="AC151" s="132"/>
      <c r="AD151" s="132">
        <f>SUM(AD152:AD154)</f>
        <v>1900000</v>
      </c>
      <c r="AE151" s="133" t="s">
        <v>68</v>
      </c>
      <c r="AF151" s="16"/>
    </row>
    <row r="152" spans="1:32" s="15" customFormat="1" ht="24" customHeight="1">
      <c r="A152" s="45"/>
      <c r="B152" s="45"/>
      <c r="C152" s="45" t="s">
        <v>65</v>
      </c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69"/>
      <c r="O152" s="282" t="s">
        <v>208</v>
      </c>
      <c r="P152" s="282"/>
      <c r="Q152" s="282"/>
      <c r="R152" s="282"/>
      <c r="S152" s="50">
        <v>250000</v>
      </c>
      <c r="T152" s="54" t="s">
        <v>68</v>
      </c>
      <c r="U152" s="54" t="s">
        <v>7</v>
      </c>
      <c r="V152" s="50">
        <v>4</v>
      </c>
      <c r="W152" s="49" t="s">
        <v>25</v>
      </c>
      <c r="X152" s="50"/>
      <c r="Y152" s="283"/>
      <c r="Z152" s="283" t="s">
        <v>77</v>
      </c>
      <c r="AA152" s="283"/>
      <c r="AB152" s="283" t="s">
        <v>51</v>
      </c>
      <c r="AC152" s="283"/>
      <c r="AD152" s="284">
        <f>S152*V152</f>
        <v>1000000</v>
      </c>
      <c r="AE152" s="285" t="s">
        <v>68</v>
      </c>
      <c r="AF152" s="16"/>
    </row>
    <row r="153" spans="1:32" s="15" customFormat="1" ht="24" customHeight="1">
      <c r="A153" s="45"/>
      <c r="B153" s="45"/>
      <c r="C153" s="45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69"/>
      <c r="O153" s="282" t="s">
        <v>204</v>
      </c>
      <c r="P153" s="282"/>
      <c r="Q153" s="282"/>
      <c r="R153" s="282"/>
      <c r="S153" s="50">
        <v>150000</v>
      </c>
      <c r="T153" s="54" t="s">
        <v>68</v>
      </c>
      <c r="U153" s="54" t="s">
        <v>7</v>
      </c>
      <c r="V153" s="50">
        <v>4</v>
      </c>
      <c r="W153" s="49" t="s">
        <v>25</v>
      </c>
      <c r="X153" s="50"/>
      <c r="Y153" s="283"/>
      <c r="Z153" s="283" t="s">
        <v>77</v>
      </c>
      <c r="AA153" s="283"/>
      <c r="AB153" s="283" t="s">
        <v>51</v>
      </c>
      <c r="AC153" s="283"/>
      <c r="AD153" s="284">
        <f>S153*V153</f>
        <v>600000</v>
      </c>
      <c r="AE153" s="285" t="s">
        <v>68</v>
      </c>
      <c r="AF153" s="16"/>
    </row>
    <row r="154" spans="1:32" s="15" customFormat="1" ht="24" customHeight="1">
      <c r="A154" s="45"/>
      <c r="B154" s="45"/>
      <c r="C154" s="45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69"/>
      <c r="O154" s="282" t="s">
        <v>207</v>
      </c>
      <c r="P154" s="282"/>
      <c r="Q154" s="282"/>
      <c r="R154" s="282"/>
      <c r="S154" s="50">
        <v>75000</v>
      </c>
      <c r="T154" s="54" t="s">
        <v>68</v>
      </c>
      <c r="U154" s="54" t="s">
        <v>7</v>
      </c>
      <c r="V154" s="50">
        <v>4</v>
      </c>
      <c r="W154" s="49" t="s">
        <v>25</v>
      </c>
      <c r="X154" s="50"/>
      <c r="Y154" s="283"/>
      <c r="Z154" s="283" t="s">
        <v>77</v>
      </c>
      <c r="AA154" s="283"/>
      <c r="AB154" s="283" t="s">
        <v>51</v>
      </c>
      <c r="AC154" s="283"/>
      <c r="AD154" s="284">
        <f>S154*V154</f>
        <v>300000</v>
      </c>
      <c r="AE154" s="285" t="s">
        <v>68</v>
      </c>
      <c r="AF154" s="16"/>
    </row>
    <row r="155" spans="1:32" s="15" customFormat="1" ht="24" customHeight="1">
      <c r="A155" s="45"/>
      <c r="B155" s="45"/>
      <c r="C155" s="5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83"/>
      <c r="O155" s="298"/>
      <c r="P155" s="298"/>
      <c r="Q155" s="298"/>
      <c r="R155" s="298"/>
      <c r="S155" s="79"/>
      <c r="T155" s="84"/>
      <c r="U155" s="84"/>
      <c r="V155" s="79"/>
      <c r="W155" s="80"/>
      <c r="X155" s="79"/>
      <c r="Y155" s="298"/>
      <c r="Z155" s="298"/>
      <c r="AA155" s="298"/>
      <c r="AB155" s="298"/>
      <c r="AC155" s="298"/>
      <c r="AD155" s="299"/>
      <c r="AE155" s="300"/>
      <c r="AF155" s="16"/>
    </row>
    <row r="156" spans="1:32" s="15" customFormat="1" ht="24" customHeight="1">
      <c r="A156" s="45"/>
      <c r="B156" s="45"/>
      <c r="C156" s="35" t="s">
        <v>231</v>
      </c>
      <c r="D156" s="111">
        <v>250</v>
      </c>
      <c r="E156" s="111">
        <f>SUM(F156:L156)</f>
        <v>250</v>
      </c>
      <c r="F156" s="111">
        <f>SUMIF($AB$157:$AB$159,"보조",$AD$157:$AD$159)/1000</f>
        <v>0</v>
      </c>
      <c r="G156" s="111">
        <f>SUMIF($AB$157:$AB$159,"7종",$AD$157:$AD$159)/1000</f>
        <v>0</v>
      </c>
      <c r="H156" s="111">
        <f>SUMIF($AB$157:$AB$159,"시비",$AD$157:$AD$159)/1000</f>
        <v>0</v>
      </c>
      <c r="I156" s="111">
        <f>SUMIF($AB$157:$AB$159,"후원",$AD$157:$AD$159)/1000</f>
        <v>0</v>
      </c>
      <c r="J156" s="111">
        <f>SUMIF($AB$157:$AB$159,"입소",$AD$157:$AD$159)/1000</f>
        <v>250</v>
      </c>
      <c r="K156" s="111">
        <f>SUMIF($AB$157:$AB$159,"법인",$AD$157:$AD$159)/1000</f>
        <v>0</v>
      </c>
      <c r="L156" s="111">
        <f>SUMIF($AB$157:$AB$159,"잡수",$AD$157:$AD$159)/1000</f>
        <v>0</v>
      </c>
      <c r="M156" s="110">
        <f>E156-D156</f>
        <v>0</v>
      </c>
      <c r="N156" s="118">
        <f>IF(D156=0,0,M156/D156)</f>
        <v>0</v>
      </c>
      <c r="O156" s="239"/>
      <c r="P156" s="92"/>
      <c r="Q156" s="92"/>
      <c r="R156" s="301"/>
      <c r="S156" s="301"/>
      <c r="T156" s="301"/>
      <c r="U156" s="301"/>
      <c r="V156" s="301"/>
      <c r="W156" s="131" t="s">
        <v>167</v>
      </c>
      <c r="X156" s="131"/>
      <c r="Y156" s="131"/>
      <c r="Z156" s="131"/>
      <c r="AA156" s="131"/>
      <c r="AB156" s="131"/>
      <c r="AC156" s="132"/>
      <c r="AD156" s="132">
        <f>SUM(AD157:AD158)</f>
        <v>250000</v>
      </c>
      <c r="AE156" s="133" t="s">
        <v>68</v>
      </c>
      <c r="AF156" s="16"/>
    </row>
    <row r="157" spans="1:32" s="15" customFormat="1" ht="24" customHeight="1">
      <c r="A157" s="45"/>
      <c r="B157" s="45"/>
      <c r="C157" s="45" t="s">
        <v>205</v>
      </c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69"/>
      <c r="O157" s="49" t="s">
        <v>102</v>
      </c>
      <c r="P157" s="282"/>
      <c r="Q157" s="282"/>
      <c r="R157" s="282"/>
      <c r="S157" s="50">
        <v>4000</v>
      </c>
      <c r="T157" s="54" t="s">
        <v>68</v>
      </c>
      <c r="U157" s="54" t="s">
        <v>7</v>
      </c>
      <c r="V157" s="50">
        <v>5</v>
      </c>
      <c r="W157" s="49" t="s">
        <v>25</v>
      </c>
      <c r="X157" s="50" t="s">
        <v>7</v>
      </c>
      <c r="Y157" s="283">
        <v>5</v>
      </c>
      <c r="Z157" s="283" t="s">
        <v>13</v>
      </c>
      <c r="AA157" s="283" t="s">
        <v>77</v>
      </c>
      <c r="AB157" s="283" t="s">
        <v>51</v>
      </c>
      <c r="AC157" s="283"/>
      <c r="AD157" s="284">
        <f>S157*V157*5</f>
        <v>100000</v>
      </c>
      <c r="AE157" s="285" t="s">
        <v>68</v>
      </c>
      <c r="AF157" s="16"/>
    </row>
    <row r="158" spans="1:32" s="15" customFormat="1" ht="24" customHeight="1">
      <c r="A158" s="45"/>
      <c r="B158" s="45"/>
      <c r="C158" s="45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69"/>
      <c r="O158" s="49" t="s">
        <v>223</v>
      </c>
      <c r="P158" s="303"/>
      <c r="Q158" s="303"/>
      <c r="R158" s="303"/>
      <c r="S158" s="50">
        <v>10000</v>
      </c>
      <c r="T158" s="54" t="s">
        <v>68</v>
      </c>
      <c r="U158" s="54" t="s">
        <v>7</v>
      </c>
      <c r="V158" s="50">
        <v>5</v>
      </c>
      <c r="W158" s="49" t="s">
        <v>25</v>
      </c>
      <c r="X158" s="49" t="s">
        <v>7</v>
      </c>
      <c r="Y158" s="55">
        <v>3</v>
      </c>
      <c r="Z158" s="53" t="s">
        <v>13</v>
      </c>
      <c r="AA158" s="53" t="s">
        <v>77</v>
      </c>
      <c r="AB158" s="283" t="s">
        <v>51</v>
      </c>
      <c r="AC158" s="283"/>
      <c r="AD158" s="50">
        <f>S158*V158*3</f>
        <v>150000</v>
      </c>
      <c r="AE158" s="285" t="s">
        <v>68</v>
      </c>
      <c r="AF158" s="16"/>
    </row>
    <row r="159" spans="1:32" s="15" customFormat="1" ht="24" customHeight="1">
      <c r="A159" s="45"/>
      <c r="B159" s="45"/>
      <c r="C159" s="5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83"/>
      <c r="O159" s="80"/>
      <c r="P159" s="80"/>
      <c r="Q159" s="80"/>
      <c r="R159" s="80"/>
      <c r="S159" s="80"/>
      <c r="T159" s="79"/>
      <c r="U159" s="79"/>
      <c r="V159" s="79"/>
      <c r="W159" s="79"/>
      <c r="X159" s="79"/>
      <c r="Y159" s="79"/>
      <c r="Z159" s="79"/>
      <c r="AA159" s="79"/>
      <c r="AB159" s="79"/>
      <c r="AC159" s="71"/>
      <c r="AD159" s="302"/>
      <c r="AE159" s="72"/>
      <c r="AF159" s="16"/>
    </row>
    <row r="160" spans="1:32" s="15" customFormat="1" ht="24" customHeight="1">
      <c r="A160" s="45"/>
      <c r="B160" s="45"/>
      <c r="C160" s="35" t="s">
        <v>191</v>
      </c>
      <c r="D160" s="111">
        <v>260</v>
      </c>
      <c r="E160" s="111">
        <f>SUM(F160:L160)</f>
        <v>260</v>
      </c>
      <c r="F160" s="111">
        <f>SUMIF($AB$161:$AB$164,"보조",$AD$161:$AD$164)/1000</f>
        <v>0</v>
      </c>
      <c r="G160" s="111">
        <f>SUMIF($AB$161:$AB$164,"7종",$AD$161:$AD$164)/1000</f>
        <v>0</v>
      </c>
      <c r="H160" s="111">
        <f>SUMIF($AB$161:$AB$164,"시비",$AD$161:$AD$164)/1000</f>
        <v>0</v>
      </c>
      <c r="I160" s="111">
        <f>SUMIF($AB$161:$AB$164,"후원",$AD$161:$AD$164)/1000</f>
        <v>0</v>
      </c>
      <c r="J160" s="111">
        <f>SUMIF($AB$161:$AB$164,"입소",$AD$161:$AD$164)/1000</f>
        <v>260</v>
      </c>
      <c r="K160" s="111">
        <f>SUMIF($AB$161:$AB$164,"법인",$AD$161:$AD$164)/1000</f>
        <v>0</v>
      </c>
      <c r="L160" s="111">
        <f>SUMIF($AB$161:$AB$164,"잡수",$AD$161:$AD$164)/1000</f>
        <v>0</v>
      </c>
      <c r="M160" s="110">
        <f>E160-D160</f>
        <v>0</v>
      </c>
      <c r="N160" s="118">
        <f>IF(D160=0,0,M160/D160)</f>
        <v>0</v>
      </c>
      <c r="O160" s="136"/>
      <c r="P160" s="136"/>
      <c r="Q160" s="136"/>
      <c r="R160" s="136"/>
      <c r="S160" s="136"/>
      <c r="T160" s="87"/>
      <c r="U160" s="87"/>
      <c r="V160" s="87"/>
      <c r="W160" s="131" t="s">
        <v>167</v>
      </c>
      <c r="X160" s="131"/>
      <c r="Y160" s="131"/>
      <c r="Z160" s="131"/>
      <c r="AA160" s="131"/>
      <c r="AB160" s="131"/>
      <c r="AC160" s="132"/>
      <c r="AD160" s="132">
        <f>SUM(AD161:AD163)</f>
        <v>260000</v>
      </c>
      <c r="AE160" s="133" t="s">
        <v>68</v>
      </c>
      <c r="AF160" s="16"/>
    </row>
    <row r="161" spans="1:32" s="15" customFormat="1" ht="24" customHeight="1">
      <c r="A161" s="45"/>
      <c r="B161" s="45"/>
      <c r="C161" s="45" t="s">
        <v>3</v>
      </c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69"/>
      <c r="O161" s="49" t="s">
        <v>243</v>
      </c>
      <c r="P161" s="49"/>
      <c r="Q161" s="49"/>
      <c r="R161" s="49"/>
      <c r="S161" s="50">
        <v>10000</v>
      </c>
      <c r="T161" s="50" t="s">
        <v>68</v>
      </c>
      <c r="U161" s="49" t="s">
        <v>7</v>
      </c>
      <c r="V161" s="50">
        <v>4</v>
      </c>
      <c r="W161" s="50" t="s">
        <v>25</v>
      </c>
      <c r="X161" s="49" t="s">
        <v>7</v>
      </c>
      <c r="Y161" s="55">
        <v>2</v>
      </c>
      <c r="Z161" s="90" t="s">
        <v>13</v>
      </c>
      <c r="AA161" s="90" t="s">
        <v>77</v>
      </c>
      <c r="AB161" s="50" t="s">
        <v>51</v>
      </c>
      <c r="AC161" s="67"/>
      <c r="AD161" s="50">
        <f>S161*V161*Y161</f>
        <v>80000</v>
      </c>
      <c r="AE161" s="56" t="s">
        <v>68</v>
      </c>
      <c r="AF161" s="16"/>
    </row>
    <row r="162" spans="1:32" s="15" customFormat="1" ht="24" customHeight="1">
      <c r="A162" s="45"/>
      <c r="B162" s="45"/>
      <c r="C162" s="45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69"/>
      <c r="O162" s="282" t="s">
        <v>240</v>
      </c>
      <c r="P162" s="31"/>
      <c r="Q162" s="31"/>
      <c r="R162" s="266"/>
      <c r="S162" s="50">
        <v>20000</v>
      </c>
      <c r="T162" s="50" t="s">
        <v>68</v>
      </c>
      <c r="U162" s="49" t="s">
        <v>7</v>
      </c>
      <c r="V162" s="50">
        <v>4</v>
      </c>
      <c r="W162" s="50" t="s">
        <v>25</v>
      </c>
      <c r="X162" s="49" t="s">
        <v>7</v>
      </c>
      <c r="Y162" s="55">
        <v>1</v>
      </c>
      <c r="Z162" s="90" t="s">
        <v>13</v>
      </c>
      <c r="AA162" s="90" t="s">
        <v>77</v>
      </c>
      <c r="AB162" s="50" t="s">
        <v>51</v>
      </c>
      <c r="AC162" s="67"/>
      <c r="AD162" s="50">
        <f>S162*V162*Y162</f>
        <v>80000</v>
      </c>
      <c r="AE162" s="56" t="s">
        <v>68</v>
      </c>
      <c r="AF162" s="16"/>
    </row>
    <row r="163" spans="1:32" s="15" customFormat="1" ht="24" customHeight="1">
      <c r="A163" s="45"/>
      <c r="B163" s="45"/>
      <c r="C163" s="45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69"/>
      <c r="O163" s="282" t="s">
        <v>249</v>
      </c>
      <c r="P163" s="31"/>
      <c r="Q163" s="31"/>
      <c r="R163" s="266"/>
      <c r="S163" s="266"/>
      <c r="T163" s="266"/>
      <c r="U163" s="266"/>
      <c r="V163" s="266"/>
      <c r="W163" s="50"/>
      <c r="X163" s="50"/>
      <c r="Y163" s="50"/>
      <c r="Z163" s="50"/>
      <c r="AA163" s="50"/>
      <c r="AB163" s="50" t="s">
        <v>51</v>
      </c>
      <c r="AC163" s="67"/>
      <c r="AD163" s="67">
        <v>100000</v>
      </c>
      <c r="AE163" s="56" t="s">
        <v>68</v>
      </c>
      <c r="AF163" s="16"/>
    </row>
    <row r="164" spans="1:32" s="15" customFormat="1" ht="24" customHeight="1">
      <c r="A164" s="45"/>
      <c r="B164" s="45"/>
      <c r="C164" s="5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83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9"/>
      <c r="AE164" s="300"/>
      <c r="AF164" s="16"/>
    </row>
    <row r="165" spans="1:32" s="15" customFormat="1" ht="24" customHeight="1">
      <c r="A165" s="45"/>
      <c r="B165" s="45"/>
      <c r="C165" s="35" t="s">
        <v>38</v>
      </c>
      <c r="D165" s="111">
        <v>100</v>
      </c>
      <c r="E165" s="111">
        <f>SUM(F165:L165)</f>
        <v>200</v>
      </c>
      <c r="F165" s="111">
        <f>SUMIF($AB$166:$AB$168,"보조",$AD$166:$AD$168)/1000</f>
        <v>0</v>
      </c>
      <c r="G165" s="111">
        <f>SUMIF($AB$166:$AB$168,"7종",$AD$166:$AD$168)/1000</f>
        <v>0</v>
      </c>
      <c r="H165" s="111">
        <f>SUMIF($AB$166:$AB$168,"시비",$AD$166:$AD$168)/1000</f>
        <v>0</v>
      </c>
      <c r="I165" s="111">
        <f>SUMIF($AB$166:$AB$168,"후원",$AD$166:$AD$168)/1000</f>
        <v>0</v>
      </c>
      <c r="J165" s="111">
        <f>SUMIF($AB$166:$AB$168,"입소",$AD$166:$AD$168)/1000</f>
        <v>200</v>
      </c>
      <c r="K165" s="111">
        <f>SUMIF($AB$166:$AB$168,"법인",$AD$166:$AD$168)/1000</f>
        <v>0</v>
      </c>
      <c r="L165" s="111">
        <f>SUMIF($AB$166:$AB$168,"잡수",$AD$166:$AD$168)/1000</f>
        <v>0</v>
      </c>
      <c r="M165" s="110">
        <f>E165-D165</f>
        <v>100</v>
      </c>
      <c r="N165" s="118">
        <f>IF(D165=0,0,M165/D165)</f>
        <v>1</v>
      </c>
      <c r="O165" s="239"/>
      <c r="P165" s="92"/>
      <c r="Q165" s="92"/>
      <c r="R165" s="301"/>
      <c r="S165" s="301"/>
      <c r="T165" s="301"/>
      <c r="U165" s="301"/>
      <c r="V165" s="301"/>
      <c r="W165" s="131" t="s">
        <v>167</v>
      </c>
      <c r="X165" s="131"/>
      <c r="Y165" s="131"/>
      <c r="Z165" s="131"/>
      <c r="AA165" s="131"/>
      <c r="AB165" s="131"/>
      <c r="AC165" s="132"/>
      <c r="AD165" s="132">
        <f>SUM(AD166:AD168)</f>
        <v>200000</v>
      </c>
      <c r="AE165" s="133" t="s">
        <v>68</v>
      </c>
      <c r="AF165" s="16"/>
    </row>
    <row r="166" spans="1:32" s="15" customFormat="1" ht="24" customHeight="1">
      <c r="A166" s="45"/>
      <c r="B166" s="45"/>
      <c r="C166" s="45" t="s">
        <v>193</v>
      </c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69"/>
      <c r="O166" s="49" t="s">
        <v>226</v>
      </c>
      <c r="P166" s="31"/>
      <c r="Q166" s="31"/>
      <c r="R166" s="266"/>
      <c r="S166" s="50">
        <v>100000</v>
      </c>
      <c r="T166" s="54" t="s">
        <v>68</v>
      </c>
      <c r="U166" s="54" t="s">
        <v>7</v>
      </c>
      <c r="V166" s="50">
        <v>1</v>
      </c>
      <c r="W166" s="49" t="s">
        <v>13</v>
      </c>
      <c r="X166" s="50"/>
      <c r="Y166" s="282"/>
      <c r="Z166" s="282" t="s">
        <v>77</v>
      </c>
      <c r="AA166" s="282"/>
      <c r="AB166" s="282" t="s">
        <v>51</v>
      </c>
      <c r="AC166" s="282"/>
      <c r="AD166" s="297">
        <f>S166*V166</f>
        <v>100000</v>
      </c>
      <c r="AE166" s="285" t="s">
        <v>68</v>
      </c>
      <c r="AF166" s="16"/>
    </row>
    <row r="167" spans="1:32" s="15" customFormat="1" ht="24" customHeight="1">
      <c r="A167" s="45"/>
      <c r="B167" s="45"/>
      <c r="C167" s="45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69"/>
      <c r="O167" s="49" t="s">
        <v>359</v>
      </c>
      <c r="P167" s="31"/>
      <c r="Q167" s="31"/>
      <c r="R167" s="266"/>
      <c r="S167" s="50">
        <v>100000</v>
      </c>
      <c r="T167" s="54" t="s">
        <v>68</v>
      </c>
      <c r="U167" s="54" t="s">
        <v>7</v>
      </c>
      <c r="V167" s="50">
        <v>1</v>
      </c>
      <c r="W167" s="49" t="s">
        <v>13</v>
      </c>
      <c r="X167" s="50"/>
      <c r="Y167" s="282"/>
      <c r="Z167" s="282" t="s">
        <v>77</v>
      </c>
      <c r="AA167" s="282"/>
      <c r="AB167" s="282" t="s">
        <v>51</v>
      </c>
      <c r="AC167" s="282"/>
      <c r="AD167" s="297">
        <f>S167*V167</f>
        <v>100000</v>
      </c>
      <c r="AE167" s="285" t="s">
        <v>68</v>
      </c>
      <c r="AF167" s="16"/>
    </row>
    <row r="168" spans="1:32" s="15" customFormat="1" ht="24" customHeight="1">
      <c r="A168" s="45"/>
      <c r="B168" s="45"/>
      <c r="C168" s="45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69"/>
      <c r="O168" s="49"/>
      <c r="P168" s="31"/>
      <c r="Q168" s="31"/>
      <c r="R168" s="266"/>
      <c r="S168" s="50"/>
      <c r="T168" s="54"/>
      <c r="U168" s="54"/>
      <c r="V168" s="50"/>
      <c r="W168" s="49"/>
      <c r="X168" s="50"/>
      <c r="Y168" s="282"/>
      <c r="Z168" s="282"/>
      <c r="AA168" s="282"/>
      <c r="AB168" s="282"/>
      <c r="AC168" s="282"/>
      <c r="AD168" s="297"/>
      <c r="AE168" s="285"/>
      <c r="AF168" s="16"/>
    </row>
    <row r="169" spans="1:32" s="15" customFormat="1" ht="24" customHeight="1">
      <c r="A169" s="45"/>
      <c r="B169" s="45"/>
      <c r="C169" s="35" t="s">
        <v>234</v>
      </c>
      <c r="D169" s="111">
        <v>600</v>
      </c>
      <c r="E169" s="111">
        <f>SUM(F169:L169)</f>
        <v>1848</v>
      </c>
      <c r="F169" s="111">
        <f>SUMIF($AB$170:$AB$172,"보조",$AD$170:$AD$172)/1000</f>
        <v>0</v>
      </c>
      <c r="G169" s="111">
        <f>SUMIF($AB$170:$AB$172,"7종",$AD$170:$AD$172)/1000</f>
        <v>0</v>
      </c>
      <c r="H169" s="111">
        <f>SUMIF($AB$170:$AB$172,"시비",$AD$170:$AD$172)/1000</f>
        <v>0</v>
      </c>
      <c r="I169" s="111">
        <f>SUMIF($AB$170:$AB$172,"후원",$AD$170:$AD$172)/1000</f>
        <v>1848</v>
      </c>
      <c r="J169" s="111">
        <f>SUMIF($AB$170:$AB$172,"입소",$AD$170:$AD$172)/1000</f>
        <v>0</v>
      </c>
      <c r="K169" s="111">
        <f>SUMIF($AB$170:$AB$172,"법인",$AD$170:$AD$172)/1000</f>
        <v>0</v>
      </c>
      <c r="L169" s="111">
        <f>SUMIF($AB$170:$AB$172,"잡수",$AD$170:$AD$172)/1000</f>
        <v>0</v>
      </c>
      <c r="M169" s="110">
        <f>E169-D169</f>
        <v>1248</v>
      </c>
      <c r="N169" s="118">
        <f>IF(D169=0,0,M169/D169)</f>
        <v>2.08</v>
      </c>
      <c r="O169" s="239"/>
      <c r="P169" s="92"/>
      <c r="Q169" s="92"/>
      <c r="R169" s="301"/>
      <c r="S169" s="301"/>
      <c r="T169" s="301"/>
      <c r="U169" s="301"/>
      <c r="V169" s="301"/>
      <c r="W169" s="131" t="s">
        <v>167</v>
      </c>
      <c r="X169" s="131"/>
      <c r="Y169" s="131"/>
      <c r="Z169" s="131"/>
      <c r="AA169" s="131"/>
      <c r="AB169" s="131"/>
      <c r="AC169" s="132"/>
      <c r="AD169" s="132">
        <f>SUM(AD170:AD172)</f>
        <v>1848000</v>
      </c>
      <c r="AE169" s="133" t="s">
        <v>68</v>
      </c>
      <c r="AF169" s="16"/>
    </row>
    <row r="170" spans="1:32" s="15" customFormat="1" ht="24" customHeight="1">
      <c r="A170" s="45"/>
      <c r="B170" s="45"/>
      <c r="C170" s="45" t="s">
        <v>3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69"/>
      <c r="O170" s="49" t="s">
        <v>78</v>
      </c>
      <c r="P170" s="31"/>
      <c r="Q170" s="31"/>
      <c r="R170" s="266"/>
      <c r="S170" s="50">
        <v>50000</v>
      </c>
      <c r="T170" s="54" t="s">
        <v>68</v>
      </c>
      <c r="U170" s="54" t="s">
        <v>7</v>
      </c>
      <c r="V170" s="50">
        <v>12</v>
      </c>
      <c r="W170" s="49" t="s">
        <v>71</v>
      </c>
      <c r="X170" s="50"/>
      <c r="Y170" s="282"/>
      <c r="Z170" s="282" t="s">
        <v>77</v>
      </c>
      <c r="AA170" s="282"/>
      <c r="AB170" s="282" t="s">
        <v>60</v>
      </c>
      <c r="AC170" s="282"/>
      <c r="AD170" s="297">
        <f>S170*V170</f>
        <v>600000</v>
      </c>
      <c r="AE170" s="285" t="s">
        <v>68</v>
      </c>
      <c r="AF170" s="16"/>
    </row>
    <row r="171" spans="1:32" s="15" customFormat="1" ht="24" customHeight="1">
      <c r="A171" s="45"/>
      <c r="B171" s="45"/>
      <c r="C171" s="45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69"/>
      <c r="O171" s="49" t="s">
        <v>358</v>
      </c>
      <c r="P171" s="31"/>
      <c r="Q171" s="31"/>
      <c r="R171" s="266"/>
      <c r="S171" s="50"/>
      <c r="T171" s="54"/>
      <c r="U171" s="54"/>
      <c r="V171" s="50"/>
      <c r="W171" s="49"/>
      <c r="X171" s="50"/>
      <c r="Y171" s="282"/>
      <c r="Z171" s="282" t="s">
        <v>77</v>
      </c>
      <c r="AA171" s="282"/>
      <c r="AB171" s="282" t="s">
        <v>60</v>
      </c>
      <c r="AC171" s="282"/>
      <c r="AD171" s="297">
        <v>1248000</v>
      </c>
      <c r="AE171" s="285" t="s">
        <v>68</v>
      </c>
      <c r="AF171" s="16"/>
    </row>
    <row r="172" spans="1:32" s="15" customFormat="1" ht="24" customHeight="1">
      <c r="A172" s="45"/>
      <c r="B172" s="45"/>
      <c r="C172" s="5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83"/>
      <c r="O172" s="49"/>
      <c r="P172" s="31"/>
      <c r="Q172" s="31"/>
      <c r="R172" s="266"/>
      <c r="S172" s="50"/>
      <c r="T172" s="54"/>
      <c r="U172" s="54"/>
      <c r="V172" s="50"/>
      <c r="W172" s="49"/>
      <c r="X172" s="50"/>
      <c r="Y172" s="282"/>
      <c r="Z172" s="282"/>
      <c r="AA172" s="282"/>
      <c r="AB172" s="282"/>
      <c r="AC172" s="282"/>
      <c r="AD172" s="297"/>
      <c r="AE172" s="285"/>
      <c r="AF172" s="16"/>
    </row>
    <row r="173" spans="1:32" s="11" customFormat="1" ht="21" customHeight="1">
      <c r="A173" s="109" t="s">
        <v>46</v>
      </c>
      <c r="B173" s="407" t="s">
        <v>145</v>
      </c>
      <c r="C173" s="408"/>
      <c r="D173" s="145">
        <v>9</v>
      </c>
      <c r="E173" s="145">
        <f aca="true" t="shared" si="10" ref="E173:L173">SUM(E174)</f>
        <v>8</v>
      </c>
      <c r="F173" s="145">
        <f t="shared" si="10"/>
        <v>8</v>
      </c>
      <c r="G173" s="145">
        <f t="shared" si="10"/>
        <v>0</v>
      </c>
      <c r="H173" s="145">
        <f t="shared" si="10"/>
        <v>0</v>
      </c>
      <c r="I173" s="145">
        <f t="shared" si="10"/>
        <v>0</v>
      </c>
      <c r="J173" s="145">
        <f t="shared" si="10"/>
        <v>0</v>
      </c>
      <c r="K173" s="145">
        <f t="shared" si="10"/>
        <v>0</v>
      </c>
      <c r="L173" s="145">
        <f t="shared" si="10"/>
        <v>0</v>
      </c>
      <c r="M173" s="145">
        <f>E173-D173</f>
        <v>-1</v>
      </c>
      <c r="N173" s="146">
        <f>IF(D173=0,0,M173/D173)</f>
        <v>-0.1111111111111111</v>
      </c>
      <c r="O173" s="96" t="s">
        <v>169</v>
      </c>
      <c r="P173" s="147"/>
      <c r="Q173" s="147"/>
      <c r="R173" s="147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>
        <f>SUM(AD174)</f>
        <v>8000</v>
      </c>
      <c r="AE173" s="149" t="s">
        <v>68</v>
      </c>
      <c r="AF173" s="1"/>
    </row>
    <row r="174" spans="1:32" s="11" customFormat="1" ht="21" customHeight="1">
      <c r="A174" s="154" t="s">
        <v>27</v>
      </c>
      <c r="B174" s="45" t="s">
        <v>46</v>
      </c>
      <c r="C174" s="45" t="s">
        <v>46</v>
      </c>
      <c r="D174" s="111">
        <v>9</v>
      </c>
      <c r="E174" s="111">
        <f>SUM(F174:L174)</f>
        <v>8</v>
      </c>
      <c r="F174" s="111">
        <f>SUMIF($AB$175:$AB$181,"보조",$AD$175:$AD$181)/1000</f>
        <v>8</v>
      </c>
      <c r="G174" s="111">
        <f>SUMIF($AB$175:$AB$181,"7종",$AD$175:$AD$181)/1000</f>
        <v>0</v>
      </c>
      <c r="H174" s="111">
        <f>SUMIF($AB$175:$AB$181,"시비",$AD$175:$AD$181)/1000</f>
        <v>0</v>
      </c>
      <c r="I174" s="111">
        <f>SUMIF($AB$175:$AB$181,"후원",$AD$175:$AD$181)/1000</f>
        <v>0</v>
      </c>
      <c r="J174" s="111">
        <f>SUMIF($AB$175:$AB$181,"입소",$AD$175:$AD$181)/1000</f>
        <v>0</v>
      </c>
      <c r="K174" s="111">
        <f>SUMIF($AB$175:$AB$181,"법인",$AD$175:$AD$181)/1000</f>
        <v>0</v>
      </c>
      <c r="L174" s="111">
        <f>SUMIF($AB$175:$AB$181,"잡수",$AD$175:$AD$181)/1000</f>
        <v>0</v>
      </c>
      <c r="M174" s="107">
        <f>E174-D174</f>
        <v>-1</v>
      </c>
      <c r="N174" s="69">
        <f>IF(D174=0,0,M174/D174)</f>
        <v>-0.1111111111111111</v>
      </c>
      <c r="O174" s="113" t="s">
        <v>133</v>
      </c>
      <c r="P174" s="31"/>
      <c r="Q174" s="31"/>
      <c r="R174" s="31"/>
      <c r="S174" s="31"/>
      <c r="T174" s="32"/>
      <c r="U174" s="32"/>
      <c r="V174" s="32"/>
      <c r="W174" s="32"/>
      <c r="X174" s="32"/>
      <c r="Y174" s="148" t="s">
        <v>18</v>
      </c>
      <c r="Z174" s="98"/>
      <c r="AA174" s="98"/>
      <c r="AB174" s="98"/>
      <c r="AC174" s="115"/>
      <c r="AD174" s="115">
        <f>ROUNDUP(SUM(AD175:AD179),-3)</f>
        <v>8000</v>
      </c>
      <c r="AE174" s="116" t="s">
        <v>68</v>
      </c>
      <c r="AF174" s="1"/>
    </row>
    <row r="175" spans="1:31" ht="21" customHeight="1">
      <c r="A175" s="44"/>
      <c r="B175" s="45" t="s">
        <v>348</v>
      </c>
      <c r="C175" s="45" t="s">
        <v>348</v>
      </c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69"/>
      <c r="O175" s="49" t="s">
        <v>92</v>
      </c>
      <c r="P175" s="49"/>
      <c r="Q175" s="49"/>
      <c r="R175" s="49"/>
      <c r="S175" s="50"/>
      <c r="T175" s="50"/>
      <c r="U175" s="50"/>
      <c r="V175" s="50"/>
      <c r="W175" s="50"/>
      <c r="X175" s="50"/>
      <c r="Y175" s="50"/>
      <c r="Z175" s="50"/>
      <c r="AA175" s="50"/>
      <c r="AB175" s="50" t="s">
        <v>4</v>
      </c>
      <c r="AC175" s="50"/>
      <c r="AD175" s="67">
        <v>8000</v>
      </c>
      <c r="AE175" s="56" t="s">
        <v>68</v>
      </c>
    </row>
    <row r="176" spans="1:31" ht="21" customHeight="1">
      <c r="A176" s="44"/>
      <c r="B176" s="45"/>
      <c r="C176" s="45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69"/>
      <c r="O176" s="49" t="s">
        <v>108</v>
      </c>
      <c r="P176" s="49"/>
      <c r="Q176" s="49"/>
      <c r="R176" s="49"/>
      <c r="S176" s="50"/>
      <c r="T176" s="50"/>
      <c r="U176" s="50"/>
      <c r="V176" s="50"/>
      <c r="W176" s="50"/>
      <c r="X176" s="50"/>
      <c r="Y176" s="50"/>
      <c r="Z176" s="50"/>
      <c r="AA176" s="50"/>
      <c r="AB176" s="50" t="s">
        <v>4</v>
      </c>
      <c r="AC176" s="50"/>
      <c r="AD176" s="67">
        <v>0</v>
      </c>
      <c r="AE176" s="56" t="s">
        <v>68</v>
      </c>
    </row>
    <row r="177" spans="1:31" ht="21" customHeight="1">
      <c r="A177" s="44"/>
      <c r="B177" s="45"/>
      <c r="C177" s="45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69"/>
      <c r="O177" s="49" t="s">
        <v>246</v>
      </c>
      <c r="P177" s="49"/>
      <c r="Q177" s="49"/>
      <c r="R177" s="49"/>
      <c r="S177" s="50"/>
      <c r="T177" s="50"/>
      <c r="U177" s="50"/>
      <c r="V177" s="50"/>
      <c r="W177" s="50"/>
      <c r="X177" s="50"/>
      <c r="Y177" s="50"/>
      <c r="Z177" s="50"/>
      <c r="AA177" s="50"/>
      <c r="AB177" s="50" t="s">
        <v>67</v>
      </c>
      <c r="AC177" s="50"/>
      <c r="AD177" s="67">
        <v>0</v>
      </c>
      <c r="AE177" s="56" t="s">
        <v>68</v>
      </c>
    </row>
    <row r="178" spans="1:31" ht="21" customHeight="1">
      <c r="A178" s="44"/>
      <c r="B178" s="45"/>
      <c r="C178" s="45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69"/>
      <c r="O178" s="49" t="s">
        <v>100</v>
      </c>
      <c r="P178" s="49"/>
      <c r="Q178" s="49"/>
      <c r="R178" s="49"/>
      <c r="S178" s="50"/>
      <c r="T178" s="50"/>
      <c r="U178" s="50"/>
      <c r="V178" s="50"/>
      <c r="W178" s="50"/>
      <c r="X178" s="50"/>
      <c r="Y178" s="50"/>
      <c r="Z178" s="50"/>
      <c r="AA178" s="50"/>
      <c r="AB178" s="50" t="s">
        <v>67</v>
      </c>
      <c r="AC178" s="50"/>
      <c r="AD178" s="67">
        <v>0</v>
      </c>
      <c r="AE178" s="56" t="s">
        <v>68</v>
      </c>
    </row>
    <row r="179" spans="1:31" ht="21" customHeight="1">
      <c r="A179" s="44"/>
      <c r="B179" s="45"/>
      <c r="C179" s="45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69"/>
      <c r="O179" s="49" t="s">
        <v>106</v>
      </c>
      <c r="P179" s="49"/>
      <c r="Q179" s="49"/>
      <c r="R179" s="49"/>
      <c r="S179" s="50"/>
      <c r="T179" s="50"/>
      <c r="U179" s="50"/>
      <c r="V179" s="50"/>
      <c r="W179" s="50"/>
      <c r="X179" s="50"/>
      <c r="Y179" s="50"/>
      <c r="Z179" s="50"/>
      <c r="AA179" s="50"/>
      <c r="AB179" s="50" t="s">
        <v>66</v>
      </c>
      <c r="AC179" s="50"/>
      <c r="AD179" s="67">
        <v>0</v>
      </c>
      <c r="AE179" s="56" t="s">
        <v>68</v>
      </c>
    </row>
    <row r="180" spans="1:31" ht="21" customHeight="1">
      <c r="A180" s="44"/>
      <c r="B180" s="45"/>
      <c r="C180" s="4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69"/>
      <c r="O180" s="49" t="s">
        <v>88</v>
      </c>
      <c r="P180" s="49"/>
      <c r="Q180" s="49"/>
      <c r="R180" s="49"/>
      <c r="S180" s="50"/>
      <c r="T180" s="50"/>
      <c r="U180" s="50"/>
      <c r="V180" s="50"/>
      <c r="W180" s="50"/>
      <c r="X180" s="50"/>
      <c r="Y180" s="50"/>
      <c r="Z180" s="50"/>
      <c r="AA180" s="50"/>
      <c r="AB180" s="50" t="s">
        <v>66</v>
      </c>
      <c r="AC180" s="50"/>
      <c r="AD180" s="67">
        <v>0</v>
      </c>
      <c r="AE180" s="56" t="s">
        <v>68</v>
      </c>
    </row>
    <row r="181" spans="1:32" s="14" customFormat="1" ht="21" customHeight="1">
      <c r="A181" s="44"/>
      <c r="B181" s="58"/>
      <c r="C181" s="4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6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50"/>
      <c r="AE181" s="56"/>
      <c r="AF181" s="4"/>
    </row>
    <row r="182" spans="1:32" s="11" customFormat="1" ht="21" customHeight="1">
      <c r="A182" s="34" t="s">
        <v>20</v>
      </c>
      <c r="B182" s="407" t="s">
        <v>145</v>
      </c>
      <c r="C182" s="408"/>
      <c r="D182" s="145">
        <v>0</v>
      </c>
      <c r="E182" s="145">
        <f aca="true" t="shared" si="11" ref="E182:L182">E183</f>
        <v>0</v>
      </c>
      <c r="F182" s="145">
        <f t="shared" si="11"/>
        <v>0</v>
      </c>
      <c r="G182" s="145">
        <f t="shared" si="11"/>
        <v>0</v>
      </c>
      <c r="H182" s="145">
        <f t="shared" si="11"/>
        <v>0</v>
      </c>
      <c r="I182" s="145">
        <f t="shared" si="11"/>
        <v>0</v>
      </c>
      <c r="J182" s="145">
        <f t="shared" si="11"/>
        <v>0</v>
      </c>
      <c r="K182" s="145">
        <f t="shared" si="11"/>
        <v>0</v>
      </c>
      <c r="L182" s="145">
        <f t="shared" si="11"/>
        <v>0</v>
      </c>
      <c r="M182" s="145">
        <f>E182-D182</f>
        <v>0</v>
      </c>
      <c r="N182" s="146">
        <f>IF(D182=0,0,M182/D182)</f>
        <v>0</v>
      </c>
      <c r="O182" s="147" t="s">
        <v>20</v>
      </c>
      <c r="P182" s="147"/>
      <c r="Q182" s="147"/>
      <c r="R182" s="147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>
        <f>SUM(AD183)</f>
        <v>0</v>
      </c>
      <c r="AE182" s="149" t="s">
        <v>68</v>
      </c>
      <c r="AF182" s="1"/>
    </row>
    <row r="183" spans="1:32" s="11" customFormat="1" ht="21" customHeight="1">
      <c r="A183" s="44"/>
      <c r="B183" s="45" t="s">
        <v>20</v>
      </c>
      <c r="C183" s="45" t="s">
        <v>20</v>
      </c>
      <c r="D183" s="111">
        <v>0</v>
      </c>
      <c r="E183" s="111">
        <f>SUM(F183:L183)</f>
        <v>0</v>
      </c>
      <c r="F183" s="111">
        <f>SUMIF($AB$184:$AB$184,"보조",$AD$184:$AD$184)/1000</f>
        <v>0</v>
      </c>
      <c r="G183" s="111">
        <f>SUMIF($AB$184:$AB$184,"7종",$AD$184:$AD$184)/1000</f>
        <v>0</v>
      </c>
      <c r="H183" s="111">
        <f>SUMIF($AB$184:$AB$184,"시비",$AD$184:$AD$184)/1000</f>
        <v>0</v>
      </c>
      <c r="I183" s="111">
        <f>SUMIF($AB$184:$AB$184,"후원",$AD$184:$AD$184)/1000</f>
        <v>0</v>
      </c>
      <c r="J183" s="111">
        <f>SUMIF($AB$184:$AB$184,"입소",$AD$184:$AD$184)/1000</f>
        <v>0</v>
      </c>
      <c r="K183" s="111">
        <f>SUMIF($AB$184:$AB$184,"법인",$AD$184:$AD$184)/1000</f>
        <v>0</v>
      </c>
      <c r="L183" s="111">
        <f>SUMIF($AB$184:$AB$184,"잡수",$AD$184:$AD$184)/1000</f>
        <v>0</v>
      </c>
      <c r="M183" s="107">
        <f>E183-D183</f>
        <v>0</v>
      </c>
      <c r="N183" s="69">
        <f>IF(D183=0,0,M183/D183)</f>
        <v>0</v>
      </c>
      <c r="O183" s="113" t="s">
        <v>181</v>
      </c>
      <c r="P183" s="31"/>
      <c r="Q183" s="31"/>
      <c r="R183" s="31"/>
      <c r="S183" s="31"/>
      <c r="T183" s="32"/>
      <c r="U183" s="32"/>
      <c r="V183" s="32"/>
      <c r="W183" s="32"/>
      <c r="X183" s="32"/>
      <c r="Y183" s="148" t="s">
        <v>18</v>
      </c>
      <c r="Z183" s="98"/>
      <c r="AA183" s="98"/>
      <c r="AB183" s="98"/>
      <c r="AC183" s="115"/>
      <c r="AD183" s="115">
        <v>0</v>
      </c>
      <c r="AE183" s="116" t="s">
        <v>68</v>
      </c>
      <c r="AF183" s="1"/>
    </row>
    <row r="184" spans="1:31" s="1" customFormat="1" ht="21" customHeight="1">
      <c r="A184" s="125"/>
      <c r="B184" s="45"/>
      <c r="C184" s="45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69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128"/>
    </row>
    <row r="185" spans="1:32" s="11" customFormat="1" ht="21" customHeight="1">
      <c r="A185" s="34" t="s">
        <v>70</v>
      </c>
      <c r="B185" s="405" t="s">
        <v>145</v>
      </c>
      <c r="C185" s="406"/>
      <c r="D185" s="159">
        <v>12</v>
      </c>
      <c r="E185" s="159">
        <f aca="true" t="shared" si="12" ref="E185:L185">SUM(E186)</f>
        <v>12</v>
      </c>
      <c r="F185" s="159">
        <f t="shared" si="12"/>
        <v>0</v>
      </c>
      <c r="G185" s="159">
        <f t="shared" si="12"/>
        <v>0</v>
      </c>
      <c r="H185" s="159">
        <f t="shared" si="12"/>
        <v>0</v>
      </c>
      <c r="I185" s="159">
        <f t="shared" si="12"/>
        <v>2</v>
      </c>
      <c r="J185" s="159">
        <f t="shared" si="12"/>
        <v>8</v>
      </c>
      <c r="K185" s="159">
        <f t="shared" si="12"/>
        <v>1</v>
      </c>
      <c r="L185" s="159">
        <f t="shared" si="12"/>
        <v>1</v>
      </c>
      <c r="M185" s="159">
        <f>E185-D185</f>
        <v>0</v>
      </c>
      <c r="N185" s="160">
        <f>IF(D185=0,0,M185/D185)</f>
        <v>0</v>
      </c>
      <c r="O185" s="138" t="s">
        <v>70</v>
      </c>
      <c r="P185" s="139"/>
      <c r="Q185" s="139"/>
      <c r="R185" s="139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>
        <f>AD186</f>
        <v>12000</v>
      </c>
      <c r="AE185" s="141" t="s">
        <v>68</v>
      </c>
      <c r="AF185" s="1"/>
    </row>
    <row r="186" spans="1:32" s="11" customFormat="1" ht="21" customHeight="1">
      <c r="A186" s="44"/>
      <c r="B186" s="45" t="s">
        <v>70</v>
      </c>
      <c r="C186" s="45" t="s">
        <v>70</v>
      </c>
      <c r="D186" s="111">
        <v>12</v>
      </c>
      <c r="E186" s="111">
        <f>SUM(F186:L186)</f>
        <v>12</v>
      </c>
      <c r="F186" s="111">
        <f>SUMIF($AB$187:$AB$195,"보조",$AD$187:$AD$195)/1000</f>
        <v>0</v>
      </c>
      <c r="G186" s="111">
        <f>SUMIF($AB$187:$AB$195,"7종",$AD$187:$AD$195)/1000</f>
        <v>0</v>
      </c>
      <c r="H186" s="111">
        <f>SUMIF($AB$187:$AB$195,"시비",$AD$187:$AD$195)/1000</f>
        <v>0</v>
      </c>
      <c r="I186" s="111">
        <f>SUMIF($AB$187:$AB$195,"후원",$AD$187:$AD$195)/1000</f>
        <v>2</v>
      </c>
      <c r="J186" s="111">
        <f>SUMIF($AB$187:$AB$195,"입소",$AD$187:$AD$195)/1000</f>
        <v>8</v>
      </c>
      <c r="K186" s="111">
        <f>SUMIF($AB$187:$AB$195,"법인",$AD$187:$AD$195)/1000</f>
        <v>1</v>
      </c>
      <c r="L186" s="111">
        <f>SUMIF($AB$187:$AB$195,"잡수",$AD$187:$AD$195)/1000</f>
        <v>1</v>
      </c>
      <c r="M186" s="107">
        <f>E186-D186</f>
        <v>0</v>
      </c>
      <c r="N186" s="69">
        <f>IF(D186=0,0,M186/D186)</f>
        <v>0</v>
      </c>
      <c r="O186" s="113" t="s">
        <v>155</v>
      </c>
      <c r="P186" s="31"/>
      <c r="Q186" s="31"/>
      <c r="R186" s="31"/>
      <c r="S186" s="31"/>
      <c r="T186" s="32"/>
      <c r="U186" s="32"/>
      <c r="V186" s="32"/>
      <c r="W186" s="32"/>
      <c r="X186" s="32"/>
      <c r="Y186" s="148" t="s">
        <v>18</v>
      </c>
      <c r="Z186" s="98"/>
      <c r="AA186" s="98"/>
      <c r="AB186" s="98"/>
      <c r="AC186" s="115"/>
      <c r="AD186" s="115">
        <f>SUM(AD187:AD194)</f>
        <v>12000</v>
      </c>
      <c r="AE186" s="116" t="s">
        <v>68</v>
      </c>
      <c r="AF186" s="1"/>
    </row>
    <row r="187" spans="1:32" s="11" customFormat="1" ht="21" customHeight="1">
      <c r="A187" s="44"/>
      <c r="B187" s="45"/>
      <c r="C187" s="45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69"/>
      <c r="O187" s="49" t="s">
        <v>89</v>
      </c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50" t="s">
        <v>40</v>
      </c>
      <c r="AC187" s="67"/>
      <c r="AD187" s="67">
        <v>1000</v>
      </c>
      <c r="AE187" s="56" t="s">
        <v>68</v>
      </c>
      <c r="AF187" s="2"/>
    </row>
    <row r="188" spans="1:32" s="11" customFormat="1" ht="21" customHeight="1">
      <c r="A188" s="44"/>
      <c r="B188" s="45"/>
      <c r="C188" s="45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69"/>
      <c r="O188" s="49" t="s">
        <v>112</v>
      </c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50" t="s">
        <v>40</v>
      </c>
      <c r="AC188" s="67"/>
      <c r="AD188" s="67">
        <v>0</v>
      </c>
      <c r="AE188" s="56" t="s">
        <v>68</v>
      </c>
      <c r="AF188" s="2"/>
    </row>
    <row r="189" spans="1:32" s="11" customFormat="1" ht="21" customHeight="1">
      <c r="A189" s="44"/>
      <c r="B189" s="45"/>
      <c r="C189" s="45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69"/>
      <c r="O189" s="49" t="s">
        <v>253</v>
      </c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/>
      <c r="AB189" s="50" t="s">
        <v>51</v>
      </c>
      <c r="AC189" s="67"/>
      <c r="AD189" s="67">
        <v>8000</v>
      </c>
      <c r="AE189" s="56" t="s">
        <v>68</v>
      </c>
      <c r="AF189" s="2"/>
    </row>
    <row r="190" spans="1:32" s="11" customFormat="1" ht="21" customHeight="1">
      <c r="A190" s="44"/>
      <c r="B190" s="45"/>
      <c r="C190" s="45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69"/>
      <c r="O190" s="49" t="s">
        <v>86</v>
      </c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50" t="s">
        <v>51</v>
      </c>
      <c r="AC190" s="67"/>
      <c r="AD190" s="67">
        <v>0</v>
      </c>
      <c r="AE190" s="56" t="s">
        <v>68</v>
      </c>
      <c r="AF190" s="2"/>
    </row>
    <row r="191" spans="1:32" s="11" customFormat="1" ht="21" customHeight="1">
      <c r="A191" s="44"/>
      <c r="B191" s="45"/>
      <c r="C191" s="45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69"/>
      <c r="O191" s="49" t="s">
        <v>254</v>
      </c>
      <c r="P191" s="49"/>
      <c r="Q191" s="49"/>
      <c r="R191" s="49"/>
      <c r="S191" s="49"/>
      <c r="T191" s="50"/>
      <c r="U191" s="50"/>
      <c r="V191" s="50"/>
      <c r="W191" s="50"/>
      <c r="X191" s="50"/>
      <c r="Y191" s="50"/>
      <c r="Z191" s="50"/>
      <c r="AA191" s="50"/>
      <c r="AB191" s="50" t="s">
        <v>61</v>
      </c>
      <c r="AC191" s="67"/>
      <c r="AD191" s="67">
        <v>1000</v>
      </c>
      <c r="AE191" s="56" t="s">
        <v>68</v>
      </c>
      <c r="AF191" s="2"/>
    </row>
    <row r="192" spans="1:32" s="11" customFormat="1" ht="21" customHeight="1">
      <c r="A192" s="44"/>
      <c r="B192" s="45"/>
      <c r="C192" s="45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69"/>
      <c r="O192" s="49" t="s">
        <v>111</v>
      </c>
      <c r="P192" s="49"/>
      <c r="Q192" s="49"/>
      <c r="R192" s="49"/>
      <c r="S192" s="49"/>
      <c r="T192" s="50"/>
      <c r="U192" s="50"/>
      <c r="V192" s="50"/>
      <c r="W192" s="50"/>
      <c r="X192" s="50"/>
      <c r="Y192" s="50"/>
      <c r="Z192" s="50"/>
      <c r="AA192" s="50"/>
      <c r="AB192" s="50" t="s">
        <v>61</v>
      </c>
      <c r="AC192" s="67"/>
      <c r="AD192" s="67">
        <v>0</v>
      </c>
      <c r="AE192" s="56" t="s">
        <v>68</v>
      </c>
      <c r="AF192" s="2"/>
    </row>
    <row r="193" spans="1:32" s="11" customFormat="1" ht="21" customHeight="1">
      <c r="A193" s="44"/>
      <c r="B193" s="45"/>
      <c r="C193" s="45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69"/>
      <c r="O193" s="49" t="s">
        <v>258</v>
      </c>
      <c r="P193" s="49"/>
      <c r="Q193" s="49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50" t="s">
        <v>60</v>
      </c>
      <c r="AC193" s="67"/>
      <c r="AD193" s="67">
        <v>2000</v>
      </c>
      <c r="AE193" s="56" t="s">
        <v>68</v>
      </c>
      <c r="AF193" s="2"/>
    </row>
    <row r="194" spans="1:32" s="11" customFormat="1" ht="21" customHeight="1">
      <c r="A194" s="44"/>
      <c r="B194" s="45"/>
      <c r="C194" s="45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69"/>
      <c r="O194" s="49" t="s">
        <v>107</v>
      </c>
      <c r="P194" s="49"/>
      <c r="Q194" s="49"/>
      <c r="R194" s="49"/>
      <c r="S194" s="49"/>
      <c r="T194" s="50"/>
      <c r="U194" s="50"/>
      <c r="V194" s="50"/>
      <c r="W194" s="50"/>
      <c r="X194" s="50"/>
      <c r="Y194" s="50"/>
      <c r="Z194" s="50"/>
      <c r="AA194" s="50"/>
      <c r="AB194" s="50" t="s">
        <v>60</v>
      </c>
      <c r="AC194" s="67"/>
      <c r="AD194" s="67">
        <v>0</v>
      </c>
      <c r="AE194" s="56" t="s">
        <v>68</v>
      </c>
      <c r="AF194" s="2"/>
    </row>
    <row r="195" spans="1:31" s="1" customFormat="1" ht="21" customHeight="1">
      <c r="A195" s="125"/>
      <c r="B195" s="101"/>
      <c r="C195" s="101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7"/>
      <c r="O195" s="63"/>
      <c r="P195" s="63"/>
      <c r="Q195" s="63"/>
      <c r="R195" s="63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5"/>
    </row>
    <row r="197" spans="5:6" ht="21" customHeight="1">
      <c r="E197" s="241"/>
      <c r="F197" s="241"/>
    </row>
    <row r="198" spans="5:6" ht="21" customHeight="1">
      <c r="E198" s="241"/>
      <c r="F198" s="241"/>
    </row>
    <row r="199" ht="21" customHeight="1">
      <c r="F199" s="241"/>
    </row>
    <row r="200" spans="5:6" ht="21" customHeight="1">
      <c r="E200" s="241"/>
      <c r="F200" s="241"/>
    </row>
    <row r="201" spans="5:6" ht="21" customHeight="1">
      <c r="E201" s="241"/>
      <c r="F201" s="241"/>
    </row>
    <row r="202" spans="5:6" ht="21" customHeight="1">
      <c r="E202" s="241"/>
      <c r="F202" s="241"/>
    </row>
  </sheetData>
  <sheetProtection/>
  <mergeCells count="15">
    <mergeCell ref="B185:C185"/>
    <mergeCell ref="B182:C182"/>
    <mergeCell ref="B173:C173"/>
    <mergeCell ref="B114:C114"/>
    <mergeCell ref="B101:C101"/>
    <mergeCell ref="A1:E1"/>
    <mergeCell ref="O2:AE3"/>
    <mergeCell ref="V97:W97"/>
    <mergeCell ref="V68:W68"/>
    <mergeCell ref="B5:C5"/>
    <mergeCell ref="A4:C4"/>
    <mergeCell ref="M2:N2"/>
    <mergeCell ref="A2:C2"/>
    <mergeCell ref="D2:D3"/>
    <mergeCell ref="E2:L2"/>
  </mergeCells>
  <printOptions horizontalCentered="1"/>
  <pageMargins left="0.1968503937007874" right="0.1968503937007874" top="0.35433070866141736" bottom="0.35433070866141736" header="0.15748031496062992" footer="0.15748031496062992"/>
  <pageSetup fitToHeight="3" fitToWidth="3" horizontalDpi="600" verticalDpi="600" orientation="landscape" paperSize="9" scale="60" r:id="rId3"/>
  <headerFooter alignWithMargins="0">
    <oddFooter>&amp;C&amp;"돋움,Regular"&amp;P/&amp;N&amp;R&amp;"돋움,Regular"공동생활가정 바르나바의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마르따의집</dc:creator>
  <cp:keywords/>
  <dc:description/>
  <cp:lastModifiedBy>마르따의집</cp:lastModifiedBy>
  <cp:lastPrinted>2018-11-30T00:11:50Z</cp:lastPrinted>
  <dcterms:created xsi:type="dcterms:W3CDTF">2003-12-18T04:11:57Z</dcterms:created>
  <dcterms:modified xsi:type="dcterms:W3CDTF">2018-12-24T06:34:05Z</dcterms:modified>
  <cp:category/>
  <cp:version/>
  <cp:contentType/>
  <cp:contentStatus/>
  <cp:revision>2</cp:revision>
</cp:coreProperties>
</file>