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1차 추경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I25" i="18" l="1"/>
  <c r="I23" i="18"/>
  <c r="I16" i="18"/>
  <c r="I12" i="18"/>
  <c r="I8" i="18"/>
  <c r="I7" i="18" s="1"/>
  <c r="D21" i="18"/>
  <c r="D19" i="18"/>
  <c r="D14" i="18"/>
  <c r="D10" i="18"/>
  <c r="D7" i="18" s="1"/>
  <c r="D8" i="18"/>
  <c r="AD151" i="31" l="1"/>
  <c r="AD180" i="31" l="1"/>
  <c r="AD172" i="31"/>
  <c r="AD79" i="31"/>
  <c r="AD89" i="31" l="1"/>
  <c r="AD88" i="31"/>
  <c r="X152" i="4" l="1"/>
  <c r="AD105" i="31"/>
  <c r="AD184" i="31" l="1"/>
  <c r="AD96" i="31" l="1"/>
  <c r="AD135" i="31" l="1"/>
  <c r="K10" i="18"/>
  <c r="G197" i="31" l="1"/>
  <c r="AD137" i="31"/>
  <c r="X64" i="4"/>
  <c r="AD69" i="31" l="1"/>
  <c r="AD23" i="31"/>
  <c r="AD20" i="31"/>
  <c r="AD17" i="31"/>
  <c r="AD14" i="31"/>
  <c r="D62" i="31"/>
  <c r="X212" i="4"/>
  <c r="M125" i="4"/>
  <c r="M102" i="4"/>
  <c r="X102" i="4" s="1"/>
  <c r="M99" i="4"/>
  <c r="M96" i="4"/>
  <c r="M93" i="4"/>
  <c r="M89" i="4"/>
  <c r="X38" i="4"/>
  <c r="X41" i="4"/>
  <c r="D190" i="31" l="1"/>
  <c r="L197" i="31"/>
  <c r="K197" i="31"/>
  <c r="J197" i="31"/>
  <c r="J190" i="31" s="1"/>
  <c r="I197" i="31"/>
  <c r="H197" i="31"/>
  <c r="F197" i="31"/>
  <c r="L191" i="31"/>
  <c r="K191" i="31"/>
  <c r="J191" i="31"/>
  <c r="I191" i="31"/>
  <c r="H191" i="31"/>
  <c r="G191" i="31"/>
  <c r="G190" i="31" s="1"/>
  <c r="F191" i="31"/>
  <c r="AD197" i="31"/>
  <c r="E197" i="31" s="1"/>
  <c r="M197" i="31" s="1"/>
  <c r="N197" i="31" s="1"/>
  <c r="AD191" i="31"/>
  <c r="E191" i="31" s="1"/>
  <c r="D158" i="31"/>
  <c r="J25" i="18"/>
  <c r="K26" i="18"/>
  <c r="K25" i="18" s="1"/>
  <c r="J23" i="18"/>
  <c r="K24" i="18"/>
  <c r="K23" i="18" s="1"/>
  <c r="F190" i="31" l="1"/>
  <c r="K190" i="31"/>
  <c r="H190" i="31"/>
  <c r="L190" i="31"/>
  <c r="I190" i="31"/>
  <c r="AD190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3" i="31" l="1"/>
  <c r="AD182" i="31" s="1"/>
  <c r="AD179" i="31"/>
  <c r="J178" i="31" s="1"/>
  <c r="AD175" i="3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90" i="31"/>
  <c r="AD87" i="31"/>
  <c r="AD86" i="31"/>
  <c r="AD78" i="31"/>
  <c r="AD77" i="31"/>
  <c r="AD174" i="31" l="1"/>
  <c r="E170" i="31"/>
  <c r="M170" i="31" s="1"/>
  <c r="N170" i="31" s="1"/>
  <c r="AD85" i="31"/>
  <c r="J170" i="31"/>
  <c r="AD103" i="31"/>
  <c r="AD134" i="31"/>
  <c r="AD93" i="31"/>
  <c r="H188" i="31" l="1"/>
  <c r="G188" i="31"/>
  <c r="H182" i="31"/>
  <c r="G182" i="31"/>
  <c r="H178" i="31"/>
  <c r="G178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8" i="31"/>
  <c r="L188" i="31"/>
  <c r="L187" i="31" s="1"/>
  <c r="K188" i="31"/>
  <c r="K187" i="31" s="1"/>
  <c r="J188" i="31"/>
  <c r="J187" i="31" s="1"/>
  <c r="I188" i="31"/>
  <c r="I187" i="31" s="1"/>
  <c r="H187" i="31"/>
  <c r="G187" i="31"/>
  <c r="F188" i="31"/>
  <c r="F187" i="31" s="1"/>
  <c r="E188" i="31"/>
  <c r="E187" i="31" s="1"/>
  <c r="AD187" i="31"/>
  <c r="D187" i="31"/>
  <c r="N187" i="31" s="1"/>
  <c r="E182" i="31"/>
  <c r="M182" i="31" s="1"/>
  <c r="K182" i="31"/>
  <c r="J182" i="31"/>
  <c r="I182" i="31"/>
  <c r="F182" i="31"/>
  <c r="AD178" i="31"/>
  <c r="E178" i="31" s="1"/>
  <c r="L178" i="31"/>
  <c r="K178" i="31"/>
  <c r="I178" i="31"/>
  <c r="F178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2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7" i="31"/>
  <c r="F75" i="31"/>
  <c r="E93" i="31"/>
  <c r="M93" i="31" s="1"/>
  <c r="N93" i="31" s="1"/>
  <c r="J62" i="31"/>
  <c r="L111" i="31"/>
  <c r="L110" i="31" s="1"/>
  <c r="K103" i="31"/>
  <c r="M188" i="31"/>
  <c r="M178" i="31"/>
  <c r="N178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D4" i="31" l="1"/>
  <c r="M191" i="31"/>
  <c r="N191" i="31" s="1"/>
  <c r="E190" i="31"/>
  <c r="M190" i="31" s="1"/>
  <c r="N190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28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111" i="4"/>
  <c r="X114" i="4"/>
  <c r="X56" i="4"/>
  <c r="X59" i="4"/>
  <c r="X6" i="4"/>
  <c r="X54" i="4" l="1"/>
  <c r="X53" i="4" s="1"/>
  <c r="X107" i="4"/>
  <c r="X87" i="4" s="1"/>
  <c r="X50" i="4"/>
  <c r="X46" i="4" l="1"/>
  <c r="X151" i="4" l="1"/>
  <c r="X15" i="4"/>
  <c r="X211" i="4" l="1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7" i="18" s="1"/>
  <c r="E8" i="18"/>
  <c r="K16" i="18" l="1"/>
  <c r="J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X209" i="4" s="1"/>
  <c r="E12" i="4" l="1"/>
  <c r="F209" i="4"/>
  <c r="F208" i="4" s="1"/>
  <c r="G208" i="4" s="1"/>
  <c r="H208" i="4" s="1"/>
  <c r="G209" i="4" l="1"/>
  <c r="H209" i="4" s="1"/>
  <c r="X201" i="4" l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1" i="4" l="1"/>
  <c r="G201" i="4" s="1"/>
  <c r="H201" i="4" s="1"/>
  <c r="X200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200" i="4" l="1"/>
  <c r="G200" i="4" s="1"/>
  <c r="H200" i="4" s="1"/>
  <c r="F156" i="4"/>
  <c r="G156" i="4" s="1"/>
  <c r="F167" i="4"/>
  <c r="G167" i="4" s="1"/>
  <c r="H167" i="4" s="1"/>
  <c r="G168" i="4"/>
  <c r="H168" i="4" s="1"/>
  <c r="E4" i="4"/>
  <c r="H155" i="4"/>
  <c r="F188" i="4"/>
  <c r="G188" i="4" s="1"/>
  <c r="H188" i="4" s="1"/>
  <c r="G189" i="4"/>
  <c r="H189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<sst xmlns="http://schemas.openxmlformats.org/spreadsheetml/2006/main" count="1560" uniqueCount="535">
  <si>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</si>
  <si>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</si>
  <si>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</si>
  <si>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</si>
  <si>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</si>
  <si>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</si>
  <si>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</si>
  <si>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</si>
  <si>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</si>
  <si>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</si>
  <si>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</si>
  <si>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</si>
  <si>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</si>
  <si>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</si>
  <si>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</si>
  <si>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</si>
  <si>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</si>
  <si>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</si>
  <si>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</si>
  <si>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</si>
  <si>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</si>
  <si>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</si>
  <si>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</si>
  <si>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</si>
  <si>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</si>
  <si>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</si>
  <si>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</si>
  <si>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</si>
  <si>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</si>
  <si>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</si>
  <si>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</si>
  <si>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</si>
  <si>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</si>
  <si>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</si>
  <si>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</si>
  <si>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</si>
  <si>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</si>
  <si>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</si>
  <si>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</si>
  <si>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</si>
  <si>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</si>
  <si>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</si>
  <si>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</si>
  <si>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</si>
  <si>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</si>
  <si>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</si>
  <si>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</si>
  <si>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</si>
  <si>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</si>
  <si>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</si>
  <si>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</si>
  <si>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</si>
  <si>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</si>
  <si>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</si>
  <si>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</si>
  <si>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</si>
  <si>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</si>
  <si>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</si>
  <si>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</si>
  <si>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</si>
  <si>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</si>
  <si>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</si>
  <si>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</si>
  <si>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</si>
  <si>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</si>
  <si>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</si>
  <si>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</si>
  <si>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</si>
  <si>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</si>
  <si>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</si>
  <si>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</si>
  <si>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</si>
  <si>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</si>
  <si>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</si>
  <si>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</si>
  <si>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</si>
  <si>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</si>
  <si>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</si>
  <si>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</si>
  <si>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</si>
  <si>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</si>
  <si>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</si>
  <si>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</si>
  <si>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</si>
  <si>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</si>
  <si>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</si>
  <si>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</si>
  <si>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</si>
  <si>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</si>
  <si>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</si>
  <si>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</si>
  <si>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</si>
  <si>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</si>
  <si>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</si>
  <si>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</si>
  <si>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</si>
  <si>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</si>
  <si>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</si>
  <si>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</si>
  <si>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</si>
  <si>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</si>
  <si>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 xml:space="preserve">  *직원후생복지 및 직원교육</t>
    <phoneticPr fontId="6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</si>
  <si>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</si>
  <si>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</si>
  <si>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</si>
  <si>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</si>
  <si>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</si>
  <si>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</si>
  <si>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</si>
  <si>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</si>
  <si>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</si>
  <si>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</si>
  <si>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</si>
  <si>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</si>
  <si>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</si>
  <si>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</si>
  <si>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</si>
  <si>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</si>
  <si>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</si>
  <si>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</si>
  <si>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</si>
  <si>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</si>
  <si>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</si>
  <si>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</si>
  <si>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</si>
  <si>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</si>
  <si>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</si>
  <si>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</si>
  <si>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</si>
  <si>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</si>
  <si>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</si>
  <si>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</si>
  <si>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</si>
  <si>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</si>
  <si>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</si>
  <si>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</si>
  <si>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</si>
  <si>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</si>
  <si>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</si>
  <si>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</si>
  <si>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</si>
  <si>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</si>
  <si>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</si>
  <si>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</si>
  <si>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</si>
  <si>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</si>
  <si>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</si>
  <si>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</si>
  <si>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</si>
  <si>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</si>
  <si>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</si>
  <si>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</si>
  <si>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</si>
  <si>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</si>
  <si>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</si>
  <si>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</si>
  <si>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</si>
  <si>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</si>
  <si>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</si>
  <si>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</si>
  <si>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</si>
  <si>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</si>
  <si>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</si>
  <si>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</si>
  <si>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</si>
  <si>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</si>
  <si>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</si>
  <si>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</si>
  <si>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</si>
  <si>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</si>
  <si>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</si>
  <si>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</si>
  <si>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</si>
  <si>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</si>
  <si>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</si>
  <si>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</si>
  <si>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</si>
  <si>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</si>
  <si>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</si>
  <si>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</si>
  <si>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</si>
  <si>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</si>
  <si>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</si>
  <si>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</si>
  <si>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</si>
  <si>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</si>
  <si>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</si>
  <si>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</si>
  <si>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</si>
  <si>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</si>
  <si>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</si>
  <si>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</si>
  <si>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</si>
  <si>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</si>
  <si>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</si>
  <si>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</si>
  <si>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</si>
  <si>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</si>
  <si>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</si>
  <si>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</si>
  <si>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</si>
  <si>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</si>
  <si>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</si>
  <si>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</si>
  <si>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</si>
  <si>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</si>
  <si>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</si>
  <si>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</si>
  <si>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</si>
  <si>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</si>
  <si>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</si>
  <si>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</si>
  <si>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</si>
  <si>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</si>
  <si>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</si>
  <si>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</si>
  <si>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</si>
  <si>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</si>
  <si>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</si>
  <si>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</si>
  <si>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</si>
  <si>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</si>
  <si>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</si>
  <si>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</si>
  <si>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</si>
  <si>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</si>
  <si>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</si>
  <si>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</si>
  <si>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</si>
  <si>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</si>
  <si>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</si>
  <si>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</si>
  <si>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</si>
  <si>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</si>
  <si>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</si>
  <si>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</si>
  <si>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</si>
  <si>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</si>
  <si>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</si>
  <si>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</si>
  <si>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</si>
  <si>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</si>
  <si>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</si>
  <si>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</si>
  <si>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</si>
  <si>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</si>
  <si>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</si>
  <si>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</si>
  <si>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</si>
  <si>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</si>
  <si>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</si>
  <si>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</si>
  <si>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</si>
  <si>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</si>
  <si>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</si>
  <si>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</si>
  <si>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</si>
  <si>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</si>
  <si>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</si>
  <si>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</si>
  <si>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</si>
  <si>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</si>
  <si>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</si>
  <si>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</si>
  <si>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</si>
  <si>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</si>
  <si>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</si>
  <si>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</si>
  <si>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</si>
  <si>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</si>
  <si>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</si>
  <si>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</si>
  <si>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</si>
  <si>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</si>
  <si>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</si>
  <si>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</si>
  <si>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</si>
  <si>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</si>
  <si>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</si>
  <si>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</si>
  <si>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</si>
  <si>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</si>
  <si>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</si>
  <si>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</si>
  <si>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</si>
  <si>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</si>
  <si>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</si>
  <si>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</si>
  <si>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</si>
  <si>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</si>
  <si>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</si>
  <si>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</si>
  <si>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</si>
  <si>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</si>
  <si>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</si>
  <si>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</si>
  <si>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</si>
  <si>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</si>
  <si>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</si>
  <si>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</si>
  <si>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</si>
  <si>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</si>
  <si>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</si>
  <si>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</si>
  <si>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</si>
  <si>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</si>
  <si>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</si>
  <si>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</si>
  <si>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</si>
  <si>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</si>
  <si>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</si>
  <si>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</si>
  <si>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</si>
  <si>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</si>
  <si>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</si>
  <si>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</si>
  <si>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</si>
  <si>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</si>
  <si>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</si>
  <si>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</si>
  <si>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</si>
  <si>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</si>
  <si>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</si>
  <si>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</si>
  <si>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</si>
  <si>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</si>
  <si>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</si>
  <si>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</si>
  <si>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</si>
  <si>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</si>
  <si>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</si>
  <si>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</si>
  <si>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</si>
  <si>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</si>
  <si>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</si>
  <si>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</si>
  <si>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</si>
  <si>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</si>
  <si>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</si>
  <si>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</si>
  <si>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</si>
  <si>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</si>
  <si>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</si>
  <si>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</si>
  <si>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</si>
  <si>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</si>
  <si>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</si>
  <si>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</si>
  <si>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</si>
  <si>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</si>
  <si>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</si>
  <si>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</si>
  <si>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</si>
  <si>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</si>
  <si>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</si>
  <si>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</si>
  <si>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</si>
  <si>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</si>
  <si>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</si>
  <si>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</si>
  <si>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</si>
  <si>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</si>
  <si>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</si>
  <si>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</si>
  <si>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</si>
  <si>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</si>
  <si>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</si>
  <si>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</si>
  <si>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</si>
  <si>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</si>
  <si>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</si>
  <si>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</si>
  <si>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</si>
  <si>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</si>
  <si>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</si>
  <si>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</si>
  <si>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</si>
  <si>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</si>
  <si>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</si>
  <si>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</si>
  <si>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</si>
  <si>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</si>
  <si>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</si>
  <si>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</si>
  <si>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</si>
  <si>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</si>
  <si>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</si>
  <si>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</si>
  <si>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</si>
  <si>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</si>
  <si>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</si>
  <si>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</si>
  <si>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</si>
  <si>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</si>
  <si>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</si>
  <si>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</si>
  <si>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</si>
  <si>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</si>
  <si>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</si>
  <si>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</si>
  <si>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</si>
  <si>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</si>
  <si>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</si>
  <si>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</si>
  <si>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</si>
  <si>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</si>
  <si>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</si>
  <si>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</si>
  <si>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</si>
  <si>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</si>
  <si>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</si>
  <si>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</si>
  <si>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</si>
  <si>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</si>
  <si>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</si>
  <si>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</si>
  <si>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</si>
  <si>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</si>
  <si>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</si>
  <si>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</si>
  <si>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</si>
  <si>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</si>
  <si>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</si>
  <si>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</si>
  <si>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</si>
  <si>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</si>
  <si>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</si>
  <si>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</si>
  <si>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</si>
  <si>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</si>
  <si>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</si>
  <si>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</si>
  <si>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</si>
  <si>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</si>
  <si>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</si>
  <si>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</si>
  <si>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</si>
  <si>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</si>
  <si>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</si>
  <si>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</si>
  <si>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</si>
  <si>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</si>
  <si>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</si>
  <si>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</si>
  <si>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</si>
  <si>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</si>
  <si>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</si>
  <si>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</si>
  <si>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</si>
  <si>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</si>
  <si>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</si>
  <si>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</si>
  <si>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</si>
  <si>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</si>
  <si>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</si>
  <si>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</si>
  <si>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</si>
  <si>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</si>
  <si>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</si>
  <si>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</si>
  <si>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</si>
  <si>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</si>
  <si>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</si>
  <si>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</si>
  <si>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</si>
  <si>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</si>
  <si>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</si>
  <si>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</si>
  <si>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</si>
  <si>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</si>
  <si>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</si>
  <si>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</si>
  <si>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</si>
  <si>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</si>
  <si>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</si>
  <si>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</si>
  <si>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</si>
  <si>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</si>
  <si>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</si>
  <si>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</si>
  <si>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</si>
  <si>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</si>
  <si>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</si>
  <si>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</si>
  <si>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</si>
  <si>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</si>
  <si>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</si>
  <si>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</si>
  <si>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</si>
  <si>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</si>
  <si>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</si>
  <si>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</si>
  <si>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</si>
  <si>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</si>
  <si>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</si>
  <si>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</si>
  <si>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</si>
  <si>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</si>
  <si>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</si>
  <si>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</si>
  <si>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</si>
  <si>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</si>
  <si>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</si>
  <si>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</si>
  <si>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</si>
  <si>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</si>
  <si>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원</t>
    <phoneticPr fontId="6" type="noConversion"/>
  </si>
  <si>
    <t>x</t>
    <phoneticPr fontId="6" type="noConversion"/>
  </si>
  <si>
    <t>월</t>
    <phoneticPr fontId="6" type="noConversion"/>
  </si>
  <si>
    <t>=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</si>
  <si>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</si>
  <si>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</si>
  <si>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</si>
  <si>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</si>
  <si>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</si>
  <si>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</si>
  <si>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입소</t>
    <phoneticPr fontId="6" type="noConversion"/>
  </si>
  <si>
    <t>2024년
 본예산</t>
    <phoneticPr fontId="25" type="noConversion"/>
  </si>
  <si>
    <t>* 공기청정기 임대료</t>
    <phoneticPr fontId="6" type="noConversion"/>
  </si>
  <si>
    <t>* 해외여행</t>
    <phoneticPr fontId="6" type="noConversion"/>
  </si>
  <si>
    <t>* 스포츠 체험</t>
    <phoneticPr fontId="6" type="noConversion"/>
  </si>
  <si>
    <t>* 관광지 관람</t>
    <phoneticPr fontId="6" type="noConversion"/>
  </si>
  <si>
    <t>□ 2024년도 1차 추경예산 세 입 · 세 출 총  괄  표</t>
    <phoneticPr fontId="25" type="noConversion"/>
  </si>
  <si>
    <t>2024년
1차 추경예산</t>
    <phoneticPr fontId="25" type="noConversion"/>
  </si>
  <si>
    <t>&lt;2024년도 1차추경예산 세입내역&gt;</t>
    <phoneticPr fontId="6" type="noConversion"/>
  </si>
  <si>
    <t>&lt;2024년도 1차추경예산 세출내역&gt;</t>
    <phoneticPr fontId="6" type="noConversion"/>
  </si>
  <si>
    <t>2024년
본예산
(A)
(단위:천원)</t>
    <phoneticPr fontId="6" type="noConversion"/>
  </si>
  <si>
    <t>2024년
1차추경예산
(B)
(단위:천원)</t>
    <phoneticPr fontId="6" type="noConversion"/>
  </si>
  <si>
    <t>2024년 1차 추경예산액(B)         (단위:천원)</t>
    <phoneticPr fontId="6" type="noConversion"/>
  </si>
  <si>
    <t>* 직원이불구입</t>
    <phoneticPr fontId="6" type="noConversion"/>
  </si>
  <si>
    <t>3. 직원하계연수비</t>
    <phoneticPr fontId="6" type="noConversion"/>
  </si>
  <si>
    <t>* 전기안전점검비</t>
    <phoneticPr fontId="6" type="noConversion"/>
  </si>
  <si>
    <t>* 에어컨 실외기 외부설치비</t>
    <phoneticPr fontId="6" type="noConversion"/>
  </si>
  <si>
    <t>원</t>
    <phoneticPr fontId="6" type="noConversion"/>
  </si>
  <si>
    <t>* 청소기, TV다이, 신발장 등 구입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</si>
</sst>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1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K11" sqref="K11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522</v>
      </c>
      <c r="K2" s="164" t="s">
        <v>310</v>
      </c>
    </row>
    <row r="3" spans="2:11" ht="9.9499999999999993" customHeight="1" thickBot="1"/>
    <row r="4" spans="2:11" ht="30" customHeight="1">
      <c r="B4" s="535" t="s">
        <v>116</v>
      </c>
      <c r="C4" s="536"/>
      <c r="D4" s="536"/>
      <c r="E4" s="536"/>
      <c r="F4" s="537"/>
      <c r="G4" s="535" t="s">
        <v>117</v>
      </c>
      <c r="H4" s="536"/>
      <c r="I4" s="536"/>
      <c r="J4" s="536"/>
      <c r="K4" s="538"/>
    </row>
    <row r="5" spans="2:11" ht="16.5" customHeight="1">
      <c r="B5" s="539" t="s">
        <v>118</v>
      </c>
      <c r="C5" s="540"/>
      <c r="D5" s="543" t="s">
        <v>517</v>
      </c>
      <c r="E5" s="543" t="s">
        <v>523</v>
      </c>
      <c r="F5" s="545" t="s">
        <v>119</v>
      </c>
      <c r="G5" s="539" t="s">
        <v>118</v>
      </c>
      <c r="H5" s="540"/>
      <c r="I5" s="543" t="s">
        <v>517</v>
      </c>
      <c r="J5" s="543" t="s">
        <v>523</v>
      </c>
      <c r="K5" s="547" t="s">
        <v>119</v>
      </c>
    </row>
    <row r="6" spans="2:11" ht="22.5" customHeight="1" thickBot="1">
      <c r="B6" s="541"/>
      <c r="C6" s="542"/>
      <c r="D6" s="544"/>
      <c r="E6" s="544"/>
      <c r="F6" s="546"/>
      <c r="G6" s="541"/>
      <c r="H6" s="542"/>
      <c r="I6" s="544"/>
      <c r="J6" s="544"/>
      <c r="K6" s="548"/>
    </row>
    <row r="7" spans="2:11" ht="24.95" customHeight="1" thickTop="1">
      <c r="B7" s="553" t="s">
        <v>120</v>
      </c>
      <c r="C7" s="554"/>
      <c r="D7" s="406">
        <f>SUM(D8:D22)/2</f>
        <v>149682000</v>
      </c>
      <c r="E7" s="406">
        <f>SUM(E8:E22)/2</f>
        <v>157744000</v>
      </c>
      <c r="F7" s="407">
        <f>SUM(F8:F22)/2</f>
        <v>8062000</v>
      </c>
      <c r="G7" s="553" t="s">
        <v>120</v>
      </c>
      <c r="H7" s="554"/>
      <c r="I7" s="406">
        <f>SUM(I8:I26)/2</f>
        <v>149682000</v>
      </c>
      <c r="J7" s="406">
        <f>SUM(J8:J26)/2</f>
        <v>157744000</v>
      </c>
      <c r="K7" s="408">
        <f>SUM(K8:K26)/2</f>
        <v>8062000</v>
      </c>
    </row>
    <row r="8" spans="2:11" ht="24.95" customHeight="1">
      <c r="B8" s="555" t="s">
        <v>121</v>
      </c>
      <c r="C8" s="409" t="s">
        <v>308</v>
      </c>
      <c r="D8" s="410">
        <f>D9</f>
        <v>18240000</v>
      </c>
      <c r="E8" s="410">
        <f>E9</f>
        <v>20640000</v>
      </c>
      <c r="F8" s="411">
        <f>F9</f>
        <v>2400000</v>
      </c>
      <c r="G8" s="555" t="s">
        <v>123</v>
      </c>
      <c r="H8" s="409" t="s">
        <v>308</v>
      </c>
      <c r="I8" s="410">
        <f>SUM(I9:I11)</f>
        <v>122237000</v>
      </c>
      <c r="J8" s="410">
        <f>SUM(J9:J11)</f>
        <v>128649000</v>
      </c>
      <c r="K8" s="415">
        <f>SUM(K9:K11)</f>
        <v>6412000</v>
      </c>
    </row>
    <row r="9" spans="2:11" ht="24.95" customHeight="1">
      <c r="B9" s="556"/>
      <c r="C9" s="165" t="s">
        <v>122</v>
      </c>
      <c r="D9" s="166">
        <v>18240000</v>
      </c>
      <c r="E9" s="166">
        <v>20640000</v>
      </c>
      <c r="F9" s="167">
        <f>E9-D9</f>
        <v>2400000</v>
      </c>
      <c r="G9" s="557"/>
      <c r="H9" s="165" t="s">
        <v>124</v>
      </c>
      <c r="I9" s="166">
        <v>110988000</v>
      </c>
      <c r="J9" s="166">
        <v>114635000</v>
      </c>
      <c r="K9" s="168">
        <f>J9-I9</f>
        <v>3647000</v>
      </c>
    </row>
    <row r="10" spans="2:11" ht="24.95" customHeight="1">
      <c r="B10" s="555" t="s">
        <v>125</v>
      </c>
      <c r="C10" s="412" t="s">
        <v>308</v>
      </c>
      <c r="D10" s="413">
        <f>SUM(D11:D13)</f>
        <v>122326000</v>
      </c>
      <c r="E10" s="413">
        <f>SUM(E11:E13)</f>
        <v>126141000</v>
      </c>
      <c r="F10" s="532">
        <f>SUM(F11:F13)</f>
        <v>3815000</v>
      </c>
      <c r="G10" s="557"/>
      <c r="H10" s="165" t="s">
        <v>126</v>
      </c>
      <c r="I10" s="166">
        <v>180000</v>
      </c>
      <c r="J10" s="166">
        <v>180000</v>
      </c>
      <c r="K10" s="530">
        <f>J10-I10</f>
        <v>0</v>
      </c>
    </row>
    <row r="11" spans="2:11" ht="24.95" customHeight="1">
      <c r="B11" s="557"/>
      <c r="C11" s="269" t="s">
        <v>268</v>
      </c>
      <c r="D11" s="166">
        <v>0</v>
      </c>
      <c r="E11" s="166">
        <v>0</v>
      </c>
      <c r="F11" s="167">
        <f t="shared" ref="F11:F22" si="0">E11-D11</f>
        <v>0</v>
      </c>
      <c r="G11" s="556"/>
      <c r="H11" s="165" t="s">
        <v>76</v>
      </c>
      <c r="I11" s="166">
        <v>11069000</v>
      </c>
      <c r="J11" s="166">
        <v>13834000</v>
      </c>
      <c r="K11" s="168">
        <f t="shared" ref="K11" si="1">J11-I11</f>
        <v>2765000</v>
      </c>
    </row>
    <row r="12" spans="2:11" ht="24.95" customHeight="1">
      <c r="B12" s="557"/>
      <c r="C12" s="269" t="s">
        <v>269</v>
      </c>
      <c r="D12" s="166">
        <v>122026000</v>
      </c>
      <c r="E12" s="166">
        <v>125841000</v>
      </c>
      <c r="F12" s="167">
        <f t="shared" si="0"/>
        <v>3815000</v>
      </c>
      <c r="G12" s="555" t="s">
        <v>77</v>
      </c>
      <c r="H12" s="412" t="s">
        <v>308</v>
      </c>
      <c r="I12" s="413">
        <f>SUM(I13:I15)</f>
        <v>3200000</v>
      </c>
      <c r="J12" s="413">
        <f>SUM(J13:J15)</f>
        <v>4100000</v>
      </c>
      <c r="K12" s="533">
        <f>SUM(K13:K15)</f>
        <v>900000</v>
      </c>
    </row>
    <row r="13" spans="2:11" ht="24.95" customHeight="1">
      <c r="B13" s="556"/>
      <c r="C13" s="269" t="s">
        <v>270</v>
      </c>
      <c r="D13" s="166">
        <v>300000</v>
      </c>
      <c r="E13" s="166">
        <v>300000</v>
      </c>
      <c r="F13" s="531">
        <f t="shared" si="0"/>
        <v>0</v>
      </c>
      <c r="G13" s="557"/>
      <c r="H13" s="165" t="s">
        <v>78</v>
      </c>
      <c r="I13" s="166">
        <v>0</v>
      </c>
      <c r="J13" s="166">
        <v>0</v>
      </c>
      <c r="K13" s="530">
        <f t="shared" ref="K13" si="2">J13-I13</f>
        <v>0</v>
      </c>
    </row>
    <row r="14" spans="2:11" ht="24.95" customHeight="1">
      <c r="B14" s="555" t="s">
        <v>79</v>
      </c>
      <c r="C14" s="412" t="s">
        <v>308</v>
      </c>
      <c r="D14" s="413">
        <f>SUM(D15:D16)</f>
        <v>501000</v>
      </c>
      <c r="E14" s="413">
        <f>SUM(E15:E16)</f>
        <v>501000</v>
      </c>
      <c r="F14" s="414">
        <f>SUM(F15:F16)</f>
        <v>0</v>
      </c>
      <c r="G14" s="557"/>
      <c r="H14" s="165" t="s">
        <v>81</v>
      </c>
      <c r="I14" s="166">
        <v>100000</v>
      </c>
      <c r="J14" s="166">
        <v>3000000</v>
      </c>
      <c r="K14" s="530">
        <f t="shared" ref="K14:K15" si="3">J14-I14</f>
        <v>2900000</v>
      </c>
    </row>
    <row r="15" spans="2:11" ht="24.95" customHeight="1">
      <c r="B15" s="557"/>
      <c r="C15" s="165" t="s">
        <v>80</v>
      </c>
      <c r="D15" s="166">
        <v>0</v>
      </c>
      <c r="E15" s="166">
        <v>0</v>
      </c>
      <c r="F15" s="167">
        <f t="shared" si="0"/>
        <v>0</v>
      </c>
      <c r="G15" s="556"/>
      <c r="H15" s="165" t="s">
        <v>83</v>
      </c>
      <c r="I15" s="166">
        <v>3100000</v>
      </c>
      <c r="J15" s="166">
        <v>1100000</v>
      </c>
      <c r="K15" s="530">
        <f t="shared" si="3"/>
        <v>-2000000</v>
      </c>
    </row>
    <row r="16" spans="2:11" ht="24.95" customHeight="1">
      <c r="B16" s="556"/>
      <c r="C16" s="165" t="s">
        <v>82</v>
      </c>
      <c r="D16" s="166">
        <v>501000</v>
      </c>
      <c r="E16" s="166">
        <v>501000</v>
      </c>
      <c r="F16" s="167">
        <f t="shared" si="0"/>
        <v>0</v>
      </c>
      <c r="G16" s="555" t="s">
        <v>86</v>
      </c>
      <c r="H16" s="412" t="s">
        <v>308</v>
      </c>
      <c r="I16" s="413">
        <f>SUM(I17:I22)</f>
        <v>24223000</v>
      </c>
      <c r="J16" s="413">
        <f>SUM(J17:J22)</f>
        <v>24973000</v>
      </c>
      <c r="K16" s="533">
        <f>SUM(K17:K22)</f>
        <v>750000</v>
      </c>
    </row>
    <row r="17" spans="2:11" ht="24.95" customHeight="1">
      <c r="B17" s="555" t="s">
        <v>84</v>
      </c>
      <c r="C17" s="412" t="s">
        <v>308</v>
      </c>
      <c r="D17" s="413">
        <v>0</v>
      </c>
      <c r="E17" s="413">
        <v>0</v>
      </c>
      <c r="F17" s="414">
        <f>F18</f>
        <v>0</v>
      </c>
      <c r="G17" s="557"/>
      <c r="H17" s="165" t="s">
        <v>87</v>
      </c>
      <c r="I17" s="166">
        <v>13792000</v>
      </c>
      <c r="J17" s="166">
        <v>14442000</v>
      </c>
      <c r="K17" s="530">
        <f t="shared" ref="K17:K22" si="4">J17-I17</f>
        <v>650000</v>
      </c>
    </row>
    <row r="18" spans="2:11" ht="24.95" customHeight="1">
      <c r="B18" s="556"/>
      <c r="C18" s="165" t="s">
        <v>85</v>
      </c>
      <c r="D18" s="166">
        <v>0</v>
      </c>
      <c r="E18" s="166">
        <v>0</v>
      </c>
      <c r="F18" s="167">
        <f t="shared" si="0"/>
        <v>0</v>
      </c>
      <c r="G18" s="557"/>
      <c r="H18" s="165" t="s">
        <v>90</v>
      </c>
      <c r="I18" s="166">
        <v>401000</v>
      </c>
      <c r="J18" s="166">
        <v>401000</v>
      </c>
      <c r="K18" s="530">
        <f t="shared" si="4"/>
        <v>0</v>
      </c>
    </row>
    <row r="19" spans="2:11" ht="24.95" customHeight="1">
      <c r="B19" s="555" t="s">
        <v>88</v>
      </c>
      <c r="C19" s="412" t="s">
        <v>308</v>
      </c>
      <c r="D19" s="518">
        <f>D20</f>
        <v>6405000</v>
      </c>
      <c r="E19" s="518">
        <f>E20</f>
        <v>8252000</v>
      </c>
      <c r="F19" s="414">
        <f>F20</f>
        <v>1847000</v>
      </c>
      <c r="G19" s="557"/>
      <c r="H19" s="165" t="s">
        <v>93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56"/>
      <c r="C20" s="165" t="s">
        <v>89</v>
      </c>
      <c r="D20" s="517">
        <v>6405000</v>
      </c>
      <c r="E20" s="517">
        <v>8252000</v>
      </c>
      <c r="F20" s="167">
        <f t="shared" si="0"/>
        <v>1847000</v>
      </c>
      <c r="G20" s="557"/>
      <c r="H20" s="165" t="s">
        <v>94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55" t="s">
        <v>91</v>
      </c>
      <c r="C21" s="412" t="s">
        <v>308</v>
      </c>
      <c r="D21" s="518">
        <f>D22</f>
        <v>2210000</v>
      </c>
      <c r="E21" s="518">
        <f>E22</f>
        <v>2210000</v>
      </c>
      <c r="F21" s="414">
        <f>F22</f>
        <v>0</v>
      </c>
      <c r="G21" s="557"/>
      <c r="H21" s="165" t="s">
        <v>95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56"/>
      <c r="C22" s="165" t="s">
        <v>92</v>
      </c>
      <c r="D22" s="517">
        <v>2210000</v>
      </c>
      <c r="E22" s="517">
        <v>2210000</v>
      </c>
      <c r="F22" s="167">
        <f t="shared" si="0"/>
        <v>0</v>
      </c>
      <c r="G22" s="556"/>
      <c r="H22" s="165" t="s">
        <v>96</v>
      </c>
      <c r="I22" s="166">
        <v>8030000</v>
      </c>
      <c r="J22" s="166">
        <v>8130000</v>
      </c>
      <c r="K22" s="168">
        <f t="shared" si="4"/>
        <v>100000</v>
      </c>
    </row>
    <row r="23" spans="2:11" ht="24.95" customHeight="1">
      <c r="B23" s="549"/>
      <c r="C23" s="550"/>
      <c r="D23" s="550"/>
      <c r="E23" s="550"/>
      <c r="F23" s="550"/>
      <c r="G23" s="555" t="s">
        <v>98</v>
      </c>
      <c r="H23" s="412" t="s">
        <v>308</v>
      </c>
      <c r="I23" s="413">
        <f>I24</f>
        <v>0</v>
      </c>
      <c r="J23" s="413">
        <f>J24</f>
        <v>0</v>
      </c>
      <c r="K23" s="416">
        <f>K24</f>
        <v>0</v>
      </c>
    </row>
    <row r="24" spans="2:11" ht="24.95" customHeight="1">
      <c r="B24" s="549"/>
      <c r="C24" s="550"/>
      <c r="D24" s="550"/>
      <c r="E24" s="550"/>
      <c r="F24" s="550"/>
      <c r="G24" s="556"/>
      <c r="H24" s="165" t="s">
        <v>99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49"/>
      <c r="C25" s="550"/>
      <c r="D25" s="550"/>
      <c r="E25" s="550"/>
      <c r="F25" s="550"/>
      <c r="G25" s="555" t="s">
        <v>100</v>
      </c>
      <c r="H25" s="412" t="s">
        <v>308</v>
      </c>
      <c r="I25" s="518">
        <f>SUM(I26:I26)</f>
        <v>22000</v>
      </c>
      <c r="J25" s="518">
        <f>SUM(J26:J26)</f>
        <v>22000</v>
      </c>
      <c r="K25" s="416">
        <f>SUM(K26:K30)</f>
        <v>0</v>
      </c>
    </row>
    <row r="26" spans="2:11" ht="24.95" customHeight="1" thickBot="1">
      <c r="B26" s="551"/>
      <c r="C26" s="552"/>
      <c r="D26" s="552"/>
      <c r="E26" s="552"/>
      <c r="F26" s="552"/>
      <c r="G26" s="558"/>
      <c r="H26" s="521" t="s">
        <v>97</v>
      </c>
      <c r="I26" s="522">
        <v>22000</v>
      </c>
      <c r="J26" s="522">
        <v>22000</v>
      </c>
      <c r="K26" s="523">
        <f t="shared" ref="K26" si="6"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topLeftCell="A189" workbookViewId="0">
      <selection activeCell="A152" sqref="A152:XFD15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59" t="s">
        <v>524</v>
      </c>
      <c r="B1" s="559"/>
      <c r="C1" s="559"/>
      <c r="D1" s="55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0" t="s">
        <v>62</v>
      </c>
      <c r="B2" s="561"/>
      <c r="C2" s="561"/>
      <c r="D2" s="561"/>
      <c r="E2" s="562" t="s">
        <v>526</v>
      </c>
      <c r="F2" s="562" t="s">
        <v>527</v>
      </c>
      <c r="G2" s="570" t="s">
        <v>23</v>
      </c>
      <c r="H2" s="570"/>
      <c r="I2" s="570" t="s">
        <v>54</v>
      </c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1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127</v>
      </c>
      <c r="D3" s="20" t="s">
        <v>128</v>
      </c>
      <c r="E3" s="563"/>
      <c r="F3" s="563"/>
      <c r="G3" s="132" t="s">
        <v>104</v>
      </c>
      <c r="H3" s="21" t="s">
        <v>4</v>
      </c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3"/>
      <c r="Z3" s="8"/>
    </row>
    <row r="4" spans="1:26" s="3" customFormat="1" ht="19.5" customHeight="1">
      <c r="A4" s="564" t="s">
        <v>24</v>
      </c>
      <c r="B4" s="565"/>
      <c r="C4" s="565"/>
      <c r="D4" s="566"/>
      <c r="E4" s="192">
        <f>SUM(E5,E8,E10,E12,E144,E155,E162,E171,E196)</f>
        <v>149682</v>
      </c>
      <c r="F4" s="192">
        <f>SUM(F5,F8,F10,F12,F144,F155,F162,F171,F196)</f>
        <v>157744</v>
      </c>
      <c r="G4" s="287">
        <f>SUM(G5,G8,G10,G12,G144,G155,G162,G171,G196)</f>
        <v>8062</v>
      </c>
      <c r="H4" s="193">
        <f t="shared" ref="H4" si="0">IF(E4=0,0,G4/E4)</f>
        <v>5.3860851672211753E-2</v>
      </c>
      <c r="I4" s="22" t="s">
        <v>113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157744000</v>
      </c>
      <c r="Y4" s="24" t="s">
        <v>114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103</v>
      </c>
      <c r="D5" s="170" t="s">
        <v>103</v>
      </c>
      <c r="E5" s="186">
        <v>18240</v>
      </c>
      <c r="F5" s="186">
        <f>ROUND(X5/1000,0)</f>
        <v>20640</v>
      </c>
      <c r="G5" s="187">
        <f>F5-E5</f>
        <v>2400</v>
      </c>
      <c r="H5" s="188">
        <f>IF(E5=0,0,G5/E5)</f>
        <v>0.13157894736842105</v>
      </c>
      <c r="I5" s="32" t="s">
        <v>112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102</v>
      </c>
      <c r="C6" s="39" t="s">
        <v>102</v>
      </c>
      <c r="D6" s="39" t="s">
        <v>102</v>
      </c>
      <c r="E6" s="430"/>
      <c r="F6" s="430"/>
      <c r="G6" s="431"/>
      <c r="H6" s="432"/>
      <c r="I6" s="282" t="s">
        <v>272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8">
        <v>4</v>
      </c>
      <c r="Q6" s="291" t="s">
        <v>55</v>
      </c>
      <c r="R6" s="292" t="s">
        <v>57</v>
      </c>
      <c r="S6" s="46">
        <v>12</v>
      </c>
      <c r="T6" s="421" t="s">
        <v>0</v>
      </c>
      <c r="U6" s="421" t="s">
        <v>53</v>
      </c>
      <c r="V6" s="421"/>
      <c r="W6" s="291"/>
      <c r="X6" s="291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129</v>
      </c>
      <c r="B8" s="28" t="s">
        <v>131</v>
      </c>
      <c r="C8" s="28" t="s">
        <v>129</v>
      </c>
      <c r="D8" s="28" t="s">
        <v>129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133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130</v>
      </c>
      <c r="B9" s="49" t="s">
        <v>132</v>
      </c>
      <c r="C9" s="49" t="s">
        <v>130</v>
      </c>
      <c r="D9" s="49" t="s">
        <v>130</v>
      </c>
      <c r="E9" s="40"/>
      <c r="F9" s="40"/>
      <c r="G9" s="41"/>
      <c r="H9" s="25"/>
      <c r="I9" s="43" t="s">
        <v>271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135</v>
      </c>
      <c r="B10" s="28" t="s">
        <v>137</v>
      </c>
      <c r="C10" s="28" t="s">
        <v>135</v>
      </c>
      <c r="D10" s="28" t="s">
        <v>135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200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197</v>
      </c>
      <c r="B11" s="49" t="s">
        <v>198</v>
      </c>
      <c r="C11" s="49" t="s">
        <v>198</v>
      </c>
      <c r="D11" s="99" t="s">
        <v>198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199</v>
      </c>
    </row>
    <row r="12" spans="1:26" s="11" customFormat="1" ht="19.5" customHeight="1">
      <c r="A12" s="27" t="s">
        <v>134</v>
      </c>
      <c r="B12" s="28" t="s">
        <v>134</v>
      </c>
      <c r="C12" s="567" t="s">
        <v>255</v>
      </c>
      <c r="D12" s="568"/>
      <c r="E12" s="239">
        <f>SUM(E13,E22,E83,E141)</f>
        <v>122326</v>
      </c>
      <c r="F12" s="239">
        <f>SUM(F13,F22,F83,F141)</f>
        <v>126141</v>
      </c>
      <c r="G12" s="240">
        <f t="shared" ref="G12:G14" si="1">F12-E12</f>
        <v>3815</v>
      </c>
      <c r="H12" s="241">
        <f t="shared" ref="H12:H14" si="2">IF(E12=0,0,G12/E12)</f>
        <v>3.118715563330772E-2</v>
      </c>
      <c r="I12" s="242" t="s">
        <v>256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126141000</v>
      </c>
      <c r="Y12" s="258" t="s">
        <v>25</v>
      </c>
      <c r="Z12" s="6"/>
    </row>
    <row r="13" spans="1:26" s="11" customFormat="1" ht="19.5" customHeight="1">
      <c r="A13" s="37" t="s">
        <v>136</v>
      </c>
      <c r="B13" s="38" t="s">
        <v>132</v>
      </c>
      <c r="C13" s="28" t="s">
        <v>138</v>
      </c>
      <c r="D13" s="256" t="s">
        <v>139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140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201</v>
      </c>
      <c r="W13" s="211"/>
      <c r="X13" s="212">
        <f>SUM(X14,X17,X20)</f>
        <v>0</v>
      </c>
      <c r="Y13" s="259" t="s">
        <v>202</v>
      </c>
      <c r="Z13" s="6"/>
    </row>
    <row r="14" spans="1:26" s="11" customFormat="1" ht="19.5" customHeight="1">
      <c r="A14" s="37"/>
      <c r="B14" s="38"/>
      <c r="C14" s="38" t="s">
        <v>196</v>
      </c>
      <c r="D14" s="38" t="s">
        <v>195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193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194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273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110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109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442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194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274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69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297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300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301</v>
      </c>
      <c r="W20" s="362"/>
      <c r="X20" s="362">
        <v>0</v>
      </c>
      <c r="Y20" s="363" t="s">
        <v>302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142</v>
      </c>
      <c r="D22" s="256" t="s">
        <v>111</v>
      </c>
      <c r="E22" s="189">
        <f>SUM(E23:E82)</f>
        <v>122026</v>
      </c>
      <c r="F22" s="189">
        <f>SUM(F23:F82)</f>
        <v>125841</v>
      </c>
      <c r="G22" s="190">
        <f t="shared" ref="G22:G23" si="7">F22-E22</f>
        <v>3815</v>
      </c>
      <c r="H22" s="191">
        <f t="shared" ref="H22:H23" si="8">IF(E22=0,0,G22/E22)</f>
        <v>3.126382902004491E-2</v>
      </c>
      <c r="I22" s="173" t="s">
        <v>203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125841000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143</v>
      </c>
      <c r="D23" s="28" t="s">
        <v>195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193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194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273</v>
      </c>
      <c r="J24" s="292"/>
      <c r="K24" s="291"/>
      <c r="L24" s="291"/>
      <c r="M24" s="291">
        <v>0</v>
      </c>
      <c r="N24" s="418" t="s">
        <v>25</v>
      </c>
      <c r="O24" s="177" t="s">
        <v>26</v>
      </c>
      <c r="P24" s="419">
        <v>0</v>
      </c>
      <c r="Q24" s="44" t="s">
        <v>110</v>
      </c>
      <c r="R24" s="178" t="s">
        <v>26</v>
      </c>
      <c r="S24" s="181">
        <v>0</v>
      </c>
      <c r="T24" s="181" t="s">
        <v>29</v>
      </c>
      <c r="U24" s="418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204</v>
      </c>
      <c r="E26" s="516">
        <v>110188</v>
      </c>
      <c r="F26" s="213">
        <f>ROUND(X26/1000,0)</f>
        <v>113635</v>
      </c>
      <c r="G26" s="30">
        <f t="shared" ref="G26" si="9">F26-E26</f>
        <v>3447</v>
      </c>
      <c r="H26" s="109">
        <f t="shared" ref="H26" si="10">IF(E26=0,0,G26/E26)</f>
        <v>3.1282898319236217E-2</v>
      </c>
      <c r="I26" s="225" t="s">
        <v>316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194</v>
      </c>
      <c r="W26" s="227"/>
      <c r="X26" s="227">
        <f>SUM(X27,X30,X43,X46,)</f>
        <v>113635000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274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69</v>
      </c>
      <c r="W27" s="62"/>
      <c r="X27" s="433">
        <f>SUM(X28:X29)</f>
        <v>68231000</v>
      </c>
      <c r="Y27" s="434" t="s">
        <v>313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497</v>
      </c>
      <c r="J28" s="292"/>
      <c r="K28" s="291"/>
      <c r="L28" s="291"/>
      <c r="M28" s="291">
        <v>68231000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314</v>
      </c>
      <c r="V28" s="291"/>
      <c r="W28" s="58"/>
      <c r="X28" s="291">
        <f>ROUND(M28*P28,-3)</f>
        <v>68231000</v>
      </c>
      <c r="Y28" s="47" t="s">
        <v>313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275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5"/>
      <c r="X30" s="55">
        <f>SUM(X31,X34,X37,X40)</f>
        <v>27465000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276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69</v>
      </c>
      <c r="W31" s="62"/>
      <c r="X31" s="350">
        <f>SUM(X32:X33)</f>
        <v>6798000</v>
      </c>
      <c r="Y31" s="63" t="s">
        <v>313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497</v>
      </c>
      <c r="J32" s="292"/>
      <c r="K32" s="291"/>
      <c r="L32" s="291"/>
      <c r="M32" s="291">
        <v>6798000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210</v>
      </c>
      <c r="V32" s="421"/>
      <c r="W32" s="421"/>
      <c r="X32" s="291">
        <f>ROUND(M32*P32,-3)</f>
        <v>6798000</v>
      </c>
      <c r="Y32" s="47" t="s">
        <v>315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1"/>
      <c r="W33" s="421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277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69</v>
      </c>
      <c r="W34" s="62"/>
      <c r="X34" s="350">
        <f>SUM(X35:X36)</f>
        <v>480000</v>
      </c>
      <c r="Y34" s="63" t="s">
        <v>313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515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210</v>
      </c>
      <c r="V35" s="421"/>
      <c r="W35" s="421"/>
      <c r="X35" s="291">
        <f t="shared" ref="X35" si="11">ROUND(M35*P35,-3)</f>
        <v>480000</v>
      </c>
      <c r="Y35" s="47" t="s">
        <v>315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91"/>
      <c r="N36" s="291"/>
      <c r="O36" s="64"/>
      <c r="P36" s="271"/>
      <c r="Q36" s="291"/>
      <c r="R36" s="291"/>
      <c r="S36" s="291"/>
      <c r="T36" s="291"/>
      <c r="U36" s="291"/>
      <c r="V36" s="421"/>
      <c r="W36" s="421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278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69</v>
      </c>
      <c r="W37" s="62"/>
      <c r="X37" s="350">
        <f>SUM(X38:X39)</f>
        <v>18208000</v>
      </c>
      <c r="Y37" s="63" t="s">
        <v>313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497</v>
      </c>
      <c r="J38" s="292"/>
      <c r="K38" s="291"/>
      <c r="L38" s="291"/>
      <c r="M38" s="291">
        <v>18208000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210</v>
      </c>
      <c r="V38" s="421"/>
      <c r="W38" s="421"/>
      <c r="X38" s="291">
        <f>ROUNDDOWN(M38*P38,-3)</f>
        <v>18208000</v>
      </c>
      <c r="Y38" s="47" t="s">
        <v>315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1"/>
      <c r="W39" s="421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501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69</v>
      </c>
      <c r="W40" s="62"/>
      <c r="X40" s="350">
        <f>SUM(X41:X42)</f>
        <v>1979000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497</v>
      </c>
      <c r="J41" s="292"/>
      <c r="K41" s="291"/>
      <c r="L41" s="291"/>
      <c r="M41" s="291">
        <v>1979000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9"/>
      <c r="W41" s="519"/>
      <c r="X41" s="291">
        <f>ROUNDDOWN(M41*P41,-3)</f>
        <v>1979000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9"/>
      <c r="W42" s="519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279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211</v>
      </c>
      <c r="W43" s="62"/>
      <c r="X43" s="198">
        <f>SUM(X44:X45)</f>
        <v>7975000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497</v>
      </c>
      <c r="J44" s="197"/>
      <c r="K44" s="196"/>
      <c r="L44" s="196"/>
      <c r="M44" s="291">
        <f>SUM(M28,M32,M35,M38,M41)</f>
        <v>95696000</v>
      </c>
      <c r="N44" s="44" t="s">
        <v>205</v>
      </c>
      <c r="O44" s="229" t="s">
        <v>206</v>
      </c>
      <c r="P44" s="66">
        <v>12</v>
      </c>
      <c r="Q44" s="177" t="s">
        <v>207</v>
      </c>
      <c r="R44" s="64" t="s">
        <v>209</v>
      </c>
      <c r="S44" s="271">
        <v>1</v>
      </c>
      <c r="T44" s="196"/>
      <c r="U44" s="196" t="s">
        <v>208</v>
      </c>
      <c r="V44" s="79"/>
      <c r="W44" s="79"/>
      <c r="X44" s="224">
        <f>ROUNDUP(M44/P44*S44,-3)</f>
        <v>7975000</v>
      </c>
      <c r="Y44" s="261" t="s">
        <v>199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21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280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211</v>
      </c>
      <c r="W46" s="62"/>
      <c r="X46" s="198">
        <f>SUM(X47,X50,X53,X56,X59)</f>
        <v>9964000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281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4307000</v>
      </c>
      <c r="Y47" s="130" t="s">
        <v>205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497</v>
      </c>
      <c r="J48" s="292"/>
      <c r="K48" s="291"/>
      <c r="L48" s="291"/>
      <c r="M48" s="291">
        <f>M44</f>
        <v>95696000</v>
      </c>
      <c r="N48" s="44" t="s">
        <v>56</v>
      </c>
      <c r="O48" s="64" t="s">
        <v>57</v>
      </c>
      <c r="P48" s="230">
        <v>0.09</v>
      </c>
      <c r="Q48" s="421">
        <v>2</v>
      </c>
      <c r="R48" s="64" t="s">
        <v>57</v>
      </c>
      <c r="S48" s="271">
        <v>1</v>
      </c>
      <c r="T48" s="65"/>
      <c r="U48" s="421" t="s">
        <v>208</v>
      </c>
      <c r="V48" s="291"/>
      <c r="W48" s="58"/>
      <c r="X48" s="58">
        <f>ROUNDUP(M48*P48/Q48*S48,-3)</f>
        <v>4307000</v>
      </c>
      <c r="Y48" s="47" t="s">
        <v>315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21"/>
      <c r="R49" s="64"/>
      <c r="S49" s="271"/>
      <c r="T49" s="65"/>
      <c r="U49" s="421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282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3393000</v>
      </c>
      <c r="Y50" s="63" t="s">
        <v>205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497</v>
      </c>
      <c r="J51" s="292"/>
      <c r="K51" s="291"/>
      <c r="L51" s="291"/>
      <c r="M51" s="291">
        <f>M44</f>
        <v>95696000</v>
      </c>
      <c r="N51" s="44" t="s">
        <v>56</v>
      </c>
      <c r="O51" s="64" t="s">
        <v>57</v>
      </c>
      <c r="P51" s="231">
        <v>7.0900000000000005E-2</v>
      </c>
      <c r="Q51" s="421">
        <v>2</v>
      </c>
      <c r="R51" s="64" t="s">
        <v>57</v>
      </c>
      <c r="S51" s="271">
        <v>1</v>
      </c>
      <c r="T51" s="65"/>
      <c r="U51" s="421"/>
      <c r="V51" s="291"/>
      <c r="W51" s="58"/>
      <c r="X51" s="58">
        <f>ROUNDUP(M51*P51/Q51*S51,-3)</f>
        <v>3393000</v>
      </c>
      <c r="Y51" s="47" t="s">
        <v>315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21"/>
      <c r="R52" s="64"/>
      <c r="S52" s="271"/>
      <c r="T52" s="65"/>
      <c r="U52" s="421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283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435000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497</v>
      </c>
      <c r="J54" s="292"/>
      <c r="K54" s="291"/>
      <c r="L54" s="291"/>
      <c r="M54" s="291">
        <f t="shared" ref="M54" si="12">X51</f>
        <v>3393000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1"/>
      <c r="V54" s="291"/>
      <c r="W54" s="58"/>
      <c r="X54" s="58">
        <f>ROUNDUP(M54*P54,-3)</f>
        <v>435000</v>
      </c>
      <c r="Y54" s="47" t="s">
        <v>315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21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284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1101000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497</v>
      </c>
      <c r="J57" s="292"/>
      <c r="K57" s="291"/>
      <c r="L57" s="291"/>
      <c r="M57" s="291">
        <f>M44</f>
        <v>95696000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21" t="s">
        <v>208</v>
      </c>
      <c r="V57" s="291"/>
      <c r="W57" s="58"/>
      <c r="X57" s="58">
        <f>ROUNDUP(M57*P57*S57,-3)</f>
        <v>1101000</v>
      </c>
      <c r="Y57" s="47" t="s">
        <v>315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21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285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728000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497</v>
      </c>
      <c r="J60" s="292"/>
      <c r="K60" s="291"/>
      <c r="L60" s="291"/>
      <c r="M60" s="291">
        <f>M44</f>
        <v>95696000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21" t="s">
        <v>208</v>
      </c>
      <c r="V60" s="291"/>
      <c r="W60" s="58"/>
      <c r="X60" s="58">
        <f>ROUNDUP(M60*P60*S60,-3)</f>
        <v>728000</v>
      </c>
      <c r="Y60" s="47" t="s">
        <v>315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21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212</v>
      </c>
      <c r="E63" s="29">
        <v>10196</v>
      </c>
      <c r="F63" s="213">
        <f>ROUND(X63/1000,0)</f>
        <v>10564</v>
      </c>
      <c r="G63" s="30">
        <f t="shared" ref="G63" si="13">F63-E63</f>
        <v>368</v>
      </c>
      <c r="H63" s="109">
        <f t="shared" ref="H63" si="14">IF(E63=0,0,G63/E63)</f>
        <v>3.6092585327579446E-2</v>
      </c>
      <c r="I63" s="225" t="s">
        <v>213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194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214</v>
      </c>
      <c r="J64" s="58"/>
      <c r="K64" s="180"/>
      <c r="L64" s="180"/>
      <c r="M64" s="270">
        <v>2641000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303</v>
      </c>
      <c r="S64" s="271">
        <v>1</v>
      </c>
      <c r="T64" s="331"/>
      <c r="U64" s="329" t="s">
        <v>304</v>
      </c>
      <c r="V64" s="574"/>
      <c r="W64" s="574"/>
      <c r="X64" s="58">
        <f>ROUND(M64*P64*S64,-3)</f>
        <v>10564000</v>
      </c>
      <c r="Y64" s="47" t="s">
        <v>205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305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307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302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215</v>
      </c>
      <c r="E69" s="29">
        <v>1642</v>
      </c>
      <c r="F69" s="213">
        <f>ROUND(X69/1000,0)</f>
        <v>1642</v>
      </c>
      <c r="G69" s="30">
        <f t="shared" ref="G69" si="15">F69-E69</f>
        <v>0</v>
      </c>
      <c r="H69" s="109">
        <f t="shared" ref="H69" si="16">IF(E69=0,0,G69/E69)</f>
        <v>0</v>
      </c>
      <c r="I69" s="225" t="s">
        <v>217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194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216</v>
      </c>
      <c r="E70" s="40"/>
      <c r="F70" s="40"/>
      <c r="G70" s="41"/>
      <c r="H70" s="60"/>
      <c r="I70" s="57" t="s">
        <v>218</v>
      </c>
      <c r="J70" s="197"/>
      <c r="K70" s="196"/>
      <c r="L70" s="196"/>
      <c r="M70" s="196">
        <v>500</v>
      </c>
      <c r="N70" s="196" t="s">
        <v>205</v>
      </c>
      <c r="O70" s="197" t="s">
        <v>209</v>
      </c>
      <c r="P70" s="234">
        <v>4</v>
      </c>
      <c r="Q70" s="235">
        <v>365</v>
      </c>
      <c r="R70" s="196" t="s">
        <v>219</v>
      </c>
      <c r="S70" s="271">
        <v>1</v>
      </c>
      <c r="T70" s="196"/>
      <c r="U70" s="196" t="s">
        <v>208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220</v>
      </c>
      <c r="J71" s="197"/>
      <c r="K71" s="196"/>
      <c r="L71" s="196"/>
      <c r="M71" s="196">
        <v>5000</v>
      </c>
      <c r="N71" s="196" t="s">
        <v>205</v>
      </c>
      <c r="O71" s="197" t="s">
        <v>209</v>
      </c>
      <c r="P71" s="234">
        <v>4</v>
      </c>
      <c r="Q71" s="235">
        <v>12</v>
      </c>
      <c r="R71" s="196" t="s">
        <v>207</v>
      </c>
      <c r="S71" s="271">
        <v>1</v>
      </c>
      <c r="T71" s="196"/>
      <c r="U71" s="196" t="s">
        <v>208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221</v>
      </c>
      <c r="J72" s="197"/>
      <c r="K72" s="196"/>
      <c r="L72" s="196"/>
      <c r="M72" s="196">
        <v>20000</v>
      </c>
      <c r="N72" s="196" t="s">
        <v>205</v>
      </c>
      <c r="O72" s="197" t="s">
        <v>209</v>
      </c>
      <c r="P72" s="234">
        <v>4</v>
      </c>
      <c r="Q72" s="235">
        <v>4</v>
      </c>
      <c r="R72" s="196" t="s">
        <v>222</v>
      </c>
      <c r="S72" s="271">
        <v>1</v>
      </c>
      <c r="T72" s="196"/>
      <c r="U72" s="196" t="s">
        <v>208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443</v>
      </c>
      <c r="J73" s="197"/>
      <c r="K73" s="196"/>
      <c r="L73" s="196"/>
      <c r="M73" s="196">
        <v>12000</v>
      </c>
      <c r="N73" s="196" t="s">
        <v>205</v>
      </c>
      <c r="O73" s="197" t="s">
        <v>209</v>
      </c>
      <c r="P73" s="234">
        <v>4</v>
      </c>
      <c r="Q73" s="235">
        <v>4</v>
      </c>
      <c r="R73" s="196" t="s">
        <v>222</v>
      </c>
      <c r="S73" s="271">
        <v>1</v>
      </c>
      <c r="T73" s="196"/>
      <c r="U73" s="196" t="s">
        <v>208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223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224</v>
      </c>
      <c r="J75" s="197"/>
      <c r="K75" s="196"/>
      <c r="L75" s="196"/>
      <c r="M75" s="196">
        <v>40000</v>
      </c>
      <c r="N75" s="196" t="s">
        <v>205</v>
      </c>
      <c r="O75" s="197" t="s">
        <v>209</v>
      </c>
      <c r="P75" s="234">
        <v>4</v>
      </c>
      <c r="Q75" s="235">
        <v>1</v>
      </c>
      <c r="R75" s="196" t="s">
        <v>222</v>
      </c>
      <c r="S75" s="271">
        <v>1</v>
      </c>
      <c r="T75" s="196"/>
      <c r="U75" s="196" t="s">
        <v>208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225</v>
      </c>
      <c r="E77" s="29">
        <v>0</v>
      </c>
      <c r="F77" s="213">
        <f>ROUND(X77/1000,0)</f>
        <v>0</v>
      </c>
      <c r="G77" s="30">
        <f t="shared" ref="G77" si="17">F77-E77</f>
        <v>0</v>
      </c>
      <c r="H77" s="109">
        <f t="shared" ref="H77" si="18">IF(E77=0,0,G77/E77)</f>
        <v>0</v>
      </c>
      <c r="I77" s="225" t="s">
        <v>317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194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318</v>
      </c>
      <c r="E78" s="40"/>
      <c r="F78" s="40"/>
      <c r="G78" s="41"/>
      <c r="H78" s="60"/>
      <c r="I78" s="283" t="s">
        <v>286</v>
      </c>
      <c r="J78" s="197"/>
      <c r="K78" s="196"/>
      <c r="L78" s="196"/>
      <c r="M78" s="237">
        <v>0</v>
      </c>
      <c r="N78" s="59" t="s">
        <v>205</v>
      </c>
      <c r="O78" s="59" t="s">
        <v>209</v>
      </c>
      <c r="P78" s="271">
        <v>1</v>
      </c>
      <c r="Q78" s="235"/>
      <c r="R78" s="59"/>
      <c r="S78" s="236"/>
      <c r="T78" s="59"/>
      <c r="U78" s="59" t="s">
        <v>210</v>
      </c>
      <c r="V78" s="196"/>
      <c r="W78" s="58"/>
      <c r="X78" s="196">
        <f>M78*P78</f>
        <v>0</v>
      </c>
      <c r="Y78" s="47" t="s">
        <v>205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226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229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228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227</v>
      </c>
      <c r="E81" s="40"/>
      <c r="F81" s="40"/>
      <c r="G81" s="41"/>
      <c r="H81" s="60"/>
      <c r="I81" s="273" t="s">
        <v>306</v>
      </c>
      <c r="J81" s="58"/>
      <c r="K81" s="180"/>
      <c r="L81" s="180"/>
      <c r="M81" s="237">
        <v>0</v>
      </c>
      <c r="N81" s="59" t="s">
        <v>205</v>
      </c>
      <c r="O81" s="59" t="s">
        <v>209</v>
      </c>
      <c r="P81" s="67">
        <v>0.2</v>
      </c>
      <c r="Q81" s="235"/>
      <c r="R81" s="59"/>
      <c r="S81" s="236"/>
      <c r="T81" s="59"/>
      <c r="U81" s="59" t="s">
        <v>210</v>
      </c>
      <c r="V81" s="196"/>
      <c r="W81" s="58"/>
      <c r="X81" s="196">
        <f>ROUND(M81*P81,-3)</f>
        <v>0</v>
      </c>
      <c r="Y81" s="47" t="s">
        <v>205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145</v>
      </c>
      <c r="D83" s="256" t="s">
        <v>111</v>
      </c>
      <c r="E83" s="189">
        <f>SUM(E84:E140)</f>
        <v>300</v>
      </c>
      <c r="F83" s="189">
        <f>SUM(F84:F140)</f>
        <v>300</v>
      </c>
      <c r="G83" s="190">
        <f t="shared" ref="G83:G84" si="21">F83-E83</f>
        <v>0</v>
      </c>
      <c r="H83" s="191">
        <f t="shared" ref="H83:H84" si="22">IF(E83=0,0,G83/E83)</f>
        <v>0</v>
      </c>
      <c r="I83" s="173" t="s">
        <v>146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196</v>
      </c>
      <c r="D84" s="28" t="s">
        <v>195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193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194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273</v>
      </c>
      <c r="J85" s="292"/>
      <c r="K85" s="291"/>
      <c r="L85" s="291"/>
      <c r="M85" s="291">
        <v>0</v>
      </c>
      <c r="N85" s="418" t="s">
        <v>25</v>
      </c>
      <c r="O85" s="177" t="s">
        <v>26</v>
      </c>
      <c r="P85" s="419">
        <v>0</v>
      </c>
      <c r="Q85" s="44" t="s">
        <v>110</v>
      </c>
      <c r="R85" s="178" t="s">
        <v>26</v>
      </c>
      <c r="S85" s="181">
        <v>0</v>
      </c>
      <c r="T85" s="181" t="s">
        <v>29</v>
      </c>
      <c r="U85" s="418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141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204</v>
      </c>
      <c r="E87" s="29">
        <v>0</v>
      </c>
      <c r="F87" s="213">
        <f>ROUND(X87/1000,0)</f>
        <v>0</v>
      </c>
      <c r="G87" s="30">
        <f t="shared" ref="G87" si="23">F87-E87</f>
        <v>0</v>
      </c>
      <c r="H87" s="109">
        <f t="shared" ref="H87" si="24">IF(E87=0,0,G87/E87)</f>
        <v>0</v>
      </c>
      <c r="I87" s="225" t="s">
        <v>316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2"/>
      <c r="U87" s="422"/>
      <c r="V87" s="226" t="s">
        <v>194</v>
      </c>
      <c r="W87" s="227"/>
      <c r="X87" s="227">
        <f>SUM(X88,X91,X107,X104)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4" t="s">
        <v>274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69</v>
      </c>
      <c r="W88" s="62"/>
      <c r="X88" s="433">
        <f>SUM(X89:X90)</f>
        <v>0</v>
      </c>
      <c r="Y88" s="434" t="s">
        <v>313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3" t="s">
        <v>497</v>
      </c>
      <c r="J89" s="292"/>
      <c r="K89" s="291"/>
      <c r="L89" s="291"/>
      <c r="M89" s="291">
        <f>M28</f>
        <v>68231000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314</v>
      </c>
      <c r="V89" s="291"/>
      <c r="W89" s="58"/>
      <c r="X89" s="291">
        <f>ROUND(M89*P89,-3)</f>
        <v>0</v>
      </c>
      <c r="Y89" s="47" t="s">
        <v>313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275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5"/>
      <c r="X91" s="55">
        <f>SUM(X92,X95,X98,X101)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276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69</v>
      </c>
      <c r="W92" s="62"/>
      <c r="X92" s="350">
        <f>SUM(X93:X94)</f>
        <v>0</v>
      </c>
      <c r="Y92" s="63" t="s">
        <v>313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497</v>
      </c>
      <c r="J93" s="292"/>
      <c r="K93" s="291"/>
      <c r="L93" s="291"/>
      <c r="M93" s="291">
        <f>M32</f>
        <v>6798000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210</v>
      </c>
      <c r="V93" s="421"/>
      <c r="W93" s="421"/>
      <c r="X93" s="291">
        <f>ROUND(M93*P93,-3)</f>
        <v>0</v>
      </c>
      <c r="Y93" s="47" t="s">
        <v>315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21"/>
      <c r="W94" s="421"/>
      <c r="X94" s="291"/>
      <c r="Y94" s="47"/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277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69</v>
      </c>
      <c r="W95" s="62"/>
      <c r="X95" s="350">
        <f>SUM(X96:X97)</f>
        <v>0</v>
      </c>
      <c r="Y95" s="63" t="s">
        <v>313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515</v>
      </c>
      <c r="J96" s="292"/>
      <c r="K96" s="291"/>
      <c r="L96" s="291"/>
      <c r="M96" s="291">
        <f>M35</f>
        <v>480000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210</v>
      </c>
      <c r="V96" s="421"/>
      <c r="W96" s="421"/>
      <c r="X96" s="291">
        <f>ROUND(M96*P96,-3)</f>
        <v>0</v>
      </c>
      <c r="Y96" s="47" t="s">
        <v>315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1"/>
      <c r="W97" s="421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278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69</v>
      </c>
      <c r="W98" s="62"/>
      <c r="X98" s="350">
        <f>SUM(X99:X100)</f>
        <v>0</v>
      </c>
      <c r="Y98" s="63" t="s">
        <v>313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497</v>
      </c>
      <c r="J99" s="292"/>
      <c r="K99" s="291"/>
      <c r="L99" s="291"/>
      <c r="M99" s="291">
        <f>M38</f>
        <v>18208000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210</v>
      </c>
      <c r="V99" s="421"/>
      <c r="W99" s="421"/>
      <c r="X99" s="428">
        <f>ROUND(M99*P99,-3)</f>
        <v>0</v>
      </c>
      <c r="Y99" s="47" t="s">
        <v>315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1"/>
      <c r="W100" s="421"/>
      <c r="X100" s="291"/>
      <c r="Y100" s="47"/>
    </row>
    <row r="101" spans="1:27" s="11" customFormat="1" ht="19.5" hidden="1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501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69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497</v>
      </c>
      <c r="J102" s="292"/>
      <c r="K102" s="291"/>
      <c r="L102" s="291"/>
      <c r="M102" s="291">
        <f>M41</f>
        <v>1979000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9"/>
      <c r="W102" s="519"/>
      <c r="X102" s="291">
        <f>ROUND(M102*P102,-3)</f>
        <v>0</v>
      </c>
      <c r="Y102" s="47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9"/>
      <c r="W103" s="519"/>
      <c r="X103" s="291"/>
      <c r="Y103" s="47"/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279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69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497</v>
      </c>
      <c r="J105" s="292"/>
      <c r="K105" s="291"/>
      <c r="L105" s="291"/>
      <c r="M105" s="291">
        <f>SUM(M89+M93+M96+M99+M102)</f>
        <v>95696000</v>
      </c>
      <c r="N105" s="44" t="s">
        <v>56</v>
      </c>
      <c r="O105" s="519" t="s">
        <v>70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hidden="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21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280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69</v>
      </c>
      <c r="W107" s="62"/>
      <c r="X107" s="350">
        <f>SUM(X108,X111,X114,X117,X120)</f>
        <v>0</v>
      </c>
      <c r="Y107" s="63" t="s">
        <v>25</v>
      </c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281</v>
      </c>
      <c r="J108" s="292"/>
      <c r="K108" s="291"/>
      <c r="L108" s="291"/>
      <c r="M108" s="291"/>
      <c r="N108" s="44"/>
      <c r="O108" s="64"/>
      <c r="P108" s="230"/>
      <c r="Q108" s="421"/>
      <c r="R108" s="64"/>
      <c r="S108" s="271"/>
      <c r="T108" s="65"/>
      <c r="U108" s="421"/>
      <c r="V108" s="128"/>
      <c r="W108" s="129"/>
      <c r="X108" s="129">
        <f>SUM(X109:X110)</f>
        <v>0</v>
      </c>
      <c r="Y108" s="130" t="s">
        <v>56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497</v>
      </c>
      <c r="J109" s="292"/>
      <c r="K109" s="291"/>
      <c r="L109" s="291"/>
      <c r="M109" s="291">
        <f>M105</f>
        <v>95696000</v>
      </c>
      <c r="N109" s="44" t="s">
        <v>56</v>
      </c>
      <c r="O109" s="64" t="s">
        <v>57</v>
      </c>
      <c r="P109" s="230">
        <v>0.09</v>
      </c>
      <c r="Q109" s="421">
        <v>2</v>
      </c>
      <c r="R109" s="64" t="s">
        <v>57</v>
      </c>
      <c r="S109" s="271">
        <v>0</v>
      </c>
      <c r="T109" s="65"/>
      <c r="U109" s="421" t="s">
        <v>208</v>
      </c>
      <c r="V109" s="291"/>
      <c r="W109" s="58"/>
      <c r="X109" s="58">
        <f>ROUNDUP(M109*P109/Q109*S109,-3)</f>
        <v>0</v>
      </c>
      <c r="Y109" s="47" t="s">
        <v>315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21"/>
      <c r="R110" s="64"/>
      <c r="S110" s="271"/>
      <c r="T110" s="65"/>
      <c r="U110" s="421"/>
      <c r="V110" s="291"/>
      <c r="W110" s="58"/>
      <c r="X110" s="121"/>
      <c r="Y110" s="47"/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282</v>
      </c>
      <c r="J111" s="292"/>
      <c r="K111" s="291"/>
      <c r="L111" s="291"/>
      <c r="M111" s="291"/>
      <c r="N111" s="44"/>
      <c r="O111" s="64"/>
      <c r="P111" s="231"/>
      <c r="Q111" s="421"/>
      <c r="R111" s="64"/>
      <c r="S111" s="271"/>
      <c r="T111" s="65"/>
      <c r="U111" s="421"/>
      <c r="V111" s="350"/>
      <c r="W111" s="62"/>
      <c r="X111" s="62">
        <f>SUM(X112:X113)</f>
        <v>0</v>
      </c>
      <c r="Y111" s="63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497</v>
      </c>
      <c r="J112" s="292"/>
      <c r="K112" s="291"/>
      <c r="L112" s="291"/>
      <c r="M112" s="291">
        <f>M109</f>
        <v>95696000</v>
      </c>
      <c r="N112" s="44" t="s">
        <v>56</v>
      </c>
      <c r="O112" s="64" t="s">
        <v>57</v>
      </c>
      <c r="P112" s="231">
        <v>7.0900000000000005E-2</v>
      </c>
      <c r="Q112" s="421">
        <v>2</v>
      </c>
      <c r="R112" s="64" t="s">
        <v>57</v>
      </c>
      <c r="S112" s="271">
        <v>0</v>
      </c>
      <c r="T112" s="65"/>
      <c r="U112" s="421"/>
      <c r="V112" s="291"/>
      <c r="W112" s="58"/>
      <c r="X112" s="274">
        <f>ROUNDUP(M112*P112/Q112*S112,-3)</f>
        <v>0</v>
      </c>
      <c r="Y112" s="47" t="s">
        <v>315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21"/>
      <c r="R113" s="64"/>
      <c r="S113" s="271"/>
      <c r="T113" s="65"/>
      <c r="U113" s="421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283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21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497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1"/>
      <c r="V115" s="291"/>
      <c r="W115" s="58"/>
      <c r="X115" s="58">
        <f>ROUND(M115*P115,-3)</f>
        <v>0</v>
      </c>
      <c r="Y115" s="47" t="s">
        <v>315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21"/>
      <c r="V116" s="291"/>
      <c r="W116" s="58"/>
      <c r="X116" s="58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284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21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497</v>
      </c>
      <c r="J118" s="292"/>
      <c r="K118" s="291"/>
      <c r="L118" s="291"/>
      <c r="M118" s="291">
        <f>M109</f>
        <v>95696000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21" t="s">
        <v>208</v>
      </c>
      <c r="V118" s="291"/>
      <c r="W118" s="58"/>
      <c r="X118" s="58">
        <f>ROUND(M118*P118*S118,-3)</f>
        <v>0</v>
      </c>
      <c r="Y118" s="47" t="s">
        <v>315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21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285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21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497</v>
      </c>
      <c r="J121" s="292"/>
      <c r="K121" s="291"/>
      <c r="L121" s="291"/>
      <c r="M121" s="291">
        <f>M109</f>
        <v>95696000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21" t="s">
        <v>208</v>
      </c>
      <c r="V121" s="291"/>
      <c r="W121" s="58"/>
      <c r="X121" s="58">
        <f>ROUNDUP(M121*P121*S121,-3)</f>
        <v>0</v>
      </c>
      <c r="Y121" s="47" t="s">
        <v>315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21"/>
      <c r="V122" s="291"/>
      <c r="W122" s="58"/>
      <c r="X122" s="121"/>
      <c r="Y122" s="47"/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hidden="1" customHeight="1" thickBot="1">
      <c r="A124" s="37"/>
      <c r="B124" s="38"/>
      <c r="C124" s="38"/>
      <c r="D124" s="28" t="s">
        <v>212</v>
      </c>
      <c r="E124" s="29">
        <v>0</v>
      </c>
      <c r="F124" s="213">
        <f>ROUND(X124/1000,0)</f>
        <v>0</v>
      </c>
      <c r="G124" s="30">
        <f t="shared" ref="G124" si="26">F124-E124</f>
        <v>0</v>
      </c>
      <c r="H124" s="109">
        <f t="shared" ref="H124" si="27">IF(E124=0,0,G124/E124)</f>
        <v>0</v>
      </c>
      <c r="I124" s="225" t="s">
        <v>213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194</v>
      </c>
      <c r="W124" s="227"/>
      <c r="X124" s="227">
        <f>SUM(X125:X125)</f>
        <v>0</v>
      </c>
      <c r="Y124" s="260" t="s">
        <v>56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214</v>
      </c>
      <c r="J125" s="58"/>
      <c r="K125" s="180"/>
      <c r="L125" s="180"/>
      <c r="M125" s="291">
        <f>M64</f>
        <v>2641000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303</v>
      </c>
      <c r="S125" s="271">
        <v>0</v>
      </c>
      <c r="T125" s="331"/>
      <c r="U125" s="329" t="s">
        <v>304</v>
      </c>
      <c r="V125" s="574"/>
      <c r="W125" s="574"/>
      <c r="X125" s="58">
        <f>ROUND(M125*P125*S125,-3)</f>
        <v>0</v>
      </c>
      <c r="Y125" s="47" t="s">
        <v>56</v>
      </c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215</v>
      </c>
      <c r="E127" s="29">
        <v>0</v>
      </c>
      <c r="F127" s="213">
        <f>ROUND(X127/1000,0)</f>
        <v>0</v>
      </c>
      <c r="G127" s="30">
        <f t="shared" ref="G127" si="28">F127-E127</f>
        <v>0</v>
      </c>
      <c r="H127" s="109">
        <f t="shared" ref="H127" si="29">IF(E127=0,0,G127/E127)</f>
        <v>0</v>
      </c>
      <c r="I127" s="225" t="s">
        <v>217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194</v>
      </c>
      <c r="W127" s="227"/>
      <c r="X127" s="227">
        <f>SUM(X128:X133)</f>
        <v>0</v>
      </c>
      <c r="Y127" s="260" t="s">
        <v>56</v>
      </c>
    </row>
    <row r="128" spans="1:25" ht="21" hidden="1" customHeight="1">
      <c r="A128" s="37"/>
      <c r="B128" s="38"/>
      <c r="C128" s="38"/>
      <c r="D128" s="38" t="s">
        <v>216</v>
      </c>
      <c r="E128" s="40"/>
      <c r="F128" s="40"/>
      <c r="G128" s="41"/>
      <c r="H128" s="60"/>
      <c r="I128" s="57" t="s">
        <v>218</v>
      </c>
      <c r="J128" s="197"/>
      <c r="K128" s="196"/>
      <c r="L128" s="196"/>
      <c r="M128" s="196">
        <v>500</v>
      </c>
      <c r="N128" s="196" t="s">
        <v>205</v>
      </c>
      <c r="O128" s="197" t="s">
        <v>209</v>
      </c>
      <c r="P128" s="234">
        <v>4</v>
      </c>
      <c r="Q128" s="235">
        <v>365</v>
      </c>
      <c r="R128" s="196" t="s">
        <v>219</v>
      </c>
      <c r="S128" s="271">
        <v>0</v>
      </c>
      <c r="T128" s="196"/>
      <c r="U128" s="196" t="s">
        <v>208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hidden="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220</v>
      </c>
      <c r="J129" s="197"/>
      <c r="K129" s="196"/>
      <c r="L129" s="196"/>
      <c r="M129" s="196">
        <v>5000</v>
      </c>
      <c r="N129" s="196" t="s">
        <v>205</v>
      </c>
      <c r="O129" s="197" t="s">
        <v>209</v>
      </c>
      <c r="P129" s="234">
        <v>4</v>
      </c>
      <c r="Q129" s="235">
        <v>12</v>
      </c>
      <c r="R129" s="196" t="s">
        <v>207</v>
      </c>
      <c r="S129" s="271">
        <v>0</v>
      </c>
      <c r="T129" s="196"/>
      <c r="U129" s="196" t="s">
        <v>208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221</v>
      </c>
      <c r="J130" s="197"/>
      <c r="K130" s="196"/>
      <c r="L130" s="196"/>
      <c r="M130" s="196">
        <v>20000</v>
      </c>
      <c r="N130" s="196" t="s">
        <v>205</v>
      </c>
      <c r="O130" s="197" t="s">
        <v>209</v>
      </c>
      <c r="P130" s="234">
        <v>4</v>
      </c>
      <c r="Q130" s="235">
        <v>4</v>
      </c>
      <c r="R130" s="196" t="s">
        <v>222</v>
      </c>
      <c r="S130" s="271">
        <v>0</v>
      </c>
      <c r="T130" s="196"/>
      <c r="U130" s="196" t="s">
        <v>208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443</v>
      </c>
      <c r="J131" s="197"/>
      <c r="K131" s="196"/>
      <c r="L131" s="196"/>
      <c r="M131" s="196">
        <v>12000</v>
      </c>
      <c r="N131" s="196" t="s">
        <v>205</v>
      </c>
      <c r="O131" s="197" t="s">
        <v>209</v>
      </c>
      <c r="P131" s="234">
        <v>4</v>
      </c>
      <c r="Q131" s="235">
        <v>4</v>
      </c>
      <c r="R131" s="196" t="s">
        <v>222</v>
      </c>
      <c r="S131" s="271">
        <v>0</v>
      </c>
      <c r="T131" s="196"/>
      <c r="U131" s="196" t="s">
        <v>208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223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224</v>
      </c>
      <c r="J133" s="197"/>
      <c r="K133" s="196"/>
      <c r="L133" s="196"/>
      <c r="M133" s="196">
        <v>40000</v>
      </c>
      <c r="N133" s="196" t="s">
        <v>205</v>
      </c>
      <c r="O133" s="197" t="s">
        <v>209</v>
      </c>
      <c r="P133" s="234">
        <v>4</v>
      </c>
      <c r="Q133" s="235">
        <v>1</v>
      </c>
      <c r="R133" s="196" t="s">
        <v>222</v>
      </c>
      <c r="S133" s="271">
        <v>0</v>
      </c>
      <c r="T133" s="196"/>
      <c r="U133" s="196" t="s">
        <v>208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hidden="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hidden="1" customHeight="1" thickBot="1">
      <c r="A135" s="37"/>
      <c r="B135" s="38"/>
      <c r="C135" s="38"/>
      <c r="D135" s="28" t="s">
        <v>225</v>
      </c>
      <c r="E135" s="29">
        <v>0</v>
      </c>
      <c r="F135" s="213">
        <f>ROUND(X135/1000,0)</f>
        <v>0</v>
      </c>
      <c r="G135" s="30">
        <f t="shared" ref="G135" si="30">F135-E135</f>
        <v>0</v>
      </c>
      <c r="H135" s="109">
        <f t="shared" ref="H135" si="31">IF(E135=0,0,G135/E135)</f>
        <v>0</v>
      </c>
      <c r="I135" s="225" t="s">
        <v>317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194</v>
      </c>
      <c r="W135" s="227"/>
      <c r="X135" s="227">
        <f>X136</f>
        <v>0</v>
      </c>
      <c r="Y135" s="260" t="s">
        <v>56</v>
      </c>
    </row>
    <row r="136" spans="1:26" ht="21" hidden="1" customHeight="1">
      <c r="A136" s="37"/>
      <c r="B136" s="38"/>
      <c r="C136" s="38"/>
      <c r="D136" s="38" t="s">
        <v>318</v>
      </c>
      <c r="E136" s="40"/>
      <c r="F136" s="40"/>
      <c r="G136" s="41"/>
      <c r="H136" s="60"/>
      <c r="I136" s="283" t="s">
        <v>286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hidden="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322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321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228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227</v>
      </c>
      <c r="E139" s="40"/>
      <c r="F139" s="40"/>
      <c r="G139" s="41"/>
      <c r="H139" s="60"/>
      <c r="I139" s="283" t="s">
        <v>287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210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147</v>
      </c>
      <c r="D141" s="256" t="s">
        <v>111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146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143</v>
      </c>
      <c r="D142" s="38" t="s">
        <v>148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144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72</v>
      </c>
      <c r="B144" s="28" t="s">
        <v>30</v>
      </c>
      <c r="C144" s="567" t="s">
        <v>257</v>
      </c>
      <c r="D144" s="568"/>
      <c r="E144" s="239">
        <f>SUM(E145,E151)</f>
        <v>501</v>
      </c>
      <c r="F144" s="239">
        <f>SUM(F145,F151)</f>
        <v>501</v>
      </c>
      <c r="G144" s="240">
        <f t="shared" ref="G144" si="36">F144-E144</f>
        <v>0</v>
      </c>
      <c r="H144" s="241">
        <f t="shared" ref="H144" si="37">IF(E144=0,0,G144/E144)</f>
        <v>0</v>
      </c>
      <c r="I144" s="242" t="s">
        <v>258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501000</v>
      </c>
      <c r="Y144" s="258" t="s">
        <v>25</v>
      </c>
    </row>
    <row r="145" spans="1:25" ht="21" customHeight="1">
      <c r="A145" s="37" t="s">
        <v>132</v>
      </c>
      <c r="B145" s="38" t="s">
        <v>132</v>
      </c>
      <c r="C145" s="28" t="s">
        <v>149</v>
      </c>
      <c r="D145" s="256" t="s">
        <v>263</v>
      </c>
      <c r="E145" s="189">
        <f>E146+E149</f>
        <v>0</v>
      </c>
      <c r="F145" s="189">
        <f>F146+F149</f>
        <v>0</v>
      </c>
      <c r="G145" s="190">
        <f t="shared" ref="G145:G146" si="38">F145-E145</f>
        <v>0</v>
      </c>
      <c r="H145" s="191">
        <f t="shared" ref="H145:H146" si="39">IF(E145=0,0,G145/E145)</f>
        <v>0</v>
      </c>
      <c r="I145" s="173" t="s">
        <v>264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252</v>
      </c>
      <c r="W145" s="211"/>
      <c r="X145" s="212">
        <f>SUM(X146,X149)</f>
        <v>0</v>
      </c>
      <c r="Y145" s="259" t="s">
        <v>247</v>
      </c>
    </row>
    <row r="146" spans="1:25" ht="21.75" customHeight="1">
      <c r="A146" s="37"/>
      <c r="B146" s="38"/>
      <c r="C146" s="38" t="s">
        <v>150</v>
      </c>
      <c r="D146" s="28" t="s">
        <v>151</v>
      </c>
      <c r="E146" s="29">
        <v>0</v>
      </c>
      <c r="F146" s="40">
        <f>ROUND(X146/1000,0)</f>
        <v>0</v>
      </c>
      <c r="G146" s="266">
        <f t="shared" si="38"/>
        <v>0</v>
      </c>
      <c r="H146" s="156">
        <f t="shared" si="39"/>
        <v>0</v>
      </c>
      <c r="I146" s="127" t="s">
        <v>152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9" t="s">
        <v>69</v>
      </c>
      <c r="W146" s="569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101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115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253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152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9" t="s">
        <v>69</v>
      </c>
      <c r="W149" s="569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254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153</v>
      </c>
      <c r="D151" s="256" t="s">
        <v>111</v>
      </c>
      <c r="E151" s="189">
        <f>E152</f>
        <v>501</v>
      </c>
      <c r="F151" s="189">
        <f>F152</f>
        <v>501</v>
      </c>
      <c r="G151" s="190">
        <f t="shared" ref="G151:G152" si="42">F151-E151</f>
        <v>0</v>
      </c>
      <c r="H151" s="191">
        <f t="shared" ref="H151:H152" si="43">IF(E151=0,0,G151/E151)</f>
        <v>0</v>
      </c>
      <c r="I151" s="173" t="s">
        <v>155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501000</v>
      </c>
      <c r="Y151" s="259" t="s">
        <v>56</v>
      </c>
    </row>
    <row r="152" spans="1:25" ht="21" customHeight="1">
      <c r="A152" s="37"/>
      <c r="B152" s="38"/>
      <c r="C152" s="38" t="s">
        <v>150</v>
      </c>
      <c r="D152" s="38" t="s">
        <v>154</v>
      </c>
      <c r="E152" s="40">
        <v>501</v>
      </c>
      <c r="F152" s="40">
        <f>ROUND(X152/1000,0)</f>
        <v>501</v>
      </c>
      <c r="G152" s="266">
        <f t="shared" si="42"/>
        <v>0</v>
      </c>
      <c r="H152" s="156">
        <f t="shared" si="43"/>
        <v>0</v>
      </c>
      <c r="I152" s="127" t="s">
        <v>311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9" t="s">
        <v>69</v>
      </c>
      <c r="W152" s="569"/>
      <c r="X152" s="129">
        <f>SUM(X153:X154)</f>
        <v>501000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73</v>
      </c>
      <c r="J153" s="292"/>
      <c r="K153" s="291"/>
      <c r="L153" s="291"/>
      <c r="M153" s="291"/>
      <c r="N153" s="418"/>
      <c r="O153" s="64"/>
      <c r="P153" s="59"/>
      <c r="Q153" s="64"/>
      <c r="R153" s="71"/>
      <c r="S153" s="65"/>
      <c r="T153" s="65"/>
      <c r="U153" s="418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245</v>
      </c>
      <c r="J154" s="292"/>
      <c r="K154" s="291"/>
      <c r="L154" s="291"/>
      <c r="M154" s="291"/>
      <c r="N154" s="291"/>
      <c r="O154" s="291"/>
      <c r="P154" s="291"/>
      <c r="Q154" s="44"/>
      <c r="R154" s="44"/>
      <c r="S154" s="44"/>
      <c r="T154" s="291"/>
      <c r="U154" s="291"/>
      <c r="V154" s="291"/>
      <c r="W154" s="58"/>
      <c r="X154" s="62">
        <v>1000</v>
      </c>
      <c r="Y154" s="47" t="s">
        <v>56</v>
      </c>
    </row>
    <row r="155" spans="1:25" ht="21" customHeight="1">
      <c r="A155" s="27" t="s">
        <v>156</v>
      </c>
      <c r="B155" s="28" t="s">
        <v>156</v>
      </c>
      <c r="C155" s="567" t="s">
        <v>257</v>
      </c>
      <c r="D155" s="568"/>
      <c r="E155" s="239">
        <f>E156+E159</f>
        <v>0</v>
      </c>
      <c r="F155" s="239">
        <f>F156+F159</f>
        <v>0</v>
      </c>
      <c r="G155" s="240">
        <f t="shared" ref="G155:G157" si="44">F155-E155</f>
        <v>0</v>
      </c>
      <c r="H155" s="241">
        <f t="shared" ref="H155:H157" si="45">IF(E155=0,0,G155/E155)</f>
        <v>0</v>
      </c>
      <c r="I155" s="242" t="s">
        <v>259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157</v>
      </c>
      <c r="D156" s="256" t="s">
        <v>111</v>
      </c>
      <c r="E156" s="189">
        <f>E157</f>
        <v>0</v>
      </c>
      <c r="F156" s="189">
        <f>F157</f>
        <v>0</v>
      </c>
      <c r="G156" s="190">
        <f t="shared" si="44"/>
        <v>0</v>
      </c>
      <c r="H156" s="191">
        <f t="shared" si="45"/>
        <v>0</v>
      </c>
      <c r="I156" s="173" t="s">
        <v>160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69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158</v>
      </c>
      <c r="D157" s="28" t="s">
        <v>162</v>
      </c>
      <c r="E157" s="29">
        <v>0</v>
      </c>
      <c r="F157" s="40">
        <f>ROUND(X157/1000,0)</f>
        <v>0</v>
      </c>
      <c r="G157" s="30">
        <f t="shared" si="44"/>
        <v>0</v>
      </c>
      <c r="H157" s="31">
        <f t="shared" si="45"/>
        <v>0</v>
      </c>
      <c r="I157" s="127" t="s">
        <v>160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9" t="s">
        <v>69</v>
      </c>
      <c r="W157" s="569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156</v>
      </c>
      <c r="D158" s="38" t="s">
        <v>156</v>
      </c>
      <c r="E158" s="40"/>
      <c r="F158" s="40"/>
      <c r="G158" s="41"/>
      <c r="H158" s="25"/>
      <c r="I158" s="57" t="s">
        <v>161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147</v>
      </c>
      <c r="D159" s="256" t="s">
        <v>111</v>
      </c>
      <c r="E159" s="189">
        <f>E160</f>
        <v>0</v>
      </c>
      <c r="F159" s="189">
        <f>F160</f>
        <v>0</v>
      </c>
      <c r="G159" s="190">
        <f t="shared" ref="G159:G160" si="46">F159-E159</f>
        <v>0</v>
      </c>
      <c r="H159" s="191">
        <f t="shared" ref="H159:H160" si="47">IF(E159=0,0,G159/E159)</f>
        <v>0</v>
      </c>
      <c r="I159" s="173" t="s">
        <v>163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156</v>
      </c>
      <c r="D160" s="38" t="s">
        <v>159</v>
      </c>
      <c r="E160" s="40">
        <v>0</v>
      </c>
      <c r="F160" s="40">
        <f>ROUND(X160/1000,0)</f>
        <v>0</v>
      </c>
      <c r="G160" s="30">
        <f t="shared" si="46"/>
        <v>0</v>
      </c>
      <c r="H160" s="31">
        <f t="shared" si="47"/>
        <v>0</v>
      </c>
      <c r="I160" s="57" t="s">
        <v>164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74</v>
      </c>
      <c r="B162" s="28" t="s">
        <v>13</v>
      </c>
      <c r="C162" s="567" t="s">
        <v>257</v>
      </c>
      <c r="D162" s="568"/>
      <c r="E162" s="239">
        <f>SUM(E163,E167)</f>
        <v>0</v>
      </c>
      <c r="F162" s="239">
        <f>SUM(F163,F167)</f>
        <v>0</v>
      </c>
      <c r="G162" s="240">
        <f t="shared" ref="G162:G164" si="48">F162-E162</f>
        <v>0</v>
      </c>
      <c r="H162" s="241">
        <f t="shared" ref="H162:H164" si="49">IF(E162=0,0,G162/E162)</f>
        <v>0</v>
      </c>
      <c r="I162" s="242" t="s">
        <v>260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165</v>
      </c>
      <c r="D163" s="256" t="s">
        <v>263</v>
      </c>
      <c r="E163" s="189">
        <f>E164</f>
        <v>0</v>
      </c>
      <c r="F163" s="189">
        <f>F164</f>
        <v>0</v>
      </c>
      <c r="G163" s="190">
        <f t="shared" si="48"/>
        <v>0</v>
      </c>
      <c r="H163" s="191">
        <f t="shared" si="49"/>
        <v>0</v>
      </c>
      <c r="I163" s="173" t="s">
        <v>265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252</v>
      </c>
      <c r="W163" s="211"/>
      <c r="X163" s="212">
        <f>SUM(X164:X164)</f>
        <v>0</v>
      </c>
      <c r="Y163" s="259" t="s">
        <v>247</v>
      </c>
      <c r="Z163" s="17"/>
      <c r="AA163" s="18"/>
    </row>
    <row r="164" spans="1:27" ht="21" customHeight="1">
      <c r="A164" s="37"/>
      <c r="B164" s="38"/>
      <c r="C164" s="38" t="s">
        <v>166</v>
      </c>
      <c r="D164" s="28" t="s">
        <v>167</v>
      </c>
      <c r="E164" s="29">
        <v>0</v>
      </c>
      <c r="F164" s="40">
        <f>ROUND(X164/1000,0)</f>
        <v>0</v>
      </c>
      <c r="G164" s="30">
        <f t="shared" si="48"/>
        <v>0</v>
      </c>
      <c r="H164" s="31">
        <f t="shared" si="49"/>
        <v>0</v>
      </c>
      <c r="I164" s="127" t="s">
        <v>171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9" t="s">
        <v>69</v>
      </c>
      <c r="W164" s="569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232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233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168</v>
      </c>
      <c r="D167" s="256" t="s">
        <v>263</v>
      </c>
      <c r="E167" s="189">
        <f>E168</f>
        <v>0</v>
      </c>
      <c r="F167" s="189">
        <f>F168</f>
        <v>0</v>
      </c>
      <c r="G167" s="190">
        <f t="shared" ref="G167:G168" si="50">F167-E167</f>
        <v>0</v>
      </c>
      <c r="H167" s="191">
        <f t="shared" ref="H167:H168" si="51">IF(E167=0,0,G167/E167)</f>
        <v>0</v>
      </c>
      <c r="I167" s="173" t="s">
        <v>266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252</v>
      </c>
      <c r="W167" s="211"/>
      <c r="X167" s="211">
        <f>SUM(X168:X168)</f>
        <v>0</v>
      </c>
      <c r="Y167" s="259" t="s">
        <v>247</v>
      </c>
      <c r="Z167" s="17"/>
      <c r="AA167" s="18"/>
    </row>
    <row r="168" spans="1:27" ht="21" customHeight="1">
      <c r="A168" s="37"/>
      <c r="B168" s="38"/>
      <c r="C168" s="38" t="s">
        <v>166</v>
      </c>
      <c r="D168" s="38" t="s">
        <v>167</v>
      </c>
      <c r="E168" s="40">
        <v>0</v>
      </c>
      <c r="F168" s="40">
        <f>ROUND(X168/1000,0)</f>
        <v>0</v>
      </c>
      <c r="G168" s="30">
        <f t="shared" si="50"/>
        <v>0</v>
      </c>
      <c r="H168" s="31">
        <f t="shared" si="51"/>
        <v>0</v>
      </c>
      <c r="I168" s="127" t="s">
        <v>172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69" t="s">
        <v>69</v>
      </c>
      <c r="W168" s="569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230</v>
      </c>
      <c r="D169" s="38" t="s">
        <v>231</v>
      </c>
      <c r="E169" s="40"/>
      <c r="F169" s="40"/>
      <c r="G169" s="41"/>
      <c r="H169" s="25"/>
      <c r="I169" s="57"/>
      <c r="J169" s="292"/>
      <c r="K169" s="291"/>
      <c r="L169" s="291"/>
      <c r="M169" s="291"/>
      <c r="N169" s="291"/>
      <c r="O169" s="291"/>
      <c r="P169" s="291"/>
      <c r="Q169" s="44"/>
      <c r="R169" s="44"/>
      <c r="S169" s="44"/>
      <c r="T169" s="291"/>
      <c r="U169" s="291"/>
      <c r="V169" s="291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7" t="s">
        <v>257</v>
      </c>
      <c r="D171" s="568"/>
      <c r="E171" s="239">
        <f>SUM(E172,E188,E193)</f>
        <v>6405</v>
      </c>
      <c r="F171" s="239">
        <f>SUM(F172,F188,F193)</f>
        <v>8252</v>
      </c>
      <c r="G171" s="240">
        <f t="shared" ref="G171:G173" si="52">F171-E171</f>
        <v>1847</v>
      </c>
      <c r="H171" s="241">
        <f t="shared" ref="H171:H173" si="53">IF(E171=0,0,G171/E171)</f>
        <v>0.28836846213895395</v>
      </c>
      <c r="I171" s="242" t="s">
        <v>261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8252000</v>
      </c>
      <c r="Y171" s="258" t="s">
        <v>25</v>
      </c>
    </row>
    <row r="172" spans="1:27" ht="21" customHeight="1">
      <c r="A172" s="37"/>
      <c r="B172" s="38"/>
      <c r="C172" s="28" t="s">
        <v>173</v>
      </c>
      <c r="D172" s="256" t="s">
        <v>263</v>
      </c>
      <c r="E172" s="189">
        <f>SUM(E173,E176,E180,E184)</f>
        <v>6005</v>
      </c>
      <c r="F172" s="189">
        <f>SUM(F173,F176,F180,F184)</f>
        <v>7970</v>
      </c>
      <c r="G172" s="190">
        <f t="shared" si="52"/>
        <v>1965</v>
      </c>
      <c r="H172" s="191">
        <f t="shared" si="53"/>
        <v>0.32722731057452126</v>
      </c>
      <c r="I172" s="173" t="s">
        <v>267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252</v>
      </c>
      <c r="W172" s="211"/>
      <c r="X172" s="212">
        <f>SUM(X173,X176,X180,X184)</f>
        <v>7970000</v>
      </c>
      <c r="Y172" s="259" t="s">
        <v>247</v>
      </c>
    </row>
    <row r="173" spans="1:27" ht="21" customHeight="1">
      <c r="A173" s="37"/>
      <c r="B173" s="38"/>
      <c r="C173" s="38" t="s">
        <v>174</v>
      </c>
      <c r="D173" s="28" t="s">
        <v>236</v>
      </c>
      <c r="E173" s="29">
        <v>5200</v>
      </c>
      <c r="F173" s="40">
        <f>ROUND(X173/1000,0)</f>
        <v>6935</v>
      </c>
      <c r="G173" s="30">
        <f t="shared" si="52"/>
        <v>1735</v>
      </c>
      <c r="H173" s="31">
        <f t="shared" si="53"/>
        <v>0.33365384615384613</v>
      </c>
      <c r="I173" s="127" t="s">
        <v>235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9" t="s">
        <v>69</v>
      </c>
      <c r="W173" s="569"/>
      <c r="X173" s="129">
        <f>ROUND(SUM(W174:X175),-3)</f>
        <v>6935000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3" t="s">
        <v>288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7">
        <v>6934904</v>
      </c>
      <c r="Y174" s="47" t="s">
        <v>233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4" t="s">
        <v>289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233</v>
      </c>
    </row>
    <row r="176" spans="1:27" ht="21" customHeight="1">
      <c r="A176" s="37"/>
      <c r="B176" s="38"/>
      <c r="C176" s="38"/>
      <c r="D176" s="28" t="s">
        <v>175</v>
      </c>
      <c r="E176" s="29">
        <v>0</v>
      </c>
      <c r="F176" s="40">
        <f>ROUND(X176/1000,0)</f>
        <v>0</v>
      </c>
      <c r="G176" s="30">
        <f t="shared" ref="G176" si="54">F176-E176</f>
        <v>0</v>
      </c>
      <c r="H176" s="31">
        <f t="shared" ref="H176" si="55">IF(E176=0,0,G176/E176)</f>
        <v>0</v>
      </c>
      <c r="I176" s="127" t="s">
        <v>237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9" t="s">
        <v>69</v>
      </c>
      <c r="W176" s="569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290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233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291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233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239</v>
      </c>
      <c r="E180" s="29">
        <v>5</v>
      </c>
      <c r="F180" s="29">
        <f>ROUND(X180/1000,0)</f>
        <v>5</v>
      </c>
      <c r="G180" s="30">
        <f t="shared" ref="G180" si="56">F180-E180</f>
        <v>0</v>
      </c>
      <c r="H180" s="31">
        <f t="shared" ref="H180" si="57">IF(E180=0,0,G180/E180)</f>
        <v>0</v>
      </c>
      <c r="I180" s="127" t="s">
        <v>240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9" t="s">
        <v>69</v>
      </c>
      <c r="W180" s="569"/>
      <c r="X180" s="129">
        <f>ROUND(SUM(W181:X182),-3)</f>
        <v>5000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292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7">
        <v>4809</v>
      </c>
      <c r="Y181" s="47" t="s">
        <v>233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293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233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238</v>
      </c>
      <c r="E184" s="40">
        <v>800</v>
      </c>
      <c r="F184" s="29">
        <f>ROUND(X184/1000,0)</f>
        <v>1030</v>
      </c>
      <c r="G184" s="30">
        <f t="shared" ref="G184" si="58">F184-E184</f>
        <v>230</v>
      </c>
      <c r="H184" s="31">
        <f t="shared" ref="H184" si="59">IF(E184=0,0,G184/E184)</f>
        <v>0.28749999999999998</v>
      </c>
      <c r="I184" s="127" t="s">
        <v>242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9" t="s">
        <v>69</v>
      </c>
      <c r="W184" s="569"/>
      <c r="X184" s="129">
        <f>ROUNDUP(SUM(W185:X186),-3)</f>
        <v>1030000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294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38">
        <v>1029365</v>
      </c>
      <c r="Y185" s="47" t="s">
        <v>233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3" t="s">
        <v>295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>
        <v>0</v>
      </c>
      <c r="Y186" s="47" t="s">
        <v>233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173</v>
      </c>
      <c r="D188" s="256" t="s">
        <v>111</v>
      </c>
      <c r="E188" s="189">
        <f>E189</f>
        <v>400</v>
      </c>
      <c r="F188" s="189">
        <f>F189</f>
        <v>282</v>
      </c>
      <c r="G188" s="190">
        <f t="shared" ref="G188:G189" si="60">F188-E188</f>
        <v>-118</v>
      </c>
      <c r="H188" s="191">
        <f t="shared" ref="H188:H189" si="61">IF(E188=0,0,G188/E188)</f>
        <v>-0.29499999999999998</v>
      </c>
      <c r="I188" s="173" t="s">
        <v>177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69</v>
      </c>
      <c r="W188" s="211"/>
      <c r="X188" s="211">
        <f>X189</f>
        <v>282000</v>
      </c>
      <c r="Y188" s="259" t="s">
        <v>56</v>
      </c>
    </row>
    <row r="189" spans="1:25" ht="21" customHeight="1">
      <c r="A189" s="37"/>
      <c r="B189" s="38"/>
      <c r="C189" s="38" t="s">
        <v>174</v>
      </c>
      <c r="D189" s="38" t="s">
        <v>176</v>
      </c>
      <c r="E189" s="40">
        <v>400</v>
      </c>
      <c r="F189" s="40">
        <f>ROUND(X189/1000,0)</f>
        <v>282</v>
      </c>
      <c r="G189" s="30">
        <f t="shared" si="60"/>
        <v>-118</v>
      </c>
      <c r="H189" s="31">
        <f t="shared" si="61"/>
        <v>-0.29499999999999998</v>
      </c>
      <c r="I189" s="285" t="s">
        <v>296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69"/>
      <c r="W189" s="569"/>
      <c r="X189" s="129">
        <f>ROUNDUP(SUM(W190:X191),-3)</f>
        <v>282000</v>
      </c>
      <c r="Y189" s="130" t="s">
        <v>56</v>
      </c>
    </row>
    <row r="190" spans="1:25" ht="21" customHeight="1">
      <c r="A190" s="37"/>
      <c r="B190" s="38"/>
      <c r="C190" s="38" t="s">
        <v>169</v>
      </c>
      <c r="D190" s="38" t="s">
        <v>170</v>
      </c>
      <c r="E190" s="40"/>
      <c r="F190" s="40"/>
      <c r="G190" s="41"/>
      <c r="H190" s="60"/>
      <c r="I190" s="283" t="s">
        <v>319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37">
        <v>281260</v>
      </c>
      <c r="Y190" s="47" t="s">
        <v>106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3" t="s">
        <v>320</v>
      </c>
      <c r="J191" s="292"/>
      <c r="K191" s="291"/>
      <c r="L191" s="291"/>
      <c r="M191" s="291"/>
      <c r="N191" s="291"/>
      <c r="O191" s="291"/>
      <c r="P191" s="291"/>
      <c r="Q191" s="44"/>
      <c r="R191" s="44"/>
      <c r="S191" s="44"/>
      <c r="T191" s="291"/>
      <c r="U191" s="291"/>
      <c r="V191" s="291"/>
      <c r="W191" s="58"/>
      <c r="X191" s="58">
        <v>0</v>
      </c>
      <c r="Y191" s="47" t="s">
        <v>106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178</v>
      </c>
      <c r="D193" s="256" t="s">
        <v>111</v>
      </c>
      <c r="E193" s="189">
        <f>E194</f>
        <v>0</v>
      </c>
      <c r="F193" s="189">
        <f>F194</f>
        <v>0</v>
      </c>
      <c r="G193" s="190">
        <f t="shared" ref="G193:G194" si="62">F193-E193</f>
        <v>0</v>
      </c>
      <c r="H193" s="191">
        <f t="shared" ref="H193:H194" si="63">IF(E193=0,0,G193/E193)</f>
        <v>0</v>
      </c>
      <c r="I193" s="173" t="s">
        <v>181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69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179</v>
      </c>
      <c r="D194" s="38" t="s">
        <v>180</v>
      </c>
      <c r="E194" s="40">
        <v>0</v>
      </c>
      <c r="F194" s="40">
        <f>ROUND(X194/1000,0)</f>
        <v>0</v>
      </c>
      <c r="G194" s="30">
        <f t="shared" si="62"/>
        <v>0</v>
      </c>
      <c r="H194" s="31">
        <f t="shared" si="63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75</v>
      </c>
      <c r="B196" s="78" t="s">
        <v>16</v>
      </c>
      <c r="C196" s="567" t="s">
        <v>257</v>
      </c>
      <c r="D196" s="568"/>
      <c r="E196" s="239">
        <f>SUM(E197,E200,E208)</f>
        <v>2210</v>
      </c>
      <c r="F196" s="239">
        <f>SUM(F197,F200,F208)</f>
        <v>2210</v>
      </c>
      <c r="G196" s="240">
        <f t="shared" ref="G196:G198" si="64">F196-E196</f>
        <v>0</v>
      </c>
      <c r="H196" s="241">
        <f t="shared" ref="H196:H198" si="65">IF(E196=0,0,G196/E196)</f>
        <v>0</v>
      </c>
      <c r="I196" s="242" t="s">
        <v>262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2210000</v>
      </c>
      <c r="Y196" s="263" t="s">
        <v>247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182</v>
      </c>
      <c r="D197" s="256" t="s">
        <v>111</v>
      </c>
      <c r="E197" s="189">
        <f>E198</f>
        <v>0</v>
      </c>
      <c r="F197" s="189">
        <f>F198</f>
        <v>0</v>
      </c>
      <c r="G197" s="190">
        <f t="shared" si="64"/>
        <v>0</v>
      </c>
      <c r="H197" s="191">
        <f t="shared" si="65"/>
        <v>0</v>
      </c>
      <c r="I197" s="173" t="s">
        <v>191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69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183</v>
      </c>
      <c r="D198" s="28" t="s">
        <v>184</v>
      </c>
      <c r="E198" s="29">
        <v>0</v>
      </c>
      <c r="F198" s="40">
        <f>ROUND(X198/1000,0)</f>
        <v>0</v>
      </c>
      <c r="G198" s="30">
        <f t="shared" si="64"/>
        <v>0</v>
      </c>
      <c r="H198" s="31">
        <f t="shared" si="65"/>
        <v>0</v>
      </c>
      <c r="I198" s="127" t="s">
        <v>191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69" t="s">
        <v>69</v>
      </c>
      <c r="W198" s="569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185</v>
      </c>
      <c r="D200" s="256" t="s">
        <v>111</v>
      </c>
      <c r="E200" s="189">
        <f>E201</f>
        <v>30</v>
      </c>
      <c r="F200" s="189">
        <f>F201</f>
        <v>30</v>
      </c>
      <c r="G200" s="190">
        <f t="shared" ref="G200:G201" si="66">F200-E200</f>
        <v>0</v>
      </c>
      <c r="H200" s="191">
        <f t="shared" ref="H200:H201" si="67">IF(E200=0,0,G200/E200)</f>
        <v>0</v>
      </c>
      <c r="I200" s="173" t="s">
        <v>192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1">
        <f>SUM(X201:X201)</f>
        <v>30000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186</v>
      </c>
      <c r="D201" s="38" t="s">
        <v>187</v>
      </c>
      <c r="E201" s="40">
        <v>30</v>
      </c>
      <c r="F201" s="40">
        <f>ROUND(X201/1000,0)</f>
        <v>30</v>
      </c>
      <c r="G201" s="30">
        <f t="shared" si="66"/>
        <v>0</v>
      </c>
      <c r="H201" s="31">
        <f t="shared" si="67"/>
        <v>0</v>
      </c>
      <c r="I201" s="127" t="s">
        <v>244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9"/>
      <c r="W201" s="569"/>
      <c r="X201" s="129">
        <f>ROUND(SUM(W202:X206),-3)</f>
        <v>30000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132</v>
      </c>
      <c r="D202" s="38" t="s">
        <v>188</v>
      </c>
      <c r="E202" s="40"/>
      <c r="F202" s="40"/>
      <c r="G202" s="41"/>
      <c r="H202" s="60"/>
      <c r="I202" s="57" t="s">
        <v>323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514</v>
      </c>
      <c r="J203" s="292"/>
      <c r="K203" s="291"/>
      <c r="L203" s="291"/>
      <c r="M203" s="291"/>
      <c r="N203" s="291"/>
      <c r="O203" s="291"/>
      <c r="P203" s="291"/>
      <c r="Q203" s="44"/>
      <c r="R203" s="44"/>
      <c r="S203" s="44"/>
      <c r="T203" s="291"/>
      <c r="U203" s="291"/>
      <c r="V203" s="291"/>
      <c r="W203" s="58"/>
      <c r="X203" s="58">
        <v>2000</v>
      </c>
      <c r="Y203" s="47" t="s">
        <v>506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234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5000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243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325</v>
      </c>
      <c r="Y207" s="47"/>
      <c r="Z207" s="6"/>
    </row>
    <row r="208" spans="1:47" s="11" customFormat="1" ht="19.5" customHeight="1">
      <c r="A208" s="50"/>
      <c r="B208" s="80"/>
      <c r="C208" s="28" t="s">
        <v>147</v>
      </c>
      <c r="D208" s="256" t="s">
        <v>263</v>
      </c>
      <c r="E208" s="189">
        <f>E209</f>
        <v>2180</v>
      </c>
      <c r="F208" s="189">
        <f>F209</f>
        <v>2180</v>
      </c>
      <c r="G208" s="190">
        <f t="shared" ref="G208:G209" si="68">F208-E208</f>
        <v>0</v>
      </c>
      <c r="H208" s="191">
        <f t="shared" ref="H208:H209" si="69">IF(E208=0,0,G208/E208)</f>
        <v>0</v>
      </c>
      <c r="I208" s="173" t="s">
        <v>246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252</v>
      </c>
      <c r="W208" s="211"/>
      <c r="X208" s="211">
        <f>SUM(X209:X209)</f>
        <v>2180000</v>
      </c>
      <c r="Y208" s="259" t="s">
        <v>247</v>
      </c>
      <c r="Z208" s="6"/>
    </row>
    <row r="209" spans="1:26" s="11" customFormat="1" ht="19.5" customHeight="1">
      <c r="A209" s="50"/>
      <c r="B209" s="80"/>
      <c r="C209" s="38" t="s">
        <v>189</v>
      </c>
      <c r="D209" s="38" t="s">
        <v>190</v>
      </c>
      <c r="E209" s="40">
        <v>2180</v>
      </c>
      <c r="F209" s="40">
        <f>ROUND(X209/1000,0)</f>
        <v>2180</v>
      </c>
      <c r="G209" s="30">
        <f t="shared" si="68"/>
        <v>0</v>
      </c>
      <c r="H209" s="31">
        <f t="shared" si="69"/>
        <v>0</v>
      </c>
      <c r="I209" s="127" t="s">
        <v>246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69"/>
      <c r="W209" s="569"/>
      <c r="X209" s="129">
        <f>ROUND(SUM(W210:X212),-3)</f>
        <v>2180000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324</v>
      </c>
      <c r="J210" s="196"/>
      <c r="K210" s="196"/>
      <c r="L210" s="196"/>
      <c r="M210" s="196">
        <v>70000</v>
      </c>
      <c r="N210" s="196" t="s">
        <v>247</v>
      </c>
      <c r="O210" s="197" t="s">
        <v>248</v>
      </c>
      <c r="P210" s="196">
        <v>2</v>
      </c>
      <c r="Q210" s="197" t="s">
        <v>249</v>
      </c>
      <c r="R210" s="197" t="s">
        <v>248</v>
      </c>
      <c r="S210" s="196">
        <v>12</v>
      </c>
      <c r="T210" s="196" t="s">
        <v>250</v>
      </c>
      <c r="U210" s="229" t="s">
        <v>251</v>
      </c>
      <c r="V210" s="229"/>
      <c r="W210" s="197"/>
      <c r="X210" s="196">
        <f>ROUND(M210*P210*S210,-3)</f>
        <v>1680000</v>
      </c>
      <c r="Y210" s="47" t="s">
        <v>247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326</v>
      </c>
      <c r="J211" s="196"/>
      <c r="K211" s="196"/>
      <c r="L211" s="196"/>
      <c r="M211" s="196">
        <v>50000</v>
      </c>
      <c r="N211" s="196" t="s">
        <v>247</v>
      </c>
      <c r="O211" s="197" t="s">
        <v>248</v>
      </c>
      <c r="P211" s="291">
        <v>6</v>
      </c>
      <c r="Q211" s="291" t="s">
        <v>250</v>
      </c>
      <c r="R211" s="197"/>
      <c r="S211" s="196"/>
      <c r="T211" s="196"/>
      <c r="U211" s="229" t="s">
        <v>251</v>
      </c>
      <c r="V211" s="229"/>
      <c r="W211" s="197"/>
      <c r="X211" s="196">
        <f>ROUND(M211*P211,-3)</f>
        <v>300000</v>
      </c>
      <c r="Y211" s="47" t="s">
        <v>247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>
        <v>100000</v>
      </c>
      <c r="N212" s="55" t="s">
        <v>506</v>
      </c>
      <c r="O212" s="54" t="s">
        <v>507</v>
      </c>
      <c r="P212" s="55">
        <v>2</v>
      </c>
      <c r="Q212" s="54" t="s">
        <v>508</v>
      </c>
      <c r="R212" s="54"/>
      <c r="S212" s="55"/>
      <c r="T212" s="55"/>
      <c r="U212" s="94" t="s">
        <v>509</v>
      </c>
      <c r="V212" s="94"/>
      <c r="W212" s="54"/>
      <c r="X212" s="55">
        <f>ROUND(M212*P212,-3)</f>
        <v>200000</v>
      </c>
      <c r="Y212" s="56" t="s">
        <v>506</v>
      </c>
      <c r="Z212" s="6"/>
    </row>
    <row r="223" spans="1:26" ht="19.5" customHeight="1">
      <c r="Z223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1"/>
  <sheetViews>
    <sheetView tabSelected="1" workbookViewId="0">
      <selection activeCell="L9" sqref="L9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59" t="s">
        <v>525</v>
      </c>
      <c r="B1" s="559"/>
      <c r="C1" s="559"/>
      <c r="D1" s="559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0" t="s">
        <v>22</v>
      </c>
      <c r="B2" s="561"/>
      <c r="C2" s="561"/>
      <c r="D2" s="562" t="s">
        <v>526</v>
      </c>
      <c r="E2" s="586" t="s">
        <v>528</v>
      </c>
      <c r="F2" s="587"/>
      <c r="G2" s="587"/>
      <c r="H2" s="587"/>
      <c r="I2" s="587"/>
      <c r="J2" s="587"/>
      <c r="K2" s="587"/>
      <c r="L2" s="588"/>
      <c r="M2" s="570" t="s">
        <v>23</v>
      </c>
      <c r="N2" s="570"/>
      <c r="O2" s="589" t="s">
        <v>329</v>
      </c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1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3"/>
      <c r="E3" s="149" t="s">
        <v>330</v>
      </c>
      <c r="F3" s="149" t="s">
        <v>327</v>
      </c>
      <c r="G3" s="149" t="s">
        <v>328</v>
      </c>
      <c r="H3" s="149" t="s">
        <v>439</v>
      </c>
      <c r="I3" s="149" t="s">
        <v>331</v>
      </c>
      <c r="J3" s="149" t="s">
        <v>332</v>
      </c>
      <c r="K3" s="149" t="s">
        <v>333</v>
      </c>
      <c r="L3" s="149" t="s">
        <v>334</v>
      </c>
      <c r="M3" s="132" t="s">
        <v>335</v>
      </c>
      <c r="N3" s="96" t="s">
        <v>4</v>
      </c>
      <c r="O3" s="592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3"/>
      <c r="AC3" s="593"/>
      <c r="AD3" s="593"/>
      <c r="AE3" s="594"/>
    </row>
    <row r="4" spans="1:31" s="11" customFormat="1" ht="21" customHeight="1">
      <c r="A4" s="595" t="s">
        <v>31</v>
      </c>
      <c r="B4" s="596"/>
      <c r="C4" s="596"/>
      <c r="D4" s="308">
        <f>SUM(D5,D110,D132,D187,D190)</f>
        <v>149682</v>
      </c>
      <c r="E4" s="308">
        <f>SUM(E5,E110,E132,E187+E190)</f>
        <v>157744</v>
      </c>
      <c r="F4" s="308">
        <f t="shared" ref="F4:L4" ca="1" si="0">SUM(F5,F110,F132,F187,F190)</f>
        <v>124219</v>
      </c>
      <c r="G4" s="308">
        <f t="shared" si="0"/>
        <v>1644</v>
      </c>
      <c r="H4" s="308">
        <f t="shared" si="0"/>
        <v>300</v>
      </c>
      <c r="I4" s="308">
        <f t="shared" si="0"/>
        <v>783</v>
      </c>
      <c r="J4" s="308">
        <f t="shared" si="0"/>
        <v>27580</v>
      </c>
      <c r="K4" s="308">
        <f t="shared" si="0"/>
        <v>6</v>
      </c>
      <c r="L4" s="308">
        <f t="shared" si="0"/>
        <v>3212</v>
      </c>
      <c r="M4" s="309">
        <f>E4-D4</f>
        <v>8062</v>
      </c>
      <c r="N4" s="310">
        <f>IF(D4=0,0,M4/D4)</f>
        <v>5.3860851672211753E-2</v>
      </c>
      <c r="O4" s="311" t="s">
        <v>336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SUM(AD5,AD110,AD132,AD187,AD190)</f>
        <v>157744000</v>
      </c>
      <c r="AE4" s="314" t="s">
        <v>25</v>
      </c>
    </row>
    <row r="5" spans="1:31" s="11" customFormat="1" ht="21" customHeight="1">
      <c r="A5" s="101" t="s">
        <v>6</v>
      </c>
      <c r="B5" s="597" t="s">
        <v>7</v>
      </c>
      <c r="C5" s="598"/>
      <c r="D5" s="315">
        <f t="shared" ref="D5:L5" si="1">SUM(D6,D62,D71)</f>
        <v>122237</v>
      </c>
      <c r="E5" s="315">
        <f t="shared" si="1"/>
        <v>128649</v>
      </c>
      <c r="F5" s="315">
        <f t="shared" si="1"/>
        <v>118235</v>
      </c>
      <c r="G5" s="315">
        <f t="shared" si="1"/>
        <v>0</v>
      </c>
      <c r="H5" s="315">
        <f t="shared" si="1"/>
        <v>300</v>
      </c>
      <c r="I5" s="315">
        <f t="shared" si="1"/>
        <v>500</v>
      </c>
      <c r="J5" s="315">
        <f t="shared" si="1"/>
        <v>6776</v>
      </c>
      <c r="K5" s="315">
        <f t="shared" si="1"/>
        <v>6</v>
      </c>
      <c r="L5" s="315">
        <f t="shared" si="1"/>
        <v>2832</v>
      </c>
      <c r="M5" s="316">
        <f>E5-D5</f>
        <v>6412</v>
      </c>
      <c r="N5" s="317">
        <f>IF(D5=0,0,M5/D5)</f>
        <v>5.2455475837921414E-2</v>
      </c>
      <c r="O5" s="318" t="s">
        <v>299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128649000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20">
        <f t="shared" ref="D6:L6" si="2">SUM(D7,D10,D13,D30,D38,D57)</f>
        <v>110988</v>
      </c>
      <c r="E6" s="322">
        <f t="shared" si="2"/>
        <v>114635</v>
      </c>
      <c r="F6" s="322">
        <f t="shared" si="2"/>
        <v>113635</v>
      </c>
      <c r="G6" s="322">
        <f t="shared" si="2"/>
        <v>0</v>
      </c>
      <c r="H6" s="322">
        <f t="shared" si="2"/>
        <v>300</v>
      </c>
      <c r="I6" s="322">
        <f t="shared" si="2"/>
        <v>500</v>
      </c>
      <c r="J6" s="322">
        <f t="shared" si="2"/>
        <v>200</v>
      </c>
      <c r="K6" s="322">
        <f t="shared" si="2"/>
        <v>0</v>
      </c>
      <c r="L6" s="322">
        <f t="shared" si="2"/>
        <v>0</v>
      </c>
      <c r="M6" s="323">
        <f>E6-D6</f>
        <v>3647</v>
      </c>
      <c r="N6" s="324">
        <f>IF(D6=0,0,M6/D6)</f>
        <v>3.285940822431254E-2</v>
      </c>
      <c r="O6" s="325" t="s">
        <v>309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114635000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66568</v>
      </c>
      <c r="E7" s="103">
        <f>ROUND(AD7/1000,0)</f>
        <v>68231</v>
      </c>
      <c r="F7" s="103">
        <f>SUMIF($AB$8:$AB$9,"보조",$AD$8:$AD$9)/1000</f>
        <v>68231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1663</v>
      </c>
      <c r="N7" s="277">
        <f>IF(D7=0,0,M7/D7)</f>
        <v>2.4981973320514363E-2</v>
      </c>
      <c r="O7" s="105" t="s">
        <v>337</v>
      </c>
      <c r="P7" s="105"/>
      <c r="Q7" s="151"/>
      <c r="R7" s="151"/>
      <c r="S7" s="151"/>
      <c r="T7" s="150"/>
      <c r="U7" s="150"/>
      <c r="V7" s="150"/>
      <c r="W7" s="87" t="s">
        <v>60</v>
      </c>
      <c r="X7" s="529"/>
      <c r="Y7" s="87"/>
      <c r="Z7" s="87"/>
      <c r="AA7" s="87"/>
      <c r="AB7" s="87"/>
      <c r="AC7" s="107"/>
      <c r="AD7" s="107">
        <f>SUM(AD8:AD9)</f>
        <v>68231000</v>
      </c>
      <c r="AE7" s="108" t="s">
        <v>338</v>
      </c>
    </row>
    <row r="8" spans="1:31" s="11" customFormat="1" ht="21" customHeight="1">
      <c r="A8" s="37"/>
      <c r="B8" s="38"/>
      <c r="C8" s="38"/>
      <c r="D8" s="441"/>
      <c r="E8" s="442"/>
      <c r="F8" s="442"/>
      <c r="G8" s="442"/>
      <c r="H8" s="442"/>
      <c r="I8" s="442"/>
      <c r="J8" s="442"/>
      <c r="K8" s="442"/>
      <c r="L8" s="442"/>
      <c r="M8" s="97"/>
      <c r="N8" s="60"/>
      <c r="O8" s="379" t="s">
        <v>498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339</v>
      </c>
      <c r="AC8" s="345"/>
      <c r="AD8" s="401">
        <v>68231000</v>
      </c>
      <c r="AE8" s="346" t="s">
        <v>338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344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345</v>
      </c>
      <c r="P10" s="426"/>
      <c r="Q10" s="153"/>
      <c r="R10" s="153"/>
      <c r="S10" s="153"/>
      <c r="T10" s="152"/>
      <c r="U10" s="152"/>
      <c r="V10" s="150"/>
      <c r="W10" s="87" t="s">
        <v>346</v>
      </c>
      <c r="X10" s="87"/>
      <c r="Y10" s="87"/>
      <c r="Z10" s="87"/>
      <c r="AA10" s="87"/>
      <c r="AB10" s="87"/>
      <c r="AC10" s="107"/>
      <c r="AD10" s="107">
        <v>0</v>
      </c>
      <c r="AE10" s="108" t="s">
        <v>347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26525</v>
      </c>
      <c r="E13" s="103">
        <f>ROUND(AD13/1000,0)</f>
        <v>27765</v>
      </c>
      <c r="F13" s="103">
        <f>SUMIF($AB$14:$AB$29,"보조",$AD$14:$AD$29)/1000</f>
        <v>27465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300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1240</v>
      </c>
      <c r="N13" s="109">
        <f>IF(D13=0,0,M13/D13)</f>
        <v>4.6748350612629594E-2</v>
      </c>
      <c r="O13" s="85" t="s">
        <v>34</v>
      </c>
      <c r="P13" s="426"/>
      <c r="Q13" s="153"/>
      <c r="R13" s="153"/>
      <c r="S13" s="153"/>
      <c r="T13" s="152"/>
      <c r="U13" s="152"/>
      <c r="V13" s="152"/>
      <c r="W13" s="425" t="s">
        <v>346</v>
      </c>
      <c r="X13" s="425"/>
      <c r="Y13" s="425"/>
      <c r="Z13" s="425"/>
      <c r="AA13" s="425"/>
      <c r="AB13" s="425"/>
      <c r="AC13" s="147"/>
      <c r="AD13" s="147">
        <f>명절휴가비+가족수당+연장근로수당+AD23+AD26</f>
        <v>27765000</v>
      </c>
      <c r="AE13" s="146" t="s">
        <v>338</v>
      </c>
    </row>
    <row r="14" spans="1:31" s="11" customFormat="1" ht="21" customHeight="1">
      <c r="A14" s="37"/>
      <c r="B14" s="38"/>
      <c r="C14" s="38"/>
      <c r="D14" s="439"/>
      <c r="E14" s="440"/>
      <c r="F14" s="440"/>
      <c r="G14" s="440"/>
      <c r="H14" s="440"/>
      <c r="I14" s="440"/>
      <c r="J14" s="440"/>
      <c r="K14" s="440"/>
      <c r="L14" s="440"/>
      <c r="M14" s="97"/>
      <c r="N14" s="60"/>
      <c r="O14" s="379" t="s">
        <v>348</v>
      </c>
      <c r="P14" s="273"/>
      <c r="Q14" s="273"/>
      <c r="R14" s="273"/>
      <c r="S14" s="273"/>
      <c r="T14" s="270"/>
      <c r="U14" s="270"/>
      <c r="V14" s="270"/>
      <c r="W14" s="344" t="s">
        <v>349</v>
      </c>
      <c r="X14" s="344"/>
      <c r="Y14" s="344"/>
      <c r="Z14" s="344"/>
      <c r="AA14" s="344"/>
      <c r="AB14" s="344"/>
      <c r="AC14" s="345" t="s">
        <v>350</v>
      </c>
      <c r="AD14" s="345">
        <f>AD15</f>
        <v>6798000</v>
      </c>
      <c r="AE14" s="346" t="s">
        <v>338</v>
      </c>
    </row>
    <row r="15" spans="1:31" s="11" customFormat="1" ht="21" customHeight="1">
      <c r="A15" s="37"/>
      <c r="B15" s="38"/>
      <c r="C15" s="38"/>
      <c r="D15" s="441"/>
      <c r="E15" s="442"/>
      <c r="F15" s="442"/>
      <c r="G15" s="442"/>
      <c r="H15" s="442"/>
      <c r="I15" s="442"/>
      <c r="J15" s="442"/>
      <c r="K15" s="442"/>
      <c r="L15" s="442"/>
      <c r="M15" s="97"/>
      <c r="N15" s="60"/>
      <c r="O15" s="273" t="s">
        <v>499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339</v>
      </c>
      <c r="AC15" s="274"/>
      <c r="AD15" s="121">
        <v>6798000</v>
      </c>
      <c r="AE15" s="298" t="s">
        <v>338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351</v>
      </c>
      <c r="P17" s="273"/>
      <c r="Q17" s="273"/>
      <c r="R17" s="273"/>
      <c r="S17" s="273"/>
      <c r="T17" s="270"/>
      <c r="U17" s="270"/>
      <c r="V17" s="270"/>
      <c r="W17" s="344" t="s">
        <v>349</v>
      </c>
      <c r="X17" s="344"/>
      <c r="Y17" s="344"/>
      <c r="Z17" s="344"/>
      <c r="AA17" s="344"/>
      <c r="AB17" s="344"/>
      <c r="AC17" s="345" t="s">
        <v>350</v>
      </c>
      <c r="AD17" s="345">
        <f>AD18</f>
        <v>480000</v>
      </c>
      <c r="AE17" s="346" t="s">
        <v>338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428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339</v>
      </c>
      <c r="AC18" s="274"/>
      <c r="AD18" s="274">
        <v>480000</v>
      </c>
      <c r="AE18" s="298" t="s">
        <v>338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352</v>
      </c>
      <c r="P20" s="273"/>
      <c r="Q20" s="273"/>
      <c r="R20" s="273"/>
      <c r="S20" s="273"/>
      <c r="T20" s="270"/>
      <c r="U20" s="270"/>
      <c r="V20" s="270"/>
      <c r="W20" s="344" t="s">
        <v>349</v>
      </c>
      <c r="X20" s="344"/>
      <c r="Y20" s="344"/>
      <c r="Z20" s="344"/>
      <c r="AA20" s="344"/>
      <c r="AB20" s="344"/>
      <c r="AC20" s="345" t="s">
        <v>350</v>
      </c>
      <c r="AD20" s="345">
        <f>AD21</f>
        <v>18208000</v>
      </c>
      <c r="AE20" s="346" t="s">
        <v>338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499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339</v>
      </c>
      <c r="AC21" s="274"/>
      <c r="AD21" s="121">
        <v>18208000</v>
      </c>
      <c r="AE21" s="298" t="s">
        <v>338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429</v>
      </c>
      <c r="P23" s="273"/>
      <c r="Q23" s="273"/>
      <c r="R23" s="273"/>
      <c r="S23" s="273"/>
      <c r="T23" s="270"/>
      <c r="U23" s="270"/>
      <c r="V23" s="270"/>
      <c r="W23" s="344" t="s">
        <v>349</v>
      </c>
      <c r="X23" s="344"/>
      <c r="Y23" s="344"/>
      <c r="Z23" s="344"/>
      <c r="AA23" s="344"/>
      <c r="AB23" s="344"/>
      <c r="AC23" s="345" t="s">
        <v>350</v>
      </c>
      <c r="AD23" s="345">
        <f>AD24</f>
        <v>1979000</v>
      </c>
      <c r="AE23" s="346" t="s">
        <v>338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499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339</v>
      </c>
      <c r="AC24" s="274"/>
      <c r="AD24" s="121">
        <v>1979000</v>
      </c>
      <c r="AE24" s="298" t="s">
        <v>338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430</v>
      </c>
      <c r="P26" s="273"/>
      <c r="Q26" s="273"/>
      <c r="R26" s="273"/>
      <c r="S26" s="273"/>
      <c r="T26" s="270"/>
      <c r="U26" s="270"/>
      <c r="V26" s="270"/>
      <c r="W26" s="344" t="s">
        <v>349</v>
      </c>
      <c r="X26" s="344"/>
      <c r="Y26" s="344"/>
      <c r="Z26" s="344"/>
      <c r="AA26" s="344"/>
      <c r="AB26" s="344"/>
      <c r="AC26" s="345" t="s">
        <v>350</v>
      </c>
      <c r="AD26" s="345">
        <f>SUM(AD27:AD28)</f>
        <v>300000</v>
      </c>
      <c r="AE26" s="346" t="s">
        <v>338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513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21"/>
      <c r="AA27" s="421"/>
      <c r="AB27" s="270" t="s">
        <v>369</v>
      </c>
      <c r="AC27" s="274"/>
      <c r="AD27" s="121">
        <v>300000</v>
      </c>
      <c r="AE27" s="298" t="s">
        <v>338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431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21"/>
      <c r="AA28" s="421"/>
      <c r="AB28" s="270" t="s">
        <v>343</v>
      </c>
      <c r="AC28" s="274"/>
      <c r="AD28" s="121">
        <v>0</v>
      </c>
      <c r="AE28" s="298" t="s">
        <v>338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7733</v>
      </c>
      <c r="E30" s="103">
        <f>ROUND(AD30/1000,0)</f>
        <v>7975</v>
      </c>
      <c r="F30" s="103">
        <f>SUMIF($AB$31:$AB$37,"보조",$AD$31:$AD$37)/1000</f>
        <v>7975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242</v>
      </c>
      <c r="N30" s="109">
        <f>IF(D30=0,0,M30/D30)</f>
        <v>3.1294452347083924E-2</v>
      </c>
      <c r="O30" s="85" t="s">
        <v>35</v>
      </c>
      <c r="P30" s="426"/>
      <c r="Q30" s="153"/>
      <c r="R30" s="153"/>
      <c r="S30" s="153"/>
      <c r="T30" s="152"/>
      <c r="U30" s="152"/>
      <c r="V30" s="152"/>
      <c r="W30" s="425" t="s">
        <v>349</v>
      </c>
      <c r="X30" s="425"/>
      <c r="Y30" s="425"/>
      <c r="Z30" s="425"/>
      <c r="AA30" s="425"/>
      <c r="AB30" s="425"/>
      <c r="AC30" s="147" t="s">
        <v>350</v>
      </c>
      <c r="AD30" s="147">
        <f>SUM(AD31,AD34)</f>
        <v>7975000</v>
      </c>
      <c r="AE30" s="146" t="s">
        <v>338</v>
      </c>
    </row>
    <row r="31" spans="1:31" s="11" customFormat="1" ht="21" customHeight="1">
      <c r="A31" s="37"/>
      <c r="B31" s="38"/>
      <c r="C31" s="38"/>
      <c r="D31" s="439"/>
      <c r="E31" s="440"/>
      <c r="F31" s="440"/>
      <c r="G31" s="440"/>
      <c r="H31" s="440"/>
      <c r="I31" s="440"/>
      <c r="J31" s="440"/>
      <c r="K31" s="440"/>
      <c r="L31" s="440"/>
      <c r="M31" s="104"/>
      <c r="N31" s="60"/>
      <c r="O31" s="379" t="s">
        <v>432</v>
      </c>
      <c r="P31" s="273"/>
      <c r="Q31" s="273"/>
      <c r="R31" s="273"/>
      <c r="S31" s="273"/>
      <c r="T31" s="270"/>
      <c r="U31" s="270"/>
      <c r="V31" s="270"/>
      <c r="W31" s="344" t="s">
        <v>349</v>
      </c>
      <c r="X31" s="344"/>
      <c r="Y31" s="344"/>
      <c r="Z31" s="344"/>
      <c r="AA31" s="344"/>
      <c r="AB31" s="344"/>
      <c r="AC31" s="345"/>
      <c r="AD31" s="345">
        <f>SUM(AD32:AD33)</f>
        <v>7975000</v>
      </c>
      <c r="AE31" s="346" t="s">
        <v>338</v>
      </c>
    </row>
    <row r="32" spans="1:31" s="11" customFormat="1" ht="21" customHeight="1">
      <c r="A32" s="37"/>
      <c r="B32" s="38"/>
      <c r="C32" s="38"/>
      <c r="D32" s="441"/>
      <c r="E32" s="442"/>
      <c r="F32" s="442"/>
      <c r="G32" s="442"/>
      <c r="H32" s="442"/>
      <c r="I32" s="442"/>
      <c r="J32" s="442"/>
      <c r="K32" s="442"/>
      <c r="L32" s="442"/>
      <c r="M32" s="104"/>
      <c r="N32" s="60"/>
      <c r="O32" s="273" t="s">
        <v>500</v>
      </c>
      <c r="P32" s="273"/>
      <c r="Q32" s="273"/>
      <c r="R32" s="273"/>
      <c r="S32" s="270">
        <f>SUM(AD8,AD15,AD18,AD21,AD23)</f>
        <v>95696000</v>
      </c>
      <c r="T32" s="329" t="s">
        <v>338</v>
      </c>
      <c r="U32" s="329" t="s">
        <v>353</v>
      </c>
      <c r="V32" s="382">
        <v>12</v>
      </c>
      <c r="W32" s="328" t="s">
        <v>341</v>
      </c>
      <c r="X32" s="270"/>
      <c r="Y32" s="270"/>
      <c r="Z32" s="270"/>
      <c r="AA32" s="270" t="s">
        <v>342</v>
      </c>
      <c r="AB32" s="270" t="s">
        <v>339</v>
      </c>
      <c r="AC32" s="274"/>
      <c r="AD32" s="121">
        <f>ROUNDUP(S32/V32,-3)</f>
        <v>7975000</v>
      </c>
      <c r="AE32" s="298" t="s">
        <v>338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433</v>
      </c>
      <c r="P34" s="273"/>
      <c r="Q34" s="273"/>
      <c r="R34" s="273"/>
      <c r="S34" s="273"/>
      <c r="T34" s="270"/>
      <c r="U34" s="270"/>
      <c r="V34" s="270"/>
      <c r="W34" s="344" t="s">
        <v>354</v>
      </c>
      <c r="X34" s="344"/>
      <c r="Y34" s="344"/>
      <c r="Z34" s="344"/>
      <c r="AA34" s="344"/>
      <c r="AB34" s="344"/>
      <c r="AC34" s="345" t="s">
        <v>355</v>
      </c>
      <c r="AD34" s="345">
        <f>SUM(AD35:AD36)</f>
        <v>0</v>
      </c>
      <c r="AE34" s="346" t="s">
        <v>356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9" t="s">
        <v>434</v>
      </c>
      <c r="P35" s="429"/>
      <c r="Q35" s="429"/>
      <c r="R35" s="429"/>
      <c r="S35" s="428">
        <v>0</v>
      </c>
      <c r="T35" s="288" t="s">
        <v>338</v>
      </c>
      <c r="U35" s="288" t="s">
        <v>353</v>
      </c>
      <c r="V35" s="443">
        <v>12</v>
      </c>
      <c r="W35" s="389" t="s">
        <v>341</v>
      </c>
      <c r="X35" s="428"/>
      <c r="Y35" s="428"/>
      <c r="Z35" s="428"/>
      <c r="AA35" s="428" t="s">
        <v>342</v>
      </c>
      <c r="AB35" s="428" t="s">
        <v>343</v>
      </c>
      <c r="AC35" s="121"/>
      <c r="AD35" s="121">
        <f>ROUNDUP(S35/V35,-3)</f>
        <v>0</v>
      </c>
      <c r="AE35" s="122" t="s">
        <v>338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9" t="s">
        <v>357</v>
      </c>
      <c r="P36" s="429"/>
      <c r="Q36" s="429"/>
      <c r="R36" s="429"/>
      <c r="S36" s="428">
        <f>($K$7+$K$13)*1000</f>
        <v>0</v>
      </c>
      <c r="T36" s="288" t="s">
        <v>338</v>
      </c>
      <c r="U36" s="288" t="s">
        <v>353</v>
      </c>
      <c r="V36" s="443">
        <v>12</v>
      </c>
      <c r="W36" s="389" t="s">
        <v>341</v>
      </c>
      <c r="X36" s="428"/>
      <c r="Y36" s="428"/>
      <c r="Z36" s="428"/>
      <c r="AA36" s="428" t="s">
        <v>342</v>
      </c>
      <c r="AB36" s="428" t="s">
        <v>343</v>
      </c>
      <c r="AC36" s="121"/>
      <c r="AD36" s="121">
        <f>ROUND(S36/V36,-3)</f>
        <v>0</v>
      </c>
      <c r="AE36" s="122" t="s">
        <v>338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8"/>
      <c r="AC37" s="42"/>
      <c r="AD37" s="58"/>
      <c r="AE37" s="26"/>
    </row>
    <row r="38" spans="1:31" s="11" customFormat="1" ht="21" customHeight="1">
      <c r="A38" s="37"/>
      <c r="B38" s="38"/>
      <c r="C38" s="111" t="s">
        <v>358</v>
      </c>
      <c r="D38" s="135">
        <v>9662</v>
      </c>
      <c r="E38" s="103">
        <f>ROUND(AD38/1000,0)</f>
        <v>9964</v>
      </c>
      <c r="F38" s="103">
        <f>SUMIF($AB$39:$AB$56,"보조",$AD$39:$AD$56)/1000</f>
        <v>9964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302</v>
      </c>
      <c r="N38" s="109">
        <f>IF(D38=0,0,M38/D38)</f>
        <v>3.1256468640033119E-2</v>
      </c>
      <c r="O38" s="85" t="s">
        <v>36</v>
      </c>
      <c r="P38" s="426"/>
      <c r="Q38" s="153"/>
      <c r="R38" s="153"/>
      <c r="S38" s="153"/>
      <c r="T38" s="152"/>
      <c r="U38" s="152"/>
      <c r="V38" s="152"/>
      <c r="W38" s="425" t="s">
        <v>359</v>
      </c>
      <c r="X38" s="425"/>
      <c r="Y38" s="425"/>
      <c r="Z38" s="425"/>
      <c r="AA38" s="425"/>
      <c r="AB38" s="425"/>
      <c r="AC38" s="147"/>
      <c r="AD38" s="147">
        <f>SUM(AD40,AD43,AD46,AD49,AD52,AD55)</f>
        <v>9964000</v>
      </c>
      <c r="AE38" s="146" t="s">
        <v>25</v>
      </c>
    </row>
    <row r="39" spans="1:31" s="11" customFormat="1" ht="21" customHeight="1">
      <c r="A39" s="37"/>
      <c r="B39" s="38"/>
      <c r="C39" s="38" t="s">
        <v>360</v>
      </c>
      <c r="D39" s="439"/>
      <c r="E39" s="440"/>
      <c r="F39" s="440"/>
      <c r="G39" s="440"/>
      <c r="H39" s="440"/>
      <c r="I39" s="440"/>
      <c r="J39" s="440"/>
      <c r="K39" s="440"/>
      <c r="L39" s="440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1"/>
      <c r="E40" s="442"/>
      <c r="F40" s="442"/>
      <c r="G40" s="442"/>
      <c r="H40" s="442"/>
      <c r="I40" s="442"/>
      <c r="J40" s="442"/>
      <c r="K40" s="442"/>
      <c r="L40" s="442"/>
      <c r="M40" s="104"/>
      <c r="N40" s="60"/>
      <c r="O40" s="379" t="s">
        <v>361</v>
      </c>
      <c r="P40" s="273"/>
      <c r="Q40" s="273"/>
      <c r="R40" s="273"/>
      <c r="S40" s="273"/>
      <c r="T40" s="270"/>
      <c r="U40" s="270"/>
      <c r="V40" s="270"/>
      <c r="W40" s="344" t="s">
        <v>349</v>
      </c>
      <c r="X40" s="344"/>
      <c r="Y40" s="344"/>
      <c r="Z40" s="344"/>
      <c r="AA40" s="344"/>
      <c r="AB40" s="344"/>
      <c r="AC40" s="345"/>
      <c r="AD40" s="345">
        <f>ROUND(SUM(AD41:AD42),-3)</f>
        <v>4307000</v>
      </c>
      <c r="AE40" s="346" t="s">
        <v>338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499</v>
      </c>
      <c r="P41" s="273"/>
      <c r="Q41" s="273"/>
      <c r="R41" s="273"/>
      <c r="S41" s="270">
        <f>S32</f>
        <v>95696000</v>
      </c>
      <c r="T41" s="329" t="s">
        <v>338</v>
      </c>
      <c r="U41" s="328" t="s">
        <v>340</v>
      </c>
      <c r="V41" s="383">
        <v>0.09</v>
      </c>
      <c r="W41" s="329" t="s">
        <v>353</v>
      </c>
      <c r="X41" s="384">
        <v>2</v>
      </c>
      <c r="Y41" s="331"/>
      <c r="Z41" s="331"/>
      <c r="AA41" s="329" t="s">
        <v>342</v>
      </c>
      <c r="AB41" s="270" t="s">
        <v>339</v>
      </c>
      <c r="AC41" s="274"/>
      <c r="AD41" s="121">
        <f>ROUNDUP(S41*V41/X41,-3)</f>
        <v>4307000</v>
      </c>
      <c r="AE41" s="298" t="s">
        <v>338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362</v>
      </c>
      <c r="P43" s="273"/>
      <c r="Q43" s="273"/>
      <c r="R43" s="273"/>
      <c r="S43" s="273"/>
      <c r="T43" s="270"/>
      <c r="U43" s="270"/>
      <c r="V43" s="270"/>
      <c r="W43" s="344" t="s">
        <v>349</v>
      </c>
      <c r="X43" s="344"/>
      <c r="Y43" s="344"/>
      <c r="Z43" s="344"/>
      <c r="AA43" s="344"/>
      <c r="AB43" s="344"/>
      <c r="AC43" s="345" t="s">
        <v>350</v>
      </c>
      <c r="AD43" s="345">
        <f>ROUND(SUM(AD44:AD45),-3)</f>
        <v>3393000</v>
      </c>
      <c r="AE43" s="346" t="s">
        <v>338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499</v>
      </c>
      <c r="P44" s="273"/>
      <c r="Q44" s="273"/>
      <c r="R44" s="273"/>
      <c r="S44" s="270">
        <f>S41</f>
        <v>95696000</v>
      </c>
      <c r="T44" s="329" t="s">
        <v>338</v>
      </c>
      <c r="U44" s="328" t="s">
        <v>340</v>
      </c>
      <c r="V44" s="385">
        <v>7.0900000000000005E-2</v>
      </c>
      <c r="W44" s="329" t="s">
        <v>353</v>
      </c>
      <c r="X44" s="386">
        <v>2</v>
      </c>
      <c r="Y44" s="331"/>
      <c r="Z44" s="331"/>
      <c r="AA44" s="329" t="s">
        <v>342</v>
      </c>
      <c r="AB44" s="270" t="s">
        <v>339</v>
      </c>
      <c r="AC44" s="274"/>
      <c r="AD44" s="121">
        <f>ROUNDUP(S44*V44/X44,-3)</f>
        <v>3393000</v>
      </c>
      <c r="AE44" s="298" t="s">
        <v>338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363</v>
      </c>
      <c r="P46" s="273"/>
      <c r="Q46" s="273"/>
      <c r="R46" s="273"/>
      <c r="S46" s="273"/>
      <c r="T46" s="270"/>
      <c r="U46" s="270"/>
      <c r="V46" s="270"/>
      <c r="W46" s="344" t="s">
        <v>349</v>
      </c>
      <c r="X46" s="344"/>
      <c r="Y46" s="344"/>
      <c r="Z46" s="344"/>
      <c r="AA46" s="344"/>
      <c r="AB46" s="344"/>
      <c r="AC46" s="345" t="s">
        <v>350</v>
      </c>
      <c r="AD46" s="345">
        <f>ROUND(SUM(AD47:AD48),-3)</f>
        <v>435000</v>
      </c>
      <c r="AE46" s="346" t="s">
        <v>338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499</v>
      </c>
      <c r="P47" s="273"/>
      <c r="Q47" s="273"/>
      <c r="R47" s="273"/>
      <c r="S47" s="387">
        <f>AD44</f>
        <v>3393000</v>
      </c>
      <c r="T47" s="329" t="s">
        <v>338</v>
      </c>
      <c r="U47" s="328" t="s">
        <v>340</v>
      </c>
      <c r="V47" s="385">
        <v>0.12809999999999999</v>
      </c>
      <c r="W47" s="328"/>
      <c r="X47" s="330"/>
      <c r="Y47" s="331"/>
      <c r="Z47" s="331"/>
      <c r="AA47" s="329" t="s">
        <v>342</v>
      </c>
      <c r="AB47" s="270" t="s">
        <v>339</v>
      </c>
      <c r="AC47" s="274"/>
      <c r="AD47" s="121">
        <f>ROUNDUP(S47*V47,-3)</f>
        <v>435000</v>
      </c>
      <c r="AE47" s="298" t="s">
        <v>338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364</v>
      </c>
      <c r="P49" s="273"/>
      <c r="Q49" s="273"/>
      <c r="R49" s="273"/>
      <c r="S49" s="273"/>
      <c r="T49" s="270"/>
      <c r="U49" s="270"/>
      <c r="V49" s="270"/>
      <c r="W49" s="344" t="s">
        <v>349</v>
      </c>
      <c r="X49" s="344"/>
      <c r="Y49" s="344"/>
      <c r="Z49" s="344"/>
      <c r="AA49" s="344"/>
      <c r="AB49" s="344"/>
      <c r="AC49" s="345" t="s">
        <v>350</v>
      </c>
      <c r="AD49" s="345">
        <f>ROUND(SUM(AD50:AD51),-3)</f>
        <v>1101000</v>
      </c>
      <c r="AE49" s="346" t="s">
        <v>338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499</v>
      </c>
      <c r="P50" s="273"/>
      <c r="Q50" s="273"/>
      <c r="R50" s="273"/>
      <c r="S50" s="270">
        <f>S44</f>
        <v>95696000</v>
      </c>
      <c r="T50" s="329" t="s">
        <v>338</v>
      </c>
      <c r="U50" s="328" t="s">
        <v>340</v>
      </c>
      <c r="V50" s="385">
        <v>1.15E-2</v>
      </c>
      <c r="W50" s="328"/>
      <c r="X50" s="330"/>
      <c r="Y50" s="331"/>
      <c r="Z50" s="331"/>
      <c r="AA50" s="329" t="s">
        <v>342</v>
      </c>
      <c r="AB50" s="270" t="s">
        <v>339</v>
      </c>
      <c r="AC50" s="274"/>
      <c r="AD50" s="121">
        <f>ROUNDUP(S50*V50,-3)</f>
        <v>1101000</v>
      </c>
      <c r="AE50" s="298" t="s">
        <v>338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365</v>
      </c>
      <c r="P52" s="273"/>
      <c r="Q52" s="273"/>
      <c r="R52" s="273"/>
      <c r="S52" s="273"/>
      <c r="T52" s="270"/>
      <c r="U52" s="270"/>
      <c r="V52" s="270"/>
      <c r="W52" s="344" t="s">
        <v>349</v>
      </c>
      <c r="X52" s="344"/>
      <c r="Y52" s="344"/>
      <c r="Z52" s="344"/>
      <c r="AA52" s="344"/>
      <c r="AB52" s="344"/>
      <c r="AC52" s="345" t="s">
        <v>350</v>
      </c>
      <c r="AD52" s="345">
        <f>ROUND(SUM(AD53:AD54),-3)</f>
        <v>728000</v>
      </c>
      <c r="AE52" s="346" t="s">
        <v>338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499</v>
      </c>
      <c r="P53" s="273"/>
      <c r="Q53" s="273"/>
      <c r="R53" s="273"/>
      <c r="S53" s="270">
        <f>S50</f>
        <v>95696000</v>
      </c>
      <c r="T53" s="329" t="s">
        <v>338</v>
      </c>
      <c r="U53" s="328" t="s">
        <v>340</v>
      </c>
      <c r="V53" s="388">
        <v>7.6E-3</v>
      </c>
      <c r="W53" s="328"/>
      <c r="X53" s="330"/>
      <c r="Y53" s="331"/>
      <c r="Z53" s="331"/>
      <c r="AA53" s="329" t="s">
        <v>342</v>
      </c>
      <c r="AB53" s="270" t="s">
        <v>339</v>
      </c>
      <c r="AC53" s="274"/>
      <c r="AD53" s="121">
        <f>ROUNDUP(S53*V53,-3)</f>
        <v>728000</v>
      </c>
      <c r="AE53" s="298" t="s">
        <v>338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435</v>
      </c>
      <c r="P55" s="273"/>
      <c r="Q55" s="273"/>
      <c r="R55" s="273"/>
      <c r="S55" s="270"/>
      <c r="T55" s="329"/>
      <c r="U55" s="328"/>
      <c r="V55" s="388"/>
      <c r="W55" s="461"/>
      <c r="X55" s="462"/>
      <c r="Y55" s="463"/>
      <c r="Z55" s="463"/>
      <c r="AA55" s="377"/>
      <c r="AB55" s="344" t="s">
        <v>343</v>
      </c>
      <c r="AC55" s="345"/>
      <c r="AD55" s="401">
        <v>0</v>
      </c>
      <c r="AE55" s="346" t="s">
        <v>338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366</v>
      </c>
      <c r="D57" s="135">
        <v>500</v>
      </c>
      <c r="E57" s="103">
        <f>ROUND(AD57/1000,0)</f>
        <v>700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200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200</v>
      </c>
      <c r="N57" s="109">
        <f>IF(D57=0,0,M57/D57)</f>
        <v>0.4</v>
      </c>
      <c r="O57" s="85" t="s">
        <v>367</v>
      </c>
      <c r="P57" s="426"/>
      <c r="Q57" s="153"/>
      <c r="R57" s="153"/>
      <c r="S57" s="153"/>
      <c r="T57" s="152"/>
      <c r="U57" s="152"/>
      <c r="V57" s="152"/>
      <c r="W57" s="425" t="s">
        <v>359</v>
      </c>
      <c r="X57" s="425"/>
      <c r="Y57" s="425"/>
      <c r="Z57" s="425"/>
      <c r="AA57" s="425"/>
      <c r="AB57" s="425"/>
      <c r="AC57" s="147"/>
      <c r="AD57" s="147">
        <f>SUM(AD58:AD61)</f>
        <v>700000</v>
      </c>
      <c r="AE57" s="146" t="s">
        <v>25</v>
      </c>
    </row>
    <row r="58" spans="1:31" s="11" customFormat="1" ht="21" customHeight="1">
      <c r="A58" s="37"/>
      <c r="B58" s="38"/>
      <c r="C58" s="38"/>
      <c r="D58" s="439"/>
      <c r="E58" s="440"/>
      <c r="F58" s="440"/>
      <c r="G58" s="440"/>
      <c r="H58" s="440"/>
      <c r="I58" s="440"/>
      <c r="J58" s="440"/>
      <c r="K58" s="440"/>
      <c r="L58" s="440"/>
      <c r="M58" s="97"/>
      <c r="N58" s="60"/>
      <c r="O58" s="471" t="s">
        <v>368</v>
      </c>
      <c r="P58" s="471"/>
      <c r="Q58" s="471"/>
      <c r="R58" s="471"/>
      <c r="S58" s="470"/>
      <c r="T58" s="470"/>
      <c r="U58" s="389"/>
      <c r="V58" s="470"/>
      <c r="W58" s="470"/>
      <c r="X58" s="389"/>
      <c r="Y58" s="470"/>
      <c r="Z58" s="470"/>
      <c r="AA58" s="470"/>
      <c r="AB58" s="470" t="s">
        <v>312</v>
      </c>
      <c r="AC58" s="390"/>
      <c r="AD58" s="470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41"/>
      <c r="E59" s="442"/>
      <c r="F59" s="442"/>
      <c r="G59" s="442"/>
      <c r="H59" s="442"/>
      <c r="I59" s="442"/>
      <c r="J59" s="442"/>
      <c r="K59" s="442"/>
      <c r="L59" s="442"/>
      <c r="M59" s="97"/>
      <c r="N59" s="60"/>
      <c r="O59" s="471" t="s">
        <v>511</v>
      </c>
      <c r="P59" s="396"/>
      <c r="Q59" s="471"/>
      <c r="R59" s="471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9" t="s">
        <v>53</v>
      </c>
      <c r="AB59" s="291" t="s">
        <v>369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1" t="s">
        <v>512</v>
      </c>
      <c r="P60" s="470"/>
      <c r="Q60" s="471"/>
      <c r="R60" s="471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9" t="s">
        <v>53</v>
      </c>
      <c r="AB60" s="291" t="s">
        <v>369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9" t="s">
        <v>529</v>
      </c>
      <c r="P61" s="428"/>
      <c r="Q61" s="429"/>
      <c r="R61" s="429"/>
      <c r="S61" s="291"/>
      <c r="T61" s="44"/>
      <c r="U61" s="235"/>
      <c r="V61" s="291"/>
      <c r="W61" s="64"/>
      <c r="X61" s="64"/>
      <c r="Y61" s="67"/>
      <c r="Z61" s="65"/>
      <c r="AA61" s="534" t="s">
        <v>53</v>
      </c>
      <c r="AB61" s="291" t="s">
        <v>383</v>
      </c>
      <c r="AC61" s="58"/>
      <c r="AD61" s="58">
        <v>200000</v>
      </c>
      <c r="AE61" s="122" t="s">
        <v>56</v>
      </c>
    </row>
    <row r="62" spans="1:31" s="11" customFormat="1" ht="21" customHeight="1">
      <c r="A62" s="37"/>
      <c r="B62" s="28" t="s">
        <v>370</v>
      </c>
      <c r="C62" s="28" t="s">
        <v>5</v>
      </c>
      <c r="D62" s="102">
        <f t="shared" ref="D62:L62" si="3">SUM(D63,D65,D67)</f>
        <v>180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371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372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5" t="s">
        <v>373</v>
      </c>
      <c r="Z63" s="425"/>
      <c r="AA63" s="425"/>
      <c r="AB63" s="425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9" t="s">
        <v>374</v>
      </c>
      <c r="P64" s="429"/>
      <c r="Q64" s="429"/>
      <c r="R64" s="429"/>
      <c r="S64" s="428"/>
      <c r="T64" s="293"/>
      <c r="U64" s="293"/>
      <c r="V64" s="428"/>
      <c r="W64" s="429"/>
      <c r="X64" s="428"/>
      <c r="Y64" s="428"/>
      <c r="Z64" s="428"/>
      <c r="AA64" s="428"/>
      <c r="AB64" s="428" t="s">
        <v>343</v>
      </c>
      <c r="AC64" s="428"/>
      <c r="AD64" s="428">
        <v>0</v>
      </c>
      <c r="AE64" s="122" t="s">
        <v>338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375</v>
      </c>
      <c r="P65" s="426"/>
      <c r="Q65" s="153"/>
      <c r="R65" s="153"/>
      <c r="S65" s="153"/>
      <c r="T65" s="152"/>
      <c r="U65" s="152"/>
      <c r="V65" s="152"/>
      <c r="W65" s="152"/>
      <c r="X65" s="152"/>
      <c r="Y65" s="425" t="s">
        <v>373</v>
      </c>
      <c r="Z65" s="425"/>
      <c r="AA65" s="425"/>
      <c r="AB65" s="425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376</v>
      </c>
      <c r="D67" s="133">
        <v>180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5" t="s">
        <v>373</v>
      </c>
      <c r="Z67" s="425"/>
      <c r="AA67" s="425"/>
      <c r="AB67" s="425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5" t="s">
        <v>437</v>
      </c>
      <c r="P68" s="429"/>
      <c r="Q68" s="429"/>
      <c r="R68" s="429"/>
      <c r="S68" s="464">
        <v>50000</v>
      </c>
      <c r="T68" s="464" t="s">
        <v>25</v>
      </c>
      <c r="U68" s="465" t="s">
        <v>26</v>
      </c>
      <c r="V68" s="466">
        <v>2</v>
      </c>
      <c r="W68" s="465" t="s">
        <v>26</v>
      </c>
      <c r="X68" s="467">
        <v>1</v>
      </c>
      <c r="Y68" s="468"/>
      <c r="Z68" s="469"/>
      <c r="AA68" s="469" t="s">
        <v>27</v>
      </c>
      <c r="AB68" s="469" t="s">
        <v>436</v>
      </c>
      <c r="AC68" s="428"/>
      <c r="AD68" s="444">
        <f>S68*V68*X68</f>
        <v>100000</v>
      </c>
      <c r="AE68" s="122" t="s">
        <v>338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5" t="s">
        <v>438</v>
      </c>
      <c r="P69" s="429"/>
      <c r="Q69" s="429"/>
      <c r="R69" s="429"/>
      <c r="S69" s="464">
        <v>20000</v>
      </c>
      <c r="T69" s="464" t="s">
        <v>25</v>
      </c>
      <c r="U69" s="465" t="s">
        <v>26</v>
      </c>
      <c r="V69" s="466">
        <v>4</v>
      </c>
      <c r="W69" s="464"/>
      <c r="X69" s="465"/>
      <c r="Y69" s="468"/>
      <c r="Z69" s="469"/>
      <c r="AA69" s="469" t="s">
        <v>27</v>
      </c>
      <c r="AB69" s="469" t="s">
        <v>436</v>
      </c>
      <c r="AC69" s="429"/>
      <c r="AD69" s="444">
        <f>S69*V69</f>
        <v>80000</v>
      </c>
      <c r="AE69" s="122" t="s">
        <v>338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9"/>
      <c r="P70" s="429"/>
      <c r="Q70" s="429"/>
      <c r="R70" s="429"/>
      <c r="S70" s="428"/>
      <c r="T70" s="293"/>
      <c r="U70" s="293"/>
      <c r="V70" s="428"/>
      <c r="W70" s="429"/>
      <c r="X70" s="428"/>
      <c r="Y70" s="428"/>
      <c r="Z70" s="428"/>
      <c r="AA70" s="428"/>
      <c r="AB70" s="428"/>
      <c r="AC70" s="428"/>
      <c r="AD70" s="428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11069</v>
      </c>
      <c r="E71" s="144">
        <f t="shared" si="4"/>
        <v>13834</v>
      </c>
      <c r="F71" s="144">
        <f t="shared" si="4"/>
        <v>4600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6396</v>
      </c>
      <c r="K71" s="144">
        <f t="shared" si="4"/>
        <v>6</v>
      </c>
      <c r="L71" s="144">
        <f t="shared" si="4"/>
        <v>2832</v>
      </c>
      <c r="M71" s="445">
        <f>E71-D71</f>
        <v>2765</v>
      </c>
      <c r="N71" s="145">
        <f>IF(D71=0,0,M71/D71)</f>
        <v>0.24979672960520372</v>
      </c>
      <c r="O71" s="426" t="s">
        <v>378</v>
      </c>
      <c r="P71" s="426"/>
      <c r="Q71" s="426"/>
      <c r="R71" s="426"/>
      <c r="S71" s="425"/>
      <c r="T71" s="154"/>
      <c r="U71" s="425"/>
      <c r="V71" s="599"/>
      <c r="W71" s="600"/>
      <c r="X71" s="425"/>
      <c r="Y71" s="425"/>
      <c r="Z71" s="425"/>
      <c r="AA71" s="425"/>
      <c r="AB71" s="425"/>
      <c r="AC71" s="425"/>
      <c r="AD71" s="425">
        <f>SUM(AD72,AD75,AD85,AD93,AD99,AD103)</f>
        <v>13834000</v>
      </c>
      <c r="AE71" s="146" t="s">
        <v>25</v>
      </c>
    </row>
    <row r="72" spans="1:31" s="11" customFormat="1" ht="21" customHeight="1">
      <c r="A72" s="37"/>
      <c r="B72" s="38"/>
      <c r="C72" s="38" t="s">
        <v>379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5" t="s">
        <v>373</v>
      </c>
      <c r="Z72" s="425"/>
      <c r="AA72" s="425"/>
      <c r="AB72" s="425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9" t="s">
        <v>380</v>
      </c>
      <c r="P73" s="429"/>
      <c r="Q73" s="429"/>
      <c r="R73" s="429"/>
      <c r="S73" s="464">
        <v>30000</v>
      </c>
      <c r="T73" s="475" t="s">
        <v>25</v>
      </c>
      <c r="U73" s="475" t="s">
        <v>26</v>
      </c>
      <c r="V73" s="474">
        <v>2</v>
      </c>
      <c r="W73" s="476" t="s">
        <v>502</v>
      </c>
      <c r="X73" s="474" t="s">
        <v>27</v>
      </c>
      <c r="Y73" s="464"/>
      <c r="Z73" s="464"/>
      <c r="AA73" s="464"/>
      <c r="AB73" s="464" t="s">
        <v>503</v>
      </c>
      <c r="AC73" s="464"/>
      <c r="AD73" s="464">
        <f>S73*V73</f>
        <v>60000</v>
      </c>
      <c r="AE73" s="473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9" t="s">
        <v>381</v>
      </c>
      <c r="P74" s="429"/>
      <c r="Q74" s="429"/>
      <c r="R74" s="429"/>
      <c r="S74" s="428"/>
      <c r="T74" s="293"/>
      <c r="U74" s="293"/>
      <c r="V74" s="428"/>
      <c r="W74" s="293"/>
      <c r="X74" s="428"/>
      <c r="Y74" s="428"/>
      <c r="Z74" s="428"/>
      <c r="AA74" s="428"/>
      <c r="AB74" s="428" t="s">
        <v>343</v>
      </c>
      <c r="AC74" s="428"/>
      <c r="AD74" s="428">
        <v>0</v>
      </c>
      <c r="AE74" s="122" t="s">
        <v>338</v>
      </c>
    </row>
    <row r="75" spans="1:31" s="11" customFormat="1" ht="21" customHeight="1">
      <c r="A75" s="37"/>
      <c r="B75" s="38"/>
      <c r="C75" s="28" t="s">
        <v>41</v>
      </c>
      <c r="D75" s="135">
        <v>2325</v>
      </c>
      <c r="E75" s="102">
        <f>ROUND(AD75/1000,0)</f>
        <v>3761</v>
      </c>
      <c r="F75" s="103">
        <f>SUMIF($AB$76:$AB$83,"보조",$AD$76:$AD$83)/1000</f>
        <v>1070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2691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1436</v>
      </c>
      <c r="N75" s="109">
        <f>IF(D75=0,0,M75/D75)</f>
        <v>0.61763440860215058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3761000</v>
      </c>
      <c r="AE75" s="146" t="s">
        <v>25</v>
      </c>
    </row>
    <row r="76" spans="1:31" s="11" customFormat="1" ht="21" customHeight="1">
      <c r="A76" s="37"/>
      <c r="B76" s="38"/>
      <c r="C76" s="38" t="s">
        <v>382</v>
      </c>
      <c r="D76" s="439"/>
      <c r="E76" s="440"/>
      <c r="F76" s="440"/>
      <c r="G76" s="440"/>
      <c r="H76" s="440"/>
      <c r="I76" s="440"/>
      <c r="J76" s="440"/>
      <c r="K76" s="440"/>
      <c r="L76" s="440"/>
      <c r="M76" s="97"/>
      <c r="N76" s="60"/>
      <c r="O76" s="304" t="s">
        <v>446</v>
      </c>
      <c r="P76" s="429"/>
      <c r="Q76" s="429"/>
      <c r="R76" s="429"/>
      <c r="S76" s="428"/>
      <c r="T76" s="293"/>
      <c r="U76" s="428"/>
      <c r="V76" s="305"/>
      <c r="W76" s="306"/>
      <c r="X76" s="306"/>
      <c r="Y76" s="305"/>
      <c r="Z76" s="307"/>
      <c r="AA76" s="305"/>
      <c r="AB76" s="289" t="s">
        <v>339</v>
      </c>
      <c r="AC76" s="289"/>
      <c r="AD76" s="470">
        <v>729000</v>
      </c>
      <c r="AE76" s="392" t="s">
        <v>25</v>
      </c>
    </row>
    <row r="77" spans="1:31" s="11" customFormat="1" ht="21" customHeight="1">
      <c r="A77" s="37"/>
      <c r="B77" s="38"/>
      <c r="C77" s="38"/>
      <c r="D77" s="441"/>
      <c r="E77" s="442"/>
      <c r="F77" s="442"/>
      <c r="G77" s="442"/>
      <c r="H77" s="442"/>
      <c r="I77" s="442"/>
      <c r="J77" s="442"/>
      <c r="K77" s="442"/>
      <c r="L77" s="442"/>
      <c r="M77" s="97"/>
      <c r="N77" s="60"/>
      <c r="O77" s="465" t="s">
        <v>444</v>
      </c>
      <c r="P77" s="465"/>
      <c r="Q77" s="465"/>
      <c r="R77" s="465"/>
      <c r="S77" s="464"/>
      <c r="T77" s="472"/>
      <c r="U77" s="472"/>
      <c r="V77" s="464">
        <v>31000</v>
      </c>
      <c r="W77" s="464" t="s">
        <v>25</v>
      </c>
      <c r="X77" s="464" t="s">
        <v>26</v>
      </c>
      <c r="Y77" s="464">
        <v>11</v>
      </c>
      <c r="Z77" s="464" t="s">
        <v>29</v>
      </c>
      <c r="AA77" s="464" t="s">
        <v>27</v>
      </c>
      <c r="AB77" s="464" t="s">
        <v>445</v>
      </c>
      <c r="AC77" s="464"/>
      <c r="AD77" s="464">
        <f>V77*Y77</f>
        <v>341000</v>
      </c>
      <c r="AE77" s="473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5"/>
      <c r="P78" s="465"/>
      <c r="Q78" s="465"/>
      <c r="R78" s="465"/>
      <c r="S78" s="464"/>
      <c r="T78" s="472"/>
      <c r="U78" s="472"/>
      <c r="V78" s="464">
        <v>31000</v>
      </c>
      <c r="W78" s="464" t="s">
        <v>25</v>
      </c>
      <c r="X78" s="464" t="s">
        <v>26</v>
      </c>
      <c r="Y78" s="464">
        <v>1</v>
      </c>
      <c r="Z78" s="464" t="s">
        <v>29</v>
      </c>
      <c r="AA78" s="464" t="s">
        <v>27</v>
      </c>
      <c r="AB78" s="464" t="s">
        <v>383</v>
      </c>
      <c r="AC78" s="464"/>
      <c r="AD78" s="464">
        <f>V78*Y78</f>
        <v>31000</v>
      </c>
      <c r="AE78" s="473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5" t="s">
        <v>518</v>
      </c>
      <c r="P79" s="465"/>
      <c r="Q79" s="465"/>
      <c r="R79" s="465"/>
      <c r="S79" s="464"/>
      <c r="T79" s="472"/>
      <c r="U79" s="472"/>
      <c r="V79" s="464">
        <v>20000</v>
      </c>
      <c r="W79" s="464" t="s">
        <v>25</v>
      </c>
      <c r="X79" s="464" t="s">
        <v>26</v>
      </c>
      <c r="Y79" s="464">
        <v>12</v>
      </c>
      <c r="Z79" s="464" t="s">
        <v>29</v>
      </c>
      <c r="AA79" s="464" t="s">
        <v>27</v>
      </c>
      <c r="AB79" s="464" t="s">
        <v>383</v>
      </c>
      <c r="AC79" s="464"/>
      <c r="AD79" s="464">
        <f>V79*Y79</f>
        <v>240000</v>
      </c>
      <c r="AE79" s="473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9" t="s">
        <v>447</v>
      </c>
      <c r="P80" s="429"/>
      <c r="Q80" s="429"/>
      <c r="R80" s="429"/>
      <c r="S80" s="428"/>
      <c r="T80" s="293"/>
      <c r="U80" s="293"/>
      <c r="V80" s="305">
        <v>55000</v>
      </c>
      <c r="W80" s="306" t="s">
        <v>338</v>
      </c>
      <c r="X80" s="306" t="s">
        <v>26</v>
      </c>
      <c r="Y80" s="305">
        <v>4</v>
      </c>
      <c r="Z80" s="307" t="s">
        <v>377</v>
      </c>
      <c r="AA80" s="305" t="s">
        <v>27</v>
      </c>
      <c r="AB80" s="464" t="s">
        <v>383</v>
      </c>
      <c r="AC80" s="428"/>
      <c r="AD80" s="428">
        <f>V80*Y80</f>
        <v>220000</v>
      </c>
      <c r="AE80" s="122" t="s">
        <v>338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5" t="s">
        <v>448</v>
      </c>
      <c r="P81" s="465"/>
      <c r="Q81" s="465"/>
      <c r="R81" s="465"/>
      <c r="S81" s="464"/>
      <c r="T81" s="472"/>
      <c r="U81" s="472"/>
      <c r="V81" s="464"/>
      <c r="W81" s="464"/>
      <c r="X81" s="464"/>
      <c r="Y81" s="464"/>
      <c r="Z81" s="464"/>
      <c r="AA81" s="464"/>
      <c r="AB81" s="464" t="s">
        <v>436</v>
      </c>
      <c r="AC81" s="464"/>
      <c r="AD81" s="464">
        <v>500000</v>
      </c>
      <c r="AE81" s="473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5" t="s">
        <v>449</v>
      </c>
      <c r="P82" s="465"/>
      <c r="Q82" s="465"/>
      <c r="R82" s="465"/>
      <c r="S82" s="464"/>
      <c r="T82" s="472"/>
      <c r="U82" s="472"/>
      <c r="V82" s="464"/>
      <c r="W82" s="464"/>
      <c r="X82" s="464"/>
      <c r="Y82" s="464"/>
      <c r="Z82" s="464"/>
      <c r="AA82" s="464"/>
      <c r="AB82" s="464" t="s">
        <v>436</v>
      </c>
      <c r="AC82" s="464"/>
      <c r="AD82" s="464">
        <v>500000</v>
      </c>
      <c r="AE82" s="473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5" t="s">
        <v>450</v>
      </c>
      <c r="P83" s="465"/>
      <c r="Q83" s="465"/>
      <c r="R83" s="465"/>
      <c r="S83" s="464"/>
      <c r="T83" s="472"/>
      <c r="U83" s="472"/>
      <c r="V83" s="474"/>
      <c r="W83" s="475"/>
      <c r="X83" s="475"/>
      <c r="Y83" s="474"/>
      <c r="Z83" s="476"/>
      <c r="AA83" s="474"/>
      <c r="AB83" s="464" t="s">
        <v>436</v>
      </c>
      <c r="AC83" s="464"/>
      <c r="AD83" s="464">
        <v>1200000</v>
      </c>
      <c r="AE83" s="473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7"/>
      <c r="AE84" s="448"/>
    </row>
    <row r="85" spans="1:31" s="11" customFormat="1" ht="21" customHeight="1">
      <c r="A85" s="37"/>
      <c r="B85" s="38"/>
      <c r="C85" s="38" t="s">
        <v>39</v>
      </c>
      <c r="D85" s="133">
        <v>5404</v>
      </c>
      <c r="E85" s="97">
        <f>ROUND(AD85/1000,0)</f>
        <v>5923</v>
      </c>
      <c r="F85" s="103">
        <f>SUMIF($AB$86:$AB$92,"보조",$AD$86:$AD$92)/1000</f>
        <v>3530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1235</v>
      </c>
      <c r="K85" s="103">
        <f>SUMIF($AB$86:$AB$92,"법인",$AD$86:$AD$92)/1000</f>
        <v>6</v>
      </c>
      <c r="L85" s="103">
        <f>SUMIF($AB$86:$AB$92,"잡수",$AD$86:$AD$92)/1000</f>
        <v>1152</v>
      </c>
      <c r="M85" s="417">
        <f>E85-D85</f>
        <v>519</v>
      </c>
      <c r="N85" s="60">
        <f>IF(D85=0,0,M85/D85)</f>
        <v>9.6039970392301999E-2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373</v>
      </c>
      <c r="Z85" s="336"/>
      <c r="AA85" s="336"/>
      <c r="AB85" s="336"/>
      <c r="AC85" s="337"/>
      <c r="AD85" s="337">
        <f>ROUND(SUM(AD86:AD92),-3)</f>
        <v>5923000</v>
      </c>
      <c r="AE85" s="338" t="s">
        <v>25</v>
      </c>
    </row>
    <row r="86" spans="1:31" s="11" customFormat="1" ht="21" customHeight="1">
      <c r="A86" s="37"/>
      <c r="B86" s="38"/>
      <c r="C86" s="38"/>
      <c r="D86" s="439"/>
      <c r="E86" s="440"/>
      <c r="F86" s="440"/>
      <c r="G86" s="440"/>
      <c r="H86" s="440"/>
      <c r="I86" s="440"/>
      <c r="J86" s="440"/>
      <c r="K86" s="440"/>
      <c r="L86" s="440"/>
      <c r="M86" s="97"/>
      <c r="N86" s="60"/>
      <c r="O86" s="477" t="s">
        <v>451</v>
      </c>
      <c r="P86" s="465"/>
      <c r="Q86" s="465"/>
      <c r="R86" s="465"/>
      <c r="S86" s="464">
        <v>35000</v>
      </c>
      <c r="T86" s="475" t="s">
        <v>25</v>
      </c>
      <c r="U86" s="475" t="s">
        <v>26</v>
      </c>
      <c r="V86" s="474">
        <v>10</v>
      </c>
      <c r="W86" s="476" t="s">
        <v>29</v>
      </c>
      <c r="X86" s="474" t="s">
        <v>27</v>
      </c>
      <c r="Y86" s="464"/>
      <c r="Z86" s="464"/>
      <c r="AA86" s="464"/>
      <c r="AB86" s="464" t="s">
        <v>445</v>
      </c>
      <c r="AC86" s="464"/>
      <c r="AD86" s="464">
        <f>S86*V86</f>
        <v>350000</v>
      </c>
      <c r="AE86" s="473" t="s">
        <v>25</v>
      </c>
    </row>
    <row r="87" spans="1:31" s="11" customFormat="1" ht="21" customHeight="1">
      <c r="A87" s="37"/>
      <c r="B87" s="38"/>
      <c r="C87" s="38"/>
      <c r="D87" s="441"/>
      <c r="E87" s="442"/>
      <c r="F87" s="442"/>
      <c r="G87" s="442"/>
      <c r="H87" s="442"/>
      <c r="I87" s="442"/>
      <c r="J87" s="442"/>
      <c r="K87" s="442"/>
      <c r="L87" s="442"/>
      <c r="M87" s="97"/>
      <c r="N87" s="60"/>
      <c r="O87" s="465"/>
      <c r="P87" s="465"/>
      <c r="Q87" s="465"/>
      <c r="R87" s="465"/>
      <c r="S87" s="464">
        <v>35000</v>
      </c>
      <c r="T87" s="475" t="s">
        <v>25</v>
      </c>
      <c r="U87" s="475" t="s">
        <v>26</v>
      </c>
      <c r="V87" s="474">
        <v>2</v>
      </c>
      <c r="W87" s="476" t="s">
        <v>29</v>
      </c>
      <c r="X87" s="474" t="s">
        <v>27</v>
      </c>
      <c r="Y87" s="464"/>
      <c r="Z87" s="464"/>
      <c r="AA87" s="464"/>
      <c r="AB87" s="464" t="s">
        <v>388</v>
      </c>
      <c r="AC87" s="464"/>
      <c r="AD87" s="464">
        <f>S87*V87</f>
        <v>70000</v>
      </c>
      <c r="AE87" s="473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5" t="s">
        <v>452</v>
      </c>
      <c r="P88" s="465"/>
      <c r="Q88" s="465"/>
      <c r="R88" s="465"/>
      <c r="S88" s="464">
        <v>397500</v>
      </c>
      <c r="T88" s="472" t="s">
        <v>25</v>
      </c>
      <c r="U88" s="472" t="s">
        <v>26</v>
      </c>
      <c r="V88" s="464">
        <v>8</v>
      </c>
      <c r="W88" s="465" t="s">
        <v>29</v>
      </c>
      <c r="X88" s="464" t="s">
        <v>27</v>
      </c>
      <c r="Y88" s="464"/>
      <c r="Z88" s="464"/>
      <c r="AA88" s="464"/>
      <c r="AB88" s="464" t="s">
        <v>445</v>
      </c>
      <c r="AC88" s="464"/>
      <c r="AD88" s="464">
        <f>S88*V88</f>
        <v>3180000</v>
      </c>
      <c r="AE88" s="473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5"/>
      <c r="P89" s="465"/>
      <c r="Q89" s="465"/>
      <c r="R89" s="465"/>
      <c r="S89" s="464">
        <v>308750</v>
      </c>
      <c r="T89" s="472" t="s">
        <v>25</v>
      </c>
      <c r="U89" s="472" t="s">
        <v>26</v>
      </c>
      <c r="V89" s="464">
        <v>4</v>
      </c>
      <c r="W89" s="465" t="s">
        <v>29</v>
      </c>
      <c r="X89" s="464" t="s">
        <v>27</v>
      </c>
      <c r="Y89" s="464"/>
      <c r="Z89" s="464"/>
      <c r="AA89" s="464"/>
      <c r="AB89" s="464" t="s">
        <v>516</v>
      </c>
      <c r="AC89" s="464"/>
      <c r="AD89" s="464">
        <f>S89*V89</f>
        <v>1235000</v>
      </c>
      <c r="AE89" s="473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5"/>
      <c r="P90" s="465"/>
      <c r="Q90" s="465"/>
      <c r="R90" s="465"/>
      <c r="S90" s="464">
        <v>400000</v>
      </c>
      <c r="T90" s="472" t="s">
        <v>25</v>
      </c>
      <c r="U90" s="472" t="s">
        <v>26</v>
      </c>
      <c r="V90" s="464">
        <v>2</v>
      </c>
      <c r="W90" s="465" t="s">
        <v>29</v>
      </c>
      <c r="X90" s="464" t="s">
        <v>27</v>
      </c>
      <c r="Y90" s="464"/>
      <c r="Z90" s="464"/>
      <c r="AA90" s="464"/>
      <c r="AB90" s="464" t="s">
        <v>453</v>
      </c>
      <c r="AC90" s="464"/>
      <c r="AD90" s="464">
        <f>S90*V90</f>
        <v>800000</v>
      </c>
      <c r="AE90" s="473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5" t="s">
        <v>454</v>
      </c>
      <c r="P91" s="465"/>
      <c r="Q91" s="465"/>
      <c r="R91" s="465"/>
      <c r="S91" s="464"/>
      <c r="T91" s="472"/>
      <c r="V91" s="464"/>
      <c r="W91" s="465"/>
      <c r="X91" s="464"/>
      <c r="Y91" s="464"/>
      <c r="Z91" s="464"/>
      <c r="AA91" s="464"/>
      <c r="AB91" s="464" t="s">
        <v>388</v>
      </c>
      <c r="AC91" s="464"/>
      <c r="AD91" s="464">
        <v>282000</v>
      </c>
      <c r="AE91" s="473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5"/>
      <c r="P92" s="465"/>
      <c r="Q92" s="465"/>
      <c r="R92" s="465"/>
      <c r="S92" s="464"/>
      <c r="T92" s="472"/>
      <c r="V92" s="464"/>
      <c r="W92" s="465"/>
      <c r="X92" s="464"/>
      <c r="Y92" s="464"/>
      <c r="Z92" s="464"/>
      <c r="AA92" s="464"/>
      <c r="AB92" s="464" t="s">
        <v>168</v>
      </c>
      <c r="AC92" s="464"/>
      <c r="AD92" s="464">
        <v>6000</v>
      </c>
      <c r="AE92" s="473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373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9"/>
      <c r="E94" s="440"/>
      <c r="F94" s="440"/>
      <c r="G94" s="440"/>
      <c r="H94" s="440"/>
      <c r="I94" s="440"/>
      <c r="J94" s="440"/>
      <c r="K94" s="440"/>
      <c r="L94" s="440"/>
      <c r="M94" s="97"/>
      <c r="N94" s="60"/>
      <c r="O94" s="465" t="s">
        <v>455</v>
      </c>
      <c r="P94" s="478"/>
      <c r="Q94" s="478"/>
      <c r="R94" s="478"/>
      <c r="S94" s="464">
        <v>20000</v>
      </c>
      <c r="T94" s="472" t="s">
        <v>25</v>
      </c>
      <c r="U94" s="472" t="s">
        <v>26</v>
      </c>
      <c r="V94" s="464">
        <v>1</v>
      </c>
      <c r="W94" s="465" t="s">
        <v>505</v>
      </c>
      <c r="X94" s="469"/>
      <c r="Y94" s="480"/>
      <c r="Z94" s="464"/>
      <c r="AA94" s="464" t="s">
        <v>27</v>
      </c>
      <c r="AB94" s="464" t="s">
        <v>436</v>
      </c>
      <c r="AC94" s="464"/>
      <c r="AD94" s="464">
        <f>S94*V94</f>
        <v>20000</v>
      </c>
      <c r="AE94" s="473" t="s">
        <v>25</v>
      </c>
    </row>
    <row r="95" spans="1:31" s="11" customFormat="1" ht="21" customHeight="1">
      <c r="A95" s="37"/>
      <c r="B95" s="38"/>
      <c r="C95" s="38"/>
      <c r="D95" s="441"/>
      <c r="E95" s="442"/>
      <c r="F95" s="442"/>
      <c r="G95" s="442"/>
      <c r="H95" s="442"/>
      <c r="I95" s="442"/>
      <c r="J95" s="442"/>
      <c r="K95" s="442"/>
      <c r="L95" s="442"/>
      <c r="M95" s="97"/>
      <c r="N95" s="60"/>
      <c r="O95" s="465" t="s">
        <v>457</v>
      </c>
      <c r="P95" s="478"/>
      <c r="Q95" s="478"/>
      <c r="R95" s="478"/>
      <c r="S95" s="464">
        <v>600000</v>
      </c>
      <c r="T95" s="472" t="s">
        <v>25</v>
      </c>
      <c r="U95" s="472" t="s">
        <v>26</v>
      </c>
      <c r="V95" s="464">
        <v>1</v>
      </c>
      <c r="W95" s="465" t="s">
        <v>456</v>
      </c>
      <c r="X95" s="469" t="s">
        <v>108</v>
      </c>
      <c r="Y95" s="480">
        <v>3</v>
      </c>
      <c r="Z95" s="464"/>
      <c r="AA95" s="464" t="s">
        <v>27</v>
      </c>
      <c r="AB95" s="464" t="s">
        <v>436</v>
      </c>
      <c r="AC95" s="464"/>
      <c r="AD95" s="464">
        <f>ROUNDDOWN(S95*V95/Y95,-4)</f>
        <v>200000</v>
      </c>
      <c r="AE95" s="473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5" t="s">
        <v>458</v>
      </c>
      <c r="P96" s="478"/>
      <c r="Q96" s="478"/>
      <c r="R96" s="478"/>
      <c r="S96" s="464">
        <v>200000</v>
      </c>
      <c r="T96" s="472" t="s">
        <v>25</v>
      </c>
      <c r="U96" s="472" t="s">
        <v>26</v>
      </c>
      <c r="V96" s="464">
        <v>1</v>
      </c>
      <c r="W96" s="465" t="s">
        <v>456</v>
      </c>
      <c r="X96" s="469"/>
      <c r="Y96" s="480"/>
      <c r="Z96" s="464"/>
      <c r="AA96" s="464" t="s">
        <v>27</v>
      </c>
      <c r="AB96" s="464" t="s">
        <v>436</v>
      </c>
      <c r="AC96" s="464"/>
      <c r="AD96" s="464">
        <f>S96*V96</f>
        <v>200000</v>
      </c>
      <c r="AE96" s="473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5" t="s">
        <v>459</v>
      </c>
      <c r="P97" s="478"/>
      <c r="Q97" s="478"/>
      <c r="R97" s="478"/>
      <c r="S97" s="465"/>
      <c r="T97" s="437"/>
      <c r="U97" s="479"/>
      <c r="V97" s="474"/>
      <c r="W97" s="475"/>
      <c r="X97" s="475"/>
      <c r="Y97" s="474"/>
      <c r="Z97" s="476"/>
      <c r="AA97" s="474" t="s">
        <v>27</v>
      </c>
      <c r="AB97" s="464" t="s">
        <v>383</v>
      </c>
      <c r="AC97" s="464"/>
      <c r="AD97" s="464">
        <v>100000</v>
      </c>
      <c r="AE97" s="473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7"/>
      <c r="Q98" s="427"/>
      <c r="R98" s="427"/>
      <c r="S98" s="427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5" t="s">
        <v>373</v>
      </c>
      <c r="Z99" s="425"/>
      <c r="AA99" s="425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9"/>
      <c r="E100" s="440"/>
      <c r="F100" s="440"/>
      <c r="G100" s="440"/>
      <c r="H100" s="440"/>
      <c r="I100" s="440"/>
      <c r="J100" s="440"/>
      <c r="K100" s="440"/>
      <c r="L100" s="440"/>
      <c r="M100" s="97"/>
      <c r="N100" s="60"/>
      <c r="O100" s="465" t="s">
        <v>460</v>
      </c>
      <c r="P100" s="465"/>
      <c r="Q100" s="465"/>
      <c r="R100" s="465"/>
      <c r="S100" s="464">
        <v>40000</v>
      </c>
      <c r="T100" s="472" t="s">
        <v>25</v>
      </c>
      <c r="U100" s="472" t="s">
        <v>26</v>
      </c>
      <c r="V100" s="464">
        <v>12</v>
      </c>
      <c r="W100" s="465" t="s">
        <v>29</v>
      </c>
      <c r="X100" s="464" t="s">
        <v>27</v>
      </c>
      <c r="Y100" s="464"/>
      <c r="Z100" s="464"/>
      <c r="AA100" s="464"/>
      <c r="AB100" s="464" t="s">
        <v>436</v>
      </c>
      <c r="AC100" s="464"/>
      <c r="AD100" s="464">
        <f>S100*V100</f>
        <v>480000</v>
      </c>
      <c r="AE100" s="473" t="s">
        <v>25</v>
      </c>
    </row>
    <row r="101" spans="1:31" s="11" customFormat="1" ht="21" customHeight="1">
      <c r="A101" s="37"/>
      <c r="B101" s="38"/>
      <c r="C101" s="38"/>
      <c r="D101" s="441"/>
      <c r="E101" s="442"/>
      <c r="F101" s="442"/>
      <c r="G101" s="442"/>
      <c r="H101" s="442"/>
      <c r="I101" s="442"/>
      <c r="J101" s="442"/>
      <c r="K101" s="442"/>
      <c r="L101" s="442"/>
      <c r="M101" s="97"/>
      <c r="N101" s="60"/>
      <c r="O101" s="465" t="s">
        <v>461</v>
      </c>
      <c r="P101" s="465"/>
      <c r="Q101" s="465"/>
      <c r="R101" s="465"/>
      <c r="S101" s="464"/>
      <c r="T101" s="472"/>
      <c r="U101" s="472"/>
      <c r="V101" s="464"/>
      <c r="W101" s="465"/>
      <c r="X101" s="464"/>
      <c r="Y101" s="464"/>
      <c r="Z101" s="464"/>
      <c r="AA101" s="464"/>
      <c r="AB101" s="464" t="s">
        <v>436</v>
      </c>
      <c r="AC101" s="464"/>
      <c r="AD101" s="464">
        <v>200000</v>
      </c>
      <c r="AE101" s="473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4"/>
      <c r="P102" s="424"/>
      <c r="Q102" s="424"/>
      <c r="R102" s="424"/>
      <c r="S102" s="423"/>
      <c r="T102" s="394"/>
      <c r="U102" s="423"/>
      <c r="V102" s="584"/>
      <c r="W102" s="585"/>
      <c r="X102" s="423"/>
      <c r="Y102" s="423"/>
      <c r="Z102" s="423"/>
      <c r="AA102" s="423"/>
      <c r="AB102" s="423"/>
      <c r="AC102" s="423"/>
      <c r="AD102" s="423"/>
      <c r="AE102" s="395"/>
    </row>
    <row r="103" spans="1:31" s="11" customFormat="1" ht="21" customHeight="1">
      <c r="A103" s="37"/>
      <c r="B103" s="38"/>
      <c r="C103" s="28" t="s">
        <v>384</v>
      </c>
      <c r="D103" s="115">
        <v>2080</v>
      </c>
      <c r="E103" s="102">
        <f>ROUND(AD103/1000,0)</f>
        <v>2890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1210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810</v>
      </c>
      <c r="N103" s="109">
        <f>IF(D103=0,0,M103/D103)</f>
        <v>0.38942307692307693</v>
      </c>
      <c r="O103" s="105" t="s">
        <v>385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5" t="s">
        <v>386</v>
      </c>
      <c r="Z103" s="425"/>
      <c r="AA103" s="425"/>
      <c r="AB103" s="425"/>
      <c r="AC103" s="147"/>
      <c r="AD103" s="147">
        <f>SUM(AD104,AD106)</f>
        <v>2890000</v>
      </c>
      <c r="AE103" s="146" t="s">
        <v>25</v>
      </c>
    </row>
    <row r="104" spans="1:31" s="11" customFormat="1" ht="21" customHeight="1">
      <c r="A104" s="37"/>
      <c r="B104" s="38"/>
      <c r="C104" s="38"/>
      <c r="D104" s="439"/>
      <c r="E104" s="440"/>
      <c r="F104" s="440"/>
      <c r="G104" s="440"/>
      <c r="H104" s="440"/>
      <c r="I104" s="440"/>
      <c r="J104" s="440"/>
      <c r="K104" s="440"/>
      <c r="L104" s="440"/>
      <c r="M104" s="97"/>
      <c r="N104" s="60"/>
      <c r="O104" s="465" t="s">
        <v>462</v>
      </c>
      <c r="P104" s="481"/>
      <c r="Q104" s="481"/>
      <c r="R104" s="481"/>
      <c r="S104" s="481"/>
      <c r="T104" s="482"/>
      <c r="U104" s="482"/>
      <c r="V104" s="482"/>
      <c r="W104" s="482"/>
      <c r="X104" s="482"/>
      <c r="Y104" s="483" t="s">
        <v>373</v>
      </c>
      <c r="Z104" s="483"/>
      <c r="AA104" s="483"/>
      <c r="AB104" s="483"/>
      <c r="AC104" s="484"/>
      <c r="AD104" s="484">
        <f>AD105</f>
        <v>210000</v>
      </c>
      <c r="AE104" s="485" t="s">
        <v>56</v>
      </c>
    </row>
    <row r="105" spans="1:31" s="11" customFormat="1" ht="20.25" customHeight="1">
      <c r="A105" s="37"/>
      <c r="B105" s="38"/>
      <c r="C105" s="38"/>
      <c r="D105" s="439"/>
      <c r="E105" s="440"/>
      <c r="F105" s="440"/>
      <c r="G105" s="442"/>
      <c r="H105" s="440"/>
      <c r="I105" s="440"/>
      <c r="J105" s="442"/>
      <c r="K105" s="440"/>
      <c r="L105" s="440"/>
      <c r="M105" s="97"/>
      <c r="N105" s="60"/>
      <c r="O105" s="465" t="s">
        <v>510</v>
      </c>
      <c r="P105" s="465"/>
      <c r="Q105" s="465"/>
      <c r="R105" s="465"/>
      <c r="S105" s="464">
        <v>70000</v>
      </c>
      <c r="T105" s="464" t="s">
        <v>25</v>
      </c>
      <c r="U105" s="486" t="s">
        <v>26</v>
      </c>
      <c r="V105" s="464">
        <v>3</v>
      </c>
      <c r="W105" s="464" t="s">
        <v>456</v>
      </c>
      <c r="X105" s="486"/>
      <c r="Y105" s="464"/>
      <c r="Z105" s="464"/>
      <c r="AA105" s="464" t="s">
        <v>27</v>
      </c>
      <c r="AB105" s="464" t="s">
        <v>436</v>
      </c>
      <c r="AC105" s="437"/>
      <c r="AD105" s="437">
        <f>S105*V105</f>
        <v>210000</v>
      </c>
      <c r="AE105" s="473" t="s">
        <v>25</v>
      </c>
    </row>
    <row r="106" spans="1:31" s="11" customFormat="1" ht="20.25" customHeight="1">
      <c r="A106" s="37"/>
      <c r="B106" s="38"/>
      <c r="C106" s="38"/>
      <c r="D106" s="441"/>
      <c r="E106" s="442"/>
      <c r="F106" s="442"/>
      <c r="G106" s="442"/>
      <c r="H106" s="442"/>
      <c r="I106" s="442"/>
      <c r="J106" s="442"/>
      <c r="K106" s="442"/>
      <c r="L106" s="442"/>
      <c r="M106" s="97"/>
      <c r="N106" s="60"/>
      <c r="O106" s="490" t="s">
        <v>463</v>
      </c>
      <c r="P106" s="465"/>
      <c r="Q106" s="465"/>
      <c r="R106" s="465"/>
      <c r="S106" s="464"/>
      <c r="T106" s="464"/>
      <c r="U106" s="486"/>
      <c r="V106" s="464"/>
      <c r="W106" s="464"/>
      <c r="X106" s="486"/>
      <c r="Y106" s="487" t="s">
        <v>373</v>
      </c>
      <c r="Z106" s="487"/>
      <c r="AA106" s="487"/>
      <c r="AB106" s="487"/>
      <c r="AC106" s="488"/>
      <c r="AD106" s="488">
        <f>SUM(AD107:AD108)</f>
        <v>2680000</v>
      </c>
      <c r="AE106" s="489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5" t="s">
        <v>464</v>
      </c>
      <c r="P107" s="465"/>
      <c r="Q107" s="465"/>
      <c r="R107" s="465"/>
      <c r="S107" s="464">
        <v>140000</v>
      </c>
      <c r="T107" s="464" t="s">
        <v>25</v>
      </c>
      <c r="U107" s="486" t="s">
        <v>26</v>
      </c>
      <c r="V107" s="464">
        <v>12</v>
      </c>
      <c r="W107" s="464" t="s">
        <v>456</v>
      </c>
      <c r="X107" s="486"/>
      <c r="Y107" s="464"/>
      <c r="Z107" s="464"/>
      <c r="AA107" s="464" t="s">
        <v>27</v>
      </c>
      <c r="AB107" s="464" t="s">
        <v>388</v>
      </c>
      <c r="AC107" s="437"/>
      <c r="AD107" s="437">
        <f>S107*V107</f>
        <v>1680000</v>
      </c>
      <c r="AE107" s="473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1" t="s">
        <v>530</v>
      </c>
      <c r="P108" s="470"/>
      <c r="Q108" s="471"/>
      <c r="R108" s="471"/>
      <c r="S108" s="291"/>
      <c r="T108" s="44"/>
      <c r="U108" s="235"/>
      <c r="V108" s="291"/>
      <c r="W108" s="64"/>
      <c r="X108" s="64"/>
      <c r="Y108" s="67"/>
      <c r="Z108" s="65"/>
      <c r="AA108" s="527"/>
      <c r="AB108" s="291" t="s">
        <v>383</v>
      </c>
      <c r="AC108" s="58"/>
      <c r="AD108" s="58">
        <v>1000000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77" t="s">
        <v>20</v>
      </c>
      <c r="C110" s="577"/>
      <c r="D110" s="158">
        <f>D111</f>
        <v>3200</v>
      </c>
      <c r="E110" s="158">
        <f>E111</f>
        <v>4100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0</v>
      </c>
      <c r="J110" s="158">
        <f t="shared" si="5"/>
        <v>4100</v>
      </c>
      <c r="K110" s="158">
        <f t="shared" si="5"/>
        <v>0</v>
      </c>
      <c r="L110" s="158">
        <f t="shared" si="5"/>
        <v>0</v>
      </c>
      <c r="M110" s="449">
        <f>E110-D110</f>
        <v>900</v>
      </c>
      <c r="N110" s="141">
        <f>IF(D110=0,0,M110/D110)</f>
        <v>0.28125</v>
      </c>
      <c r="O110" s="151" t="s">
        <v>389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4100000</v>
      </c>
      <c r="AE110" s="26" t="s">
        <v>25</v>
      </c>
    </row>
    <row r="111" spans="1:31" s="11" customFormat="1" ht="21" customHeight="1">
      <c r="A111" s="157" t="s">
        <v>390</v>
      </c>
      <c r="B111" s="38" t="s">
        <v>17</v>
      </c>
      <c r="C111" s="38" t="s">
        <v>391</v>
      </c>
      <c r="D111" s="97">
        <f t="shared" ref="D111:L111" si="6">SUM(D112,D114,D126)</f>
        <v>3200</v>
      </c>
      <c r="E111" s="97">
        <f t="shared" si="6"/>
        <v>4100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0</v>
      </c>
      <c r="J111" s="97">
        <f t="shared" si="6"/>
        <v>4100</v>
      </c>
      <c r="K111" s="97">
        <f t="shared" si="6"/>
        <v>0</v>
      </c>
      <c r="L111" s="97">
        <f t="shared" si="6"/>
        <v>0</v>
      </c>
      <c r="M111" s="97">
        <f>E111-D111</f>
        <v>900</v>
      </c>
      <c r="N111" s="60">
        <f>IF(D111=0,0,M111/D111)</f>
        <v>0.28125</v>
      </c>
      <c r="O111" s="153" t="s">
        <v>392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4100000</v>
      </c>
      <c r="AE111" s="83" t="s">
        <v>25</v>
      </c>
    </row>
    <row r="112" spans="1:31" s="11" customFormat="1" ht="21" customHeight="1">
      <c r="A112" s="37"/>
      <c r="B112" s="38"/>
      <c r="C112" s="28" t="s">
        <v>392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5" t="s">
        <v>391</v>
      </c>
      <c r="Z112" s="425"/>
      <c r="AA112" s="425"/>
      <c r="AB112" s="425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343</v>
      </c>
      <c r="AC113" s="106"/>
      <c r="AD113" s="398">
        <v>0</v>
      </c>
      <c r="AE113" s="402" t="s">
        <v>338</v>
      </c>
    </row>
    <row r="114" spans="1:31" s="11" customFormat="1" ht="21" customHeight="1">
      <c r="A114" s="37"/>
      <c r="B114" s="38"/>
      <c r="C114" s="28" t="s">
        <v>18</v>
      </c>
      <c r="D114" s="135">
        <v>100</v>
      </c>
      <c r="E114" s="102">
        <f>ROUND(AD114/1000,0)</f>
        <v>3000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3000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2900</v>
      </c>
      <c r="N114" s="109">
        <f>IF(D114=0,0,M114/D114)</f>
        <v>29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5" t="s">
        <v>373</v>
      </c>
      <c r="Z114" s="425"/>
      <c r="AA114" s="425"/>
      <c r="AB114" s="425"/>
      <c r="AC114" s="147"/>
      <c r="AD114" s="303">
        <f>SUM(AD115:AD125)</f>
        <v>3000000</v>
      </c>
      <c r="AE114" s="146" t="s">
        <v>25</v>
      </c>
    </row>
    <row r="115" spans="1:31" s="11" customFormat="1" ht="21" customHeight="1">
      <c r="A115" s="37"/>
      <c r="B115" s="38"/>
      <c r="C115" s="38"/>
      <c r="D115" s="439"/>
      <c r="E115" s="440"/>
      <c r="F115" s="440"/>
      <c r="G115" s="440"/>
      <c r="H115" s="440"/>
      <c r="I115" s="440"/>
      <c r="J115" s="440"/>
      <c r="K115" s="440"/>
      <c r="L115" s="440"/>
      <c r="M115" s="97"/>
      <c r="N115" s="60"/>
      <c r="O115" s="582" t="s">
        <v>496</v>
      </c>
      <c r="P115" s="583"/>
      <c r="Q115" s="583"/>
      <c r="R115" s="583"/>
      <c r="S115" s="464"/>
      <c r="T115" s="472"/>
      <c r="U115" s="472"/>
      <c r="V115" s="464"/>
      <c r="W115" s="465"/>
      <c r="X115" s="464"/>
      <c r="Y115" s="464"/>
      <c r="Z115" s="464"/>
      <c r="AA115" s="464"/>
      <c r="AB115" s="464" t="s">
        <v>466</v>
      </c>
      <c r="AC115" s="464"/>
      <c r="AD115" s="464">
        <v>0</v>
      </c>
      <c r="AE115" s="473" t="s">
        <v>25</v>
      </c>
    </row>
    <row r="116" spans="1:31" s="11" customFormat="1" ht="21" customHeight="1">
      <c r="A116" s="37"/>
      <c r="B116" s="38"/>
      <c r="C116" s="38"/>
      <c r="D116" s="441"/>
      <c r="E116" s="442"/>
      <c r="F116" s="442"/>
      <c r="G116" s="442"/>
      <c r="H116" s="442"/>
      <c r="I116" s="442"/>
      <c r="J116" s="442"/>
      <c r="K116" s="442"/>
      <c r="L116" s="442"/>
      <c r="M116" s="97"/>
      <c r="N116" s="60"/>
      <c r="O116" s="465" t="s">
        <v>534</v>
      </c>
      <c r="P116" s="465"/>
      <c r="Q116" s="465"/>
      <c r="R116" s="481"/>
      <c r="S116" s="481"/>
      <c r="T116" s="482"/>
      <c r="U116" s="482"/>
      <c r="V116" s="482"/>
      <c r="W116" s="482"/>
      <c r="X116" s="482"/>
      <c r="Y116" s="482"/>
      <c r="Z116" s="482"/>
      <c r="AA116" s="482"/>
      <c r="AB116" s="464" t="s">
        <v>436</v>
      </c>
      <c r="AC116" s="491"/>
      <c r="AD116" s="437">
        <v>3000000</v>
      </c>
      <c r="AE116" s="473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9"/>
      <c r="P117" s="429"/>
      <c r="Q117" s="429"/>
      <c r="R117" s="429"/>
      <c r="S117" s="428"/>
      <c r="T117" s="397"/>
      <c r="U117" s="293"/>
      <c r="V117" s="121"/>
      <c r="W117" s="121"/>
      <c r="X117" s="428"/>
      <c r="Y117" s="428"/>
      <c r="Z117" s="428"/>
      <c r="AA117" s="428"/>
      <c r="AB117" s="428"/>
      <c r="AC117" s="428"/>
      <c r="AD117" s="428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9"/>
      <c r="P118" s="429"/>
      <c r="Q118" s="429"/>
      <c r="R118" s="429"/>
      <c r="S118" s="428"/>
      <c r="T118" s="293"/>
      <c r="U118" s="293"/>
      <c r="V118" s="428"/>
      <c r="W118" s="429"/>
      <c r="X118" s="428"/>
      <c r="Y118" s="428"/>
      <c r="Z118" s="428"/>
      <c r="AA118" s="428"/>
      <c r="AB118" s="428" t="s">
        <v>369</v>
      </c>
      <c r="AC118" s="428"/>
      <c r="AD118" s="428"/>
      <c r="AE118" s="122" t="s">
        <v>338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9"/>
      <c r="P119" s="429"/>
      <c r="Q119" s="429"/>
      <c r="R119" s="429"/>
      <c r="S119" s="428"/>
      <c r="T119" s="397"/>
      <c r="U119" s="293"/>
      <c r="V119" s="121"/>
      <c r="W119" s="121"/>
      <c r="X119" s="428"/>
      <c r="Y119" s="428"/>
      <c r="Z119" s="428"/>
      <c r="AA119" s="428"/>
      <c r="AB119" s="428" t="s">
        <v>369</v>
      </c>
      <c r="AC119" s="428"/>
      <c r="AD119" s="428"/>
      <c r="AE119" s="122" t="s">
        <v>338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9"/>
      <c r="P120" s="429"/>
      <c r="Q120" s="429"/>
      <c r="R120" s="429"/>
      <c r="S120" s="428"/>
      <c r="T120" s="397"/>
      <c r="U120" s="293"/>
      <c r="V120" s="121"/>
      <c r="W120" s="121"/>
      <c r="X120" s="428"/>
      <c r="Y120" s="428"/>
      <c r="Z120" s="428"/>
      <c r="AA120" s="428"/>
      <c r="AB120" s="428" t="s">
        <v>369</v>
      </c>
      <c r="AC120" s="428"/>
      <c r="AD120" s="428"/>
      <c r="AE120" s="122" t="s">
        <v>338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9"/>
      <c r="P121" s="429"/>
      <c r="Q121" s="429"/>
      <c r="R121" s="429"/>
      <c r="S121" s="428"/>
      <c r="T121" s="397"/>
      <c r="U121" s="293"/>
      <c r="V121" s="121"/>
      <c r="W121" s="121"/>
      <c r="X121" s="428"/>
      <c r="Y121" s="428"/>
      <c r="Z121" s="428"/>
      <c r="AA121" s="428"/>
      <c r="AB121" s="428" t="s">
        <v>369</v>
      </c>
      <c r="AC121" s="428"/>
      <c r="AD121" s="428"/>
      <c r="AE121" s="122" t="s">
        <v>338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9"/>
      <c r="P122" s="429"/>
      <c r="Q122" s="429"/>
      <c r="R122" s="429"/>
      <c r="S122" s="428"/>
      <c r="T122" s="397"/>
      <c r="U122" s="293"/>
      <c r="V122" s="121"/>
      <c r="W122" s="121"/>
      <c r="X122" s="428"/>
      <c r="Y122" s="428"/>
      <c r="Z122" s="428"/>
      <c r="AA122" s="428"/>
      <c r="AB122" s="428" t="s">
        <v>369</v>
      </c>
      <c r="AC122" s="428"/>
      <c r="AD122" s="428"/>
      <c r="AE122" s="122" t="s">
        <v>338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9"/>
      <c r="P123" s="429"/>
      <c r="Q123" s="429"/>
      <c r="R123" s="429"/>
      <c r="S123" s="428"/>
      <c r="T123" s="397"/>
      <c r="U123" s="293"/>
      <c r="V123" s="121"/>
      <c r="W123" s="121"/>
      <c r="X123" s="428"/>
      <c r="Y123" s="428"/>
      <c r="Z123" s="428"/>
      <c r="AA123" s="428"/>
      <c r="AB123" s="428" t="s">
        <v>369</v>
      </c>
      <c r="AC123" s="428"/>
      <c r="AD123" s="428"/>
      <c r="AE123" s="122" t="s">
        <v>338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9"/>
      <c r="P124" s="429"/>
      <c r="Q124" s="429"/>
      <c r="R124" s="429"/>
      <c r="S124" s="428"/>
      <c r="T124" s="397"/>
      <c r="U124" s="293"/>
      <c r="V124" s="121"/>
      <c r="W124" s="121"/>
      <c r="X124" s="428"/>
      <c r="Y124" s="428"/>
      <c r="Z124" s="428"/>
      <c r="AA124" s="428"/>
      <c r="AB124" s="428" t="s">
        <v>369</v>
      </c>
      <c r="AC124" s="428"/>
      <c r="AD124" s="428"/>
      <c r="AE124" s="122" t="s">
        <v>338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9"/>
      <c r="P125" s="429"/>
      <c r="Q125" s="429"/>
      <c r="R125" s="429"/>
      <c r="S125" s="428"/>
      <c r="T125" s="397"/>
      <c r="U125" s="293"/>
      <c r="V125" s="121"/>
      <c r="W125" s="121"/>
      <c r="X125" s="428"/>
      <c r="Y125" s="428"/>
      <c r="Z125" s="428"/>
      <c r="AA125" s="428"/>
      <c r="AB125" s="428" t="s">
        <v>369</v>
      </c>
      <c r="AC125" s="428"/>
      <c r="AD125" s="428"/>
      <c r="AE125" s="122" t="s">
        <v>338</v>
      </c>
    </row>
    <row r="126" spans="1:31" s="11" customFormat="1" ht="21" customHeight="1">
      <c r="A126" s="37"/>
      <c r="B126" s="38"/>
      <c r="C126" s="28" t="s">
        <v>50</v>
      </c>
      <c r="D126" s="135">
        <v>3100</v>
      </c>
      <c r="E126" s="102">
        <f>ROUND(AD126/1000,0)</f>
        <v>1100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1100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-2000</v>
      </c>
      <c r="N126" s="109">
        <f>IF(D126=0,0,M126/D126)</f>
        <v>-0.64516129032258063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5" t="s">
        <v>373</v>
      </c>
      <c r="Z126" s="425"/>
      <c r="AA126" s="425"/>
      <c r="AB126" s="425"/>
      <c r="AC126" s="147"/>
      <c r="AD126" s="147">
        <f>SUM(AD127:AD131)</f>
        <v>1100000</v>
      </c>
      <c r="AE126" s="146" t="s">
        <v>25</v>
      </c>
    </row>
    <row r="127" spans="1:31" s="1" customFormat="1" ht="21" customHeight="1">
      <c r="A127" s="37"/>
      <c r="B127" s="38"/>
      <c r="C127" s="38" t="s">
        <v>393</v>
      </c>
      <c r="D127" s="439"/>
      <c r="E127" s="440"/>
      <c r="F127" s="440"/>
      <c r="G127" s="440"/>
      <c r="H127" s="440"/>
      <c r="I127" s="440"/>
      <c r="J127" s="440"/>
      <c r="K127" s="440"/>
      <c r="L127" s="440"/>
      <c r="M127" s="97"/>
      <c r="N127" s="60"/>
      <c r="O127" s="465" t="s">
        <v>496</v>
      </c>
      <c r="P127" s="465"/>
      <c r="Q127" s="465"/>
      <c r="R127" s="465"/>
      <c r="S127" s="464"/>
      <c r="T127" s="472"/>
      <c r="U127" s="472"/>
      <c r="V127" s="464"/>
      <c r="W127" s="465"/>
      <c r="X127" s="464"/>
      <c r="Y127" s="464"/>
      <c r="Z127" s="464"/>
      <c r="AA127" s="464"/>
      <c r="AB127" s="464" t="s">
        <v>466</v>
      </c>
      <c r="AC127" s="464"/>
      <c r="AD127" s="464">
        <v>0</v>
      </c>
      <c r="AE127" s="473" t="s">
        <v>25</v>
      </c>
    </row>
    <row r="128" spans="1:31" s="1" customFormat="1" ht="21" customHeight="1">
      <c r="A128" s="37"/>
      <c r="B128" s="38"/>
      <c r="C128" s="38"/>
      <c r="D128" s="441"/>
      <c r="E128" s="442"/>
      <c r="F128" s="442"/>
      <c r="G128" s="442"/>
      <c r="H128" s="442"/>
      <c r="I128" s="442"/>
      <c r="J128" s="442"/>
      <c r="K128" s="442"/>
      <c r="L128" s="442"/>
      <c r="M128" s="97"/>
      <c r="N128" s="60"/>
      <c r="O128" s="465" t="s">
        <v>532</v>
      </c>
      <c r="P128" s="465"/>
      <c r="Q128" s="465"/>
      <c r="R128" s="465"/>
      <c r="S128" s="464"/>
      <c r="T128" s="472"/>
      <c r="U128" s="472"/>
      <c r="V128" s="464"/>
      <c r="W128" s="465"/>
      <c r="X128" s="464"/>
      <c r="Y128" s="464"/>
      <c r="Z128" s="464"/>
      <c r="AA128" s="464"/>
      <c r="AB128" s="464" t="s">
        <v>436</v>
      </c>
      <c r="AC128" s="464"/>
      <c r="AD128" s="464">
        <v>1000000</v>
      </c>
      <c r="AE128" s="473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5" t="s">
        <v>531</v>
      </c>
      <c r="P129" s="465"/>
      <c r="Q129" s="465"/>
      <c r="R129" s="465"/>
      <c r="S129" s="464"/>
      <c r="T129" s="472"/>
      <c r="U129" s="472"/>
      <c r="V129" s="464">
        <v>60000</v>
      </c>
      <c r="W129" s="465" t="s">
        <v>25</v>
      </c>
      <c r="X129" s="464" t="s">
        <v>26</v>
      </c>
      <c r="Y129" s="464">
        <v>1</v>
      </c>
      <c r="Z129" s="464" t="s">
        <v>456</v>
      </c>
      <c r="AA129" s="464" t="s">
        <v>27</v>
      </c>
      <c r="AB129" s="464" t="s">
        <v>436</v>
      </c>
      <c r="AC129" s="464"/>
      <c r="AD129" s="464">
        <f>V129*Y129</f>
        <v>60000</v>
      </c>
      <c r="AE129" s="473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5" t="s">
        <v>465</v>
      </c>
      <c r="P130" s="465"/>
      <c r="Q130" s="465"/>
      <c r="R130" s="465"/>
      <c r="S130" s="464"/>
      <c r="T130" s="472"/>
      <c r="U130" s="472"/>
      <c r="V130" s="464">
        <v>40000</v>
      </c>
      <c r="W130" s="465" t="s">
        <v>25</v>
      </c>
      <c r="X130" s="464" t="s">
        <v>26</v>
      </c>
      <c r="Y130" s="464">
        <v>1</v>
      </c>
      <c r="Z130" s="464" t="s">
        <v>456</v>
      </c>
      <c r="AA130" s="464" t="s">
        <v>27</v>
      </c>
      <c r="AB130" s="464" t="s">
        <v>436</v>
      </c>
      <c r="AC130" s="464"/>
      <c r="AD130" s="464">
        <f>V130*Y130</f>
        <v>40000</v>
      </c>
      <c r="AE130" s="473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9"/>
      <c r="P131" s="429"/>
      <c r="Q131" s="429"/>
      <c r="R131" s="429"/>
      <c r="S131" s="428"/>
      <c r="T131" s="293"/>
      <c r="U131" s="293"/>
      <c r="V131" s="428"/>
      <c r="W131" s="429"/>
      <c r="X131" s="428"/>
      <c r="Y131" s="428"/>
      <c r="Z131" s="428"/>
      <c r="AA131" s="428"/>
      <c r="AB131" s="428"/>
      <c r="AC131" s="428"/>
      <c r="AD131" s="428"/>
      <c r="AE131" s="122"/>
    </row>
    <row r="132" spans="1:31" s="11" customFormat="1" ht="21" customHeight="1">
      <c r="A132" s="159" t="s">
        <v>19</v>
      </c>
      <c r="B132" s="578" t="s">
        <v>20</v>
      </c>
      <c r="C132" s="579"/>
      <c r="D132" s="160">
        <f t="shared" ref="D132:M132" si="7">SUM(D133,D158)</f>
        <v>24223</v>
      </c>
      <c r="E132" s="160">
        <f t="shared" si="7"/>
        <v>24973</v>
      </c>
      <c r="F132" s="160">
        <f t="shared" ca="1" si="7"/>
        <v>5964</v>
      </c>
      <c r="G132" s="160">
        <f t="shared" si="7"/>
        <v>1642</v>
      </c>
      <c r="H132" s="160">
        <f t="shared" si="7"/>
        <v>0</v>
      </c>
      <c r="I132" s="160">
        <f t="shared" si="7"/>
        <v>283</v>
      </c>
      <c r="J132" s="160">
        <f t="shared" si="7"/>
        <v>16704</v>
      </c>
      <c r="K132" s="160">
        <f t="shared" si="7"/>
        <v>0</v>
      </c>
      <c r="L132" s="160">
        <f t="shared" si="7"/>
        <v>380</v>
      </c>
      <c r="M132" s="160">
        <f t="shared" si="7"/>
        <v>750</v>
      </c>
      <c r="N132" s="161">
        <f>IF(D132=0,0,M132/D132)</f>
        <v>3.0962308549725467E-2</v>
      </c>
      <c r="O132" s="153" t="s">
        <v>394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24973000</v>
      </c>
      <c r="AE132" s="83" t="s">
        <v>25</v>
      </c>
    </row>
    <row r="133" spans="1:31" s="11" customFormat="1" ht="21" customHeight="1">
      <c r="A133" s="38"/>
      <c r="B133" s="28" t="s">
        <v>395</v>
      </c>
      <c r="C133" s="28" t="s">
        <v>396</v>
      </c>
      <c r="D133" s="102">
        <f t="shared" ref="D133:L133" si="8">SUM(D134,D143,D147,D150,D155)</f>
        <v>16193</v>
      </c>
      <c r="E133" s="102">
        <f t="shared" si="8"/>
        <v>16843</v>
      </c>
      <c r="F133" s="102">
        <f t="shared" si="8"/>
        <v>5964</v>
      </c>
      <c r="G133" s="102">
        <f t="shared" si="8"/>
        <v>1642</v>
      </c>
      <c r="H133" s="102">
        <f t="shared" si="8"/>
        <v>0</v>
      </c>
      <c r="I133" s="102">
        <f t="shared" si="8"/>
        <v>283</v>
      </c>
      <c r="J133" s="102">
        <f t="shared" si="8"/>
        <v>8574</v>
      </c>
      <c r="K133" s="102">
        <f t="shared" si="8"/>
        <v>0</v>
      </c>
      <c r="L133" s="102">
        <f t="shared" si="8"/>
        <v>380</v>
      </c>
      <c r="M133" s="102">
        <f>E133-D133</f>
        <v>650</v>
      </c>
      <c r="N133" s="109">
        <f>IF(D133=0,0,M133/D133)</f>
        <v>4.014080158093003E-2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1">
        <f>SUM(AD134,AD143,AD147,AD150,AD155)</f>
        <v>16843000</v>
      </c>
      <c r="AE133" s="83" t="s">
        <v>25</v>
      </c>
    </row>
    <row r="134" spans="1:31" s="11" customFormat="1" ht="21" customHeight="1">
      <c r="A134" s="38"/>
      <c r="B134" s="38"/>
      <c r="C134" s="28" t="s">
        <v>397</v>
      </c>
      <c r="D134" s="135">
        <v>13792</v>
      </c>
      <c r="E134" s="102">
        <f>AD134/1000</f>
        <v>14442</v>
      </c>
      <c r="F134" s="103">
        <f>SUMIF($AB$135:$AB$142,"보조",$AD$135:$AD$142)/1000</f>
        <v>5964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6936</v>
      </c>
      <c r="K134" s="103">
        <f>SUMIF($AB$135:$AB$142,"법인",$AD$135:$AD$142)/1000</f>
        <v>0</v>
      </c>
      <c r="L134" s="103">
        <f>SUMIF($AB$135:$AB$142,"잡수",$AD$135:$AD$142)/1000</f>
        <v>380</v>
      </c>
      <c r="M134" s="155">
        <f>E134-D134</f>
        <v>650</v>
      </c>
      <c r="N134" s="109">
        <f>IF(D134=0,0,M134/D134)</f>
        <v>4.7128770301624129E-2</v>
      </c>
      <c r="O134" s="85" t="s">
        <v>398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5" t="s">
        <v>399</v>
      </c>
      <c r="Z134" s="425"/>
      <c r="AA134" s="425"/>
      <c r="AB134" s="425"/>
      <c r="AC134" s="147"/>
      <c r="AD134" s="337">
        <f>ROUND(SUM(AD135:AD141),-3)</f>
        <v>14442000</v>
      </c>
      <c r="AE134" s="146" t="s">
        <v>25</v>
      </c>
    </row>
    <row r="135" spans="1:31" s="11" customFormat="1" ht="21" customHeight="1">
      <c r="A135" s="38"/>
      <c r="B135" s="38"/>
      <c r="C135" s="38"/>
      <c r="D135" s="439"/>
      <c r="E135" s="440"/>
      <c r="F135" s="440"/>
      <c r="G135" s="440"/>
      <c r="H135" s="440"/>
      <c r="I135" s="440"/>
      <c r="J135" s="440"/>
      <c r="K135" s="440"/>
      <c r="L135" s="440"/>
      <c r="M135" s="97"/>
      <c r="N135" s="60"/>
      <c r="O135" s="465" t="s">
        <v>467</v>
      </c>
      <c r="P135" s="465"/>
      <c r="Q135" s="464"/>
      <c r="R135" s="464"/>
      <c r="S135" s="464">
        <v>248500</v>
      </c>
      <c r="T135" s="472" t="s">
        <v>25</v>
      </c>
      <c r="U135" s="472" t="s">
        <v>26</v>
      </c>
      <c r="V135" s="464">
        <v>6</v>
      </c>
      <c r="W135" s="465" t="s">
        <v>29</v>
      </c>
      <c r="X135" s="465" t="s">
        <v>26</v>
      </c>
      <c r="Y135" s="492">
        <v>4</v>
      </c>
      <c r="Z135" s="469" t="s">
        <v>110</v>
      </c>
      <c r="AA135" s="469" t="s">
        <v>27</v>
      </c>
      <c r="AB135" s="464" t="s">
        <v>445</v>
      </c>
      <c r="AC135" s="437"/>
      <c r="AD135" s="437">
        <f>S135*V135*Y135</f>
        <v>5964000</v>
      </c>
      <c r="AE135" s="473" t="s">
        <v>25</v>
      </c>
    </row>
    <row r="136" spans="1:31" s="11" customFormat="1" ht="21" customHeight="1">
      <c r="A136" s="38"/>
      <c r="B136" s="38"/>
      <c r="C136" s="38"/>
      <c r="D136" s="441"/>
      <c r="E136" s="442"/>
      <c r="F136" s="442"/>
      <c r="G136" s="442"/>
      <c r="H136" s="442"/>
      <c r="I136" s="442"/>
      <c r="J136" s="442"/>
      <c r="K136" s="442"/>
      <c r="L136" s="442"/>
      <c r="M136" s="97"/>
      <c r="N136" s="60"/>
      <c r="O136" s="465" t="s">
        <v>467</v>
      </c>
      <c r="P136" s="465"/>
      <c r="Q136" s="465"/>
      <c r="R136" s="465"/>
      <c r="S136" s="464">
        <v>250000</v>
      </c>
      <c r="T136" s="472" t="s">
        <v>533</v>
      </c>
      <c r="U136" s="472" t="s">
        <v>26</v>
      </c>
      <c r="V136" s="464">
        <v>6</v>
      </c>
      <c r="W136" s="465" t="s">
        <v>29</v>
      </c>
      <c r="X136" s="465" t="s">
        <v>26</v>
      </c>
      <c r="Y136" s="492">
        <v>4</v>
      </c>
      <c r="Z136" s="469" t="s">
        <v>110</v>
      </c>
      <c r="AA136" s="469" t="s">
        <v>27</v>
      </c>
      <c r="AB136" s="464" t="s">
        <v>436</v>
      </c>
      <c r="AC136" s="437"/>
      <c r="AD136" s="437">
        <f>S136*V136*Y136</f>
        <v>6000000</v>
      </c>
      <c r="AE136" s="473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5" t="s">
        <v>468</v>
      </c>
      <c r="P137" s="465"/>
      <c r="Q137" s="464"/>
      <c r="R137" s="464"/>
      <c r="S137" s="464">
        <v>182500</v>
      </c>
      <c r="T137" s="472" t="s">
        <v>25</v>
      </c>
      <c r="U137" s="472" t="s">
        <v>26</v>
      </c>
      <c r="V137" s="464"/>
      <c r="W137" s="465"/>
      <c r="X137" s="465"/>
      <c r="Y137" s="492">
        <v>4</v>
      </c>
      <c r="Z137" s="469" t="s">
        <v>110</v>
      </c>
      <c r="AA137" s="469" t="s">
        <v>27</v>
      </c>
      <c r="AB137" s="464" t="s">
        <v>298</v>
      </c>
      <c r="AC137" s="437"/>
      <c r="AD137" s="437">
        <f>S137*Y137</f>
        <v>730000</v>
      </c>
      <c r="AE137" s="473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3" t="s">
        <v>469</v>
      </c>
      <c r="P138" s="493"/>
      <c r="Q138" s="493"/>
      <c r="R138" s="493"/>
      <c r="S138" s="438">
        <v>39000</v>
      </c>
      <c r="T138" s="494" t="s">
        <v>25</v>
      </c>
      <c r="U138" s="494" t="s">
        <v>26</v>
      </c>
      <c r="V138" s="438">
        <v>6</v>
      </c>
      <c r="W138" s="493" t="s">
        <v>29</v>
      </c>
      <c r="X138" s="493" t="s">
        <v>26</v>
      </c>
      <c r="Y138" s="495">
        <v>4</v>
      </c>
      <c r="Z138" s="496" t="s">
        <v>110</v>
      </c>
      <c r="AA138" s="496" t="s">
        <v>27</v>
      </c>
      <c r="AB138" s="438" t="s">
        <v>436</v>
      </c>
      <c r="AC138" s="497"/>
      <c r="AD138" s="497">
        <f>S138*V138*Y138</f>
        <v>936000</v>
      </c>
      <c r="AE138" s="498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5" t="s">
        <v>470</v>
      </c>
      <c r="P139" s="465"/>
      <c r="Q139" s="464"/>
      <c r="R139" s="464"/>
      <c r="S139" s="464">
        <v>60000</v>
      </c>
      <c r="T139" s="472" t="s">
        <v>25</v>
      </c>
      <c r="U139" s="472" t="s">
        <v>26</v>
      </c>
      <c r="V139" s="464"/>
      <c r="W139" s="465"/>
      <c r="X139" s="465"/>
      <c r="Y139" s="492">
        <v>4</v>
      </c>
      <c r="Z139" s="469" t="s">
        <v>110</v>
      </c>
      <c r="AA139" s="469" t="s">
        <v>27</v>
      </c>
      <c r="AB139" s="464" t="s">
        <v>298</v>
      </c>
      <c r="AC139" s="437"/>
      <c r="AD139" s="437">
        <f>S139*Y139</f>
        <v>240000</v>
      </c>
      <c r="AE139" s="473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5" t="s">
        <v>471</v>
      </c>
      <c r="P140" s="465"/>
      <c r="Q140" s="464"/>
      <c r="R140" s="464"/>
      <c r="S140" s="464"/>
      <c r="T140" s="472"/>
      <c r="U140" s="472"/>
      <c r="V140" s="464"/>
      <c r="W140" s="465"/>
      <c r="X140" s="465"/>
      <c r="Y140" s="492"/>
      <c r="Z140" s="469"/>
      <c r="AA140" s="469"/>
      <c r="AB140" s="464" t="s">
        <v>388</v>
      </c>
      <c r="AC140" s="437"/>
      <c r="AD140" s="437">
        <v>380000</v>
      </c>
      <c r="AE140" s="473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5" t="s">
        <v>472</v>
      </c>
      <c r="P141" s="465"/>
      <c r="Q141" s="464"/>
      <c r="R141" s="464"/>
      <c r="S141" s="464">
        <v>48000</v>
      </c>
      <c r="T141" s="472" t="s">
        <v>25</v>
      </c>
      <c r="U141" s="472" t="s">
        <v>26</v>
      </c>
      <c r="V141" s="464"/>
      <c r="W141" s="465"/>
      <c r="X141" s="465"/>
      <c r="Y141" s="492">
        <v>4</v>
      </c>
      <c r="Z141" s="469" t="s">
        <v>110</v>
      </c>
      <c r="AA141" s="469" t="s">
        <v>27</v>
      </c>
      <c r="AB141" s="464" t="s">
        <v>298</v>
      </c>
      <c r="AC141" s="437"/>
      <c r="AD141" s="437">
        <f>S141*Y141</f>
        <v>192000</v>
      </c>
      <c r="AE141" s="473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400</v>
      </c>
      <c r="D143" s="133">
        <v>401</v>
      </c>
      <c r="E143" s="97">
        <f>ROUND(AD143/1000,0)</f>
        <v>401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283</v>
      </c>
      <c r="J143" s="103">
        <f>SUMIF($AB$144:$AB$146,"입소",$AD$144:$AD$146)/1000</f>
        <v>118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0</v>
      </c>
      <c r="N143" s="60">
        <f>IF(D143=0,0,M143/D143)</f>
        <v>0</v>
      </c>
      <c r="O143" s="85" t="s">
        <v>401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5" t="s">
        <v>387</v>
      </c>
      <c r="Z143" s="425"/>
      <c r="AA143" s="425"/>
      <c r="AB143" s="425"/>
      <c r="AC143" s="147"/>
      <c r="AD143" s="303">
        <f>SUM(AD144:AD146)</f>
        <v>401000</v>
      </c>
      <c r="AE143" s="146" t="s">
        <v>25</v>
      </c>
    </row>
    <row r="144" spans="1:31" s="11" customFormat="1" ht="21" customHeight="1">
      <c r="A144" s="38"/>
      <c r="B144" s="38"/>
      <c r="C144" s="38" t="s">
        <v>402</v>
      </c>
      <c r="D144" s="439"/>
      <c r="E144" s="440"/>
      <c r="F144" s="440"/>
      <c r="G144" s="440"/>
      <c r="H144" s="440"/>
      <c r="I144" s="440"/>
      <c r="J144" s="440"/>
      <c r="K144" s="440"/>
      <c r="L144" s="440"/>
      <c r="M144" s="97"/>
      <c r="N144" s="60"/>
      <c r="O144" s="465" t="s">
        <v>473</v>
      </c>
      <c r="P144" s="465"/>
      <c r="Q144" s="465"/>
      <c r="R144" s="465"/>
      <c r="S144" s="464"/>
      <c r="T144" s="472"/>
      <c r="U144" s="472"/>
      <c r="V144" s="464"/>
      <c r="W144" s="464"/>
      <c r="X144" s="464"/>
      <c r="Y144" s="464"/>
      <c r="Z144" s="464"/>
      <c r="AA144" s="464"/>
      <c r="AB144" s="464" t="s">
        <v>474</v>
      </c>
      <c r="AC144" s="464"/>
      <c r="AD144" s="464">
        <v>283000</v>
      </c>
      <c r="AE144" s="473" t="s">
        <v>25</v>
      </c>
    </row>
    <row r="145" spans="1:31" s="11" customFormat="1" ht="21" customHeight="1">
      <c r="A145" s="38"/>
      <c r="B145" s="38"/>
      <c r="C145" s="38"/>
      <c r="D145" s="441"/>
      <c r="E145" s="442"/>
      <c r="F145" s="442"/>
      <c r="G145" s="442"/>
      <c r="H145" s="442"/>
      <c r="I145" s="442"/>
      <c r="J145" s="442"/>
      <c r="K145" s="442"/>
      <c r="L145" s="442"/>
      <c r="M145" s="97"/>
      <c r="N145" s="60"/>
      <c r="O145" s="465" t="s">
        <v>475</v>
      </c>
      <c r="P145" s="465"/>
      <c r="Q145" s="465"/>
      <c r="R145" s="465"/>
      <c r="S145" s="464"/>
      <c r="T145" s="472"/>
      <c r="U145" s="472"/>
      <c r="V145" s="464"/>
      <c r="W145" s="464"/>
      <c r="X145" s="464"/>
      <c r="Y145" s="464"/>
      <c r="Z145" s="464"/>
      <c r="AA145" s="464"/>
      <c r="AB145" s="464" t="s">
        <v>383</v>
      </c>
      <c r="AC145" s="464"/>
      <c r="AD145" s="464">
        <v>118000</v>
      </c>
      <c r="AE145" s="473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403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107</v>
      </c>
      <c r="P147" s="426"/>
      <c r="Q147" s="153"/>
      <c r="R147" s="153"/>
      <c r="S147" s="153"/>
      <c r="T147" s="152"/>
      <c r="U147" s="152"/>
      <c r="V147" s="152"/>
      <c r="W147" s="152"/>
      <c r="X147" s="152"/>
      <c r="Y147" s="425" t="s">
        <v>387</v>
      </c>
      <c r="Z147" s="425"/>
      <c r="AA147" s="425"/>
      <c r="AB147" s="425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5" t="s">
        <v>476</v>
      </c>
      <c r="P148" s="465"/>
      <c r="Q148" s="464"/>
      <c r="R148" s="464"/>
      <c r="S148" s="464">
        <v>250000</v>
      </c>
      <c r="T148" s="464" t="s">
        <v>25</v>
      </c>
      <c r="U148" s="465" t="s">
        <v>26</v>
      </c>
      <c r="V148" s="464">
        <v>4</v>
      </c>
      <c r="W148" s="464" t="s">
        <v>110</v>
      </c>
      <c r="X148" s="465"/>
      <c r="Y148" s="464"/>
      <c r="Z148" s="464"/>
      <c r="AA148" s="464" t="s">
        <v>27</v>
      </c>
      <c r="AB148" s="464" t="s">
        <v>436</v>
      </c>
      <c r="AC148" s="437"/>
      <c r="AD148" s="437">
        <f>S148*V148</f>
        <v>1000000</v>
      </c>
      <c r="AE148" s="473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5"/>
      <c r="P149" s="465"/>
      <c r="Q149" s="464"/>
      <c r="R149" s="464"/>
      <c r="S149" s="464">
        <v>80000</v>
      </c>
      <c r="T149" s="464" t="s">
        <v>25</v>
      </c>
      <c r="U149" s="465" t="s">
        <v>26</v>
      </c>
      <c r="V149" s="464">
        <v>4</v>
      </c>
      <c r="W149" s="464" t="s">
        <v>110</v>
      </c>
      <c r="X149" s="465"/>
      <c r="Y149" s="464"/>
      <c r="Z149" s="464"/>
      <c r="AA149" s="464" t="s">
        <v>27</v>
      </c>
      <c r="AB149" s="464" t="s">
        <v>298</v>
      </c>
      <c r="AC149" s="437"/>
      <c r="AD149" s="437">
        <f>S149*V149</f>
        <v>320000</v>
      </c>
      <c r="AE149" s="473" t="s">
        <v>25</v>
      </c>
    </row>
    <row r="150" spans="1:31" s="11" customFormat="1" ht="21" customHeight="1">
      <c r="A150" s="38"/>
      <c r="B150" s="38"/>
      <c r="C150" s="28" t="s">
        <v>404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405</v>
      </c>
      <c r="P150" s="426"/>
      <c r="Q150" s="153"/>
      <c r="R150" s="153"/>
      <c r="S150" s="153"/>
      <c r="T150" s="152"/>
      <c r="U150" s="152"/>
      <c r="V150" s="152"/>
      <c r="W150" s="152"/>
      <c r="X150" s="152"/>
      <c r="Y150" s="425" t="s">
        <v>406</v>
      </c>
      <c r="Z150" s="425"/>
      <c r="AA150" s="425"/>
      <c r="AB150" s="425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9"/>
      <c r="E151" s="440"/>
      <c r="F151" s="440"/>
      <c r="G151" s="440"/>
      <c r="H151" s="440"/>
      <c r="I151" s="440"/>
      <c r="J151" s="440"/>
      <c r="K151" s="440"/>
      <c r="L151" s="440"/>
      <c r="M151" s="97"/>
      <c r="N151" s="60"/>
      <c r="O151" s="465" t="s">
        <v>477</v>
      </c>
      <c r="P151" s="465"/>
      <c r="Q151" s="464"/>
      <c r="R151" s="464"/>
      <c r="S151" s="464">
        <v>40000</v>
      </c>
      <c r="T151" s="464" t="s">
        <v>25</v>
      </c>
      <c r="U151" s="465" t="s">
        <v>26</v>
      </c>
      <c r="V151" s="464">
        <v>1</v>
      </c>
      <c r="W151" s="464" t="s">
        <v>456</v>
      </c>
      <c r="X151" s="465" t="s">
        <v>26</v>
      </c>
      <c r="Y151" s="464">
        <v>4</v>
      </c>
      <c r="Z151" s="464" t="s">
        <v>110</v>
      </c>
      <c r="AA151" s="464" t="s">
        <v>27</v>
      </c>
      <c r="AB151" s="464" t="s">
        <v>436</v>
      </c>
      <c r="AC151" s="437"/>
      <c r="AD151" s="437">
        <f>S151*V151*Y151</f>
        <v>160000</v>
      </c>
      <c r="AE151" s="473" t="s">
        <v>25</v>
      </c>
    </row>
    <row r="152" spans="1:31" s="13" customFormat="1" ht="21" customHeight="1">
      <c r="A152" s="38"/>
      <c r="B152" s="38"/>
      <c r="C152" s="38"/>
      <c r="D152" s="441"/>
      <c r="E152" s="442"/>
      <c r="F152" s="442"/>
      <c r="G152" s="442"/>
      <c r="H152" s="442"/>
      <c r="I152" s="442"/>
      <c r="J152" s="442"/>
      <c r="K152" s="442"/>
      <c r="L152" s="442"/>
      <c r="M152" s="97"/>
      <c r="N152" s="272"/>
      <c r="O152" s="490"/>
      <c r="P152" s="465"/>
      <c r="Q152" s="465"/>
      <c r="R152" s="465"/>
      <c r="S152" s="464">
        <v>40000</v>
      </c>
      <c r="T152" s="464" t="s">
        <v>25</v>
      </c>
      <c r="U152" s="465" t="s">
        <v>26</v>
      </c>
      <c r="V152" s="464">
        <v>1</v>
      </c>
      <c r="W152" s="464" t="s">
        <v>456</v>
      </c>
      <c r="X152" s="465" t="s">
        <v>26</v>
      </c>
      <c r="Y152" s="464">
        <v>4</v>
      </c>
      <c r="Z152" s="464" t="s">
        <v>110</v>
      </c>
      <c r="AA152" s="464" t="s">
        <v>27</v>
      </c>
      <c r="AB152" s="464" t="s">
        <v>298</v>
      </c>
      <c r="AC152" s="437"/>
      <c r="AD152" s="464">
        <f>S152*Y152</f>
        <v>160000</v>
      </c>
      <c r="AE152" s="473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90" t="s">
        <v>478</v>
      </c>
      <c r="P153" s="465"/>
      <c r="Q153" s="465"/>
      <c r="R153" s="465"/>
      <c r="S153" s="464"/>
      <c r="T153" s="464"/>
      <c r="U153" s="465"/>
      <c r="V153" s="464"/>
      <c r="W153" s="464"/>
      <c r="X153" s="465"/>
      <c r="Y153" s="492"/>
      <c r="Z153" s="469"/>
      <c r="AA153" s="469"/>
      <c r="AB153" s="464" t="s">
        <v>436</v>
      </c>
      <c r="AC153" s="437"/>
      <c r="AD153" s="464">
        <v>300000</v>
      </c>
      <c r="AE153" s="473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8"/>
      <c r="V154" s="288"/>
      <c r="W154" s="428"/>
      <c r="X154" s="428"/>
      <c r="Y154" s="428"/>
      <c r="Z154" s="428"/>
      <c r="AA154" s="428"/>
      <c r="AB154" s="428"/>
      <c r="AC154" s="428"/>
      <c r="AD154" s="428"/>
      <c r="AE154" s="122"/>
    </row>
    <row r="155" spans="1:31" s="11" customFormat="1" ht="21" customHeight="1">
      <c r="A155" s="38"/>
      <c r="B155" s="38"/>
      <c r="C155" s="38" t="s">
        <v>407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408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5" t="s">
        <v>406</v>
      </c>
      <c r="Z155" s="425"/>
      <c r="AA155" s="425"/>
      <c r="AB155" s="425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39"/>
      <c r="E156" s="440"/>
      <c r="F156" s="440"/>
      <c r="G156" s="440"/>
      <c r="H156" s="440"/>
      <c r="I156" s="440"/>
      <c r="J156" s="440"/>
      <c r="K156" s="440"/>
      <c r="L156" s="440"/>
      <c r="M156" s="97"/>
      <c r="N156" s="60"/>
      <c r="O156" s="465" t="s">
        <v>479</v>
      </c>
      <c r="P156" s="465"/>
      <c r="Q156" s="465"/>
      <c r="R156" s="465"/>
      <c r="S156" s="464">
        <v>10000</v>
      </c>
      <c r="T156" s="472" t="s">
        <v>25</v>
      </c>
      <c r="U156" s="472" t="s">
        <v>26</v>
      </c>
      <c r="V156" s="464">
        <v>6</v>
      </c>
      <c r="W156" s="464" t="s">
        <v>29</v>
      </c>
      <c r="X156" s="469"/>
      <c r="Y156" s="499"/>
      <c r="Z156" s="500"/>
      <c r="AA156" s="501" t="s">
        <v>27</v>
      </c>
      <c r="AB156" s="464" t="s">
        <v>436</v>
      </c>
      <c r="AC156" s="464"/>
      <c r="AD156" s="464">
        <f>S156*V156</f>
        <v>60000</v>
      </c>
      <c r="AE156" s="473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9"/>
      <c r="P157" s="429"/>
      <c r="Q157" s="429"/>
      <c r="R157" s="429"/>
      <c r="S157" s="428"/>
      <c r="T157" s="293"/>
      <c r="U157" s="429"/>
      <c r="V157" s="428"/>
      <c r="W157" s="429"/>
      <c r="X157" s="428"/>
      <c r="Y157" s="428"/>
      <c r="Z157" s="428"/>
      <c r="AA157" s="428"/>
      <c r="AB157" s="428"/>
      <c r="AC157" s="428"/>
      <c r="AD157" s="428"/>
      <c r="AE157" s="122"/>
    </row>
    <row r="158" spans="1:31" s="11" customFormat="1" ht="21" customHeight="1">
      <c r="A158" s="38"/>
      <c r="B158" s="28" t="s">
        <v>409</v>
      </c>
      <c r="C158" s="143" t="s">
        <v>410</v>
      </c>
      <c r="D158" s="144">
        <f>SUM(D159,D164,D165,D167,D170,D174,D178,D182)</f>
        <v>8030</v>
      </c>
      <c r="E158" s="144">
        <f t="shared" ref="E158:L158" si="9">SUM(E159,E164,E167,E170,E174,E178,E182)</f>
        <v>8130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8130</v>
      </c>
      <c r="K158" s="144">
        <f t="shared" si="9"/>
        <v>0</v>
      </c>
      <c r="L158" s="144">
        <f t="shared" si="9"/>
        <v>0</v>
      </c>
      <c r="M158" s="144">
        <f>SUM(M159,M164,M165,M167,M170,M174,M178,M182)</f>
        <v>100</v>
      </c>
      <c r="N158" s="141">
        <f>IF(D158=0,0,M158/D158)</f>
        <v>1.2453300124533001E-2</v>
      </c>
      <c r="O158" s="426"/>
      <c r="P158" s="426"/>
      <c r="Q158" s="426"/>
      <c r="R158" s="426"/>
      <c r="S158" s="426"/>
      <c r="T158" s="425"/>
      <c r="U158" s="425"/>
      <c r="V158" s="425"/>
      <c r="W158" s="425"/>
      <c r="X158" s="425"/>
      <c r="Y158" s="425" t="s">
        <v>28</v>
      </c>
      <c r="Z158" s="425"/>
      <c r="AA158" s="425"/>
      <c r="AB158" s="425"/>
      <c r="AC158" s="147"/>
      <c r="AD158" s="147">
        <f>SUM(AD159,AD164,AD167,AD170,AD174,AD178,AD182)</f>
        <v>8130000</v>
      </c>
      <c r="AE158" s="146" t="s">
        <v>25</v>
      </c>
    </row>
    <row r="159" spans="1:31" s="11" customFormat="1" ht="21" customHeight="1">
      <c r="A159" s="38"/>
      <c r="B159" s="38" t="s">
        <v>411</v>
      </c>
      <c r="C159" s="28" t="s">
        <v>483</v>
      </c>
      <c r="D159" s="135">
        <v>770</v>
      </c>
      <c r="E159" s="97">
        <f>ROUND(AD159/1000,0)</f>
        <v>770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770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0</v>
      </c>
      <c r="N159" s="60">
        <f>IF(D159=0,0,M159/D159)</f>
        <v>0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5" t="s">
        <v>406</v>
      </c>
      <c r="Z159" s="425"/>
      <c r="AA159" s="425"/>
      <c r="AB159" s="425"/>
      <c r="AC159" s="147"/>
      <c r="AD159" s="147">
        <f>SUM(AD160:AD163)</f>
        <v>770000</v>
      </c>
      <c r="AE159" s="146" t="s">
        <v>25</v>
      </c>
    </row>
    <row r="160" spans="1:31" s="11" customFormat="1" ht="21" customHeight="1">
      <c r="A160" s="38"/>
      <c r="B160" s="38"/>
      <c r="C160" s="38" t="s">
        <v>414</v>
      </c>
      <c r="D160" s="439"/>
      <c r="E160" s="440"/>
      <c r="F160" s="440"/>
      <c r="G160" s="440"/>
      <c r="H160" s="440"/>
      <c r="I160" s="440"/>
      <c r="J160" s="440"/>
      <c r="K160" s="440"/>
      <c r="L160" s="440"/>
      <c r="M160" s="97"/>
      <c r="N160" s="60"/>
      <c r="O160" s="465" t="s">
        <v>480</v>
      </c>
      <c r="P160" s="465"/>
      <c r="Q160" s="465"/>
      <c r="R160" s="465"/>
      <c r="S160" s="464">
        <v>60000</v>
      </c>
      <c r="T160" s="472" t="s">
        <v>25</v>
      </c>
      <c r="U160" s="472" t="s">
        <v>26</v>
      </c>
      <c r="V160" s="464">
        <v>4</v>
      </c>
      <c r="W160" s="464" t="s">
        <v>110</v>
      </c>
      <c r="X160" s="469"/>
      <c r="Y160" s="499"/>
      <c r="Z160" s="500"/>
      <c r="AA160" s="501" t="s">
        <v>27</v>
      </c>
      <c r="AB160" s="464" t="s">
        <v>436</v>
      </c>
      <c r="AC160" s="464"/>
      <c r="AD160" s="464">
        <f>S160*V160</f>
        <v>240000</v>
      </c>
      <c r="AE160" s="473" t="s">
        <v>25</v>
      </c>
    </row>
    <row r="161" spans="1:31" s="11" customFormat="1" ht="21" customHeight="1">
      <c r="A161" s="38"/>
      <c r="B161" s="38"/>
      <c r="C161" s="38"/>
      <c r="D161" s="441"/>
      <c r="E161" s="442"/>
      <c r="F161" s="442"/>
      <c r="G161" s="442"/>
      <c r="H161" s="442"/>
      <c r="I161" s="442"/>
      <c r="J161" s="442"/>
      <c r="K161" s="442"/>
      <c r="L161" s="442"/>
      <c r="M161" s="97"/>
      <c r="N161" s="60"/>
      <c r="O161" s="465" t="s">
        <v>481</v>
      </c>
      <c r="P161" s="465"/>
      <c r="Q161" s="465"/>
      <c r="R161" s="465"/>
      <c r="S161" s="464">
        <v>17000</v>
      </c>
      <c r="T161" s="472" t="s">
        <v>25</v>
      </c>
      <c r="U161" s="472" t="s">
        <v>26</v>
      </c>
      <c r="V161" s="464">
        <v>5</v>
      </c>
      <c r="W161" s="464" t="s">
        <v>55</v>
      </c>
      <c r="X161" s="472" t="s">
        <v>26</v>
      </c>
      <c r="Y161" s="499">
        <v>2</v>
      </c>
      <c r="Z161" s="500" t="s">
        <v>71</v>
      </c>
      <c r="AA161" s="501" t="s">
        <v>27</v>
      </c>
      <c r="AB161" s="464" t="s">
        <v>436</v>
      </c>
      <c r="AC161" s="464"/>
      <c r="AD161" s="464">
        <f>S161*V161*Y161</f>
        <v>170000</v>
      </c>
      <c r="AE161" s="473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5" t="s">
        <v>482</v>
      </c>
      <c r="P162" s="465"/>
      <c r="Q162" s="465"/>
      <c r="R162" s="465"/>
      <c r="S162" s="464">
        <v>60000</v>
      </c>
      <c r="T162" s="472" t="s">
        <v>25</v>
      </c>
      <c r="U162" s="472" t="s">
        <v>26</v>
      </c>
      <c r="V162" s="464">
        <v>6</v>
      </c>
      <c r="W162" s="464" t="s">
        <v>456</v>
      </c>
      <c r="X162" s="469"/>
      <c r="Y162" s="499"/>
      <c r="Z162" s="500"/>
      <c r="AA162" s="501" t="s">
        <v>27</v>
      </c>
      <c r="AB162" s="464" t="s">
        <v>436</v>
      </c>
      <c r="AC162" s="464"/>
      <c r="AD162" s="464">
        <f>S162*V162</f>
        <v>360000</v>
      </c>
      <c r="AE162" s="473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413</v>
      </c>
      <c r="D164" s="135">
        <v>300</v>
      </c>
      <c r="E164" s="102">
        <f>ROUND(AD164/1000,0)</f>
        <v>400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400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100</v>
      </c>
      <c r="N164" s="109">
        <f>IF(D164=0,0,M164/D164)</f>
        <v>0.33333333333333331</v>
      </c>
      <c r="O164" s="286"/>
      <c r="P164" s="300"/>
      <c r="Q164" s="300"/>
      <c r="R164" s="453"/>
      <c r="S164" s="453"/>
      <c r="T164" s="453"/>
      <c r="U164" s="453"/>
      <c r="V164" s="453"/>
      <c r="W164" s="454" t="s">
        <v>412</v>
      </c>
      <c r="X164" s="454"/>
      <c r="Y164" s="454"/>
      <c r="Z164" s="454"/>
      <c r="AA164" s="454"/>
      <c r="AB164" s="454"/>
      <c r="AC164" s="455"/>
      <c r="AD164" s="456">
        <f>SUM(AD165:AD166)</f>
        <v>400000</v>
      </c>
      <c r="AE164" s="457" t="s">
        <v>25</v>
      </c>
    </row>
    <row r="165" spans="1:31" s="11" customFormat="1" ht="21" customHeight="1">
      <c r="A165" s="38"/>
      <c r="B165" s="38"/>
      <c r="C165" s="38" t="s">
        <v>105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5" t="s">
        <v>484</v>
      </c>
      <c r="P165" s="465"/>
      <c r="Q165" s="465"/>
      <c r="R165" s="465"/>
      <c r="S165" s="464"/>
      <c r="T165" s="472"/>
      <c r="U165" s="472"/>
      <c r="V165" s="464"/>
      <c r="W165" s="465"/>
      <c r="X165" s="464"/>
      <c r="Y165" s="502"/>
      <c r="Z165" s="502"/>
      <c r="AA165" s="502"/>
      <c r="AB165" s="502" t="s">
        <v>436</v>
      </c>
      <c r="AC165" s="502"/>
      <c r="AD165" s="503">
        <v>400000</v>
      </c>
      <c r="AE165" s="504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486</v>
      </c>
      <c r="D167" s="458">
        <v>450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0</v>
      </c>
      <c r="N167" s="109">
        <f>IF(D167=0,0,M167/D167)</f>
        <v>0</v>
      </c>
      <c r="O167" s="459"/>
      <c r="P167" s="139"/>
      <c r="Q167" s="139"/>
      <c r="R167" s="139"/>
      <c r="S167" s="139"/>
      <c r="T167" s="79"/>
      <c r="U167" s="79"/>
      <c r="V167" s="79"/>
      <c r="W167" s="128" t="s">
        <v>412</v>
      </c>
      <c r="X167" s="128"/>
      <c r="Y167" s="128"/>
      <c r="Z167" s="128"/>
      <c r="AA167" s="128"/>
      <c r="AB167" s="128"/>
      <c r="AC167" s="129"/>
      <c r="AD167" s="460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414</v>
      </c>
      <c r="D168" s="439"/>
      <c r="E168" s="440"/>
      <c r="F168" s="440"/>
      <c r="G168" s="440"/>
      <c r="H168" s="440"/>
      <c r="I168" s="440"/>
      <c r="J168" s="440"/>
      <c r="K168" s="440"/>
      <c r="L168" s="440"/>
      <c r="M168" s="97"/>
      <c r="N168" s="60"/>
      <c r="O168" s="465" t="s">
        <v>485</v>
      </c>
      <c r="P168" s="481"/>
      <c r="Q168" s="481"/>
      <c r="R168" s="478"/>
      <c r="S168" s="464">
        <v>15000</v>
      </c>
      <c r="T168" s="464" t="s">
        <v>25</v>
      </c>
      <c r="U168" s="465" t="s">
        <v>26</v>
      </c>
      <c r="V168" s="464">
        <v>5</v>
      </c>
      <c r="W168" s="464" t="s">
        <v>110</v>
      </c>
      <c r="X168" s="465" t="s">
        <v>26</v>
      </c>
      <c r="Y168" s="492">
        <v>6</v>
      </c>
      <c r="Z168" s="469" t="s">
        <v>456</v>
      </c>
      <c r="AA168" s="469" t="s">
        <v>27</v>
      </c>
      <c r="AB168" s="464" t="s">
        <v>436</v>
      </c>
      <c r="AC168" s="437"/>
      <c r="AD168" s="464">
        <f>S168*V168*Y168</f>
        <v>450000</v>
      </c>
      <c r="AE168" s="473" t="s">
        <v>25</v>
      </c>
    </row>
    <row r="169" spans="1:31" s="14" customFormat="1" ht="24" customHeight="1">
      <c r="A169" s="38"/>
      <c r="B169" s="38"/>
      <c r="C169" s="38"/>
      <c r="D169" s="441"/>
      <c r="E169" s="442"/>
      <c r="F169" s="442"/>
      <c r="G169" s="442"/>
      <c r="H169" s="442"/>
      <c r="I169" s="442"/>
      <c r="J169" s="442"/>
      <c r="K169" s="442"/>
      <c r="L169" s="442"/>
      <c r="M169" s="97"/>
      <c r="N169" s="60"/>
      <c r="O169" s="429"/>
      <c r="P169" s="429"/>
      <c r="Q169" s="429"/>
      <c r="R169" s="429"/>
      <c r="S169" s="429"/>
      <c r="T169" s="428"/>
      <c r="U169" s="428"/>
      <c r="V169" s="428"/>
      <c r="W169" s="428"/>
      <c r="X169" s="428"/>
      <c r="Y169" s="428"/>
      <c r="Z169" s="428"/>
      <c r="AA169" s="428"/>
      <c r="AB169" s="428"/>
      <c r="AC169" s="436"/>
      <c r="AD169" s="399"/>
      <c r="AE169" s="122"/>
    </row>
    <row r="170" spans="1:31" s="14" customFormat="1" ht="24" customHeight="1">
      <c r="A170" s="38"/>
      <c r="B170" s="38"/>
      <c r="C170" s="28" t="s">
        <v>490</v>
      </c>
      <c r="D170" s="135">
        <v>600</v>
      </c>
      <c r="E170" s="102">
        <f>ROUND(AD170/1000,0)</f>
        <v>600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600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0</v>
      </c>
      <c r="N170" s="109">
        <f>IF(D170=0,0,M170/D170)</f>
        <v>0</v>
      </c>
      <c r="O170" s="286"/>
      <c r="P170" s="300"/>
      <c r="Q170" s="300"/>
      <c r="R170" s="453"/>
      <c r="S170" s="453"/>
      <c r="T170" s="453"/>
      <c r="U170" s="453"/>
      <c r="V170" s="453"/>
      <c r="W170" s="454" t="s">
        <v>412</v>
      </c>
      <c r="X170" s="454"/>
      <c r="Y170" s="454"/>
      <c r="Z170" s="454"/>
      <c r="AA170" s="454"/>
      <c r="AB170" s="454"/>
      <c r="AC170" s="455"/>
      <c r="AD170" s="526">
        <f>SUM(AD171:AD173)</f>
        <v>600000</v>
      </c>
      <c r="AE170" s="130" t="s">
        <v>25</v>
      </c>
    </row>
    <row r="171" spans="1:31" s="14" customFormat="1" ht="24" customHeight="1">
      <c r="A171" s="38"/>
      <c r="B171" s="38"/>
      <c r="C171" s="38" t="s">
        <v>414</v>
      </c>
      <c r="D171" s="439"/>
      <c r="E171" s="440"/>
      <c r="F171" s="440"/>
      <c r="G171" s="440"/>
      <c r="H171" s="440"/>
      <c r="I171" s="440"/>
      <c r="J171" s="440"/>
      <c r="K171" s="440"/>
      <c r="L171" s="440"/>
      <c r="M171" s="97"/>
      <c r="N171" s="60"/>
      <c r="O171" s="465" t="s">
        <v>489</v>
      </c>
      <c r="P171" s="505"/>
      <c r="Q171" s="505"/>
      <c r="R171" s="505"/>
      <c r="S171" s="464">
        <v>10000</v>
      </c>
      <c r="T171" s="472" t="s">
        <v>25</v>
      </c>
      <c r="U171" s="472" t="s">
        <v>26</v>
      </c>
      <c r="V171" s="464">
        <v>5</v>
      </c>
      <c r="W171" s="465" t="s">
        <v>110</v>
      </c>
      <c r="X171" s="465" t="s">
        <v>26</v>
      </c>
      <c r="Y171" s="492">
        <v>3</v>
      </c>
      <c r="Z171" s="469" t="s">
        <v>456</v>
      </c>
      <c r="AA171" s="502" t="s">
        <v>27</v>
      </c>
      <c r="AB171" s="502" t="s">
        <v>436</v>
      </c>
      <c r="AC171" s="502"/>
      <c r="AD171" s="503">
        <f>S171*V171*Y171</f>
        <v>150000</v>
      </c>
      <c r="AE171" s="504" t="s">
        <v>25</v>
      </c>
    </row>
    <row r="172" spans="1:31" s="14" customFormat="1" ht="24" customHeight="1">
      <c r="A172" s="38"/>
      <c r="B172" s="38"/>
      <c r="C172" s="38"/>
      <c r="D172" s="441"/>
      <c r="E172" s="442"/>
      <c r="F172" s="442"/>
      <c r="G172" s="442"/>
      <c r="H172" s="442"/>
      <c r="I172" s="442"/>
      <c r="J172" s="442"/>
      <c r="K172" s="442"/>
      <c r="L172" s="442"/>
      <c r="M172" s="97"/>
      <c r="N172" s="60"/>
      <c r="O172" s="465" t="s">
        <v>521</v>
      </c>
      <c r="P172" s="505"/>
      <c r="Q172" s="505"/>
      <c r="R172" s="505"/>
      <c r="S172" s="464">
        <v>30000</v>
      </c>
      <c r="T172" s="472" t="s">
        <v>25</v>
      </c>
      <c r="U172" s="472" t="s">
        <v>26</v>
      </c>
      <c r="V172" s="464">
        <v>5</v>
      </c>
      <c r="W172" s="465" t="s">
        <v>110</v>
      </c>
      <c r="X172" s="465" t="s">
        <v>26</v>
      </c>
      <c r="Y172" s="492">
        <v>3</v>
      </c>
      <c r="Z172" s="469" t="s">
        <v>456</v>
      </c>
      <c r="AA172" s="502" t="s">
        <v>27</v>
      </c>
      <c r="AB172" s="502" t="s">
        <v>436</v>
      </c>
      <c r="AC172" s="502"/>
      <c r="AD172" s="503">
        <f>S172*V172*Y172</f>
        <v>450000</v>
      </c>
      <c r="AE172" s="504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9"/>
      <c r="P173" s="429"/>
      <c r="Q173" s="429"/>
      <c r="R173" s="429"/>
      <c r="S173" s="429"/>
      <c r="T173" s="428"/>
      <c r="U173" s="428"/>
      <c r="V173" s="428"/>
      <c r="W173" s="428"/>
      <c r="X173" s="428"/>
      <c r="Y173" s="428"/>
      <c r="Z173" s="428"/>
      <c r="AA173" s="428"/>
      <c r="AB173" s="428"/>
      <c r="AC173" s="121"/>
      <c r="AD173" s="470"/>
      <c r="AE173" s="122"/>
    </row>
    <row r="174" spans="1:31" s="14" customFormat="1" ht="24" customHeight="1">
      <c r="A174" s="38"/>
      <c r="B174" s="38"/>
      <c r="C174" s="28" t="s">
        <v>488</v>
      </c>
      <c r="D174" s="458">
        <v>4780</v>
      </c>
      <c r="E174" s="102">
        <f>ROUND(AD174/1000,0)</f>
        <v>4780</v>
      </c>
      <c r="F174" s="103">
        <f>SUMIF($AB$175:$AB$177,"보조",$AD$175:$AD$177)/1000</f>
        <v>0</v>
      </c>
      <c r="G174" s="103">
        <f>SUMIF($AB$175:$AB$177,"4종",$AD$175:$AD$177)/1000</f>
        <v>0</v>
      </c>
      <c r="H174" s="103">
        <f>SUMIF($AB$175:$AB$177,"6종",$AD$175:$AD$177)/1000</f>
        <v>0</v>
      </c>
      <c r="I174" s="103">
        <f>SUMIF($AB$175:$AB$177,"후원",$AD$175:$AD$177)/1000</f>
        <v>0</v>
      </c>
      <c r="J174" s="103">
        <f>SUMIF($AB$175:$AB$177,"입소",$AD$175:$AD$177)/1000</f>
        <v>4780</v>
      </c>
      <c r="K174" s="103">
        <f>SUMIF($AB$175:$AB$177,"법인",$AD$175:$AD$177)/1000</f>
        <v>0</v>
      </c>
      <c r="L174" s="103">
        <f>SUMIF($AB$175:$AB$177,"잡수",$AD$175:$AD$177)/1000</f>
        <v>0</v>
      </c>
      <c r="M174" s="102">
        <f>E174-D174</f>
        <v>0</v>
      </c>
      <c r="N174" s="109">
        <f>IF(D174=0,0,M174/D174)</f>
        <v>0</v>
      </c>
      <c r="O174" s="286"/>
      <c r="P174" s="300"/>
      <c r="Q174" s="300"/>
      <c r="R174" s="453"/>
      <c r="S174" s="453"/>
      <c r="T174" s="453"/>
      <c r="U174" s="453"/>
      <c r="V174" s="453"/>
      <c r="W174" s="454" t="s">
        <v>412</v>
      </c>
      <c r="X174" s="454"/>
      <c r="Y174" s="454"/>
      <c r="Z174" s="454"/>
      <c r="AA174" s="454"/>
      <c r="AB174" s="454"/>
      <c r="AC174" s="455"/>
      <c r="AD174" s="456">
        <f>SUM(AD175:AD177)</f>
        <v>4780000</v>
      </c>
      <c r="AE174" s="457" t="s">
        <v>25</v>
      </c>
    </row>
    <row r="175" spans="1:31" s="14" customFormat="1" ht="24" customHeight="1">
      <c r="A175" s="38"/>
      <c r="B175" s="38"/>
      <c r="C175" s="38"/>
      <c r="D175" s="439"/>
      <c r="E175" s="440"/>
      <c r="F175" s="440"/>
      <c r="G175" s="440"/>
      <c r="H175" s="440"/>
      <c r="I175" s="440"/>
      <c r="J175" s="440"/>
      <c r="K175" s="440"/>
      <c r="L175" s="440"/>
      <c r="M175" s="97"/>
      <c r="N175" s="60"/>
      <c r="O175" s="505" t="s">
        <v>487</v>
      </c>
      <c r="P175" s="505"/>
      <c r="Q175" s="505"/>
      <c r="R175" s="505"/>
      <c r="S175" s="464">
        <v>130000</v>
      </c>
      <c r="T175" s="472" t="s">
        <v>25</v>
      </c>
      <c r="U175" s="472" t="s">
        <v>26</v>
      </c>
      <c r="V175" s="464">
        <v>6</v>
      </c>
      <c r="W175" s="465" t="s">
        <v>110</v>
      </c>
      <c r="X175" s="464"/>
      <c r="Y175" s="502"/>
      <c r="Z175" s="502"/>
      <c r="AA175" s="502" t="s">
        <v>27</v>
      </c>
      <c r="AB175" s="502" t="s">
        <v>436</v>
      </c>
      <c r="AC175" s="502"/>
      <c r="AD175" s="503">
        <f>S175*V175</f>
        <v>780000</v>
      </c>
      <c r="AE175" s="504" t="s">
        <v>25</v>
      </c>
    </row>
    <row r="176" spans="1:31" s="14" customFormat="1" ht="24" customHeight="1">
      <c r="A176" s="38"/>
      <c r="B176" s="38"/>
      <c r="C176" s="38"/>
      <c r="D176" s="439"/>
      <c r="E176" s="440"/>
      <c r="F176" s="440"/>
      <c r="G176" s="440"/>
      <c r="H176" s="440"/>
      <c r="I176" s="440"/>
      <c r="J176" s="440"/>
      <c r="K176" s="440"/>
      <c r="L176" s="440"/>
      <c r="M176" s="97"/>
      <c r="N176" s="60"/>
      <c r="O176" s="505" t="s">
        <v>519</v>
      </c>
      <c r="P176" s="505"/>
      <c r="Q176" s="505"/>
      <c r="R176" s="505"/>
      <c r="S176" s="464"/>
      <c r="T176" s="472"/>
      <c r="U176" s="472"/>
      <c r="V176" s="464"/>
      <c r="W176" s="465"/>
      <c r="X176" s="464"/>
      <c r="Y176" s="502"/>
      <c r="Z176" s="502"/>
      <c r="AA176" s="502"/>
      <c r="AB176" s="502" t="s">
        <v>436</v>
      </c>
      <c r="AC176" s="502"/>
      <c r="AD176" s="503">
        <v>4000000</v>
      </c>
      <c r="AE176" s="504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29"/>
      <c r="P177" s="396"/>
      <c r="Q177" s="396"/>
      <c r="R177" s="393"/>
      <c r="S177" s="393"/>
      <c r="T177" s="393"/>
      <c r="U177" s="393"/>
      <c r="V177" s="393"/>
      <c r="W177" s="428"/>
      <c r="X177" s="428"/>
      <c r="Y177" s="428"/>
      <c r="Z177" s="428"/>
      <c r="AA177" s="428"/>
      <c r="AB177" s="428"/>
      <c r="AC177" s="121"/>
      <c r="AD177" s="470"/>
      <c r="AE177" s="122"/>
    </row>
    <row r="178" spans="1:31" s="14" customFormat="1" ht="24" customHeight="1">
      <c r="A178" s="38"/>
      <c r="B178" s="38"/>
      <c r="C178" s="28" t="s">
        <v>492</v>
      </c>
      <c r="D178" s="135">
        <v>800</v>
      </c>
      <c r="E178" s="102">
        <f>ROUND(AD178/1000,0)</f>
        <v>800</v>
      </c>
      <c r="F178" s="103">
        <f>SUMIF($AB$179:$AB$186,"보조",$AD$179:$AD$186)/1000</f>
        <v>0</v>
      </c>
      <c r="G178" s="103">
        <f>SUMIF($AB$179:$AB$186,"4종",$AD$179:$AD$186)/1000</f>
        <v>0</v>
      </c>
      <c r="H178" s="103">
        <f>SUMIF($AB$179:$AB$186,"6종",$AD$179:$AD$186)/1000</f>
        <v>0</v>
      </c>
      <c r="I178" s="103">
        <f>SUMIF($AB$179:$AB$181,"후원",$AD$179:$AD$181)/1000</f>
        <v>0</v>
      </c>
      <c r="J178" s="103">
        <f>SUMIF($AB$179:$AB$180,"입소",$AD$179:$AD$180)/1000</f>
        <v>800</v>
      </c>
      <c r="K178" s="103">
        <f>SUMIF($AB$179:$AB$186,"법인",$AD$179:$AD$186)/1000</f>
        <v>0</v>
      </c>
      <c r="L178" s="103">
        <f>SUMIF($AB$179:$AB$186,"잡수",$AD$179:$AD$186)/1000</f>
        <v>0</v>
      </c>
      <c r="M178" s="102">
        <f>E178-D178</f>
        <v>0</v>
      </c>
      <c r="N178" s="109">
        <f>IF(D178=0,0,M178/D178)</f>
        <v>0</v>
      </c>
      <c r="O178" s="286"/>
      <c r="P178" s="300"/>
      <c r="Q178" s="300"/>
      <c r="R178" s="453"/>
      <c r="S178" s="453"/>
      <c r="T178" s="453"/>
      <c r="U178" s="453"/>
      <c r="V178" s="453"/>
      <c r="W178" s="454" t="s">
        <v>412</v>
      </c>
      <c r="X178" s="454"/>
      <c r="Y178" s="454"/>
      <c r="Z178" s="454"/>
      <c r="AA178" s="454"/>
      <c r="AB178" s="454"/>
      <c r="AC178" s="455"/>
      <c r="AD178" s="456">
        <f>SUM(AD179:AD181)</f>
        <v>800000</v>
      </c>
      <c r="AE178" s="457" t="s">
        <v>25</v>
      </c>
    </row>
    <row r="179" spans="1:31" s="14" customFormat="1" ht="24" customHeight="1">
      <c r="A179" s="38"/>
      <c r="B179" s="38"/>
      <c r="C179" s="38" t="s">
        <v>105</v>
      </c>
      <c r="D179" s="439"/>
      <c r="E179" s="440"/>
      <c r="F179" s="440"/>
      <c r="G179" s="440"/>
      <c r="H179" s="440"/>
      <c r="I179" s="440"/>
      <c r="J179" s="440"/>
      <c r="K179" s="440"/>
      <c r="L179" s="440"/>
      <c r="M179" s="97"/>
      <c r="N179" s="60"/>
      <c r="O179" s="506" t="s">
        <v>491</v>
      </c>
      <c r="P179" s="507"/>
      <c r="Q179" s="507"/>
      <c r="R179" s="507"/>
      <c r="S179" s="508">
        <v>10000</v>
      </c>
      <c r="T179" s="508" t="s">
        <v>25</v>
      </c>
      <c r="U179" s="507" t="s">
        <v>26</v>
      </c>
      <c r="V179" s="508">
        <v>5</v>
      </c>
      <c r="W179" s="508" t="s">
        <v>110</v>
      </c>
      <c r="X179" s="507" t="s">
        <v>26</v>
      </c>
      <c r="Y179" s="509">
        <v>1</v>
      </c>
      <c r="Z179" s="510" t="s">
        <v>456</v>
      </c>
      <c r="AA179" s="510" t="s">
        <v>27</v>
      </c>
      <c r="AB179" s="508" t="s">
        <v>436</v>
      </c>
      <c r="AC179" s="511"/>
      <c r="AD179" s="508">
        <f>S179*V179*Y179</f>
        <v>50000</v>
      </c>
      <c r="AE179" s="512" t="s">
        <v>25</v>
      </c>
    </row>
    <row r="180" spans="1:31" s="14" customFormat="1" ht="24" customHeight="1">
      <c r="A180" s="38"/>
      <c r="B180" s="38"/>
      <c r="C180" s="38"/>
      <c r="D180" s="441"/>
      <c r="E180" s="442"/>
      <c r="F180" s="442"/>
      <c r="G180" s="442"/>
      <c r="H180" s="442"/>
      <c r="I180" s="442"/>
      <c r="J180" s="442"/>
      <c r="K180" s="442"/>
      <c r="L180" s="442"/>
      <c r="M180" s="97"/>
      <c r="N180" s="60"/>
      <c r="O180" s="506" t="s">
        <v>520</v>
      </c>
      <c r="P180" s="513"/>
      <c r="Q180" s="513"/>
      <c r="R180" s="514"/>
      <c r="S180" s="464">
        <v>50000</v>
      </c>
      <c r="T180" s="472" t="s">
        <v>25</v>
      </c>
      <c r="U180" s="472" t="s">
        <v>26</v>
      </c>
      <c r="V180" s="464">
        <v>5</v>
      </c>
      <c r="W180" s="465" t="s">
        <v>110</v>
      </c>
      <c r="X180" s="507" t="s">
        <v>26</v>
      </c>
      <c r="Y180" s="509">
        <v>3</v>
      </c>
      <c r="Z180" s="510" t="s">
        <v>456</v>
      </c>
      <c r="AA180" s="502" t="s">
        <v>27</v>
      </c>
      <c r="AB180" s="502" t="s">
        <v>436</v>
      </c>
      <c r="AC180" s="502"/>
      <c r="AD180" s="508">
        <f>S180*V180*Y180</f>
        <v>750000</v>
      </c>
      <c r="AE180" s="504" t="s">
        <v>25</v>
      </c>
    </row>
    <row r="181" spans="1:31" s="14" customFormat="1" ht="24" customHeight="1">
      <c r="A181" s="38"/>
      <c r="B181" s="38"/>
      <c r="C181" s="38"/>
      <c r="D181" s="133"/>
      <c r="E181" s="97"/>
      <c r="F181" s="97"/>
      <c r="G181" s="97"/>
      <c r="H181" s="97"/>
      <c r="I181" s="97"/>
      <c r="J181" s="97"/>
      <c r="K181" s="97"/>
      <c r="L181" s="97"/>
      <c r="M181" s="97"/>
      <c r="N181" s="60"/>
      <c r="O181" s="399"/>
      <c r="P181" s="399"/>
      <c r="Q181" s="399"/>
      <c r="R181" s="399"/>
      <c r="S181" s="428"/>
      <c r="T181" s="293"/>
      <c r="U181" s="293"/>
      <c r="V181" s="428"/>
      <c r="W181" s="429"/>
      <c r="X181" s="428"/>
      <c r="Y181" s="399"/>
      <c r="Z181" s="399"/>
      <c r="AA181" s="399"/>
      <c r="AB181" s="399"/>
      <c r="AC181" s="399"/>
      <c r="AD181" s="452"/>
      <c r="AE181" s="400"/>
    </row>
    <row r="182" spans="1:31" s="14" customFormat="1" ht="24" customHeight="1">
      <c r="A182" s="38"/>
      <c r="B182" s="38"/>
      <c r="C182" s="28" t="s">
        <v>495</v>
      </c>
      <c r="D182" s="135">
        <v>330</v>
      </c>
      <c r="E182" s="102">
        <f>ROUND(AD182/1000,0)</f>
        <v>330</v>
      </c>
      <c r="F182" s="103">
        <f>SUMIF($AB$179:$AB$186,"보조",$AD$179:$AD$186)/1000</f>
        <v>0</v>
      </c>
      <c r="G182" s="103">
        <f>SUMIF($AB$179:$AB$186,"4종",$AD$179:$AD$186)/1000</f>
        <v>0</v>
      </c>
      <c r="H182" s="103">
        <f>SUMIF($AB$179:$AB$186,"6종",$AD$179:$AD$186)/1000</f>
        <v>0</v>
      </c>
      <c r="I182" s="103">
        <f>SUMIF($AB$183:$AB$186,"후원",$AD$183:$AD$186)/1000</f>
        <v>0</v>
      </c>
      <c r="J182" s="103">
        <f>SUMIF($AB$183:$AB$186,"입소",$AD$183:$AD$186)/1000</f>
        <v>330</v>
      </c>
      <c r="K182" s="103">
        <f>SUMIF($AB$179:$AB$186,"법인",$AD$179:$AD$186)/1000</f>
        <v>0</v>
      </c>
      <c r="L182" s="103">
        <v>0</v>
      </c>
      <c r="M182" s="102">
        <f>E182-D182</f>
        <v>0</v>
      </c>
      <c r="N182" s="109">
        <f>IF(D182=0,0,M182/D182)</f>
        <v>0</v>
      </c>
      <c r="O182" s="286"/>
      <c r="P182" s="300"/>
      <c r="Q182" s="300"/>
      <c r="R182" s="453"/>
      <c r="S182" s="453"/>
      <c r="T182" s="453"/>
      <c r="U182" s="453"/>
      <c r="V182" s="453"/>
      <c r="W182" s="454" t="s">
        <v>412</v>
      </c>
      <c r="X182" s="454"/>
      <c r="Y182" s="454"/>
      <c r="Z182" s="454"/>
      <c r="AA182" s="454"/>
      <c r="AB182" s="454"/>
      <c r="AC182" s="455"/>
      <c r="AD182" s="456">
        <f>SUM(AD183:AD185)</f>
        <v>330000</v>
      </c>
      <c r="AE182" s="457" t="s">
        <v>25</v>
      </c>
    </row>
    <row r="183" spans="1:31" s="14" customFormat="1" ht="24" customHeight="1">
      <c r="A183" s="38"/>
      <c r="B183" s="38"/>
      <c r="C183" s="38" t="s">
        <v>409</v>
      </c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65" t="s">
        <v>493</v>
      </c>
      <c r="P183" s="481"/>
      <c r="Q183" s="481"/>
      <c r="R183" s="478"/>
      <c r="S183" s="464">
        <v>200000</v>
      </c>
      <c r="T183" s="472" t="s">
        <v>25</v>
      </c>
      <c r="U183" s="472" t="s">
        <v>26</v>
      </c>
      <c r="V183" s="464">
        <v>1</v>
      </c>
      <c r="W183" s="465" t="s">
        <v>456</v>
      </c>
      <c r="X183" s="464"/>
      <c r="Y183" s="505"/>
      <c r="Z183" s="505" t="s">
        <v>27</v>
      </c>
      <c r="AA183" s="505"/>
      <c r="AB183" s="505" t="s">
        <v>436</v>
      </c>
      <c r="AC183" s="505"/>
      <c r="AD183" s="515">
        <f>S183*V183</f>
        <v>200000</v>
      </c>
      <c r="AE183" s="504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5" t="s">
        <v>504</v>
      </c>
      <c r="P184" s="481"/>
      <c r="Q184" s="481"/>
      <c r="R184" s="478"/>
      <c r="S184" s="464">
        <v>100000</v>
      </c>
      <c r="T184" s="472" t="s">
        <v>25</v>
      </c>
      <c r="U184" s="472" t="s">
        <v>26</v>
      </c>
      <c r="V184" s="464">
        <v>1</v>
      </c>
      <c r="W184" s="465" t="s">
        <v>456</v>
      </c>
      <c r="X184" s="464"/>
      <c r="Y184" s="505"/>
      <c r="Z184" s="505" t="s">
        <v>27</v>
      </c>
      <c r="AA184" s="505"/>
      <c r="AB184" s="528" t="s">
        <v>383</v>
      </c>
      <c r="AC184" s="505"/>
      <c r="AD184" s="515">
        <f>S184*V184</f>
        <v>100000</v>
      </c>
      <c r="AE184" s="504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5" t="s">
        <v>494</v>
      </c>
      <c r="P185" s="481"/>
      <c r="Q185" s="481"/>
      <c r="R185" s="478"/>
      <c r="S185" s="464"/>
      <c r="T185" s="472"/>
      <c r="U185" s="472"/>
      <c r="V185" s="464"/>
      <c r="W185" s="465"/>
      <c r="X185" s="464"/>
      <c r="Y185" s="505"/>
      <c r="Z185" s="505"/>
      <c r="AA185" s="505"/>
      <c r="AB185" s="505" t="s">
        <v>436</v>
      </c>
      <c r="AC185" s="505"/>
      <c r="AD185" s="515">
        <v>30000</v>
      </c>
      <c r="AE185" s="504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5"/>
      <c r="P186" s="481"/>
      <c r="Q186" s="481"/>
      <c r="R186" s="478"/>
      <c r="S186" s="464"/>
      <c r="T186" s="472"/>
      <c r="U186" s="472"/>
      <c r="V186" s="464"/>
      <c r="W186" s="465"/>
      <c r="X186" s="464"/>
      <c r="Y186" s="505"/>
      <c r="Z186" s="505"/>
      <c r="AA186" s="505"/>
      <c r="AB186" s="505"/>
      <c r="AC186" s="505"/>
      <c r="AD186" s="515"/>
      <c r="AE186" s="504"/>
    </row>
    <row r="187" spans="1:31" s="11" customFormat="1" ht="21" customHeight="1">
      <c r="A187" s="27" t="s">
        <v>421</v>
      </c>
      <c r="B187" s="580" t="s">
        <v>20</v>
      </c>
      <c r="C187" s="581"/>
      <c r="D187" s="144">
        <f>D188</f>
        <v>0</v>
      </c>
      <c r="E187" s="144">
        <f>E188</f>
        <v>0</v>
      </c>
      <c r="F187" s="144">
        <f t="shared" ref="F187:L187" si="10">F188</f>
        <v>0</v>
      </c>
      <c r="G187" s="144">
        <f t="shared" si="10"/>
        <v>0</v>
      </c>
      <c r="H187" s="144">
        <f t="shared" si="10"/>
        <v>0</v>
      </c>
      <c r="I187" s="144">
        <f t="shared" si="10"/>
        <v>0</v>
      </c>
      <c r="J187" s="144">
        <f t="shared" si="10"/>
        <v>0</v>
      </c>
      <c r="K187" s="144">
        <f t="shared" si="10"/>
        <v>0</v>
      </c>
      <c r="L187" s="144">
        <f t="shared" si="10"/>
        <v>0</v>
      </c>
      <c r="M187" s="144">
        <f>E187-D187</f>
        <v>0</v>
      </c>
      <c r="N187" s="145">
        <f>IF(D187=0,0,M187/D187)</f>
        <v>0</v>
      </c>
      <c r="O187" s="426" t="s">
        <v>422</v>
      </c>
      <c r="P187" s="426"/>
      <c r="Q187" s="426"/>
      <c r="R187" s="426"/>
      <c r="S187" s="425"/>
      <c r="T187" s="425"/>
      <c r="U187" s="425"/>
      <c r="V187" s="425"/>
      <c r="W187" s="425"/>
      <c r="X187" s="425"/>
      <c r="Y187" s="425"/>
      <c r="Z187" s="425"/>
      <c r="AA187" s="425"/>
      <c r="AB187" s="425"/>
      <c r="AC187" s="425"/>
      <c r="AD187" s="425">
        <f>SUM(AD188)</f>
        <v>0</v>
      </c>
      <c r="AE187" s="146" t="s">
        <v>25</v>
      </c>
    </row>
    <row r="188" spans="1:31" s="11" customFormat="1" ht="21" customHeight="1">
      <c r="A188" s="37"/>
      <c r="B188" s="38" t="s">
        <v>421</v>
      </c>
      <c r="C188" s="38" t="s">
        <v>421</v>
      </c>
      <c r="D188" s="133">
        <v>0</v>
      </c>
      <c r="E188" s="97">
        <f>AD188/1000</f>
        <v>0</v>
      </c>
      <c r="F188" s="103">
        <f>SUMIF($AB$189:$AB$189,"보조",$AD$189:$AD$189)/1000</f>
        <v>0</v>
      </c>
      <c r="G188" s="103">
        <f>SUMIF($AB$189:$AB$189,"4종",$AD$189:$AD$189)/1000</f>
        <v>0</v>
      </c>
      <c r="H188" s="103">
        <f>SUMIF($AB$189:$AB$189,"6종",$AD$189:$AD$189)/1000</f>
        <v>0</v>
      </c>
      <c r="I188" s="103">
        <f>SUMIF($AB$189:$AB$189,"후원",$AD$189:$AD$189)/1000</f>
        <v>0</v>
      </c>
      <c r="J188" s="103">
        <f>SUMIF($AB$189:$AB$189,"입소",$AD$189:$AD$189)/1000</f>
        <v>0</v>
      </c>
      <c r="K188" s="103">
        <f>SUMIF($AB$189:$AB$189,"법인",$AD$189:$AD$189)/1000</f>
        <v>0</v>
      </c>
      <c r="L188" s="103">
        <f>SUMIF($AB$189:$AB$189,"잡수",$AD$189:$AD$189)/1000</f>
        <v>0</v>
      </c>
      <c r="M188" s="97">
        <f>E188-D188</f>
        <v>0</v>
      </c>
      <c r="N188" s="60">
        <f>IF(D188=0,0,M188/D188)</f>
        <v>0</v>
      </c>
      <c r="O188" s="105" t="s">
        <v>423</v>
      </c>
      <c r="P188" s="151"/>
      <c r="Q188" s="151"/>
      <c r="R188" s="151"/>
      <c r="S188" s="151"/>
      <c r="T188" s="150"/>
      <c r="U188" s="150"/>
      <c r="V188" s="150"/>
      <c r="W188" s="150"/>
      <c r="X188" s="150"/>
      <c r="Y188" s="425" t="s">
        <v>387</v>
      </c>
      <c r="Z188" s="87"/>
      <c r="AA188" s="87"/>
      <c r="AB188" s="87"/>
      <c r="AC188" s="107"/>
      <c r="AD188" s="107">
        <v>0</v>
      </c>
      <c r="AE188" s="108" t="s">
        <v>25</v>
      </c>
    </row>
    <row r="189" spans="1:31" s="1" customFormat="1" ht="21" customHeight="1">
      <c r="A189" s="48"/>
      <c r="B189" s="49"/>
      <c r="C189" s="49"/>
      <c r="D189" s="134"/>
      <c r="E189" s="100"/>
      <c r="F189" s="100"/>
      <c r="G189" s="100"/>
      <c r="H189" s="100"/>
      <c r="I189" s="100"/>
      <c r="J189" s="100"/>
      <c r="K189" s="100"/>
      <c r="L189" s="100"/>
      <c r="M189" s="100"/>
      <c r="N189" s="75"/>
      <c r="O189" s="351"/>
      <c r="P189" s="351"/>
      <c r="Q189" s="351"/>
      <c r="R189" s="351"/>
      <c r="S189" s="351"/>
      <c r="T189" s="351"/>
      <c r="U189" s="351"/>
      <c r="V189" s="351"/>
      <c r="W189" s="351"/>
      <c r="X189" s="351"/>
      <c r="Y189" s="351"/>
      <c r="Z189" s="351"/>
      <c r="AA189" s="351"/>
      <c r="AB189" s="351"/>
      <c r="AC189" s="351"/>
      <c r="AD189" s="351"/>
      <c r="AE189" s="524"/>
    </row>
    <row r="190" spans="1:31" s="11" customFormat="1" ht="21" customHeight="1">
      <c r="A190" s="37" t="s">
        <v>21</v>
      </c>
      <c r="B190" s="575" t="s">
        <v>20</v>
      </c>
      <c r="C190" s="576"/>
      <c r="D190" s="100">
        <f t="shared" ref="D190:L190" si="11">SUM(D191)+D197</f>
        <v>22</v>
      </c>
      <c r="E190" s="100">
        <f t="shared" si="11"/>
        <v>22</v>
      </c>
      <c r="F190" s="100">
        <f t="shared" si="11"/>
        <v>20</v>
      </c>
      <c r="G190" s="100">
        <f t="shared" si="11"/>
        <v>2</v>
      </c>
      <c r="H190" s="100">
        <f t="shared" si="11"/>
        <v>0</v>
      </c>
      <c r="I190" s="100">
        <f t="shared" si="11"/>
        <v>0</v>
      </c>
      <c r="J190" s="100">
        <f t="shared" si="11"/>
        <v>0</v>
      </c>
      <c r="K190" s="100">
        <f t="shared" si="11"/>
        <v>0</v>
      </c>
      <c r="L190" s="100">
        <f t="shared" si="11"/>
        <v>0</v>
      </c>
      <c r="M190" s="100">
        <f>E190-D190</f>
        <v>0</v>
      </c>
      <c r="N190" s="75">
        <f>IF(D190=0,0,M190/D190)</f>
        <v>0</v>
      </c>
      <c r="O190" s="525" t="s">
        <v>21</v>
      </c>
      <c r="P190" s="105"/>
      <c r="Q190" s="105"/>
      <c r="R190" s="105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f>AD191+AD197</f>
        <v>22000</v>
      </c>
      <c r="AE190" s="108" t="s">
        <v>25</v>
      </c>
    </row>
    <row r="191" spans="1:31" s="11" customFormat="1" ht="21" customHeight="1">
      <c r="A191" s="37"/>
      <c r="B191" s="38" t="s">
        <v>21</v>
      </c>
      <c r="C191" s="38" t="s">
        <v>21</v>
      </c>
      <c r="D191" s="97">
        <v>0</v>
      </c>
      <c r="E191" s="102">
        <f>AD191/1000</f>
        <v>0</v>
      </c>
      <c r="F191" s="103">
        <f>SUMIF($AB$191:$AB$195,"보조",$AD$191:$AD$195)/1000</f>
        <v>0</v>
      </c>
      <c r="G191" s="103">
        <f>SUMIF($AB$191:$AB$195,"4종",$AD$191:$AD$195)/1000</f>
        <v>0</v>
      </c>
      <c r="H191" s="103">
        <f>SUMIF($AB$191:$AB$195,"6종",$AD$191:$AD$195)/1000</f>
        <v>0</v>
      </c>
      <c r="I191" s="103">
        <f>SUMIF($AB$191:$AB$195,"후원",$AD$191:$AD$195)/1000</f>
        <v>0</v>
      </c>
      <c r="J191" s="103">
        <f>SUMIF($AB$191:$AB$195,"입소",$AD$191:$AD$195)/1000</f>
        <v>0</v>
      </c>
      <c r="K191" s="103">
        <f>SUMIF($AB$191:$AB$195,"법인",$AD$191:$AD$195)/1000</f>
        <v>0</v>
      </c>
      <c r="L191" s="103">
        <f>SUMIF($AB$191:$AB$195,"잡수",$AD$191:$AD$195)/1000</f>
        <v>0</v>
      </c>
      <c r="M191" s="97">
        <f>E191-D191</f>
        <v>0</v>
      </c>
      <c r="N191" s="60">
        <f>IF(D191=0,0,M191/D191)</f>
        <v>0</v>
      </c>
      <c r="O191" s="105" t="s">
        <v>52</v>
      </c>
      <c r="P191" s="151"/>
      <c r="Q191" s="151"/>
      <c r="R191" s="151"/>
      <c r="S191" s="151"/>
      <c r="T191" s="150"/>
      <c r="U191" s="150"/>
      <c r="V191" s="150"/>
      <c r="W191" s="150"/>
      <c r="X191" s="150"/>
      <c r="Y191" s="425" t="s">
        <v>373</v>
      </c>
      <c r="Z191" s="87"/>
      <c r="AA191" s="87"/>
      <c r="AB191" s="87"/>
      <c r="AC191" s="107"/>
      <c r="AD191" s="107">
        <f>SUM(AD192:AD195)</f>
        <v>0</v>
      </c>
      <c r="AE191" s="108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450"/>
      <c r="G192" s="450"/>
      <c r="H192" s="450"/>
      <c r="I192" s="450"/>
      <c r="J192" s="450"/>
      <c r="K192" s="450"/>
      <c r="L192" s="450"/>
      <c r="M192" s="97"/>
      <c r="N192" s="60"/>
      <c r="O192" s="471" t="s">
        <v>424</v>
      </c>
      <c r="P192" s="471"/>
      <c r="Q192" s="471"/>
      <c r="R192" s="471"/>
      <c r="S192" s="471"/>
      <c r="T192" s="470"/>
      <c r="U192" s="470"/>
      <c r="V192" s="470"/>
      <c r="W192" s="470"/>
      <c r="X192" s="470"/>
      <c r="Y192" s="470"/>
      <c r="Z192" s="470"/>
      <c r="AA192" s="470"/>
      <c r="AB192" s="470" t="s">
        <v>383</v>
      </c>
      <c r="AC192" s="121"/>
      <c r="AD192" s="121">
        <v>0</v>
      </c>
      <c r="AE192" s="122" t="s">
        <v>56</v>
      </c>
    </row>
    <row r="193" spans="1:31" s="11" customFormat="1" ht="21" customHeight="1">
      <c r="A193" s="37"/>
      <c r="B193" s="38"/>
      <c r="C193" s="38"/>
      <c r="D193" s="133"/>
      <c r="E193" s="97"/>
      <c r="F193" s="450"/>
      <c r="G193" s="450"/>
      <c r="H193" s="450"/>
      <c r="I193" s="450"/>
      <c r="J193" s="450"/>
      <c r="K193" s="450"/>
      <c r="L193" s="450"/>
      <c r="M193" s="97"/>
      <c r="N193" s="60"/>
      <c r="O193" s="471" t="s">
        <v>425</v>
      </c>
      <c r="P193" s="471"/>
      <c r="Q193" s="471"/>
      <c r="R193" s="471"/>
      <c r="S193" s="471"/>
      <c r="T193" s="470"/>
      <c r="U193" s="470"/>
      <c r="V193" s="470"/>
      <c r="W193" s="470"/>
      <c r="X193" s="470"/>
      <c r="Y193" s="470"/>
      <c r="Z193" s="470"/>
      <c r="AA193" s="470"/>
      <c r="AB193" s="470" t="s">
        <v>369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50"/>
      <c r="G194" s="450"/>
      <c r="H194" s="450"/>
      <c r="I194" s="450"/>
      <c r="J194" s="450"/>
      <c r="K194" s="450"/>
      <c r="L194" s="450"/>
      <c r="M194" s="97"/>
      <c r="N194" s="60"/>
      <c r="O194" s="471" t="s">
        <v>426</v>
      </c>
      <c r="P194" s="471"/>
      <c r="Q194" s="471"/>
      <c r="R194" s="471"/>
      <c r="S194" s="471"/>
      <c r="T194" s="470"/>
      <c r="U194" s="470"/>
      <c r="V194" s="470"/>
      <c r="W194" s="470"/>
      <c r="X194" s="470"/>
      <c r="Y194" s="470"/>
      <c r="Z194" s="470"/>
      <c r="AA194" s="470"/>
      <c r="AB194" s="470" t="s">
        <v>168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450"/>
      <c r="G195" s="450"/>
      <c r="H195" s="450"/>
      <c r="I195" s="450"/>
      <c r="J195" s="450"/>
      <c r="K195" s="450"/>
      <c r="L195" s="450"/>
      <c r="M195" s="97"/>
      <c r="N195" s="60"/>
      <c r="O195" s="471" t="s">
        <v>427</v>
      </c>
      <c r="P195" s="471"/>
      <c r="Q195" s="471"/>
      <c r="R195" s="471"/>
      <c r="S195" s="471"/>
      <c r="T195" s="470"/>
      <c r="U195" s="470"/>
      <c r="V195" s="470"/>
      <c r="W195" s="470"/>
      <c r="X195" s="470"/>
      <c r="Y195" s="470"/>
      <c r="Z195" s="470"/>
      <c r="AA195" s="470"/>
      <c r="AB195" s="470" t="s">
        <v>388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29"/>
      <c r="P196" s="429"/>
      <c r="Q196" s="429"/>
      <c r="R196" s="429"/>
      <c r="S196" s="429"/>
      <c r="T196" s="428"/>
      <c r="U196" s="428"/>
      <c r="V196" s="428"/>
      <c r="W196" s="428"/>
      <c r="X196" s="428"/>
      <c r="Y196" s="428"/>
      <c r="Z196" s="428"/>
      <c r="AA196" s="428"/>
      <c r="AB196" s="428"/>
      <c r="AC196" s="121"/>
      <c r="AD196" s="121"/>
      <c r="AE196" s="122"/>
    </row>
    <row r="197" spans="1:31" s="11" customFormat="1" ht="21" customHeight="1">
      <c r="A197" s="37"/>
      <c r="B197" s="38"/>
      <c r="C197" s="28" t="s">
        <v>134</v>
      </c>
      <c r="D197" s="135">
        <v>22</v>
      </c>
      <c r="E197" s="102">
        <f>AD197/1000</f>
        <v>22</v>
      </c>
      <c r="F197" s="103">
        <f>SUMIF($AB$198:$AB$204,"보조",$AD$198:$AD$204)/1000</f>
        <v>20</v>
      </c>
      <c r="G197" s="103">
        <f>SUMIF($AB$198:$AB$203,"4종",$AD$198:$AD$203)/1000</f>
        <v>2</v>
      </c>
      <c r="H197" s="103">
        <f>SUMIF($AB$198:$AB$203,"6종",$AD$198:$AD$203)/1000</f>
        <v>0</v>
      </c>
      <c r="I197" s="103">
        <f>SUMIF($AB$198:$AB$203,"후원",$AD$198:$AD$203)/1000</f>
        <v>0</v>
      </c>
      <c r="J197" s="103">
        <f>SUMIF($AB$198:$AB$203,"입소",$AD$198:$AD$203)/1000</f>
        <v>0</v>
      </c>
      <c r="K197" s="103">
        <f>SUMIF($AB$198:$AB$203,"법인",$AD$198:$AD$203)/1000</f>
        <v>0</v>
      </c>
      <c r="L197" s="103">
        <f>SUMIF($AB$198:$AB$203,"잡수",$AD$198:$AD$203)/1000</f>
        <v>0</v>
      </c>
      <c r="M197" s="102">
        <f>E197-D197</f>
        <v>0</v>
      </c>
      <c r="N197" s="109">
        <f>IF(D197=0,0,M197/D197)</f>
        <v>0</v>
      </c>
      <c r="O197" s="299" t="s">
        <v>416</v>
      </c>
      <c r="P197" s="153"/>
      <c r="Q197" s="153"/>
      <c r="R197" s="153"/>
      <c r="S197" s="153"/>
      <c r="T197" s="152"/>
      <c r="U197" s="152"/>
      <c r="V197" s="152"/>
      <c r="W197" s="152"/>
      <c r="X197" s="152"/>
      <c r="Y197" s="520" t="s">
        <v>373</v>
      </c>
      <c r="Z197" s="520"/>
      <c r="AA197" s="520"/>
      <c r="AB197" s="520"/>
      <c r="AC197" s="147"/>
      <c r="AD197" s="303">
        <f>ROUNDUP(SUM(AD198:AD203),-3)</f>
        <v>22000</v>
      </c>
      <c r="AE197" s="146" t="s">
        <v>25</v>
      </c>
    </row>
    <row r="198" spans="1:31" s="11" customFormat="1" ht="21" customHeight="1">
      <c r="A198" s="37"/>
      <c r="B198" s="38"/>
      <c r="C198" s="38" t="s">
        <v>415</v>
      </c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71" t="s">
        <v>417</v>
      </c>
      <c r="P198" s="471"/>
      <c r="Q198" s="471"/>
      <c r="R198" s="471"/>
      <c r="S198" s="470"/>
      <c r="T198" s="470"/>
      <c r="U198" s="470"/>
      <c r="V198" s="470"/>
      <c r="W198" s="470"/>
      <c r="X198" s="470"/>
      <c r="Y198" s="470"/>
      <c r="Z198" s="470"/>
      <c r="AA198" s="470"/>
      <c r="AB198" s="470" t="s">
        <v>339</v>
      </c>
      <c r="AC198" s="470"/>
      <c r="AD198" s="121">
        <v>0</v>
      </c>
      <c r="AE198" s="122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71" t="s">
        <v>418</v>
      </c>
      <c r="P199" s="471"/>
      <c r="Q199" s="471"/>
      <c r="R199" s="471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 t="s">
        <v>339</v>
      </c>
      <c r="AC199" s="470"/>
      <c r="AD199" s="274">
        <v>20000</v>
      </c>
      <c r="AE199" s="122" t="s">
        <v>56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1" t="s">
        <v>419</v>
      </c>
      <c r="P200" s="471"/>
      <c r="Q200" s="471"/>
      <c r="R200" s="471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 t="s">
        <v>298</v>
      </c>
      <c r="AC200" s="470"/>
      <c r="AD200" s="121">
        <v>0</v>
      </c>
      <c r="AE200" s="12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1" t="s">
        <v>420</v>
      </c>
      <c r="P201" s="471"/>
      <c r="Q201" s="471"/>
      <c r="R201" s="471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 t="s">
        <v>298</v>
      </c>
      <c r="AC201" s="470"/>
      <c r="AD201" s="274">
        <v>2000</v>
      </c>
      <c r="AE201" s="122" t="s">
        <v>56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1" t="s">
        <v>440</v>
      </c>
      <c r="P202" s="471"/>
      <c r="Q202" s="471"/>
      <c r="R202" s="471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 t="s">
        <v>312</v>
      </c>
      <c r="AC202" s="470"/>
      <c r="AD202" s="121">
        <v>0</v>
      </c>
      <c r="AE202" s="12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1" t="s">
        <v>441</v>
      </c>
      <c r="P203" s="471"/>
      <c r="Q203" s="471"/>
      <c r="R203" s="471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 t="s">
        <v>312</v>
      </c>
      <c r="AC203" s="470"/>
      <c r="AD203" s="436"/>
      <c r="AE203" s="122" t="s">
        <v>56</v>
      </c>
    </row>
    <row r="204" spans="1:31" s="1" customFormat="1" ht="21" customHeight="1" thickBot="1">
      <c r="A204" s="123"/>
      <c r="B204" s="90"/>
      <c r="C204" s="90"/>
      <c r="D204" s="138"/>
      <c r="E204" s="124"/>
      <c r="F204" s="124"/>
      <c r="G204" s="124"/>
      <c r="H204" s="124"/>
      <c r="I204" s="124"/>
      <c r="J204" s="124"/>
      <c r="K204" s="124"/>
      <c r="L204" s="124"/>
      <c r="M204" s="124"/>
      <c r="N204" s="125"/>
      <c r="O204" s="403"/>
      <c r="P204" s="403"/>
      <c r="Q204" s="403"/>
      <c r="R204" s="403"/>
      <c r="S204" s="404"/>
      <c r="T204" s="404"/>
      <c r="U204" s="404"/>
      <c r="V204" s="404"/>
      <c r="W204" s="404"/>
      <c r="X204" s="404"/>
      <c r="Y204" s="404"/>
      <c r="Z204" s="404"/>
      <c r="AA204" s="404"/>
      <c r="AB204" s="404"/>
      <c r="AC204" s="404"/>
      <c r="AD204" s="404"/>
      <c r="AE204" s="405"/>
    </row>
    <row r="206" spans="1:31" ht="21" customHeight="1">
      <c r="E206" s="290"/>
      <c r="F206" s="290"/>
    </row>
    <row r="207" spans="1:31" ht="21" customHeight="1">
      <c r="E207" s="290"/>
      <c r="F207" s="290"/>
    </row>
    <row r="208" spans="1:31" ht="21" customHeight="1">
      <c r="F208" s="290"/>
    </row>
    <row r="209" spans="5:6" ht="21" customHeight="1">
      <c r="E209" s="290"/>
      <c r="F209" s="290"/>
    </row>
    <row r="210" spans="5:6" ht="21" customHeight="1">
      <c r="E210" s="290"/>
      <c r="F210" s="290"/>
    </row>
    <row r="211" spans="5:6" ht="21" customHeight="1">
      <c r="E211" s="290"/>
      <c r="F211" s="290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0:C190"/>
    <mergeCell ref="B110:C110"/>
    <mergeCell ref="B132:C132"/>
    <mergeCell ref="B187:C187"/>
    <mergeCell ref="O115:R115"/>
  </mergeCells>
  <phoneticPr fontId="6" type="noConversion"/>
  <conditionalFormatting sqref="M1:M1048576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2023-07-30T23:31:08Z</cp:lastPrinted>
  <dcterms:created xsi:type="dcterms:W3CDTF">2003-12-18T04:11:57Z</dcterms:created>
  <dcterms:modified xsi:type="dcterms:W3CDTF">2024-08-16T02:26:11Z</dcterms:modified>
</cp:coreProperties>
</file>