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년바르나바\홈페이지 게시용\23년 2차 추경, 24년 본예산\"/>
    </mc:Choice>
  </mc:AlternateContent>
  <bookViews>
    <workbookView visibility="hidden" xWindow="0" yWindow="0" windowWidth="28800" windowHeight="12255" activeTab="2"/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X210" i="4" l="1"/>
  <c r="I25" i="18" l="1"/>
  <c r="I23" i="18"/>
  <c r="I16" i="18"/>
  <c r="I12" i="18"/>
  <c r="I8" i="18"/>
  <c r="I7" i="18" s="1"/>
  <c r="AD44" i="31" l="1"/>
  <c r="X51" i="4"/>
  <c r="X48" i="4" l="1"/>
  <c r="X28" i="4"/>
  <c r="F22" i="18"/>
  <c r="F18" i="18"/>
  <c r="F17" i="18" s="1"/>
  <c r="F16" i="18"/>
  <c r="F15" i="18" s="1"/>
  <c r="K21" i="18"/>
  <c r="D17" i="18"/>
  <c r="K13" i="18" l="1"/>
  <c r="F13" i="18"/>
  <c r="AD79" i="31" l="1"/>
  <c r="D21" i="18" l="1"/>
  <c r="D19" i="18"/>
  <c r="D15" i="18"/>
  <c r="D10" i="18"/>
  <c r="D8" i="18"/>
  <c r="D7" i="18" l="1"/>
  <c r="AD89" i="31"/>
  <c r="AD88" i="31"/>
  <c r="X152" i="4" l="1"/>
  <c r="AD105" i="31"/>
  <c r="AD183" i="31" l="1"/>
  <c r="AD96" i="31" l="1"/>
  <c r="AD135" i="31" l="1"/>
  <c r="K10" i="18"/>
  <c r="G196" i="31" l="1"/>
  <c r="AD137" i="31"/>
  <c r="X64" i="4"/>
  <c r="AD69" i="31" l="1"/>
  <c r="AD23" i="31"/>
  <c r="AD20" i="31"/>
  <c r="AD17" i="31"/>
  <c r="AD14" i="31"/>
  <c r="D62" i="31"/>
  <c r="M125" i="4"/>
  <c r="M102" i="4"/>
  <c r="X102" i="4" s="1"/>
  <c r="M99" i="4"/>
  <c r="M96" i="4"/>
  <c r="M93" i="4"/>
  <c r="M89" i="4"/>
  <c r="X38" i="4"/>
  <c r="X41" i="4"/>
  <c r="D189" i="31" l="1"/>
  <c r="L196" i="31"/>
  <c r="K196" i="31"/>
  <c r="J196" i="31"/>
  <c r="J189" i="31" s="1"/>
  <c r="I196" i="31"/>
  <c r="H196" i="31"/>
  <c r="F196" i="31"/>
  <c r="L190" i="31"/>
  <c r="K190" i="31"/>
  <c r="J190" i="31"/>
  <c r="I190" i="31"/>
  <c r="H190" i="31"/>
  <c r="G190" i="31"/>
  <c r="G189" i="31" s="1"/>
  <c r="F190" i="31"/>
  <c r="AD196" i="31"/>
  <c r="E196" i="31" s="1"/>
  <c r="M196" i="31" s="1"/>
  <c r="N196" i="31" s="1"/>
  <c r="AD190" i="31"/>
  <c r="E190" i="31" s="1"/>
  <c r="D158" i="31"/>
  <c r="J25" i="18"/>
  <c r="K26" i="18"/>
  <c r="K25" i="18" s="1"/>
  <c r="J23" i="18"/>
  <c r="K24" i="18"/>
  <c r="K23" i="18" s="1"/>
  <c r="F189" i="31" l="1"/>
  <c r="K189" i="31"/>
  <c r="H189" i="31"/>
  <c r="L189" i="31"/>
  <c r="I189" i="31"/>
  <c r="AD189" i="31"/>
  <c r="AD94" i="31"/>
  <c r="AD73" i="31" l="1"/>
  <c r="X101" i="4" l="1"/>
  <c r="M105" i="4"/>
  <c r="M109" i="4" s="1"/>
  <c r="X109" i="4" s="1"/>
  <c r="X105" i="4" l="1"/>
  <c r="X104" i="4" s="1"/>
  <c r="M121" i="4"/>
  <c r="X121" i="4" s="1"/>
  <c r="M118" i="4"/>
  <c r="X118" i="4" s="1"/>
  <c r="M112" i="4"/>
  <c r="X112" i="4" s="1"/>
  <c r="M44" i="4"/>
  <c r="X44" i="4" s="1"/>
  <c r="X40" i="4"/>
  <c r="E21" i="18" l="1"/>
  <c r="E19" i="18"/>
  <c r="J164" i="31"/>
  <c r="AD182" i="31" l="1"/>
  <c r="AD181" i="31" s="1"/>
  <c r="AD179" i="31"/>
  <c r="J178" i="31" s="1"/>
  <c r="AD176" i="31"/>
  <c r="AD174" i="31"/>
  <c r="AD171" i="31"/>
  <c r="AD170" i="31" s="1"/>
  <c r="F170" i="31"/>
  <c r="G170" i="31"/>
  <c r="H170" i="31"/>
  <c r="I170" i="31"/>
  <c r="K170" i="31"/>
  <c r="L170" i="31"/>
  <c r="AD168" i="31"/>
  <c r="AD164" i="31"/>
  <c r="E164" i="31" s="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56" i="31"/>
  <c r="AD152" i="31"/>
  <c r="AD151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90" i="31"/>
  <c r="AD87" i="31"/>
  <c r="AD86" i="31"/>
  <c r="AD78" i="31"/>
  <c r="AD77" i="31"/>
  <c r="AD173" i="31" l="1"/>
  <c r="E170" i="31"/>
  <c r="M170" i="31" s="1"/>
  <c r="N170" i="31" s="1"/>
  <c r="AD85" i="31"/>
  <c r="J170" i="31"/>
  <c r="AD103" i="31"/>
  <c r="AD134" i="31"/>
  <c r="AD93" i="31"/>
  <c r="H187" i="31" l="1"/>
  <c r="G187" i="31"/>
  <c r="H181" i="31"/>
  <c r="G181" i="31"/>
  <c r="H178" i="31"/>
  <c r="G178" i="31"/>
  <c r="H173" i="31"/>
  <c r="G173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AD68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87" i="31"/>
  <c r="L187" i="31"/>
  <c r="L186" i="31" s="1"/>
  <c r="K187" i="31"/>
  <c r="K186" i="31" s="1"/>
  <c r="J187" i="31"/>
  <c r="J186" i="31" s="1"/>
  <c r="I187" i="31"/>
  <c r="I186" i="31" s="1"/>
  <c r="H186" i="31"/>
  <c r="G186" i="31"/>
  <c r="F187" i="31"/>
  <c r="F186" i="31" s="1"/>
  <c r="E187" i="31"/>
  <c r="E186" i="31" s="1"/>
  <c r="AD186" i="31"/>
  <c r="D186" i="31"/>
  <c r="N186" i="31" s="1"/>
  <c r="E181" i="31"/>
  <c r="M181" i="31" s="1"/>
  <c r="K181" i="31"/>
  <c r="J181" i="31"/>
  <c r="I181" i="31"/>
  <c r="F181" i="31"/>
  <c r="AD178" i="31"/>
  <c r="E178" i="31" s="1"/>
  <c r="L178" i="31"/>
  <c r="K178" i="31"/>
  <c r="I178" i="31"/>
  <c r="F178" i="31"/>
  <c r="E173" i="31"/>
  <c r="L173" i="31"/>
  <c r="K173" i="31"/>
  <c r="J173" i="31"/>
  <c r="I173" i="31"/>
  <c r="F173" i="31"/>
  <c r="AD167" i="31"/>
  <c r="E167" i="31" s="1"/>
  <c r="L167" i="31"/>
  <c r="K167" i="31"/>
  <c r="J167" i="31"/>
  <c r="I167" i="31"/>
  <c r="F167" i="31"/>
  <c r="AD159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1" i="31" l="1"/>
  <c r="L158" i="31"/>
  <c r="K158" i="31"/>
  <c r="I158" i="31"/>
  <c r="J158" i="31"/>
  <c r="F158" i="31"/>
  <c r="J75" i="31"/>
  <c r="J71" i="31" s="1"/>
  <c r="AD75" i="31"/>
  <c r="E75" i="31" s="1"/>
  <c r="E159" i="31"/>
  <c r="E158" i="31" s="1"/>
  <c r="AD158" i="31"/>
  <c r="G134" i="31"/>
  <c r="G150" i="31"/>
  <c r="AD31" i="31"/>
  <c r="AD13" i="31"/>
  <c r="E13" i="31" s="1"/>
  <c r="D132" i="31"/>
  <c r="D5" i="31"/>
  <c r="L134" i="31"/>
  <c r="L133" i="31" s="1"/>
  <c r="AD126" i="31"/>
  <c r="E126" i="31" s="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86" i="31"/>
  <c r="F75" i="31"/>
  <c r="E93" i="31"/>
  <c r="M93" i="31" s="1"/>
  <c r="N93" i="31" s="1"/>
  <c r="J62" i="31"/>
  <c r="L111" i="31"/>
  <c r="L110" i="31" s="1"/>
  <c r="K103" i="31"/>
  <c r="M187" i="31"/>
  <c r="M178" i="31"/>
  <c r="N178" i="31" s="1"/>
  <c r="M143" i="31"/>
  <c r="N143" i="31" s="1"/>
  <c r="M167" i="31"/>
  <c r="N167" i="31" s="1"/>
  <c r="K13" i="31"/>
  <c r="L6" i="31"/>
  <c r="F134" i="31"/>
  <c r="M173" i="31"/>
  <c r="N173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AD41" i="31" s="1"/>
  <c r="J111" i="31"/>
  <c r="J110" i="31" s="1"/>
  <c r="F126" i="31"/>
  <c r="E85" i="31"/>
  <c r="F93" i="31"/>
  <c r="AD99" i="31"/>
  <c r="E99" i="31" s="1"/>
  <c r="G71" i="31"/>
  <c r="J134" i="31"/>
  <c r="F155" i="31"/>
  <c r="K67" i="31"/>
  <c r="K62" i="31" s="1"/>
  <c r="D4" i="31" l="1"/>
  <c r="M190" i="31"/>
  <c r="N190" i="31" s="1"/>
  <c r="E189" i="31"/>
  <c r="M189" i="31" s="1"/>
  <c r="N189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J5" i="3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34" i="31"/>
  <c r="AD30" i="31" s="1"/>
  <c r="E30" i="31" s="1"/>
  <c r="M30" i="31" s="1"/>
  <c r="N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M110" i="31" s="1"/>
  <c r="N110" i="31" s="1"/>
  <c r="AD40" i="31"/>
  <c r="S50" i="31"/>
  <c r="AD50" i="31" s="1"/>
  <c r="K38" i="31" l="1"/>
  <c r="G6" i="31"/>
  <c r="G5" i="31" s="1"/>
  <c r="G4" i="31" s="1"/>
  <c r="S47" i="31"/>
  <c r="AD47" i="31" s="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AD46" i="31"/>
  <c r="F38" i="31"/>
  <c r="AD38" i="31" l="1"/>
  <c r="E38" i="31" s="1"/>
  <c r="E6" i="31" s="1"/>
  <c r="F6" i="31"/>
  <c r="F5" i="31" l="1"/>
  <c r="F4" i="31" s="1"/>
  <c r="AD6" i="31"/>
  <c r="AD5" i="31" s="1"/>
  <c r="AD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90" i="4" l="1"/>
  <c r="X139" i="4" l="1"/>
  <c r="X99" i="4"/>
  <c r="X96" i="4"/>
  <c r="X93" i="4"/>
  <c r="X89" i="4"/>
  <c r="X98" i="4" l="1"/>
  <c r="X95" i="4"/>
  <c r="X92" i="4"/>
  <c r="X88" i="4"/>
  <c r="X120" i="4"/>
  <c r="M48" i="4"/>
  <c r="X35" i="4"/>
  <c r="X32" i="4"/>
  <c r="X91" i="4" l="1"/>
  <c r="X34" i="4"/>
  <c r="X117" i="4"/>
  <c r="X108" i="4"/>
  <c r="M115" i="4"/>
  <c r="X115" i="4" s="1"/>
  <c r="X37" i="4"/>
  <c r="M51" i="4"/>
  <c r="M57" i="4"/>
  <c r="X57" i="4" s="1"/>
  <c r="X47" i="4"/>
  <c r="M60" i="4"/>
  <c r="X60" i="4" s="1"/>
  <c r="X31" i="4"/>
  <c r="M54" i="4" l="1"/>
  <c r="X111" i="4"/>
  <c r="X114" i="4"/>
  <c r="X56" i="4"/>
  <c r="X59" i="4"/>
  <c r="X6" i="4"/>
  <c r="X54" i="4" l="1"/>
  <c r="X53" i="4" s="1"/>
  <c r="X107" i="4"/>
  <c r="X87" i="4" s="1"/>
  <c r="X50" i="4"/>
  <c r="X46" i="4" l="1"/>
  <c r="X151" i="4" l="1"/>
  <c r="X15" i="4"/>
  <c r="X214" i="4" l="1"/>
  <c r="X185" i="4"/>
  <c r="X177" i="4"/>
  <c r="J16" i="18" l="1"/>
  <c r="J12" i="18"/>
  <c r="J8" i="18"/>
  <c r="K22" i="18"/>
  <c r="K20" i="18"/>
  <c r="K19" i="18"/>
  <c r="K18" i="18"/>
  <c r="K17" i="18"/>
  <c r="K15" i="18"/>
  <c r="K11" i="18"/>
  <c r="E15" i="18"/>
  <c r="E10" i="18"/>
  <c r="E8" i="18"/>
  <c r="K16" i="18" l="1"/>
  <c r="J7" i="18"/>
  <c r="E7" i="18"/>
  <c r="X136" i="4" l="1"/>
  <c r="X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3" i="4" l="1"/>
  <c r="E209" i="4"/>
  <c r="E201" i="4"/>
  <c r="E198" i="4"/>
  <c r="H195" i="4"/>
  <c r="E194" i="4"/>
  <c r="H194" i="4" s="1"/>
  <c r="E189" i="4"/>
  <c r="E164" i="4"/>
  <c r="E168" i="4"/>
  <c r="E145" i="4"/>
  <c r="E151" i="4"/>
  <c r="E141" i="4"/>
  <c r="E83" i="4"/>
  <c r="E163" i="4" l="1"/>
  <c r="E144" i="4"/>
  <c r="E197" i="4"/>
  <c r="E172" i="4"/>
  <c r="E22" i="4"/>
  <c r="H199" i="4"/>
  <c r="H198" i="4"/>
  <c r="H165" i="4"/>
  <c r="H164" i="4"/>
  <c r="H161" i="4"/>
  <c r="H158" i="4"/>
  <c r="X150" i="4"/>
  <c r="X149" i="4" s="1"/>
  <c r="F149" i="4" s="1"/>
  <c r="G149" i="4" s="1"/>
  <c r="H149" i="4" s="1"/>
  <c r="X213" i="4"/>
  <c r="E12" i="4" l="1"/>
  <c r="F210" i="4"/>
  <c r="F209" i="4" s="1"/>
  <c r="G209" i="4" s="1"/>
  <c r="H209" i="4" s="1"/>
  <c r="G210" i="4" l="1"/>
  <c r="H210" i="4" s="1"/>
  <c r="X202" i="4" l="1"/>
  <c r="X189" i="4"/>
  <c r="F185" i="4"/>
  <c r="G185" i="4" s="1"/>
  <c r="H185" i="4" s="1"/>
  <c r="X181" i="4"/>
  <c r="F181" i="4" s="1"/>
  <c r="G181" i="4" s="1"/>
  <c r="H181" i="4" s="1"/>
  <c r="F177" i="4"/>
  <c r="G177" i="4" s="1"/>
  <c r="H177" i="4" s="1"/>
  <c r="X174" i="4"/>
  <c r="F174" i="4" s="1"/>
  <c r="G174" i="4" s="1"/>
  <c r="H174" i="4" s="1"/>
  <c r="E160" i="4"/>
  <c r="H160" i="4" s="1"/>
  <c r="E157" i="4"/>
  <c r="H157" i="4" s="1"/>
  <c r="X160" i="4"/>
  <c r="X158" i="4"/>
  <c r="X157" i="4" s="1"/>
  <c r="F161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3" i="4"/>
  <c r="X30" i="4" s="1"/>
  <c r="F202" i="4" l="1"/>
  <c r="G202" i="4" s="1"/>
  <c r="H202" i="4" s="1"/>
  <c r="X201" i="4"/>
  <c r="F158" i="4"/>
  <c r="G158" i="4" s="1"/>
  <c r="F169" i="4"/>
  <c r="X63" i="4"/>
  <c r="F63" i="4" s="1"/>
  <c r="G63" i="4" s="1"/>
  <c r="H63" i="4" s="1"/>
  <c r="F160" i="4"/>
  <c r="G160" i="4" s="1"/>
  <c r="G161" i="4"/>
  <c r="X138" i="4"/>
  <c r="F138" i="4" s="1"/>
  <c r="G138" i="4" s="1"/>
  <c r="H138" i="4" s="1"/>
  <c r="X124" i="4"/>
  <c r="X156" i="4"/>
  <c r="X173" i="4"/>
  <c r="F190" i="4"/>
  <c r="F173" i="4"/>
  <c r="G173" i="4" s="1"/>
  <c r="H173" i="4" s="1"/>
  <c r="E156" i="4"/>
  <c r="X69" i="4"/>
  <c r="F69" i="4" s="1"/>
  <c r="G69" i="4" s="1"/>
  <c r="H69" i="4" s="1"/>
  <c r="X127" i="4"/>
  <c r="F127" i="4" s="1"/>
  <c r="G127" i="4" s="1"/>
  <c r="H127" i="4" s="1"/>
  <c r="F201" i="4" l="1"/>
  <c r="G201" i="4" s="1"/>
  <c r="H201" i="4" s="1"/>
  <c r="F157" i="4"/>
  <c r="G157" i="4" s="1"/>
  <c r="F168" i="4"/>
  <c r="G168" i="4" s="1"/>
  <c r="H168" i="4" s="1"/>
  <c r="G169" i="4"/>
  <c r="H169" i="4" s="1"/>
  <c r="E4" i="4"/>
  <c r="H156" i="4"/>
  <c r="F189" i="4"/>
  <c r="G189" i="4" s="1"/>
  <c r="H189" i="4" s="1"/>
  <c r="G190" i="4"/>
  <c r="H190" i="4" s="1"/>
  <c r="F156" i="4" l="1"/>
  <c r="G156" i="4" s="1"/>
  <c r="F87" i="4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9" i="4"/>
  <c r="X200" i="4"/>
  <c r="X199" i="4" s="1"/>
  <c r="F199" i="4" s="1"/>
  <c r="X195" i="4"/>
  <c r="X168" i="4"/>
  <c r="X165" i="4"/>
  <c r="X141" i="4"/>
  <c r="F124" i="4" s="1"/>
  <c r="G124" i="4" s="1"/>
  <c r="H124" i="4" s="1"/>
  <c r="X85" i="4"/>
  <c r="F198" i="4" l="1"/>
  <c r="G199" i="4"/>
  <c r="F141" i="4"/>
  <c r="G141" i="4" s="1"/>
  <c r="H141" i="4" s="1"/>
  <c r="G142" i="4"/>
  <c r="H142" i="4" s="1"/>
  <c r="X164" i="4"/>
  <c r="F165" i="4"/>
  <c r="X194" i="4"/>
  <c r="X172" i="4" s="1"/>
  <c r="F195" i="4"/>
  <c r="X14" i="4"/>
  <c r="X13" i="4" s="1"/>
  <c r="X84" i="4"/>
  <c r="X23" i="4"/>
  <c r="X22" i="4" s="1"/>
  <c r="X198" i="4"/>
  <c r="X197" i="4" s="1"/>
  <c r="X163" i="4"/>
  <c r="F197" i="4" l="1"/>
  <c r="G197" i="4" s="1"/>
  <c r="H197" i="4" s="1"/>
  <c r="G198" i="4"/>
  <c r="F194" i="4"/>
  <c r="G195" i="4"/>
  <c r="F164" i="4"/>
  <c r="G165" i="4"/>
  <c r="F84" i="4"/>
  <c r="X83" i="4"/>
  <c r="F14" i="4"/>
  <c r="F13" i="4" s="1"/>
  <c r="F23" i="4"/>
  <c r="F10" i="4"/>
  <c r="G10" i="4" s="1"/>
  <c r="H10" i="4"/>
  <c r="X8" i="4"/>
  <c r="X12" i="4" l="1"/>
  <c r="F163" i="4"/>
  <c r="G163" i="4" s="1"/>
  <c r="H163" i="4" s="1"/>
  <c r="G164" i="4"/>
  <c r="F172" i="4"/>
  <c r="G172" i="4" s="1"/>
  <c r="H172" i="4" s="1"/>
  <c r="G194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1" i="18"/>
  <c r="F20" i="18"/>
  <c r="F19" i="18" s="1"/>
  <c r="K14" i="18"/>
  <c r="K12" i="18" s="1"/>
  <c r="F14" i="18"/>
  <c r="F12" i="18"/>
  <c r="F10" i="18" s="1"/>
  <c r="F11" i="18"/>
  <c r="K9" i="18"/>
  <c r="K8" i="18" s="1"/>
  <c r="F9" i="18"/>
  <c r="F8" i="18" s="1"/>
  <c r="K7" i="18" l="1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<sst xmlns="http://schemas.openxmlformats.org/spreadsheetml/2006/main" count="1546" uniqueCount="533">
  <si>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</si>
  <si>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</si>
  <si>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</si>
  <si>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</si>
  <si>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</si>
  <si>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</si>
  <si>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</si>
  <si>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</si>
  <si>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</si>
  <si>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</si>
  <si>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</si>
  <si>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</si>
  <si>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</si>
  <si>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</si>
  <si>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</si>
  <si>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</si>
  <si>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</si>
  <si>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</si>
  <si>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</si>
  <si>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</si>
  <si>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</si>
  <si>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</si>
  <si>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</si>
  <si>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</si>
  <si>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</si>
  <si>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</si>
  <si>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</si>
  <si>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</si>
  <si>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</si>
  <si>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</si>
  <si>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</si>
  <si>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</si>
  <si>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</si>
  <si>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</si>
  <si>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</si>
  <si>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</si>
  <si>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</si>
  <si>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</si>
  <si>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</si>
  <si>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</si>
  <si>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</si>
  <si>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</si>
  <si>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</si>
  <si>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</si>
  <si>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</si>
  <si>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</si>
  <si>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</si>
  <si>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</si>
  <si>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</si>
  <si>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</si>
  <si>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</si>
  <si>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</si>
  <si>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</si>
  <si>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</si>
  <si>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</si>
  <si>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</si>
  <si>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</si>
  <si>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</si>
  <si>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</si>
  <si>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</si>
  <si>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</si>
  <si>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</si>
  <si>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</si>
  <si>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</si>
  <si>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</si>
  <si>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</si>
  <si>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</si>
  <si>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</si>
  <si>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</si>
  <si>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</si>
  <si>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</si>
  <si>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</si>
  <si>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</si>
  <si>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</si>
  <si>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</si>
  <si>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</si>
  <si>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</si>
  <si>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</si>
  <si>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</si>
  <si>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</si>
  <si>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자 산   취 득 비</t>
    <phoneticPr fontId="26" type="noConversion"/>
  </si>
  <si>
    <t>비지정   후원금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</si>
  <si>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</si>
  <si>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</si>
  <si>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</si>
  <si>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</si>
  <si>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</si>
  <si>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</si>
  <si>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</si>
  <si>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</si>
  <si>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</si>
  <si>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</si>
  <si>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</si>
  <si>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</si>
  <si>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</si>
  <si>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</si>
  <si>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</si>
  <si>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</si>
  <si>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</si>
  <si>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</si>
  <si>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</si>
  <si>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</si>
  <si>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</si>
  <si>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</si>
  <si>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</si>
  <si>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</si>
  <si>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</si>
  <si>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</si>
  <si>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</si>
  <si>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</si>
  <si>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</si>
  <si>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</si>
  <si>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</si>
  <si>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</si>
  <si>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</si>
  <si>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</si>
  <si>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</si>
  <si>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</si>
  <si>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</si>
  <si>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</si>
  <si>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</si>
  <si>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</si>
  <si>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</si>
  <si>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</si>
  <si>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</si>
  <si>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</si>
  <si>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</si>
  <si>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</si>
  <si>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</si>
  <si>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</si>
  <si>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</si>
  <si>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</si>
  <si>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</si>
  <si>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</si>
  <si>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</si>
  <si>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</si>
  <si>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</si>
  <si>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</si>
  <si>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</si>
  <si>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</si>
  <si>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</si>
  <si>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</si>
  <si>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</si>
  <si>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</si>
  <si>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</si>
  <si>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</si>
  <si>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</si>
  <si>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</si>
  <si>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</si>
  <si>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</si>
  <si>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</si>
  <si>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</si>
  <si>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</si>
  <si>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</si>
  <si>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</si>
  <si>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</si>
  <si>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</si>
  <si>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</si>
  <si>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</si>
  <si>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</si>
  <si>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</si>
  <si>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</si>
  <si>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</si>
  <si>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</si>
  <si>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</si>
  <si>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</si>
  <si>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</si>
  <si>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</si>
  <si>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</si>
  <si>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</si>
  <si>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</si>
  <si>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</si>
  <si>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</si>
  <si>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</si>
  <si>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</si>
  <si>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</si>
  <si>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</si>
  <si>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</si>
  <si>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</si>
  <si>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</si>
  <si>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</si>
  <si>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</si>
  <si>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</si>
  <si>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</si>
  <si>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</si>
  <si>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</si>
  <si>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</si>
  <si>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</si>
  <si>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</si>
  <si>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</si>
  <si>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</si>
  <si>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</si>
  <si>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</si>
  <si>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</si>
  <si>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</si>
  <si>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</si>
  <si>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</si>
  <si>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</si>
  <si>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</si>
  <si>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</si>
  <si>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</si>
  <si>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</si>
  <si>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</si>
  <si>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</si>
  <si>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</si>
  <si>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</si>
  <si>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</si>
  <si>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</si>
  <si>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</si>
  <si>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</si>
  <si>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</si>
  <si>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</si>
  <si>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</si>
  <si>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</si>
  <si>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</si>
  <si>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</si>
  <si>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</si>
  <si>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</si>
  <si>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</si>
  <si>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</si>
  <si>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</si>
  <si>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</si>
  <si>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</si>
  <si>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</si>
  <si>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재활프로그램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</si>
  <si>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</si>
  <si>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</si>
  <si>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</si>
  <si>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</si>
  <si>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</si>
  <si>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</si>
  <si>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</si>
  <si>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</si>
  <si>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</si>
  <si>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</si>
  <si>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</si>
  <si>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</si>
  <si>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</si>
  <si>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</si>
  <si>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</si>
  <si>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</si>
  <si>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</si>
  <si>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</si>
  <si>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* 예금이자(후원금)</t>
    <phoneticPr fontId="7" type="noConversion"/>
  </si>
  <si>
    <t xml:space="preserve"> &lt;기타잡수입&gt;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</si>
  <si>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</si>
  <si>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</si>
  <si>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</si>
  <si>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</si>
  <si>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</si>
  <si>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</si>
  <si>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</si>
  <si>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</si>
  <si>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</si>
  <si>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</si>
  <si>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</si>
  <si>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</si>
  <si>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</si>
  <si>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</si>
  <si>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</si>
  <si>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</si>
  <si>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</si>
  <si>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</si>
  <si>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</si>
  <si>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</si>
  <si>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</si>
  <si>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</si>
  <si>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</si>
  <si>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</si>
  <si>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</si>
  <si>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</si>
  <si>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</si>
  <si>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</si>
  <si>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</si>
  <si>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</si>
  <si>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</si>
  <si>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</si>
  <si>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</si>
  <si>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</si>
  <si>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</si>
  <si>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</si>
  <si>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</si>
  <si>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</si>
  <si>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</si>
  <si>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</si>
  <si>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</si>
  <si>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</si>
  <si>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</si>
  <si>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</si>
  <si>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</si>
  <si>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</si>
  <si>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</si>
  <si>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</si>
  <si>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</si>
  <si>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</si>
  <si>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</si>
  <si>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</si>
  <si>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</si>
  <si>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</si>
  <si>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</si>
  <si>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</si>
  <si>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</si>
  <si>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</si>
  <si>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</si>
  <si>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 xml:space="preserve"> * 경기도 재활프로그램(도예)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</si>
  <si>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</si>
  <si>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</si>
  <si>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</si>
  <si>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</si>
  <si>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</si>
  <si>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</si>
  <si>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</si>
  <si>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</si>
  <si>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</si>
  <si>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</si>
  <si>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</si>
  <si>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</si>
  <si>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</si>
  <si>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</si>
  <si>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</si>
  <si>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</si>
  <si>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</si>
  <si>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* 직원급식비</t>
    <phoneticPr fontId="7" type="noConversion"/>
  </si>
  <si>
    <t>.</t>
    <phoneticPr fontId="7" type="noConversion"/>
  </si>
  <si>
    <t>* 냉난방지원비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</si>
  <si>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</si>
  <si>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</si>
  <si>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</si>
  <si>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</si>
  <si>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</si>
  <si>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</si>
  <si>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</si>
  <si>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</si>
  <si>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</si>
  <si>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</si>
  <si>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</si>
  <si>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</si>
  <si>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</si>
  <si>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</si>
  <si>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</si>
  <si>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</si>
  <si>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</si>
  <si>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</si>
  <si>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</si>
  <si>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</si>
  <si>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</si>
  <si>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</si>
  <si>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</si>
  <si>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</si>
  <si>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</si>
  <si>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</si>
  <si>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</si>
  <si>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</si>
  <si>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</si>
  <si>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</si>
  <si>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</si>
  <si>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</si>
  <si>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</si>
  <si>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</si>
  <si>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</si>
  <si>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</si>
  <si>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</si>
  <si>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</si>
  <si>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</si>
  <si>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</si>
  <si>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</si>
  <si>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</si>
  <si>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</si>
  <si>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</si>
  <si>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</si>
  <si>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</si>
  <si>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</si>
  <si>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</si>
  <si>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</si>
  <si>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</si>
  <si>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회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</si>
  <si>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</si>
  <si>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</si>
  <si>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</si>
  <si>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</si>
  <si>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</si>
  <si>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</si>
  <si>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</si>
  <si>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</si>
  <si>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</si>
  <si>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</si>
  <si>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</si>
  <si>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</si>
  <si>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</si>
  <si>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</si>
  <si>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</si>
  <si>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</si>
  <si>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</si>
  <si>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</si>
  <si>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</si>
  <si>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</si>
  <si>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</si>
  <si>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</si>
  <si>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</si>
  <si>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</si>
  <si>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</si>
  <si>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</si>
  <si>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</si>
  <si>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</si>
  <si>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</si>
  <si>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</si>
  <si>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</si>
  <si>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</si>
  <si>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</si>
  <si>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</si>
  <si>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</si>
  <si>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</si>
  <si>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</si>
  <si>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</si>
  <si>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</si>
  <si>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</si>
  <si>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</si>
  <si>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</si>
  <si>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</si>
  <si>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</si>
  <si>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</si>
  <si>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</si>
  <si>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</si>
  <si>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</si>
  <si>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</si>
  <si>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</si>
  <si>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 xml:space="preserve"> A.경상보조금 1명</t>
    <phoneticPr fontId="7" type="noConversion"/>
  </si>
  <si>
    <t>4.야간근로수당</t>
    <phoneticPr fontId="7" type="noConversion"/>
  </si>
  <si>
    <t>5. 기타 제수당</t>
    <phoneticPr fontId="7" type="noConversion"/>
  </si>
  <si>
    <t xml:space="preserve"> B.기타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</si>
  <si>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</si>
  <si>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</si>
  <si>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</si>
  <si>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</si>
  <si>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입소</t>
  </si>
  <si>
    <t>* 운영위원회 참석수당</t>
  </si>
  <si>
    <t>* 회의 다과비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</si>
  <si>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</si>
  <si>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</si>
  <si>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</si>
  <si>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</si>
  <si>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</si>
  <si>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</si>
  <si>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</si>
  <si>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사무용품비(문구류 )</t>
    <phoneticPr fontId="7" type="noConversion"/>
  </si>
  <si>
    <t>* 프린트임대료</t>
    <phoneticPr fontId="7" type="noConversion"/>
  </si>
  <si>
    <t>* 소규모수선비/집기구입 등</t>
    <phoneticPr fontId="7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</si>
  <si>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</si>
  <si>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</si>
  <si>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</si>
  <si>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</si>
  <si>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</si>
  <si>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</si>
  <si>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</si>
  <si>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</si>
  <si>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</si>
  <si>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</si>
  <si>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7" type="noConversion"/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</si>
  <si>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</si>
  <si>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</si>
  <si>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</si>
  <si>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</si>
  <si>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</si>
  <si>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전기안전점검비</t>
  </si>
  <si>
    <t>* 가스안전점검비</t>
  </si>
  <si>
    <t>6종</t>
    <phoneticPr fontId="7" type="noConversion"/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</si>
  <si>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</si>
  <si>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</si>
  <si>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</si>
  <si>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</si>
  <si>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</si>
  <si>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</si>
  <si>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</si>
  <si>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</si>
  <si>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</si>
  <si>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</si>
  <si>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</si>
  <si>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</si>
  <si>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</si>
  <si>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</si>
  <si>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7" type="noConversion"/>
  </si>
  <si>
    <t>* 요리프로그램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</si>
  <si>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</si>
  <si>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</si>
  <si>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</si>
  <si>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</si>
  <si>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* 영화관람</t>
  </si>
  <si>
    <t>문화생활</t>
    <phoneticPr fontId="7" type="noConversion"/>
  </si>
  <si>
    <t>운동지원</t>
    <phoneticPr fontId="7" type="noConversion"/>
  </si>
  <si>
    <t>* 송년회</t>
  </si>
  <si>
    <t>* 이용인 직장방문</t>
  </si>
  <si>
    <t>기타</t>
    <phoneticPr fontId="7" type="noConversion"/>
  </si>
  <si>
    <t>* 환경개선사업(6종)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</si>
  <si>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</si>
  <si>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</si>
  <si>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</si>
  <si>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</si>
  <si>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 xml:space="preserve"> 라.야간근로수당</t>
    <phoneticPr fontId="7" type="noConversion"/>
  </si>
  <si>
    <t>회</t>
    <phoneticPr fontId="7" type="noConversion"/>
  </si>
  <si>
    <t>입소</t>
    <phoneticPr fontId="7" type="noConversion"/>
  </si>
  <si>
    <t>* 부활나눔</t>
    <phoneticPr fontId="7" type="noConversion"/>
  </si>
  <si>
    <t>명</t>
    <phoneticPr fontId="7" type="noConversion"/>
  </si>
  <si>
    <t>원</t>
    <phoneticPr fontId="7" type="noConversion"/>
  </si>
  <si>
    <t>3. 직원연수 숙박비</t>
    <phoneticPr fontId="7" type="noConversion"/>
  </si>
  <si>
    <t xml:space="preserve"> * 직원연수교육비, 한장협, 경장협 등 </t>
    <phoneticPr fontId="7" type="noConversion"/>
  </si>
  <si>
    <t>* 야간근로자 특수건강검진(2명)</t>
    <phoneticPr fontId="7" type="noConversion"/>
  </si>
  <si>
    <t>* 직원독감 예방접종(2명)</t>
    <phoneticPr fontId="7" type="noConversion"/>
  </si>
  <si>
    <t xml:space="preserve"> A.휴일근로수당</t>
    <phoneticPr fontId="7" type="noConversion"/>
  </si>
  <si>
    <t xml:space="preserve"> * 예금이자(보조금-4종)</t>
    <phoneticPr fontId="7" type="noConversion"/>
  </si>
  <si>
    <t>(사회재활교사)</t>
    <phoneticPr fontId="7" type="noConversion"/>
  </si>
  <si>
    <t>입소</t>
    <phoneticPr fontId="7" type="noConversion"/>
  </si>
  <si>
    <t>□ 2024년도 본 예산 세 입 · 세 출 총  괄  표</t>
    <phoneticPr fontId="26" type="noConversion"/>
  </si>
  <si>
    <t>2024년
 본예산</t>
    <phoneticPr fontId="26" type="noConversion"/>
  </si>
  <si>
    <t>&lt;2024년도 본예산 세입내역&gt;</t>
    <phoneticPr fontId="7" type="noConversion"/>
  </si>
  <si>
    <t>&lt;2024년도 본 예산 세출내역&gt;</t>
    <phoneticPr fontId="7" type="noConversion"/>
  </si>
  <si>
    <t>2024년
본예산
(B)
(단위:천원)</t>
    <phoneticPr fontId="7" type="noConversion"/>
  </si>
  <si>
    <t>2024년 본예산액(B)         (단위:천원)</t>
    <phoneticPr fontId="7" type="noConversion"/>
  </si>
  <si>
    <t>* 공기청정기 임대료</t>
    <phoneticPr fontId="7" type="noConversion"/>
  </si>
  <si>
    <t>* 해외여행</t>
    <phoneticPr fontId="7" type="noConversion"/>
  </si>
  <si>
    <t>* 가을나들이</t>
    <phoneticPr fontId="7" type="noConversion"/>
  </si>
  <si>
    <t>2023년
2차추경예산
(B)
(단위:천원)</t>
    <phoneticPr fontId="7" type="noConversion"/>
  </si>
  <si>
    <t>2023년 2차추경예산액
(A)
(단위:천원)</t>
    <phoneticPr fontId="7" type="noConversion"/>
  </si>
  <si>
    <t>* 봄나들이</t>
    <phoneticPr fontId="7" type="noConversion"/>
  </si>
  <si>
    <t>* 트레킹</t>
    <phoneticPr fontId="7" type="noConversion"/>
  </si>
  <si>
    <t>기타보조금</t>
    <phoneticPr fontId="26" type="noConversion"/>
  </si>
  <si>
    <t>2023년
2차 추경예산</t>
    <phoneticPr fontId="26" type="noConversion"/>
  </si>
  <si>
    <t>자산 취득비</t>
    <phoneticPr fontId="26" type="noConversion"/>
  </si>
  <si>
    <t>* 기능보강</t>
    <phoneticPr fontId="7" type="noConversion"/>
  </si>
  <si>
    <t>* 성교육</t>
    <phoneticPr fontId="7" type="noConversion"/>
  </si>
  <si>
    <t>* 비품(TV, TV다이, 에어컨) 등 구입</t>
    <phoneticPr fontId="7" type="noConversion"/>
  </si>
  <si>
    <t>* 후원금 체크카드환급금</t>
    <phoneticPr fontId="7" type="noConversion"/>
  </si>
  <si>
    <t>* 입소비용 체크카드환급금</t>
    <phoneticPr fontId="7" type="noConversion"/>
  </si>
  <si>
    <t>* 잡수입 체크카드환급금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</si>
</sst>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4" fillId="0" borderId="0">
      <alignment vertical="center"/>
    </xf>
    <xf numFmtId="41" fontId="44" fillId="0" borderId="0">
      <alignment vertical="center"/>
    </xf>
    <xf numFmtId="0" fontId="44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06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4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3" xfId="3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horizontal="right" vertical="center"/>
    </xf>
    <xf numFmtId="176" fontId="39" fillId="0" borderId="54" xfId="3" applyNumberFormat="1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1" fillId="0" borderId="11" xfId="8" applyFont="1" applyBorder="1" applyAlignment="1">
      <alignment vertical="center"/>
    </xf>
    <xf numFmtId="0" fontId="42" fillId="0" borderId="11" xfId="7" applyFont="1" applyBorder="1" applyAlignment="1">
      <alignment horizontal="center"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0" fontId="42" fillId="0" borderId="20" xfId="7" applyFont="1" applyBorder="1" applyAlignment="1">
      <alignment horizontal="center" vertical="center"/>
    </xf>
    <xf numFmtId="41" fontId="43" fillId="0" borderId="20" xfId="8" applyFont="1" applyBorder="1">
      <alignment vertical="center"/>
    </xf>
    <xf numFmtId="182" fontId="43" fillId="0" borderId="41" xfId="8" applyNumberFormat="1" applyFont="1" applyBorder="1">
      <alignment vertical="center"/>
    </xf>
    <xf numFmtId="182" fontId="43" fillId="0" borderId="12" xfId="8" applyNumberFormat="1" applyFont="1" applyBorder="1" applyAlignment="1">
      <alignment vertical="center"/>
    </xf>
    <xf numFmtId="182" fontId="43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6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7" fillId="0" borderId="33" xfId="3" applyNumberFormat="1" applyFont="1" applyFill="1" applyBorder="1" applyAlignment="1">
      <alignment horizontal="center" vertical="center"/>
    </xf>
    <xf numFmtId="38" fontId="47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176" fontId="24" fillId="2" borderId="0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8" fontId="24" fillId="2" borderId="0" xfId="0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8" fillId="0" borderId="14" xfId="0" applyNumberFormat="1" applyFont="1" applyBorder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197" fontId="45" fillId="0" borderId="0" xfId="3" applyNumberFormat="1" applyFont="1" applyFill="1" applyBorder="1" applyAlignment="1">
      <alignment vertical="center"/>
    </xf>
    <xf numFmtId="195" fontId="45" fillId="0" borderId="0" xfId="3" applyNumberFormat="1" applyFont="1" applyFill="1" applyBorder="1" applyAlignment="1">
      <alignment vertical="center"/>
    </xf>
    <xf numFmtId="41" fontId="45" fillId="0" borderId="0" xfId="2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0" fontId="45" fillId="0" borderId="3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horizontal="center" vertical="center"/>
    </xf>
    <xf numFmtId="0" fontId="49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horizontal="right" vertical="center"/>
    </xf>
    <xf numFmtId="176" fontId="49" fillId="0" borderId="54" xfId="3" applyNumberFormat="1" applyFont="1" applyFill="1" applyBorder="1" applyAlignment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176" fontId="49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horizontal="right" vertical="center"/>
    </xf>
    <xf numFmtId="176" fontId="45" fillId="0" borderId="37" xfId="3" applyNumberFormat="1" applyFont="1" applyFill="1" applyBorder="1" applyAlignment="1">
      <alignment vertical="center"/>
    </xf>
    <xf numFmtId="0" fontId="45" fillId="0" borderId="33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horizontal="center" vertical="center"/>
    </xf>
    <xf numFmtId="41" fontId="46" fillId="0" borderId="0" xfId="21" applyNumberFormat="1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horizontal="center" vertical="center"/>
    </xf>
    <xf numFmtId="176" fontId="46" fillId="0" borderId="0" xfId="3" applyNumberFormat="1" applyFont="1" applyFill="1" applyBorder="1" applyAlignment="1">
      <alignment horizontal="right" vertical="center"/>
    </xf>
    <xf numFmtId="176" fontId="46" fillId="0" borderId="5" xfId="3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horizontal="left" vertical="center"/>
    </xf>
    <xf numFmtId="0" fontId="45" fillId="0" borderId="0" xfId="0" applyNumberFormat="1" applyFont="1" applyFill="1">
      <alignment vertical="center"/>
    </xf>
    <xf numFmtId="178" fontId="45" fillId="0" borderId="0" xfId="0" applyNumberFormat="1" applyFont="1" applyFill="1" applyAlignment="1">
      <alignment horizontal="right" vertical="center"/>
    </xf>
    <xf numFmtId="0" fontId="45" fillId="0" borderId="5" xfId="0" applyNumberFormat="1" applyFont="1" applyFill="1" applyBorder="1">
      <alignment vertical="center"/>
    </xf>
    <xf numFmtId="0" fontId="45" fillId="0" borderId="0" xfId="0" applyNumberFormat="1" applyFont="1" applyFill="1" applyBorder="1">
      <alignment vertical="center"/>
    </xf>
    <xf numFmtId="0" fontId="45" fillId="2" borderId="57" xfId="0" applyNumberFormat="1" applyFont="1" applyFill="1" applyBorder="1">
      <alignment vertical="center"/>
    </xf>
    <xf numFmtId="42" fontId="45" fillId="2" borderId="58" xfId="3" applyNumberFormat="1" applyFont="1" applyFill="1" applyBorder="1" applyAlignment="1">
      <alignment vertical="center"/>
    </xf>
    <xf numFmtId="176" fontId="45" fillId="2" borderId="58" xfId="3" applyNumberFormat="1" applyFont="1" applyFill="1" applyBorder="1" applyAlignment="1">
      <alignment vertical="center"/>
    </xf>
    <xf numFmtId="41" fontId="45" fillId="2" borderId="58" xfId="21" applyNumberFormat="1" applyFont="1" applyFill="1" applyBorder="1" applyAlignment="1">
      <alignment vertical="center"/>
    </xf>
    <xf numFmtId="176" fontId="45" fillId="2" borderId="58" xfId="3" applyNumberFormat="1" applyFont="1" applyFill="1" applyBorder="1" applyAlignment="1">
      <alignment horizontal="center" vertical="center"/>
    </xf>
    <xf numFmtId="176" fontId="45" fillId="2" borderId="58" xfId="3" applyNumberFormat="1" applyFont="1" applyFill="1" applyBorder="1" applyAlignment="1">
      <alignment horizontal="right" vertical="center"/>
    </xf>
    <xf numFmtId="176" fontId="45" fillId="2" borderId="59" xfId="3" applyNumberFormat="1" applyFont="1" applyFill="1" applyBorder="1" applyAlignment="1">
      <alignment vertical="center"/>
    </xf>
    <xf numFmtId="178" fontId="45" fillId="0" borderId="0" xfId="0" applyNumberFormat="1" applyFont="1" applyFill="1" applyBorder="1" applyAlignment="1">
      <alignment horizontal="right" vertical="center"/>
    </xf>
    <xf numFmtId="178" fontId="45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0" fontId="4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0" fontId="11" fillId="0" borderId="37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24" fillId="2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>
      <alignment vertical="center"/>
    </xf>
    <xf numFmtId="176" fontId="8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76" fontId="22" fillId="0" borderId="13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98" fontId="41" fillId="0" borderId="12" xfId="8" applyNumberFormat="1" applyFont="1" applyBorder="1" applyAlignment="1">
      <alignment vertical="center"/>
    </xf>
    <xf numFmtId="198" fontId="43" fillId="0" borderId="18" xfId="8" applyNumberFormat="1" applyFont="1" applyBorder="1">
      <alignment vertical="center"/>
    </xf>
    <xf numFmtId="198" fontId="0" fillId="0" borderId="56" xfId="8" applyNumberFormat="1" applyFont="1" applyBorder="1">
      <alignment vertical="center"/>
    </xf>
    <xf numFmtId="198" fontId="41" fillId="0" borderId="36" xfId="8" applyNumberFormat="1" applyFont="1" applyBorder="1" applyAlignment="1">
      <alignment vertical="center"/>
    </xf>
    <xf numFmtId="198" fontId="43" fillId="0" borderId="41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41" fontId="0" fillId="0" borderId="3" xfId="8" applyFont="1" applyBorder="1">
      <alignment vertical="center"/>
    </xf>
    <xf numFmtId="0" fontId="45" fillId="0" borderId="33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vertical="center"/>
    </xf>
    <xf numFmtId="176" fontId="45" fillId="0" borderId="5" xfId="22" applyNumberFormat="1" applyFont="1" applyFill="1" applyBorder="1" applyAlignment="1">
      <alignment vertical="center"/>
    </xf>
    <xf numFmtId="0" fontId="45" fillId="0" borderId="0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horizontal="right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0" fillId="0" borderId="17" xfId="7" applyFont="1" applyBorder="1" applyAlignment="1">
      <alignment horizontal="center" vertical="center"/>
    </xf>
    <xf numFmtId="0" fontId="40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176" fontId="11" fillId="0" borderId="53" xfId="3" applyNumberFormat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5" fillId="0" borderId="33" xfId="3" applyNumberFormat="1" applyFont="1" applyFill="1" applyBorder="1" applyAlignment="1">
      <alignment horizontal="left" vertical="center" wrapText="1"/>
    </xf>
    <xf numFmtId="0" fontId="45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F14" sqref="F14"/>
    </sheetView>
    <sheetView tabSelected="1" workbookViewId="1">
      <selection activeCell="J8" sqref="J8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511</v>
      </c>
      <c r="K2" s="164" t="s">
        <v>308</v>
      </c>
    </row>
    <row r="3" spans="2:11" ht="9.9499999999999993" customHeight="1" thickBot="1"/>
    <row r="4" spans="2:11" ht="30" customHeight="1">
      <c r="B4" s="550" t="s">
        <v>114</v>
      </c>
      <c r="C4" s="551"/>
      <c r="D4" s="551"/>
      <c r="E4" s="551"/>
      <c r="F4" s="552"/>
      <c r="G4" s="550" t="s">
        <v>115</v>
      </c>
      <c r="H4" s="551"/>
      <c r="I4" s="551"/>
      <c r="J4" s="551"/>
      <c r="K4" s="553"/>
    </row>
    <row r="5" spans="2:11" ht="16.5" customHeight="1">
      <c r="B5" s="554" t="s">
        <v>116</v>
      </c>
      <c r="C5" s="555"/>
      <c r="D5" s="558" t="s">
        <v>525</v>
      </c>
      <c r="E5" s="558" t="s">
        <v>512</v>
      </c>
      <c r="F5" s="560" t="s">
        <v>117</v>
      </c>
      <c r="G5" s="554" t="s">
        <v>116</v>
      </c>
      <c r="H5" s="555"/>
      <c r="I5" s="558" t="s">
        <v>525</v>
      </c>
      <c r="J5" s="558" t="s">
        <v>512</v>
      </c>
      <c r="K5" s="562" t="s">
        <v>117</v>
      </c>
    </row>
    <row r="6" spans="2:11" ht="22.5" customHeight="1" thickBot="1">
      <c r="B6" s="556"/>
      <c r="C6" s="557"/>
      <c r="D6" s="559"/>
      <c r="E6" s="559"/>
      <c r="F6" s="561"/>
      <c r="G6" s="556"/>
      <c r="H6" s="557"/>
      <c r="I6" s="559"/>
      <c r="J6" s="559"/>
      <c r="K6" s="563"/>
    </row>
    <row r="7" spans="2:11" ht="24.95" customHeight="1" thickTop="1">
      <c r="B7" s="544" t="s">
        <v>118</v>
      </c>
      <c r="C7" s="545"/>
      <c r="D7" s="406">
        <f>SUM(D8:D22)/2</f>
        <v>161205000</v>
      </c>
      <c r="E7" s="406">
        <f>SUM(E8:E22)/2</f>
        <v>138858000</v>
      </c>
      <c r="F7" s="531">
        <f>SUM(F8:F22)/2</f>
        <v>-22347000</v>
      </c>
      <c r="G7" s="544" t="s">
        <v>118</v>
      </c>
      <c r="H7" s="545"/>
      <c r="I7" s="406">
        <f>SUM(I8:I26)/2</f>
        <v>161205000</v>
      </c>
      <c r="J7" s="406">
        <f>SUM(J8:J26)/2</f>
        <v>138858000</v>
      </c>
      <c r="K7" s="528">
        <f>SUM(K8:K26)/2</f>
        <v>-22347000</v>
      </c>
    </row>
    <row r="8" spans="2:11" ht="24.95" customHeight="1">
      <c r="B8" s="546" t="s">
        <v>119</v>
      </c>
      <c r="C8" s="407" t="s">
        <v>306</v>
      </c>
      <c r="D8" s="408">
        <f>D9</f>
        <v>13680000</v>
      </c>
      <c r="E8" s="408">
        <f>E9</f>
        <v>18240000</v>
      </c>
      <c r="F8" s="409">
        <f>F9</f>
        <v>4560000</v>
      </c>
      <c r="G8" s="546" t="s">
        <v>121</v>
      </c>
      <c r="H8" s="407" t="s">
        <v>306</v>
      </c>
      <c r="I8" s="408">
        <f>SUM(I9:I11)</f>
        <v>100344000</v>
      </c>
      <c r="J8" s="408">
        <f>SUM(J9:J11)</f>
        <v>112955000</v>
      </c>
      <c r="K8" s="413">
        <f>SUM(K9:K11)</f>
        <v>12611000</v>
      </c>
    </row>
    <row r="9" spans="2:11" ht="24.95" customHeight="1">
      <c r="B9" s="547"/>
      <c r="C9" s="165" t="s">
        <v>120</v>
      </c>
      <c r="D9" s="166">
        <v>13680000</v>
      </c>
      <c r="E9" s="166">
        <v>18240000</v>
      </c>
      <c r="F9" s="167">
        <f>E9-D9</f>
        <v>4560000</v>
      </c>
      <c r="G9" s="548"/>
      <c r="H9" s="165" t="s">
        <v>122</v>
      </c>
      <c r="I9" s="166">
        <v>89425000</v>
      </c>
      <c r="J9" s="166">
        <v>101755000</v>
      </c>
      <c r="K9" s="168">
        <f>J9-I9</f>
        <v>12330000</v>
      </c>
    </row>
    <row r="10" spans="2:11" ht="24.95" customHeight="1">
      <c r="B10" s="546" t="s">
        <v>123</v>
      </c>
      <c r="C10" s="410" t="s">
        <v>306</v>
      </c>
      <c r="D10" s="411">
        <f>SUM(D11:D14)</f>
        <v>122913000</v>
      </c>
      <c r="E10" s="411">
        <f>SUM(E11:E14)</f>
        <v>113243000</v>
      </c>
      <c r="F10" s="532">
        <f>SUM(F11:F14)</f>
        <v>-9670000</v>
      </c>
      <c r="G10" s="548"/>
      <c r="H10" s="165" t="s">
        <v>124</v>
      </c>
      <c r="I10" s="166">
        <v>180000</v>
      </c>
      <c r="J10" s="166">
        <v>230000</v>
      </c>
      <c r="K10" s="525">
        <f>J10-I10</f>
        <v>50000</v>
      </c>
    </row>
    <row r="11" spans="2:11" ht="24.95" customHeight="1">
      <c r="B11" s="548"/>
      <c r="C11" s="269" t="s">
        <v>266</v>
      </c>
      <c r="D11" s="166">
        <v>0</v>
      </c>
      <c r="E11" s="166">
        <v>0</v>
      </c>
      <c r="F11" s="167">
        <f t="shared" ref="F11:F22" si="0">E11-D11</f>
        <v>0</v>
      </c>
      <c r="G11" s="547"/>
      <c r="H11" s="165" t="s">
        <v>76</v>
      </c>
      <c r="I11" s="166">
        <v>10739000</v>
      </c>
      <c r="J11" s="166">
        <v>10970000</v>
      </c>
      <c r="K11" s="168">
        <f t="shared" ref="K11" si="1">J11-I11</f>
        <v>231000</v>
      </c>
    </row>
    <row r="12" spans="2:11" ht="24.95" customHeight="1">
      <c r="B12" s="548"/>
      <c r="C12" s="269" t="s">
        <v>267</v>
      </c>
      <c r="D12" s="166">
        <v>10590000</v>
      </c>
      <c r="E12" s="166">
        <v>112943000</v>
      </c>
      <c r="F12" s="167">
        <f t="shared" si="0"/>
        <v>102353000</v>
      </c>
      <c r="G12" s="546" t="s">
        <v>77</v>
      </c>
      <c r="H12" s="410" t="s">
        <v>306</v>
      </c>
      <c r="I12" s="408">
        <f>SUM(I13:I15)</f>
        <v>44247000</v>
      </c>
      <c r="J12" s="411">
        <f>SUM(J14:J15)</f>
        <v>3100000</v>
      </c>
      <c r="K12" s="529">
        <f>SUM(K14:K15)</f>
        <v>-41147000</v>
      </c>
    </row>
    <row r="13" spans="2:11" ht="24.95" customHeight="1">
      <c r="B13" s="548"/>
      <c r="C13" s="269" t="s">
        <v>268</v>
      </c>
      <c r="D13" s="166">
        <v>92323000</v>
      </c>
      <c r="E13" s="166">
        <v>300000</v>
      </c>
      <c r="F13" s="533">
        <f t="shared" ref="F13" si="2">E13-D13</f>
        <v>-92023000</v>
      </c>
      <c r="G13" s="548"/>
      <c r="H13" s="165" t="s">
        <v>78</v>
      </c>
      <c r="I13" s="166">
        <v>0</v>
      </c>
      <c r="J13" s="166">
        <v>0</v>
      </c>
      <c r="K13" s="168">
        <f t="shared" ref="K13" si="3">J13-I13</f>
        <v>0</v>
      </c>
    </row>
    <row r="14" spans="2:11" ht="24.95" customHeight="1">
      <c r="B14" s="547"/>
      <c r="C14" s="527" t="s">
        <v>524</v>
      </c>
      <c r="D14" s="166">
        <v>20000000</v>
      </c>
      <c r="E14" s="166">
        <v>0</v>
      </c>
      <c r="F14" s="533">
        <f t="shared" si="0"/>
        <v>-20000000</v>
      </c>
      <c r="G14" s="548"/>
      <c r="H14" s="527" t="s">
        <v>526</v>
      </c>
      <c r="I14" s="166">
        <v>0</v>
      </c>
      <c r="J14" s="166">
        <v>3000000</v>
      </c>
      <c r="K14" s="168">
        <f t="shared" ref="K14" si="4">J14-I14</f>
        <v>3000000</v>
      </c>
    </row>
    <row r="15" spans="2:11" ht="24.95" customHeight="1">
      <c r="B15" s="546" t="s">
        <v>79</v>
      </c>
      <c r="C15" s="410" t="s">
        <v>306</v>
      </c>
      <c r="D15" s="411">
        <f>SUM(D16:D16)</f>
        <v>703000</v>
      </c>
      <c r="E15" s="411">
        <f>SUM(E16:E16)</f>
        <v>503000</v>
      </c>
      <c r="F15" s="532">
        <f>F16</f>
        <v>-200000</v>
      </c>
      <c r="G15" s="548"/>
      <c r="H15" s="165" t="s">
        <v>80</v>
      </c>
      <c r="I15" s="166">
        <v>44247000</v>
      </c>
      <c r="J15" s="166">
        <v>100000</v>
      </c>
      <c r="K15" s="525">
        <f t="shared" ref="K15" si="5">J15-I15</f>
        <v>-44147000</v>
      </c>
    </row>
    <row r="16" spans="2:11" ht="24.95" customHeight="1">
      <c r="B16" s="547"/>
      <c r="C16" s="165" t="s">
        <v>81</v>
      </c>
      <c r="D16" s="166">
        <v>703000</v>
      </c>
      <c r="E16" s="166">
        <v>503000</v>
      </c>
      <c r="F16" s="533">
        <f t="shared" si="0"/>
        <v>-200000</v>
      </c>
      <c r="G16" s="546" t="s">
        <v>84</v>
      </c>
      <c r="H16" s="410" t="s">
        <v>306</v>
      </c>
      <c r="I16" s="411">
        <f>SUM(I17:I22)</f>
        <v>16472000</v>
      </c>
      <c r="J16" s="411">
        <f>SUM(J17:J22)</f>
        <v>22781000</v>
      </c>
      <c r="K16" s="414">
        <f>SUM(K17:K22)</f>
        <v>6309000</v>
      </c>
    </row>
    <row r="17" spans="2:11" ht="24.95" customHeight="1">
      <c r="B17" s="546" t="s">
        <v>82</v>
      </c>
      <c r="C17" s="410" t="s">
        <v>306</v>
      </c>
      <c r="D17" s="411">
        <f>SUM(D18:D18)</f>
        <v>19000000</v>
      </c>
      <c r="E17" s="411">
        <v>0</v>
      </c>
      <c r="F17" s="532">
        <f>F18</f>
        <v>-19000000</v>
      </c>
      <c r="G17" s="548"/>
      <c r="H17" s="165" t="s">
        <v>85</v>
      </c>
      <c r="I17" s="166">
        <v>12502000</v>
      </c>
      <c r="J17" s="166">
        <v>13468000</v>
      </c>
      <c r="K17" s="168">
        <f t="shared" ref="K17:K22" si="6">J17-I17</f>
        <v>966000</v>
      </c>
    </row>
    <row r="18" spans="2:11" ht="24.95" customHeight="1">
      <c r="B18" s="547"/>
      <c r="C18" s="165" t="s">
        <v>83</v>
      </c>
      <c r="D18" s="166">
        <v>19000000</v>
      </c>
      <c r="E18" s="166">
        <v>0</v>
      </c>
      <c r="F18" s="533">
        <f t="shared" si="0"/>
        <v>-19000000</v>
      </c>
      <c r="G18" s="548"/>
      <c r="H18" s="165" t="s">
        <v>88</v>
      </c>
      <c r="I18" s="166">
        <v>430000</v>
      </c>
      <c r="J18" s="166">
        <v>403000</v>
      </c>
      <c r="K18" s="525">
        <f t="shared" si="6"/>
        <v>-27000</v>
      </c>
    </row>
    <row r="19" spans="2:11" ht="24.95" customHeight="1">
      <c r="B19" s="546" t="s">
        <v>86</v>
      </c>
      <c r="C19" s="410" t="s">
        <v>306</v>
      </c>
      <c r="D19" s="514">
        <f>D20</f>
        <v>2988000</v>
      </c>
      <c r="E19" s="514">
        <f>E20</f>
        <v>4951000</v>
      </c>
      <c r="F19" s="412">
        <f>F20</f>
        <v>1963000</v>
      </c>
      <c r="G19" s="548"/>
      <c r="H19" s="165" t="s">
        <v>91</v>
      </c>
      <c r="I19" s="166">
        <v>840000</v>
      </c>
      <c r="J19" s="166">
        <v>1120000</v>
      </c>
      <c r="K19" s="168">
        <f t="shared" si="6"/>
        <v>280000</v>
      </c>
    </row>
    <row r="20" spans="2:11" ht="24.95" customHeight="1">
      <c r="B20" s="547"/>
      <c r="C20" s="165" t="s">
        <v>87</v>
      </c>
      <c r="D20" s="513">
        <v>2988000</v>
      </c>
      <c r="E20" s="513">
        <v>4951000</v>
      </c>
      <c r="F20" s="167">
        <f t="shared" si="0"/>
        <v>1963000</v>
      </c>
      <c r="G20" s="548"/>
      <c r="H20" s="165" t="s">
        <v>92</v>
      </c>
      <c r="I20" s="166">
        <v>320000</v>
      </c>
      <c r="J20" s="166">
        <v>620000</v>
      </c>
      <c r="K20" s="168">
        <f t="shared" si="6"/>
        <v>300000</v>
      </c>
    </row>
    <row r="21" spans="2:11" ht="24.95" customHeight="1">
      <c r="B21" s="546" t="s">
        <v>89</v>
      </c>
      <c r="C21" s="410" t="s">
        <v>306</v>
      </c>
      <c r="D21" s="514">
        <f>D22</f>
        <v>1921000</v>
      </c>
      <c r="E21" s="514">
        <f>E22</f>
        <v>1921000</v>
      </c>
      <c r="F21" s="532">
        <f>F22</f>
        <v>0</v>
      </c>
      <c r="G21" s="548"/>
      <c r="H21" s="165" t="s">
        <v>93</v>
      </c>
      <c r="I21" s="166">
        <v>150000</v>
      </c>
      <c r="J21" s="166">
        <v>120000</v>
      </c>
      <c r="K21" s="525">
        <f t="shared" si="6"/>
        <v>-30000</v>
      </c>
    </row>
    <row r="22" spans="2:11" ht="24.95" customHeight="1">
      <c r="B22" s="547"/>
      <c r="C22" s="165" t="s">
        <v>90</v>
      </c>
      <c r="D22" s="513">
        <v>1921000</v>
      </c>
      <c r="E22" s="513">
        <v>1921000</v>
      </c>
      <c r="F22" s="533">
        <f t="shared" si="0"/>
        <v>0</v>
      </c>
      <c r="G22" s="547"/>
      <c r="H22" s="165" t="s">
        <v>94</v>
      </c>
      <c r="I22" s="166">
        <v>2230000</v>
      </c>
      <c r="J22" s="166">
        <v>7050000</v>
      </c>
      <c r="K22" s="168">
        <f t="shared" si="6"/>
        <v>4820000</v>
      </c>
    </row>
    <row r="23" spans="2:11" ht="24.95" customHeight="1">
      <c r="B23" s="540"/>
      <c r="C23" s="541"/>
      <c r="D23" s="541"/>
      <c r="E23" s="541"/>
      <c r="F23" s="541"/>
      <c r="G23" s="546" t="s">
        <v>96</v>
      </c>
      <c r="H23" s="410" t="s">
        <v>306</v>
      </c>
      <c r="I23" s="411">
        <f>I24</f>
        <v>0</v>
      </c>
      <c r="J23" s="411">
        <f>J24</f>
        <v>0</v>
      </c>
      <c r="K23" s="414">
        <f>K24</f>
        <v>0</v>
      </c>
    </row>
    <row r="24" spans="2:11" ht="24.95" customHeight="1">
      <c r="B24" s="540"/>
      <c r="C24" s="541"/>
      <c r="D24" s="541"/>
      <c r="E24" s="541"/>
      <c r="F24" s="541"/>
      <c r="G24" s="547"/>
      <c r="H24" s="165" t="s">
        <v>97</v>
      </c>
      <c r="I24" s="166">
        <v>0</v>
      </c>
      <c r="J24" s="166">
        <v>0</v>
      </c>
      <c r="K24" s="168">
        <f t="shared" ref="K24" si="7">J24-I24</f>
        <v>0</v>
      </c>
    </row>
    <row r="25" spans="2:11" ht="24.95" customHeight="1">
      <c r="B25" s="540"/>
      <c r="C25" s="541"/>
      <c r="D25" s="541"/>
      <c r="E25" s="541"/>
      <c r="F25" s="541"/>
      <c r="G25" s="546" t="s">
        <v>98</v>
      </c>
      <c r="H25" s="410" t="s">
        <v>306</v>
      </c>
      <c r="I25" s="411">
        <f>SUM(I26:I26)</f>
        <v>142000</v>
      </c>
      <c r="J25" s="514">
        <f>SUM(J26:J26)</f>
        <v>22000</v>
      </c>
      <c r="K25" s="529">
        <f>SUM(K26:K30)</f>
        <v>-120000</v>
      </c>
    </row>
    <row r="26" spans="2:11" ht="24.95" customHeight="1" thickBot="1">
      <c r="B26" s="542"/>
      <c r="C26" s="543"/>
      <c r="D26" s="543"/>
      <c r="E26" s="543"/>
      <c r="F26" s="543"/>
      <c r="G26" s="549"/>
      <c r="H26" s="517" t="s">
        <v>95</v>
      </c>
      <c r="I26" s="534">
        <v>142000</v>
      </c>
      <c r="J26" s="518">
        <v>22000</v>
      </c>
      <c r="K26" s="530">
        <f t="shared" ref="K26" si="8">J26-I26</f>
        <v>-120000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6"/>
    <mergeCell ref="B7:C7"/>
    <mergeCell ref="G7:H7"/>
    <mergeCell ref="B8:B9"/>
    <mergeCell ref="B10:B14"/>
    <mergeCell ref="B15:B16"/>
    <mergeCell ref="B17:B18"/>
    <mergeCell ref="B19:B20"/>
    <mergeCell ref="B21:B22"/>
    <mergeCell ref="G8:G11"/>
    <mergeCell ref="G25:G26"/>
    <mergeCell ref="G12:G15"/>
    <mergeCell ref="G16:G22"/>
    <mergeCell ref="G23:G2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5"/>
  <sheetViews>
    <sheetView topLeftCell="H139" workbookViewId="0">
      <selection activeCell="I205" sqref="I205"/>
    </sheetView>
    <sheetView topLeftCell="A139" workbookViewId="1">
      <selection activeCell="J153" sqref="J153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4" t="s">
        <v>513</v>
      </c>
      <c r="B1" s="574"/>
      <c r="C1" s="574"/>
      <c r="D1" s="57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5" t="s">
        <v>62</v>
      </c>
      <c r="B2" s="576"/>
      <c r="C2" s="576"/>
      <c r="D2" s="576"/>
      <c r="E2" s="567" t="s">
        <v>520</v>
      </c>
      <c r="F2" s="567" t="s">
        <v>515</v>
      </c>
      <c r="G2" s="569" t="s">
        <v>23</v>
      </c>
      <c r="H2" s="569"/>
      <c r="I2" s="569" t="s">
        <v>54</v>
      </c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70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68"/>
      <c r="F3" s="568"/>
      <c r="G3" s="132" t="s">
        <v>102</v>
      </c>
      <c r="H3" s="21" t="s">
        <v>4</v>
      </c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2"/>
      <c r="Z3" s="8"/>
    </row>
    <row r="4" spans="1:26" s="3" customFormat="1" ht="19.5" customHeight="1">
      <c r="A4" s="577" t="s">
        <v>24</v>
      </c>
      <c r="B4" s="578"/>
      <c r="C4" s="578"/>
      <c r="D4" s="579"/>
      <c r="E4" s="192">
        <f>SUM(E5,E8,E10,E12,E144,E156,E163,E172,E197)</f>
        <v>161205</v>
      </c>
      <c r="F4" s="192">
        <f>SUM(F5,F8,F10,F12,F144,F156,F163,F172,F197)</f>
        <v>138858</v>
      </c>
      <c r="G4" s="287">
        <f>SUM(G5,G8,G10,G12,G144,G156,G163,G172,G197)</f>
        <v>-22347</v>
      </c>
      <c r="H4" s="193">
        <f t="shared" ref="H4" si="0">IF(E4=0,0,G4/E4)</f>
        <v>-0.13862473248348375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SUM(X5,X8,X10,X12,X144,X156,X163,X172,X197)</f>
        <v>138858000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101</v>
      </c>
      <c r="D5" s="170" t="s">
        <v>101</v>
      </c>
      <c r="E5" s="186">
        <v>13680</v>
      </c>
      <c r="F5" s="186">
        <f>ROUND(X5/1000,0)</f>
        <v>18240</v>
      </c>
      <c r="G5" s="187">
        <f>F5-E5</f>
        <v>4560</v>
      </c>
      <c r="H5" s="188">
        <f>IF(E5=0,0,G5/E5)</f>
        <v>0.33333333333333331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18240000</v>
      </c>
      <c r="Y5" s="36" t="s">
        <v>25</v>
      </c>
    </row>
    <row r="6" spans="1:26" ht="21" customHeight="1">
      <c r="A6" s="37" t="s">
        <v>59</v>
      </c>
      <c r="B6" s="38" t="s">
        <v>100</v>
      </c>
      <c r="C6" s="39" t="s">
        <v>100</v>
      </c>
      <c r="D6" s="39" t="s">
        <v>100</v>
      </c>
      <c r="E6" s="428"/>
      <c r="F6" s="428"/>
      <c r="G6" s="429"/>
      <c r="H6" s="430"/>
      <c r="I6" s="282" t="s">
        <v>270</v>
      </c>
      <c r="J6" s="44"/>
      <c r="K6" s="45"/>
      <c r="L6" s="45"/>
      <c r="M6" s="291">
        <v>380000</v>
      </c>
      <c r="N6" s="291" t="s">
        <v>56</v>
      </c>
      <c r="O6" s="292" t="s">
        <v>57</v>
      </c>
      <c r="P6" s="426">
        <v>4</v>
      </c>
      <c r="Q6" s="291" t="s">
        <v>55</v>
      </c>
      <c r="R6" s="292" t="s">
        <v>57</v>
      </c>
      <c r="S6" s="46">
        <v>12</v>
      </c>
      <c r="T6" s="419" t="s">
        <v>0</v>
      </c>
      <c r="U6" s="419" t="s">
        <v>53</v>
      </c>
      <c r="V6" s="419"/>
      <c r="W6" s="291"/>
      <c r="X6" s="291">
        <f>M6*P6*S6</f>
        <v>18240000</v>
      </c>
      <c r="Y6" s="47" t="s">
        <v>56</v>
      </c>
    </row>
    <row r="7" spans="1:26" ht="21" customHeight="1">
      <c r="A7" s="37"/>
      <c r="B7" s="38"/>
      <c r="C7" s="39"/>
      <c r="D7" s="39"/>
      <c r="E7" s="40"/>
      <c r="F7" s="40"/>
      <c r="G7" s="41"/>
      <c r="H7" s="25"/>
      <c r="I7" s="282"/>
      <c r="J7" s="44"/>
      <c r="K7" s="45"/>
      <c r="L7" s="45"/>
      <c r="M7" s="196"/>
      <c r="N7" s="196"/>
      <c r="O7" s="197"/>
      <c r="P7" s="120"/>
      <c r="Q7" s="196"/>
      <c r="R7" s="197"/>
      <c r="S7" s="46"/>
      <c r="T7" s="229"/>
      <c r="U7" s="229"/>
      <c r="V7" s="229"/>
      <c r="W7" s="196"/>
      <c r="X7" s="196"/>
      <c r="Y7" s="47"/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269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197</v>
      </c>
    </row>
    <row r="12" spans="1:26" s="11" customFormat="1" ht="19.5" customHeight="1">
      <c r="A12" s="27" t="s">
        <v>132</v>
      </c>
      <c r="B12" s="28" t="s">
        <v>132</v>
      </c>
      <c r="C12" s="565" t="s">
        <v>253</v>
      </c>
      <c r="D12" s="566"/>
      <c r="E12" s="239">
        <f>SUM(E13,E22,E83,E141)</f>
        <v>122913</v>
      </c>
      <c r="F12" s="239">
        <f>SUM(F13,F22,F83,F141)</f>
        <v>113243</v>
      </c>
      <c r="G12" s="240">
        <f t="shared" ref="G12:G14" si="1">F12-E12</f>
        <v>-9670</v>
      </c>
      <c r="H12" s="241">
        <f t="shared" ref="H12:H14" si="2">IF(E12=0,0,G12/E12)</f>
        <v>-7.8673533312180161E-2</v>
      </c>
      <c r="I12" s="242" t="s">
        <v>254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113243000</v>
      </c>
      <c r="Y12" s="258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6" t="s">
        <v>137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138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199</v>
      </c>
      <c r="W13" s="211"/>
      <c r="X13" s="212">
        <f>SUM(X14,X17,X20)</f>
        <v>0</v>
      </c>
      <c r="Y13" s="259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191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3" t="s">
        <v>271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108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3"/>
      <c r="J16" s="58"/>
      <c r="K16" s="180"/>
      <c r="L16" s="180"/>
      <c r="M16" s="291"/>
      <c r="N16" s="291"/>
      <c r="O16" s="177"/>
      <c r="P16" s="349"/>
      <c r="Q16" s="44"/>
      <c r="R16" s="179"/>
      <c r="S16" s="46"/>
      <c r="T16" s="348"/>
      <c r="U16" s="348"/>
      <c r="V16" s="233"/>
      <c r="W16" s="292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440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7"/>
      <c r="U17" s="347"/>
      <c r="V17" s="226" t="s">
        <v>192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4" t="s">
        <v>272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50" t="s">
        <v>69</v>
      </c>
      <c r="W18" s="62"/>
      <c r="X18" s="350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51"/>
      <c r="J19" s="62"/>
      <c r="K19" s="218"/>
      <c r="L19" s="218"/>
      <c r="M19" s="350"/>
      <c r="N19" s="350"/>
      <c r="O19" s="219"/>
      <c r="P19" s="350"/>
      <c r="Q19" s="117"/>
      <c r="R19" s="220"/>
      <c r="S19" s="72"/>
      <c r="T19" s="169"/>
      <c r="U19" s="169"/>
      <c r="V19" s="221"/>
      <c r="W19" s="351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295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2" t="s">
        <v>298</v>
      </c>
      <c r="J20" s="353"/>
      <c r="K20" s="354"/>
      <c r="L20" s="354"/>
      <c r="M20" s="355"/>
      <c r="N20" s="355"/>
      <c r="O20" s="356"/>
      <c r="P20" s="355"/>
      <c r="Q20" s="357"/>
      <c r="R20" s="358"/>
      <c r="S20" s="359"/>
      <c r="T20" s="360"/>
      <c r="U20" s="360"/>
      <c r="V20" s="361" t="s">
        <v>299</v>
      </c>
      <c r="W20" s="362"/>
      <c r="X20" s="362">
        <v>0</v>
      </c>
      <c r="Y20" s="363" t="s">
        <v>300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3"/>
      <c r="J21" s="345"/>
      <c r="K21" s="372"/>
      <c r="L21" s="372"/>
      <c r="M21" s="344"/>
      <c r="N21" s="344"/>
      <c r="O21" s="373"/>
      <c r="P21" s="344"/>
      <c r="Q21" s="374"/>
      <c r="R21" s="375"/>
      <c r="S21" s="376"/>
      <c r="T21" s="377"/>
      <c r="U21" s="377"/>
      <c r="V21" s="378"/>
      <c r="W21" s="379"/>
      <c r="X21" s="345"/>
      <c r="Y21" s="346"/>
      <c r="Z21" s="6"/>
    </row>
    <row r="22" spans="1:26" s="11" customFormat="1" ht="19.5" customHeight="1">
      <c r="A22" s="50"/>
      <c r="B22" s="38"/>
      <c r="C22" s="28" t="s">
        <v>140</v>
      </c>
      <c r="D22" s="256" t="s">
        <v>109</v>
      </c>
      <c r="E22" s="189">
        <f>SUM(E23:E82)</f>
        <v>10590</v>
      </c>
      <c r="F22" s="189">
        <f>SUM(F23:F82)</f>
        <v>112943</v>
      </c>
      <c r="G22" s="190">
        <f t="shared" ref="G22:G23" si="7">F22-E22</f>
        <v>102353</v>
      </c>
      <c r="H22" s="191">
        <f t="shared" ref="H22:H23" si="8">IF(E22=0,0,G22/E22)</f>
        <v>9.6650613786591126</v>
      </c>
      <c r="I22" s="173" t="s">
        <v>201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112943000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191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3" t="s">
        <v>271</v>
      </c>
      <c r="J24" s="292"/>
      <c r="K24" s="291"/>
      <c r="L24" s="291"/>
      <c r="M24" s="291">
        <v>0</v>
      </c>
      <c r="N24" s="416" t="s">
        <v>25</v>
      </c>
      <c r="O24" s="177" t="s">
        <v>26</v>
      </c>
      <c r="P24" s="417">
        <v>0</v>
      </c>
      <c r="Q24" s="44" t="s">
        <v>108</v>
      </c>
      <c r="R24" s="178" t="s">
        <v>26</v>
      </c>
      <c r="S24" s="181">
        <v>0</v>
      </c>
      <c r="T24" s="181" t="s">
        <v>29</v>
      </c>
      <c r="U24" s="416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512">
        <v>8877</v>
      </c>
      <c r="F26" s="213">
        <f>ROUND(X26/1000,0)</f>
        <v>101105</v>
      </c>
      <c r="G26" s="30">
        <f t="shared" ref="G26" si="9">F26-E26</f>
        <v>92228</v>
      </c>
      <c r="H26" s="109">
        <f t="shared" ref="H26" si="10">IF(E26=0,0,G26/E26)</f>
        <v>10.389546017798805</v>
      </c>
      <c r="I26" s="225" t="s">
        <v>314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192</v>
      </c>
      <c r="W26" s="227"/>
      <c r="X26" s="227">
        <f>SUM(X27,X30,X43,X46,)</f>
        <v>101105000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4" t="s">
        <v>272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50" t="s">
        <v>69</v>
      </c>
      <c r="W27" s="62"/>
      <c r="X27" s="431">
        <f>SUM(X28:X29)</f>
        <v>59854000</v>
      </c>
      <c r="Y27" s="432" t="s">
        <v>311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3" t="s">
        <v>493</v>
      </c>
      <c r="J28" s="292"/>
      <c r="K28" s="291"/>
      <c r="L28" s="291"/>
      <c r="M28" s="270">
        <v>59854000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312</v>
      </c>
      <c r="V28" s="291"/>
      <c r="W28" s="58"/>
      <c r="X28" s="291">
        <f>ROUND(M28*P28,-3)</f>
        <v>59854000</v>
      </c>
      <c r="Y28" s="47" t="s">
        <v>311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3"/>
      <c r="J29" s="197"/>
      <c r="K29" s="196"/>
      <c r="L29" s="196"/>
      <c r="M29" s="270"/>
      <c r="N29" s="196"/>
      <c r="O29" s="64"/>
      <c r="P29" s="271"/>
      <c r="Q29" s="196"/>
      <c r="R29" s="196"/>
      <c r="S29" s="196"/>
      <c r="T29" s="196"/>
      <c r="U29" s="196"/>
      <c r="V29" s="291"/>
      <c r="W29" s="58"/>
      <c r="X29" s="291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4" t="s">
        <v>273</v>
      </c>
      <c r="J30" s="197"/>
      <c r="K30" s="196"/>
      <c r="L30" s="196"/>
      <c r="M30" s="270"/>
      <c r="N30" s="196"/>
      <c r="O30" s="196"/>
      <c r="P30" s="196"/>
      <c r="Q30" s="196"/>
      <c r="R30" s="196"/>
      <c r="S30" s="196"/>
      <c r="T30" s="196"/>
      <c r="U30" s="196"/>
      <c r="V30" s="55"/>
      <c r="W30" s="433"/>
      <c r="X30" s="55">
        <f>SUM(X31,X34,X37,X40)</f>
        <v>25289000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3" t="s">
        <v>274</v>
      </c>
      <c r="J31" s="197"/>
      <c r="K31" s="196"/>
      <c r="L31" s="196"/>
      <c r="M31" s="270"/>
      <c r="N31" s="196"/>
      <c r="O31" s="64"/>
      <c r="P31" s="271"/>
      <c r="Q31" s="196"/>
      <c r="R31" s="196"/>
      <c r="S31" s="196"/>
      <c r="T31" s="196"/>
      <c r="U31" s="196"/>
      <c r="V31" s="350" t="s">
        <v>69</v>
      </c>
      <c r="W31" s="62"/>
      <c r="X31" s="350">
        <f>SUM(X32:X33)</f>
        <v>5941000</v>
      </c>
      <c r="Y31" s="63" t="s">
        <v>311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3" t="s">
        <v>493</v>
      </c>
      <c r="J32" s="292"/>
      <c r="K32" s="291"/>
      <c r="L32" s="291"/>
      <c r="M32" s="270">
        <v>5941000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208</v>
      </c>
      <c r="V32" s="419"/>
      <c r="W32" s="419"/>
      <c r="X32" s="291">
        <f>ROUND(M32*P32,-3)</f>
        <v>5941000</v>
      </c>
      <c r="Y32" s="47" t="s">
        <v>313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3"/>
      <c r="J33" s="292"/>
      <c r="K33" s="291"/>
      <c r="L33" s="291"/>
      <c r="M33" s="270"/>
      <c r="N33" s="291"/>
      <c r="O33" s="64"/>
      <c r="P33" s="271"/>
      <c r="Q33" s="291"/>
      <c r="R33" s="291"/>
      <c r="S33" s="291"/>
      <c r="T33" s="291"/>
      <c r="U33" s="291"/>
      <c r="V33" s="419"/>
      <c r="W33" s="419"/>
      <c r="X33" s="291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3" t="s">
        <v>275</v>
      </c>
      <c r="J34" s="197"/>
      <c r="K34" s="196"/>
      <c r="L34" s="196"/>
      <c r="M34" s="270"/>
      <c r="N34" s="196"/>
      <c r="O34" s="64"/>
      <c r="P34" s="271"/>
      <c r="Q34" s="196"/>
      <c r="R34" s="196"/>
      <c r="S34" s="196"/>
      <c r="T34" s="196"/>
      <c r="U34" s="196"/>
      <c r="V34" s="350" t="s">
        <v>69</v>
      </c>
      <c r="W34" s="62"/>
      <c r="X34" s="350">
        <f>SUM(X35:X36)</f>
        <v>2160000</v>
      </c>
      <c r="Y34" s="63" t="s">
        <v>311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3" t="s">
        <v>509</v>
      </c>
      <c r="J35" s="292"/>
      <c r="K35" s="291"/>
      <c r="L35" s="291"/>
      <c r="M35" s="270">
        <v>2160000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208</v>
      </c>
      <c r="V35" s="419"/>
      <c r="W35" s="419"/>
      <c r="X35" s="291">
        <f t="shared" ref="X35" si="11">ROUND(M35*P35,-3)</f>
        <v>2160000</v>
      </c>
      <c r="Y35" s="47" t="s">
        <v>313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3"/>
      <c r="J36" s="292"/>
      <c r="K36" s="291"/>
      <c r="L36" s="291"/>
      <c r="M36" s="270"/>
      <c r="N36" s="291"/>
      <c r="O36" s="64"/>
      <c r="P36" s="271"/>
      <c r="Q36" s="291"/>
      <c r="R36" s="291"/>
      <c r="S36" s="291"/>
      <c r="T36" s="291"/>
      <c r="U36" s="291"/>
      <c r="V36" s="419"/>
      <c r="W36" s="419"/>
      <c r="X36" s="291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3" t="s">
        <v>276</v>
      </c>
      <c r="J37" s="197"/>
      <c r="K37" s="196"/>
      <c r="L37" s="196"/>
      <c r="M37" s="270"/>
      <c r="N37" s="196"/>
      <c r="O37" s="64"/>
      <c r="P37" s="271"/>
      <c r="Q37" s="196"/>
      <c r="R37" s="196"/>
      <c r="S37" s="196"/>
      <c r="T37" s="196"/>
      <c r="U37" s="196"/>
      <c r="V37" s="350" t="s">
        <v>69</v>
      </c>
      <c r="W37" s="62"/>
      <c r="X37" s="350">
        <f>SUM(X38:X39)</f>
        <v>12892000</v>
      </c>
      <c r="Y37" s="63" t="s">
        <v>311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3" t="s">
        <v>493</v>
      </c>
      <c r="J38" s="292"/>
      <c r="K38" s="291"/>
      <c r="L38" s="291"/>
      <c r="M38" s="270">
        <v>12892000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208</v>
      </c>
      <c r="V38" s="419"/>
      <c r="W38" s="419"/>
      <c r="X38" s="291">
        <f>ROUNDDOWN(M38*P38,-3)</f>
        <v>12892000</v>
      </c>
      <c r="Y38" s="47" t="s">
        <v>313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3"/>
      <c r="J39" s="292"/>
      <c r="K39" s="291"/>
      <c r="L39" s="291"/>
      <c r="M39" s="270"/>
      <c r="N39" s="291"/>
      <c r="O39" s="64"/>
      <c r="P39" s="271"/>
      <c r="Q39" s="291"/>
      <c r="R39" s="291"/>
      <c r="S39" s="291"/>
      <c r="T39" s="291"/>
      <c r="U39" s="291"/>
      <c r="V39" s="419"/>
      <c r="W39" s="419"/>
      <c r="X39" s="291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3" t="s">
        <v>497</v>
      </c>
      <c r="J40" s="292"/>
      <c r="K40" s="291"/>
      <c r="L40" s="291"/>
      <c r="M40" s="270"/>
      <c r="N40" s="291"/>
      <c r="O40" s="64"/>
      <c r="P40" s="271"/>
      <c r="Q40" s="291"/>
      <c r="R40" s="291"/>
      <c r="S40" s="291"/>
      <c r="T40" s="291"/>
      <c r="U40" s="291"/>
      <c r="V40" s="350" t="s">
        <v>69</v>
      </c>
      <c r="W40" s="62"/>
      <c r="X40" s="350">
        <f>SUM(X41:X42)</f>
        <v>4296000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3" t="s">
        <v>493</v>
      </c>
      <c r="J41" s="292"/>
      <c r="K41" s="291"/>
      <c r="L41" s="291"/>
      <c r="M41" s="270">
        <v>4296000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5"/>
      <c r="W41" s="515"/>
      <c r="X41" s="291">
        <f>ROUNDDOWN(M41*P41,-3)</f>
        <v>4296000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3"/>
      <c r="J42" s="292"/>
      <c r="K42" s="291"/>
      <c r="L42" s="291"/>
      <c r="M42" s="291"/>
      <c r="N42" s="291"/>
      <c r="O42" s="64"/>
      <c r="P42" s="271"/>
      <c r="Q42" s="291"/>
      <c r="R42" s="291"/>
      <c r="S42" s="291"/>
      <c r="T42" s="291"/>
      <c r="U42" s="291"/>
      <c r="V42" s="515"/>
      <c r="W42" s="515"/>
      <c r="X42" s="291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4" t="s">
        <v>277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209</v>
      </c>
      <c r="W43" s="62"/>
      <c r="X43" s="198">
        <f>SUM(X44:X45)</f>
        <v>7096000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3" t="s">
        <v>493</v>
      </c>
      <c r="J44" s="197"/>
      <c r="K44" s="196"/>
      <c r="L44" s="196"/>
      <c r="M44" s="291">
        <f>SUM(M28,M32,M35,M38,M41)</f>
        <v>85143000</v>
      </c>
      <c r="N44" s="44" t="s">
        <v>203</v>
      </c>
      <c r="O44" s="229" t="s">
        <v>204</v>
      </c>
      <c r="P44" s="66">
        <v>12</v>
      </c>
      <c r="Q44" s="177" t="s">
        <v>205</v>
      </c>
      <c r="R44" s="64" t="s">
        <v>207</v>
      </c>
      <c r="S44" s="271">
        <v>1</v>
      </c>
      <c r="T44" s="196"/>
      <c r="U44" s="196" t="s">
        <v>206</v>
      </c>
      <c r="V44" s="79"/>
      <c r="W44" s="79"/>
      <c r="X44" s="224">
        <f>ROUNDUP(M44/P44*S44,-3)</f>
        <v>7096000</v>
      </c>
      <c r="Y44" s="261" t="s">
        <v>197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3"/>
      <c r="J45" s="292"/>
      <c r="K45" s="291"/>
      <c r="L45" s="291"/>
      <c r="M45" s="291"/>
      <c r="N45" s="44"/>
      <c r="O45" s="419"/>
      <c r="P45" s="66"/>
      <c r="Q45" s="177"/>
      <c r="R45" s="64"/>
      <c r="S45" s="271"/>
      <c r="T45" s="291"/>
      <c r="U45" s="291"/>
      <c r="V45" s="291"/>
      <c r="W45" s="291"/>
      <c r="X45" s="58"/>
      <c r="Y45" s="261"/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4" t="s">
        <v>278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209</v>
      </c>
      <c r="W46" s="62"/>
      <c r="X46" s="198">
        <f>SUM(X47,X50,X53,X56,X59)</f>
        <v>8866000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3" t="s">
        <v>279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3832000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3" t="s">
        <v>493</v>
      </c>
      <c r="J48" s="292"/>
      <c r="K48" s="291"/>
      <c r="L48" s="291"/>
      <c r="M48" s="291">
        <f>M44</f>
        <v>85143000</v>
      </c>
      <c r="N48" s="44" t="s">
        <v>56</v>
      </c>
      <c r="O48" s="64" t="s">
        <v>57</v>
      </c>
      <c r="P48" s="230">
        <v>0.09</v>
      </c>
      <c r="Q48" s="419">
        <v>2</v>
      </c>
      <c r="R48" s="64" t="s">
        <v>57</v>
      </c>
      <c r="S48" s="271">
        <v>1</v>
      </c>
      <c r="T48" s="65"/>
      <c r="U48" s="419" t="s">
        <v>206</v>
      </c>
      <c r="V48" s="291"/>
      <c r="W48" s="58"/>
      <c r="X48" s="58">
        <f>ROUNDUP(M48*P48/Q48*S48,-3)</f>
        <v>3832000</v>
      </c>
      <c r="Y48" s="47" t="s">
        <v>313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3"/>
      <c r="J49" s="292"/>
      <c r="K49" s="291"/>
      <c r="L49" s="291"/>
      <c r="M49" s="291"/>
      <c r="N49" s="44"/>
      <c r="O49" s="64"/>
      <c r="P49" s="230"/>
      <c r="Q49" s="419"/>
      <c r="R49" s="64"/>
      <c r="S49" s="271"/>
      <c r="T49" s="65"/>
      <c r="U49" s="419"/>
      <c r="V49" s="291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3" t="s">
        <v>280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50"/>
      <c r="W50" s="62"/>
      <c r="X50" s="62">
        <f>SUM(X51:X52)</f>
        <v>3019000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3" t="s">
        <v>493</v>
      </c>
      <c r="J51" s="292"/>
      <c r="K51" s="291"/>
      <c r="L51" s="291"/>
      <c r="M51" s="291">
        <f>M44</f>
        <v>85143000</v>
      </c>
      <c r="N51" s="44" t="s">
        <v>56</v>
      </c>
      <c r="O51" s="64" t="s">
        <v>57</v>
      </c>
      <c r="P51" s="231">
        <v>7.0900000000000005E-2</v>
      </c>
      <c r="Q51" s="419">
        <v>2</v>
      </c>
      <c r="R51" s="64" t="s">
        <v>57</v>
      </c>
      <c r="S51" s="271">
        <v>1</v>
      </c>
      <c r="T51" s="65"/>
      <c r="U51" s="419"/>
      <c r="V51" s="291"/>
      <c r="W51" s="58"/>
      <c r="X51" s="58">
        <f>ROUNDUP(M51*P51/Q51*S51,-3)</f>
        <v>3019000</v>
      </c>
      <c r="Y51" s="47" t="s">
        <v>313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3"/>
      <c r="J52" s="292"/>
      <c r="K52" s="291"/>
      <c r="L52" s="291"/>
      <c r="M52" s="291"/>
      <c r="N52" s="44"/>
      <c r="O52" s="64"/>
      <c r="P52" s="231"/>
      <c r="Q52" s="419"/>
      <c r="R52" s="64"/>
      <c r="S52" s="271"/>
      <c r="T52" s="65"/>
      <c r="U52" s="419"/>
      <c r="V52" s="291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3" t="s">
        <v>281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50"/>
      <c r="W53" s="62"/>
      <c r="X53" s="62">
        <f>SUM(X54:X55)</f>
        <v>387000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3" t="s">
        <v>493</v>
      </c>
      <c r="J54" s="292"/>
      <c r="K54" s="291"/>
      <c r="L54" s="291"/>
      <c r="M54" s="291">
        <f t="shared" ref="M54" si="12">X51</f>
        <v>3019000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19"/>
      <c r="V54" s="291"/>
      <c r="W54" s="58"/>
      <c r="X54" s="58">
        <f>ROUNDUP(M54*P54,-3)</f>
        <v>387000</v>
      </c>
      <c r="Y54" s="47" t="s">
        <v>313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3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19"/>
      <c r="V55" s="291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3" t="s">
        <v>282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50"/>
      <c r="W56" s="62"/>
      <c r="X56" s="62">
        <f>SUM(X57:X58)</f>
        <v>980000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3" t="s">
        <v>493</v>
      </c>
      <c r="J57" s="292"/>
      <c r="K57" s="291"/>
      <c r="L57" s="291"/>
      <c r="M57" s="291">
        <f>M44</f>
        <v>85143000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19" t="s">
        <v>206</v>
      </c>
      <c r="V57" s="291"/>
      <c r="W57" s="58"/>
      <c r="X57" s="58">
        <f>ROUNDUP(M57*P57*S57,-3)</f>
        <v>980000</v>
      </c>
      <c r="Y57" s="47" t="s">
        <v>313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3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19"/>
      <c r="V58" s="291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3" t="s">
        <v>283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50"/>
      <c r="W59" s="62"/>
      <c r="X59" s="62">
        <f>SUM(X60:X61)</f>
        <v>648000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3" t="s">
        <v>493</v>
      </c>
      <c r="J60" s="292"/>
      <c r="K60" s="291"/>
      <c r="L60" s="291"/>
      <c r="M60" s="291">
        <f>M44</f>
        <v>85143000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19" t="s">
        <v>206</v>
      </c>
      <c r="V60" s="291"/>
      <c r="W60" s="58"/>
      <c r="X60" s="58">
        <f>ROUNDUP(M60*P60*S60,-3)</f>
        <v>648000</v>
      </c>
      <c r="Y60" s="47" t="s">
        <v>313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3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19"/>
      <c r="V61" s="291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1020</v>
      </c>
      <c r="F63" s="213">
        <f>ROUND(X63/1000,0)</f>
        <v>10196</v>
      </c>
      <c r="G63" s="30">
        <f t="shared" ref="G63" si="13">F63-E63</f>
        <v>9176</v>
      </c>
      <c r="H63" s="109">
        <f t="shared" ref="H63" si="14">IF(E63=0,0,G63/E63)</f>
        <v>8.996078431372549</v>
      </c>
      <c r="I63" s="225" t="s">
        <v>211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192</v>
      </c>
      <c r="W63" s="227"/>
      <c r="X63" s="227">
        <f>SUM(X64:X67)</f>
        <v>10196000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212</v>
      </c>
      <c r="J64" s="58"/>
      <c r="K64" s="180"/>
      <c r="L64" s="180"/>
      <c r="M64" s="270">
        <v>2549000</v>
      </c>
      <c r="N64" s="270" t="s">
        <v>25</v>
      </c>
      <c r="O64" s="365" t="s">
        <v>26</v>
      </c>
      <c r="P64" s="366">
        <v>4</v>
      </c>
      <c r="Q64" s="367" t="s">
        <v>55</v>
      </c>
      <c r="R64" s="328" t="s">
        <v>301</v>
      </c>
      <c r="S64" s="271">
        <v>1</v>
      </c>
      <c r="T64" s="331"/>
      <c r="U64" s="329" t="s">
        <v>302</v>
      </c>
      <c r="V64" s="573"/>
      <c r="W64" s="573"/>
      <c r="X64" s="58">
        <f>ROUND(M64*P64*S64,-3)</f>
        <v>10196000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0"/>
      <c r="J65" s="58"/>
      <c r="K65" s="180"/>
      <c r="L65" s="180"/>
      <c r="M65" s="279"/>
      <c r="N65" s="279"/>
      <c r="O65" s="45"/>
      <c r="P65" s="278"/>
      <c r="Q65" s="279"/>
      <c r="R65" s="64"/>
      <c r="S65" s="271"/>
      <c r="T65" s="279"/>
      <c r="U65" s="279"/>
      <c r="V65" s="278"/>
      <c r="W65" s="278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3" t="s">
        <v>303</v>
      </c>
      <c r="J66" s="274"/>
      <c r="K66" s="364"/>
      <c r="L66" s="364"/>
      <c r="M66" s="270"/>
      <c r="N66" s="270"/>
      <c r="O66" s="365"/>
      <c r="P66" s="270"/>
      <c r="Q66" s="367"/>
      <c r="R66" s="370"/>
      <c r="S66" s="371"/>
      <c r="T66" s="329"/>
      <c r="U66" s="329"/>
      <c r="V66" s="368"/>
      <c r="W66" s="273"/>
      <c r="X66" s="274"/>
      <c r="Y66" s="298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6" t="s">
        <v>305</v>
      </c>
      <c r="J67" s="274"/>
      <c r="K67" s="364"/>
      <c r="L67" s="364"/>
      <c r="M67" s="270">
        <v>0</v>
      </c>
      <c r="N67" s="270" t="s">
        <v>25</v>
      </c>
      <c r="O67" s="365" t="s">
        <v>26</v>
      </c>
      <c r="P67" s="369">
        <v>0.5</v>
      </c>
      <c r="Q67" s="367"/>
      <c r="R67" s="370"/>
      <c r="S67" s="371"/>
      <c r="T67" s="329"/>
      <c r="U67" s="329"/>
      <c r="V67" s="368"/>
      <c r="W67" s="273" t="s">
        <v>27</v>
      </c>
      <c r="X67" s="274">
        <f>M67*P67</f>
        <v>0</v>
      </c>
      <c r="Y67" s="298" t="s">
        <v>300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493</v>
      </c>
      <c r="F69" s="213">
        <f>ROUND(X69/1000,0)</f>
        <v>1642</v>
      </c>
      <c r="G69" s="30">
        <f t="shared" ref="G69" si="15">F69-E69</f>
        <v>1149</v>
      </c>
      <c r="H69" s="109">
        <f t="shared" ref="H69" si="16">IF(E69=0,0,G69/E69)</f>
        <v>2.3306288032454363</v>
      </c>
      <c r="I69" s="225" t="s">
        <v>215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192</v>
      </c>
      <c r="W69" s="227"/>
      <c r="X69" s="227">
        <f>SUM(X70:X75)</f>
        <v>1642000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197"/>
      <c r="K70" s="196"/>
      <c r="L70" s="196"/>
      <c r="M70" s="196">
        <v>500</v>
      </c>
      <c r="N70" s="196" t="s">
        <v>203</v>
      </c>
      <c r="O70" s="197" t="s">
        <v>207</v>
      </c>
      <c r="P70" s="234">
        <v>4</v>
      </c>
      <c r="Q70" s="235">
        <v>365</v>
      </c>
      <c r="R70" s="196" t="s">
        <v>217</v>
      </c>
      <c r="S70" s="271">
        <v>1</v>
      </c>
      <c r="T70" s="196"/>
      <c r="U70" s="196" t="s">
        <v>206</v>
      </c>
      <c r="V70" s="196"/>
      <c r="W70" s="58"/>
      <c r="X70" s="58">
        <f>ROUND(M70*P70*Q70*S70,-3)</f>
        <v>730000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197"/>
      <c r="K71" s="196"/>
      <c r="L71" s="196"/>
      <c r="M71" s="196">
        <v>5000</v>
      </c>
      <c r="N71" s="196" t="s">
        <v>203</v>
      </c>
      <c r="O71" s="197" t="s">
        <v>207</v>
      </c>
      <c r="P71" s="234">
        <v>4</v>
      </c>
      <c r="Q71" s="235">
        <v>12</v>
      </c>
      <c r="R71" s="196" t="s">
        <v>205</v>
      </c>
      <c r="S71" s="271">
        <v>1</v>
      </c>
      <c r="T71" s="196"/>
      <c r="U71" s="196" t="s">
        <v>206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197"/>
      <c r="K72" s="196"/>
      <c r="L72" s="196"/>
      <c r="M72" s="196">
        <v>20000</v>
      </c>
      <c r="N72" s="196" t="s">
        <v>203</v>
      </c>
      <c r="O72" s="197" t="s">
        <v>207</v>
      </c>
      <c r="P72" s="234">
        <v>4</v>
      </c>
      <c r="Q72" s="235">
        <v>4</v>
      </c>
      <c r="R72" s="196" t="s">
        <v>220</v>
      </c>
      <c r="S72" s="271">
        <v>1</v>
      </c>
      <c r="T72" s="196"/>
      <c r="U72" s="196" t="s">
        <v>206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441</v>
      </c>
      <c r="J73" s="197"/>
      <c r="K73" s="196"/>
      <c r="L73" s="196"/>
      <c r="M73" s="196">
        <v>12000</v>
      </c>
      <c r="N73" s="196" t="s">
        <v>203</v>
      </c>
      <c r="O73" s="197" t="s">
        <v>207</v>
      </c>
      <c r="P73" s="234">
        <v>4</v>
      </c>
      <c r="Q73" s="235">
        <v>4</v>
      </c>
      <c r="R73" s="196" t="s">
        <v>220</v>
      </c>
      <c r="S73" s="271">
        <v>1</v>
      </c>
      <c r="T73" s="196"/>
      <c r="U73" s="196" t="s">
        <v>206</v>
      </c>
      <c r="V73" s="196"/>
      <c r="W73" s="58"/>
      <c r="X73" s="58">
        <f>ROUND(M73*P73*Q73*S73,-3)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197"/>
      <c r="K75" s="196"/>
      <c r="L75" s="196"/>
      <c r="M75" s="196">
        <v>40000</v>
      </c>
      <c r="N75" s="196" t="s">
        <v>203</v>
      </c>
      <c r="O75" s="197" t="s">
        <v>207</v>
      </c>
      <c r="P75" s="234">
        <v>4</v>
      </c>
      <c r="Q75" s="235">
        <v>1</v>
      </c>
      <c r="R75" s="196" t="s">
        <v>220</v>
      </c>
      <c r="S75" s="271">
        <v>1</v>
      </c>
      <c r="T75" s="196"/>
      <c r="U75" s="196" t="s">
        <v>206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200</v>
      </c>
      <c r="F77" s="213">
        <f>ROUND(X77/1000,0)</f>
        <v>0</v>
      </c>
      <c r="G77" s="30">
        <f t="shared" ref="G77" si="17">F77-E77</f>
        <v>-200</v>
      </c>
      <c r="H77" s="109">
        <f t="shared" ref="H77" si="18">IF(E77=0,0,G77/E77)</f>
        <v>-1</v>
      </c>
      <c r="I77" s="225" t="s">
        <v>315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192</v>
      </c>
      <c r="W77" s="227"/>
      <c r="X77" s="227">
        <f>X78</f>
        <v>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316</v>
      </c>
      <c r="E78" s="40"/>
      <c r="F78" s="40"/>
      <c r="G78" s="41"/>
      <c r="H78" s="60"/>
      <c r="I78" s="283" t="s">
        <v>284</v>
      </c>
      <c r="J78" s="197"/>
      <c r="K78" s="196"/>
      <c r="L78" s="196"/>
      <c r="M78" s="237">
        <v>0</v>
      </c>
      <c r="N78" s="59" t="s">
        <v>203</v>
      </c>
      <c r="O78" s="59" t="s">
        <v>207</v>
      </c>
      <c r="P78" s="271">
        <v>1</v>
      </c>
      <c r="Q78" s="235"/>
      <c r="R78" s="59"/>
      <c r="S78" s="236"/>
      <c r="T78" s="59"/>
      <c r="U78" s="59" t="s">
        <v>208</v>
      </c>
      <c r="V78" s="196"/>
      <c r="W78" s="58"/>
      <c r="X78" s="196">
        <f>M78*P78</f>
        <v>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224</v>
      </c>
      <c r="E80" s="40">
        <v>0</v>
      </c>
      <c r="F80" s="213">
        <f>ROUND(X80/1000,0)</f>
        <v>0</v>
      </c>
      <c r="G80" s="41">
        <f t="shared" ref="G80" si="19">F80-E80</f>
        <v>0</v>
      </c>
      <c r="H80" s="60">
        <f t="shared" ref="H80" si="20">IF(E80=0,0,G80/E80)</f>
        <v>0</v>
      </c>
      <c r="I80" s="61" t="s">
        <v>227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226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225</v>
      </c>
      <c r="E81" s="40"/>
      <c r="F81" s="40"/>
      <c r="G81" s="41"/>
      <c r="H81" s="60"/>
      <c r="I81" s="273" t="s">
        <v>304</v>
      </c>
      <c r="J81" s="58"/>
      <c r="K81" s="180"/>
      <c r="L81" s="180"/>
      <c r="M81" s="237">
        <v>0</v>
      </c>
      <c r="N81" s="59" t="s">
        <v>203</v>
      </c>
      <c r="O81" s="59" t="s">
        <v>207</v>
      </c>
      <c r="P81" s="67">
        <v>0.2</v>
      </c>
      <c r="Q81" s="235"/>
      <c r="R81" s="59"/>
      <c r="S81" s="236"/>
      <c r="T81" s="59"/>
      <c r="U81" s="59" t="s">
        <v>208</v>
      </c>
      <c r="V81" s="196"/>
      <c r="W81" s="58"/>
      <c r="X81" s="196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143</v>
      </c>
      <c r="D83" s="256" t="s">
        <v>109</v>
      </c>
      <c r="E83" s="189">
        <f>SUM(E84:E140)</f>
        <v>92323</v>
      </c>
      <c r="F83" s="189">
        <f>SUM(F84:F140)</f>
        <v>300</v>
      </c>
      <c r="G83" s="190">
        <f t="shared" ref="G83:G84" si="21">F83-E83</f>
        <v>-92023</v>
      </c>
      <c r="H83" s="191">
        <f t="shared" ref="H83:H84" si="22">IF(E83=0,0,G83/E83)</f>
        <v>-0.99675053886897091</v>
      </c>
      <c r="I83" s="173" t="s">
        <v>144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3">
        <v>0</v>
      </c>
      <c r="F84" s="213">
        <f>ROUND(X84/1000,0)</f>
        <v>0</v>
      </c>
      <c r="G84" s="266">
        <f t="shared" si="21"/>
        <v>0</v>
      </c>
      <c r="H84" s="156">
        <f t="shared" si="22"/>
        <v>0</v>
      </c>
      <c r="I84" s="127" t="s">
        <v>191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3" t="s">
        <v>271</v>
      </c>
      <c r="J85" s="292"/>
      <c r="K85" s="291"/>
      <c r="L85" s="291"/>
      <c r="M85" s="291">
        <v>0</v>
      </c>
      <c r="N85" s="416" t="s">
        <v>25</v>
      </c>
      <c r="O85" s="177" t="s">
        <v>26</v>
      </c>
      <c r="P85" s="417">
        <v>0</v>
      </c>
      <c r="Q85" s="44" t="s">
        <v>108</v>
      </c>
      <c r="R85" s="178" t="s">
        <v>26</v>
      </c>
      <c r="S85" s="181">
        <v>0</v>
      </c>
      <c r="T85" s="181" t="s">
        <v>29</v>
      </c>
      <c r="U85" s="416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customHeight="1" thickBot="1">
      <c r="A87" s="37"/>
      <c r="B87" s="38"/>
      <c r="C87" s="38"/>
      <c r="D87" s="28" t="s">
        <v>202</v>
      </c>
      <c r="E87" s="29">
        <v>79898</v>
      </c>
      <c r="F87" s="213">
        <f>ROUND(X87/1000,0)</f>
        <v>0</v>
      </c>
      <c r="G87" s="30">
        <f t="shared" ref="G87" si="23">F87-E87</f>
        <v>-79898</v>
      </c>
      <c r="H87" s="109">
        <f t="shared" ref="H87" si="24">IF(E87=0,0,G87/E87)</f>
        <v>-1</v>
      </c>
      <c r="I87" s="225" t="s">
        <v>314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20"/>
      <c r="U87" s="420"/>
      <c r="V87" s="226" t="s">
        <v>192</v>
      </c>
      <c r="W87" s="227"/>
      <c r="X87" s="227">
        <f>SUM(X88,X91,X107,X104)</f>
        <v>0</v>
      </c>
      <c r="Y87" s="260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4" t="s">
        <v>272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50" t="s">
        <v>69</v>
      </c>
      <c r="W88" s="62"/>
      <c r="X88" s="431">
        <f>SUM(X89:X90)</f>
        <v>0</v>
      </c>
      <c r="Y88" s="432" t="s">
        <v>311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3" t="s">
        <v>493</v>
      </c>
      <c r="J89" s="292"/>
      <c r="K89" s="291"/>
      <c r="L89" s="291"/>
      <c r="M89" s="291">
        <f>M28</f>
        <v>59854000</v>
      </c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312</v>
      </c>
      <c r="V89" s="291"/>
      <c r="W89" s="58"/>
      <c r="X89" s="291">
        <f>ROUND(M89*P89,-3)</f>
        <v>0</v>
      </c>
      <c r="Y89" s="47" t="s">
        <v>311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3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/>
      <c r="V90" s="291"/>
      <c r="W90" s="58"/>
      <c r="X90" s="291"/>
      <c r="Y90" s="63"/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4" t="s">
        <v>273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33"/>
      <c r="X91" s="55">
        <f>SUM(X92,X95,X98,X101)</f>
        <v>0</v>
      </c>
      <c r="Y91" s="260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3" t="s">
        <v>274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50" t="s">
        <v>69</v>
      </c>
      <c r="W92" s="62"/>
      <c r="X92" s="350">
        <f>SUM(X93:X94)</f>
        <v>0</v>
      </c>
      <c r="Y92" s="63" t="s">
        <v>311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3" t="s">
        <v>493</v>
      </c>
      <c r="J93" s="292"/>
      <c r="K93" s="291"/>
      <c r="L93" s="291"/>
      <c r="M93" s="291">
        <f>M32</f>
        <v>5941000</v>
      </c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208</v>
      </c>
      <c r="V93" s="419"/>
      <c r="W93" s="419"/>
      <c r="X93" s="291">
        <f>ROUND(M93*P93,-3)</f>
        <v>0</v>
      </c>
      <c r="Y93" s="47" t="s">
        <v>313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3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/>
      <c r="V94" s="419"/>
      <c r="W94" s="419"/>
      <c r="X94" s="291"/>
      <c r="Y94" s="47"/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3" t="s">
        <v>275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50" t="s">
        <v>69</v>
      </c>
      <c r="W95" s="62"/>
      <c r="X95" s="350">
        <f>SUM(X96:X97)</f>
        <v>0</v>
      </c>
      <c r="Y95" s="63" t="s">
        <v>311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3" t="s">
        <v>509</v>
      </c>
      <c r="J96" s="292"/>
      <c r="K96" s="291"/>
      <c r="L96" s="291"/>
      <c r="M96" s="291">
        <f>M35</f>
        <v>2160000</v>
      </c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208</v>
      </c>
      <c r="V96" s="419"/>
      <c r="W96" s="419"/>
      <c r="X96" s="291">
        <f>ROUND(M96*P96,-3)</f>
        <v>0</v>
      </c>
      <c r="Y96" s="47" t="s">
        <v>313</v>
      </c>
    </row>
    <row r="97" spans="1:27" ht="21" customHeight="1">
      <c r="A97" s="37"/>
      <c r="B97" s="38"/>
      <c r="C97" s="38"/>
      <c r="D97" s="38"/>
      <c r="E97" s="40"/>
      <c r="F97" s="40"/>
      <c r="G97" s="41"/>
      <c r="H97" s="60"/>
      <c r="I97" s="283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/>
      <c r="V97" s="419"/>
      <c r="W97" s="419"/>
      <c r="X97" s="291"/>
      <c r="Y97" s="47"/>
    </row>
    <row r="98" spans="1:27" ht="21" customHeight="1">
      <c r="A98" s="37"/>
      <c r="B98" s="38"/>
      <c r="C98" s="38"/>
      <c r="D98" s="38"/>
      <c r="E98" s="40"/>
      <c r="F98" s="40"/>
      <c r="G98" s="41"/>
      <c r="H98" s="60"/>
      <c r="I98" s="283" t="s">
        <v>276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50" t="s">
        <v>69</v>
      </c>
      <c r="W98" s="62"/>
      <c r="X98" s="350">
        <f>SUM(X99:X100)</f>
        <v>0</v>
      </c>
      <c r="Y98" s="63" t="s">
        <v>311</v>
      </c>
    </row>
    <row r="99" spans="1:27" ht="21" customHeight="1">
      <c r="A99" s="37"/>
      <c r="B99" s="38"/>
      <c r="C99" s="38"/>
      <c r="D99" s="38"/>
      <c r="E99" s="40"/>
      <c r="F99" s="40"/>
      <c r="G99" s="41"/>
      <c r="H99" s="60"/>
      <c r="I99" s="283" t="s">
        <v>493</v>
      </c>
      <c r="J99" s="292"/>
      <c r="K99" s="291"/>
      <c r="L99" s="291"/>
      <c r="M99" s="291">
        <f>M38</f>
        <v>12892000</v>
      </c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208</v>
      </c>
      <c r="V99" s="419"/>
      <c r="W99" s="419"/>
      <c r="X99" s="426">
        <f>ROUND(M99*P99,-3)</f>
        <v>0</v>
      </c>
      <c r="Y99" s="47" t="s">
        <v>313</v>
      </c>
    </row>
    <row r="100" spans="1:27" ht="21" customHeight="1">
      <c r="A100" s="37"/>
      <c r="B100" s="38"/>
      <c r="C100" s="38"/>
      <c r="D100" s="38"/>
      <c r="E100" s="40"/>
      <c r="F100" s="40"/>
      <c r="G100" s="41"/>
      <c r="H100" s="60"/>
      <c r="I100" s="283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/>
      <c r="V100" s="419"/>
      <c r="W100" s="419"/>
      <c r="X100" s="291"/>
      <c r="Y100" s="47"/>
    </row>
    <row r="101" spans="1:27" s="11" customFormat="1" ht="19.5" customHeight="1">
      <c r="A101" s="50"/>
      <c r="B101" s="38"/>
      <c r="C101" s="38"/>
      <c r="D101" s="38"/>
      <c r="E101" s="40"/>
      <c r="F101" s="40"/>
      <c r="G101" s="41"/>
      <c r="H101" s="60"/>
      <c r="I101" s="283" t="s">
        <v>497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50" t="s">
        <v>69</v>
      </c>
      <c r="W101" s="62"/>
      <c r="X101" s="350">
        <f>SUM(X102:X103)</f>
        <v>0</v>
      </c>
      <c r="Y101" s="63" t="s">
        <v>56</v>
      </c>
      <c r="Z101" s="6"/>
    </row>
    <row r="102" spans="1:27" s="11" customFormat="1" ht="19.5" customHeight="1">
      <c r="A102" s="50"/>
      <c r="B102" s="38"/>
      <c r="C102" s="38"/>
      <c r="D102" s="38"/>
      <c r="E102" s="40"/>
      <c r="F102" s="40"/>
      <c r="G102" s="41"/>
      <c r="H102" s="60"/>
      <c r="I102" s="283" t="s">
        <v>493</v>
      </c>
      <c r="J102" s="292"/>
      <c r="K102" s="291"/>
      <c r="L102" s="291"/>
      <c r="M102" s="291">
        <f>M41</f>
        <v>4296000</v>
      </c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5"/>
      <c r="W102" s="515"/>
      <c r="X102" s="291">
        <f>ROUND(M102*P102,-3)</f>
        <v>0</v>
      </c>
      <c r="Y102" s="47" t="s">
        <v>56</v>
      </c>
      <c r="Z102" s="6"/>
    </row>
    <row r="103" spans="1:27" s="11" customFormat="1" ht="19.5" customHeight="1">
      <c r="A103" s="50"/>
      <c r="B103" s="38"/>
      <c r="C103" s="38"/>
      <c r="D103" s="38"/>
      <c r="E103" s="40"/>
      <c r="F103" s="40"/>
      <c r="G103" s="41"/>
      <c r="H103" s="60"/>
      <c r="I103" s="283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/>
      <c r="V103" s="515"/>
      <c r="W103" s="515"/>
      <c r="X103" s="291"/>
      <c r="Y103" s="47"/>
      <c r="Z103" s="6"/>
    </row>
    <row r="104" spans="1:27" s="11" customFormat="1" ht="19.5" customHeight="1">
      <c r="A104" s="50"/>
      <c r="B104" s="38"/>
      <c r="C104" s="38"/>
      <c r="D104" s="38"/>
      <c r="E104" s="40"/>
      <c r="F104" s="40"/>
      <c r="G104" s="41"/>
      <c r="H104" s="60"/>
      <c r="I104" s="284" t="s">
        <v>277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50" t="s">
        <v>69</v>
      </c>
      <c r="W104" s="62"/>
      <c r="X104" s="350">
        <f>SUM(X105:X106)</f>
        <v>0</v>
      </c>
      <c r="Y104" s="63" t="s">
        <v>25</v>
      </c>
      <c r="Z104" s="6"/>
    </row>
    <row r="105" spans="1:27" s="11" customFormat="1" ht="19.5" customHeight="1">
      <c r="A105" s="50"/>
      <c r="B105" s="38"/>
      <c r="C105" s="38"/>
      <c r="D105" s="38"/>
      <c r="E105" s="40"/>
      <c r="F105" s="40"/>
      <c r="G105" s="41"/>
      <c r="H105" s="60"/>
      <c r="I105" s="283" t="s">
        <v>493</v>
      </c>
      <c r="J105" s="292"/>
      <c r="K105" s="291"/>
      <c r="L105" s="291"/>
      <c r="M105" s="291">
        <f>SUM(M89+M93+M96+M99+M102)</f>
        <v>85143000</v>
      </c>
      <c r="N105" s="44" t="s">
        <v>56</v>
      </c>
      <c r="O105" s="515" t="s">
        <v>70</v>
      </c>
      <c r="P105" s="66">
        <v>12</v>
      </c>
      <c r="Q105" s="177" t="s">
        <v>0</v>
      </c>
      <c r="R105" s="64" t="s">
        <v>57</v>
      </c>
      <c r="S105" s="271">
        <v>0</v>
      </c>
      <c r="T105" s="291"/>
      <c r="U105" s="291" t="s">
        <v>53</v>
      </c>
      <c r="V105" s="79"/>
      <c r="W105" s="79"/>
      <c r="X105" s="224">
        <f>ROUNDUP(M105/P105*S105,-3)</f>
        <v>0</v>
      </c>
      <c r="Y105" s="261" t="s">
        <v>56</v>
      </c>
      <c r="Z105" s="291"/>
      <c r="AA105" s="6"/>
    </row>
    <row r="106" spans="1:27" ht="21" customHeight="1">
      <c r="A106" s="37"/>
      <c r="B106" s="38"/>
      <c r="C106" s="38"/>
      <c r="D106" s="38"/>
      <c r="E106" s="40"/>
      <c r="F106" s="40"/>
      <c r="G106" s="41"/>
      <c r="H106" s="60"/>
      <c r="I106" s="283"/>
      <c r="J106" s="292"/>
      <c r="K106" s="291"/>
      <c r="L106" s="291"/>
      <c r="M106" s="291"/>
      <c r="N106" s="44"/>
      <c r="O106" s="419"/>
      <c r="P106" s="66"/>
      <c r="Q106" s="177"/>
      <c r="R106" s="64"/>
      <c r="S106" s="271"/>
      <c r="T106" s="291"/>
      <c r="U106" s="291"/>
      <c r="V106" s="291"/>
      <c r="W106" s="291"/>
      <c r="X106" s="58"/>
      <c r="Y106" s="261"/>
    </row>
    <row r="107" spans="1:27" ht="21" customHeight="1">
      <c r="A107" s="37"/>
      <c r="B107" s="38"/>
      <c r="C107" s="38"/>
      <c r="D107" s="38"/>
      <c r="E107" s="40"/>
      <c r="F107" s="40"/>
      <c r="G107" s="41"/>
      <c r="H107" s="60"/>
      <c r="I107" s="284" t="s">
        <v>278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50" t="s">
        <v>69</v>
      </c>
      <c r="W107" s="62"/>
      <c r="X107" s="350">
        <f>SUM(X108,X111,X114,X117,X120)</f>
        <v>0</v>
      </c>
      <c r="Y107" s="63" t="s">
        <v>25</v>
      </c>
    </row>
    <row r="108" spans="1:27" ht="21" customHeight="1">
      <c r="A108" s="37"/>
      <c r="B108" s="38"/>
      <c r="C108" s="38"/>
      <c r="D108" s="38"/>
      <c r="E108" s="40"/>
      <c r="F108" s="40"/>
      <c r="G108" s="41"/>
      <c r="H108" s="60"/>
      <c r="I108" s="283" t="s">
        <v>279</v>
      </c>
      <c r="J108" s="292"/>
      <c r="K108" s="291"/>
      <c r="L108" s="291"/>
      <c r="M108" s="291"/>
      <c r="N108" s="44"/>
      <c r="O108" s="64"/>
      <c r="P108" s="230"/>
      <c r="Q108" s="419"/>
      <c r="R108" s="64"/>
      <c r="S108" s="271"/>
      <c r="T108" s="65"/>
      <c r="U108" s="419"/>
      <c r="V108" s="128"/>
      <c r="W108" s="129"/>
      <c r="X108" s="129">
        <f>SUM(X109:X110)</f>
        <v>0</v>
      </c>
      <c r="Y108" s="130" t="s">
        <v>56</v>
      </c>
    </row>
    <row r="109" spans="1:27" ht="21" customHeight="1">
      <c r="A109" s="37"/>
      <c r="B109" s="38"/>
      <c r="C109" s="38"/>
      <c r="D109" s="38"/>
      <c r="E109" s="40"/>
      <c r="F109" s="40"/>
      <c r="G109" s="41"/>
      <c r="H109" s="60"/>
      <c r="I109" s="283" t="s">
        <v>493</v>
      </c>
      <c r="J109" s="292"/>
      <c r="K109" s="291"/>
      <c r="L109" s="291"/>
      <c r="M109" s="291">
        <f>M105</f>
        <v>85143000</v>
      </c>
      <c r="N109" s="44" t="s">
        <v>56</v>
      </c>
      <c r="O109" s="64" t="s">
        <v>57</v>
      </c>
      <c r="P109" s="230">
        <v>0.09</v>
      </c>
      <c r="Q109" s="419">
        <v>2</v>
      </c>
      <c r="R109" s="64" t="s">
        <v>57</v>
      </c>
      <c r="S109" s="271">
        <v>0</v>
      </c>
      <c r="T109" s="65"/>
      <c r="U109" s="419" t="s">
        <v>206</v>
      </c>
      <c r="V109" s="291"/>
      <c r="W109" s="58"/>
      <c r="X109" s="58">
        <f>ROUNDUP(M109*P109/Q109*S109,-3)</f>
        <v>0</v>
      </c>
      <c r="Y109" s="47" t="s">
        <v>313</v>
      </c>
    </row>
    <row r="110" spans="1:27" ht="21" customHeight="1">
      <c r="A110" s="37"/>
      <c r="B110" s="38"/>
      <c r="C110" s="38"/>
      <c r="D110" s="38"/>
      <c r="E110" s="40"/>
      <c r="F110" s="40"/>
      <c r="G110" s="41"/>
      <c r="H110" s="60"/>
      <c r="I110" s="283"/>
      <c r="J110" s="292"/>
      <c r="K110" s="291"/>
      <c r="L110" s="291"/>
      <c r="M110" s="291"/>
      <c r="N110" s="44"/>
      <c r="O110" s="64"/>
      <c r="P110" s="230"/>
      <c r="Q110" s="419"/>
      <c r="R110" s="64"/>
      <c r="S110" s="271"/>
      <c r="T110" s="65"/>
      <c r="U110" s="419"/>
      <c r="V110" s="291"/>
      <c r="W110" s="58"/>
      <c r="X110" s="121"/>
      <c r="Y110" s="47"/>
    </row>
    <row r="111" spans="1:27" ht="21" customHeight="1">
      <c r="A111" s="37"/>
      <c r="B111" s="38"/>
      <c r="C111" s="38"/>
      <c r="D111" s="38"/>
      <c r="E111" s="40"/>
      <c r="F111" s="40"/>
      <c r="G111" s="41"/>
      <c r="H111" s="60"/>
      <c r="I111" s="283" t="s">
        <v>280</v>
      </c>
      <c r="J111" s="292"/>
      <c r="K111" s="291"/>
      <c r="L111" s="291"/>
      <c r="M111" s="291"/>
      <c r="N111" s="44"/>
      <c r="O111" s="64"/>
      <c r="P111" s="231"/>
      <c r="Q111" s="419"/>
      <c r="R111" s="64"/>
      <c r="S111" s="271"/>
      <c r="T111" s="65"/>
      <c r="U111" s="419"/>
      <c r="V111" s="350"/>
      <c r="W111" s="62"/>
      <c r="X111" s="62">
        <f>SUM(X112:X113)</f>
        <v>0</v>
      </c>
      <c r="Y111" s="63" t="s">
        <v>56</v>
      </c>
    </row>
    <row r="112" spans="1:27" ht="21" customHeight="1">
      <c r="A112" s="37"/>
      <c r="B112" s="38"/>
      <c r="C112" s="38"/>
      <c r="D112" s="38"/>
      <c r="E112" s="40"/>
      <c r="F112" s="40"/>
      <c r="G112" s="41"/>
      <c r="H112" s="60"/>
      <c r="I112" s="283" t="s">
        <v>493</v>
      </c>
      <c r="J112" s="292"/>
      <c r="K112" s="291"/>
      <c r="L112" s="291"/>
      <c r="M112" s="291">
        <f>M109</f>
        <v>85143000</v>
      </c>
      <c r="N112" s="44" t="s">
        <v>56</v>
      </c>
      <c r="O112" s="64" t="s">
        <v>57</v>
      </c>
      <c r="P112" s="231">
        <v>7.0900000000000005E-2</v>
      </c>
      <c r="Q112" s="419">
        <v>2</v>
      </c>
      <c r="R112" s="64" t="s">
        <v>57</v>
      </c>
      <c r="S112" s="271">
        <v>0</v>
      </c>
      <c r="T112" s="65"/>
      <c r="U112" s="419"/>
      <c r="V112" s="291"/>
      <c r="W112" s="58"/>
      <c r="X112" s="274">
        <f>ROUNDUP(M112*P112/Q112*S112,-3)</f>
        <v>0</v>
      </c>
      <c r="Y112" s="47" t="s">
        <v>313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3"/>
      <c r="J113" s="292"/>
      <c r="K113" s="291"/>
      <c r="L113" s="291"/>
      <c r="M113" s="291"/>
      <c r="N113" s="44"/>
      <c r="O113" s="64"/>
      <c r="P113" s="231"/>
      <c r="Q113" s="419"/>
      <c r="R113" s="64"/>
      <c r="S113" s="271"/>
      <c r="T113" s="65"/>
      <c r="U113" s="419"/>
      <c r="V113" s="291"/>
      <c r="W113" s="58"/>
      <c r="X113" s="121"/>
      <c r="Y113" s="47"/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3" t="s">
        <v>281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19"/>
      <c r="V114" s="350"/>
      <c r="W114" s="62"/>
      <c r="X114" s="62">
        <f>SUM(X115:X116)</f>
        <v>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3" t="s">
        <v>493</v>
      </c>
      <c r="J115" s="292"/>
      <c r="K115" s="291"/>
      <c r="L115" s="291"/>
      <c r="M115" s="291">
        <f t="shared" ref="M115" si="25"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19"/>
      <c r="V115" s="291"/>
      <c r="W115" s="58"/>
      <c r="X115" s="58">
        <f>ROUND(M115*P115,-3)</f>
        <v>0</v>
      </c>
      <c r="Y115" s="47" t="s">
        <v>313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3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19"/>
      <c r="V116" s="291"/>
      <c r="W116" s="58"/>
      <c r="X116" s="58"/>
      <c r="Y116" s="47"/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3" t="s">
        <v>282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19"/>
      <c r="V117" s="350"/>
      <c r="W117" s="62"/>
      <c r="X117" s="62">
        <f>SUM(X118:X119)</f>
        <v>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3" t="s">
        <v>493</v>
      </c>
      <c r="J118" s="292"/>
      <c r="K118" s="291"/>
      <c r="L118" s="291"/>
      <c r="M118" s="291">
        <f>M109</f>
        <v>85143000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19" t="s">
        <v>206</v>
      </c>
      <c r="V118" s="291"/>
      <c r="W118" s="58"/>
      <c r="X118" s="58">
        <f>ROUND(M118*P118*S118,-3)</f>
        <v>0</v>
      </c>
      <c r="Y118" s="47" t="s">
        <v>313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3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19"/>
      <c r="V119" s="291"/>
      <c r="W119" s="58"/>
      <c r="X119" s="58"/>
      <c r="Y119" s="47"/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3" t="s">
        <v>283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19"/>
      <c r="V120" s="350"/>
      <c r="W120" s="62"/>
      <c r="X120" s="62">
        <f>SUM(X121:X122)</f>
        <v>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3" t="s">
        <v>493</v>
      </c>
      <c r="J121" s="292"/>
      <c r="K121" s="291"/>
      <c r="L121" s="291"/>
      <c r="M121" s="291">
        <f>M109</f>
        <v>85143000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19" t="s">
        <v>206</v>
      </c>
      <c r="V121" s="291"/>
      <c r="W121" s="58"/>
      <c r="X121" s="58">
        <f>ROUNDUP(M121*P121*S121,-3)</f>
        <v>0</v>
      </c>
      <c r="Y121" s="47" t="s">
        <v>313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3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19"/>
      <c r="V122" s="291"/>
      <c r="W122" s="58"/>
      <c r="X122" s="121"/>
      <c r="Y122" s="47"/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9176</v>
      </c>
      <c r="F124" s="213">
        <f>ROUND(X124/1000,0)</f>
        <v>0</v>
      </c>
      <c r="G124" s="30">
        <f t="shared" ref="G124" si="26">F124-E124</f>
        <v>-9176</v>
      </c>
      <c r="H124" s="109">
        <f t="shared" ref="H124" si="27">IF(E124=0,0,G124/E124)</f>
        <v>-1</v>
      </c>
      <c r="I124" s="225" t="s">
        <v>211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192</v>
      </c>
      <c r="W124" s="227"/>
      <c r="X124" s="227">
        <f>SUM(X125:X125)</f>
        <v>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212</v>
      </c>
      <c r="J125" s="58"/>
      <c r="K125" s="180"/>
      <c r="L125" s="180"/>
      <c r="M125" s="291">
        <f>M64</f>
        <v>2549000</v>
      </c>
      <c r="N125" s="270" t="s">
        <v>25</v>
      </c>
      <c r="O125" s="365" t="s">
        <v>26</v>
      </c>
      <c r="P125" s="366">
        <v>4</v>
      </c>
      <c r="Q125" s="367" t="s">
        <v>55</v>
      </c>
      <c r="R125" s="328" t="s">
        <v>301</v>
      </c>
      <c r="S125" s="271">
        <v>0</v>
      </c>
      <c r="T125" s="331"/>
      <c r="U125" s="329" t="s">
        <v>302</v>
      </c>
      <c r="V125" s="573"/>
      <c r="W125" s="573"/>
      <c r="X125" s="58">
        <f>ROUND(M125*P125*S125,-3)</f>
        <v>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1149</v>
      </c>
      <c r="F127" s="213">
        <f>ROUND(X127/1000,0)</f>
        <v>0</v>
      </c>
      <c r="G127" s="30">
        <f t="shared" ref="G127" si="28">F127-E127</f>
        <v>-1149</v>
      </c>
      <c r="H127" s="109">
        <f t="shared" ref="H127" si="29">IF(E127=0,0,G127/E127)</f>
        <v>-1</v>
      </c>
      <c r="I127" s="225" t="s">
        <v>215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192</v>
      </c>
      <c r="W127" s="227"/>
      <c r="X127" s="227">
        <f>SUM(X128:X133)</f>
        <v>0</v>
      </c>
      <c r="Y127" s="260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197"/>
      <c r="K128" s="196"/>
      <c r="L128" s="196"/>
      <c r="M128" s="196">
        <v>500</v>
      </c>
      <c r="N128" s="196" t="s">
        <v>203</v>
      </c>
      <c r="O128" s="197" t="s">
        <v>207</v>
      </c>
      <c r="P128" s="234">
        <v>4</v>
      </c>
      <c r="Q128" s="235">
        <v>365</v>
      </c>
      <c r="R128" s="196" t="s">
        <v>217</v>
      </c>
      <c r="S128" s="271">
        <v>0</v>
      </c>
      <c r="T128" s="196"/>
      <c r="U128" s="196" t="s">
        <v>206</v>
      </c>
      <c r="V128" s="196"/>
      <c r="W128" s="58"/>
      <c r="X128" s="58">
        <f>ROUND(M128*P128*Q128*S128,-3)</f>
        <v>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197"/>
      <c r="K129" s="196"/>
      <c r="L129" s="196"/>
      <c r="M129" s="196">
        <v>5000</v>
      </c>
      <c r="N129" s="196" t="s">
        <v>203</v>
      </c>
      <c r="O129" s="197" t="s">
        <v>207</v>
      </c>
      <c r="P129" s="234">
        <v>4</v>
      </c>
      <c r="Q129" s="235">
        <v>12</v>
      </c>
      <c r="R129" s="196" t="s">
        <v>205</v>
      </c>
      <c r="S129" s="271">
        <v>0</v>
      </c>
      <c r="T129" s="196"/>
      <c r="U129" s="196" t="s">
        <v>206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197"/>
      <c r="K130" s="196"/>
      <c r="L130" s="196"/>
      <c r="M130" s="196">
        <v>20000</v>
      </c>
      <c r="N130" s="196" t="s">
        <v>203</v>
      </c>
      <c r="O130" s="197" t="s">
        <v>207</v>
      </c>
      <c r="P130" s="234">
        <v>4</v>
      </c>
      <c r="Q130" s="235">
        <v>4</v>
      </c>
      <c r="R130" s="196" t="s">
        <v>220</v>
      </c>
      <c r="S130" s="271">
        <v>0</v>
      </c>
      <c r="T130" s="196"/>
      <c r="U130" s="196" t="s">
        <v>206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441</v>
      </c>
      <c r="J131" s="197"/>
      <c r="K131" s="196"/>
      <c r="L131" s="196"/>
      <c r="M131" s="196">
        <v>12000</v>
      </c>
      <c r="N131" s="196" t="s">
        <v>203</v>
      </c>
      <c r="O131" s="197" t="s">
        <v>207</v>
      </c>
      <c r="P131" s="234">
        <v>4</v>
      </c>
      <c r="Q131" s="235">
        <v>4</v>
      </c>
      <c r="R131" s="196" t="s">
        <v>220</v>
      </c>
      <c r="S131" s="271">
        <v>0</v>
      </c>
      <c r="T131" s="196"/>
      <c r="U131" s="196" t="s">
        <v>206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197"/>
      <c r="K133" s="196"/>
      <c r="L133" s="196"/>
      <c r="M133" s="196">
        <v>40000</v>
      </c>
      <c r="N133" s="196" t="s">
        <v>203</v>
      </c>
      <c r="O133" s="197" t="s">
        <v>207</v>
      </c>
      <c r="P133" s="234">
        <v>4</v>
      </c>
      <c r="Q133" s="235">
        <v>1</v>
      </c>
      <c r="R133" s="196" t="s">
        <v>220</v>
      </c>
      <c r="S133" s="271">
        <v>0</v>
      </c>
      <c r="T133" s="196"/>
      <c r="U133" s="196" t="s">
        <v>206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1800</v>
      </c>
      <c r="F135" s="213">
        <f>ROUND(X135/1000,0)</f>
        <v>0</v>
      </c>
      <c r="G135" s="30">
        <f t="shared" ref="G135" si="30">F135-E135</f>
        <v>-1800</v>
      </c>
      <c r="H135" s="109">
        <f t="shared" ref="H135" si="31">IF(E135=0,0,G135/E135)</f>
        <v>-1</v>
      </c>
      <c r="I135" s="225" t="s">
        <v>315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7"/>
      <c r="U135" s="347"/>
      <c r="V135" s="226" t="s">
        <v>192</v>
      </c>
      <c r="W135" s="227"/>
      <c r="X135" s="227">
        <f>X136</f>
        <v>0</v>
      </c>
      <c r="Y135" s="260" t="s">
        <v>56</v>
      </c>
    </row>
    <row r="136" spans="1:26" ht="21" customHeight="1">
      <c r="A136" s="37"/>
      <c r="B136" s="38"/>
      <c r="C136" s="38"/>
      <c r="D136" s="38" t="s">
        <v>316</v>
      </c>
      <c r="E136" s="40"/>
      <c r="F136" s="40"/>
      <c r="G136" s="41"/>
      <c r="H136" s="60"/>
      <c r="I136" s="283" t="s">
        <v>284</v>
      </c>
      <c r="J136" s="292"/>
      <c r="K136" s="291"/>
      <c r="L136" s="291"/>
      <c r="M136" s="237">
        <v>2000000</v>
      </c>
      <c r="N136" s="59" t="s">
        <v>56</v>
      </c>
      <c r="O136" s="59" t="s">
        <v>57</v>
      </c>
      <c r="P136" s="271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51"/>
      <c r="J137" s="62"/>
      <c r="K137" s="218"/>
      <c r="L137" s="218"/>
      <c r="M137" s="350"/>
      <c r="N137" s="350"/>
      <c r="O137" s="219"/>
      <c r="P137" s="350"/>
      <c r="Q137" s="117"/>
      <c r="R137" s="220"/>
      <c r="S137" s="350"/>
      <c r="T137" s="169"/>
      <c r="U137" s="169"/>
      <c r="V137" s="221"/>
      <c r="W137" s="351"/>
      <c r="X137" s="62"/>
      <c r="Y137" s="63"/>
    </row>
    <row r="138" spans="1:26" ht="21" customHeight="1">
      <c r="A138" s="37"/>
      <c r="B138" s="38"/>
      <c r="C138" s="38"/>
      <c r="D138" s="38" t="s">
        <v>320</v>
      </c>
      <c r="E138" s="40">
        <v>300</v>
      </c>
      <c r="F138" s="213">
        <f>ROUND(X138/1000,0)</f>
        <v>300</v>
      </c>
      <c r="G138" s="41">
        <f t="shared" ref="G138" si="32">F138-E138</f>
        <v>0</v>
      </c>
      <c r="H138" s="60">
        <f t="shared" ref="H138" si="33">IF(E138=0,0,G138/E138)</f>
        <v>0</v>
      </c>
      <c r="I138" s="61" t="s">
        <v>319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226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225</v>
      </c>
      <c r="E139" s="40"/>
      <c r="F139" s="40"/>
      <c r="G139" s="41"/>
      <c r="H139" s="60"/>
      <c r="I139" s="283" t="s">
        <v>285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208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6" t="s">
        <v>109</v>
      </c>
      <c r="E141" s="189">
        <f>E142</f>
        <v>20000</v>
      </c>
      <c r="F141" s="189">
        <f>F142</f>
        <v>0</v>
      </c>
      <c r="G141" s="190">
        <f t="shared" ref="G141:G142" si="34">F141-E141</f>
        <v>-20000</v>
      </c>
      <c r="H141" s="191">
        <f t="shared" ref="H141:H142" si="35">IF(E141=0,0,G141/E141)</f>
        <v>-1</v>
      </c>
      <c r="I141" s="173" t="s">
        <v>144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20000</v>
      </c>
      <c r="F142" s="40">
        <f>ROUND(X142/1000,0)</f>
        <v>0</v>
      </c>
      <c r="G142" s="266">
        <f t="shared" si="34"/>
        <v>-20000</v>
      </c>
      <c r="H142" s="156">
        <f t="shared" si="35"/>
        <v>-1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142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72</v>
      </c>
      <c r="B144" s="28" t="s">
        <v>30</v>
      </c>
      <c r="C144" s="565" t="s">
        <v>255</v>
      </c>
      <c r="D144" s="566"/>
      <c r="E144" s="239">
        <f>SUM(E145,E151)</f>
        <v>703</v>
      </c>
      <c r="F144" s="239">
        <f>SUM(F145,F151)</f>
        <v>503</v>
      </c>
      <c r="G144" s="240">
        <f t="shared" ref="G144" si="36">F144-E144</f>
        <v>-200</v>
      </c>
      <c r="H144" s="241">
        <f t="shared" ref="H144" si="37">IF(E144=0,0,G144/E144)</f>
        <v>-0.28449502133712662</v>
      </c>
      <c r="I144" s="242" t="s">
        <v>256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503000</v>
      </c>
      <c r="Y144" s="258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6" t="s">
        <v>261</v>
      </c>
      <c r="E145" s="189">
        <f>E146+E149</f>
        <v>0</v>
      </c>
      <c r="F145" s="189">
        <f>F146+F149</f>
        <v>0</v>
      </c>
      <c r="G145" s="190">
        <f t="shared" ref="G145:G146" si="38">F145-E145</f>
        <v>0</v>
      </c>
      <c r="H145" s="191">
        <f t="shared" ref="H145:H146" si="39">IF(E145=0,0,G145/E145)</f>
        <v>0</v>
      </c>
      <c r="I145" s="173" t="s">
        <v>262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250</v>
      </c>
      <c r="W145" s="211"/>
      <c r="X145" s="212">
        <f>SUM(X146,X149)</f>
        <v>0</v>
      </c>
      <c r="Y145" s="259" t="s">
        <v>245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6">
        <f t="shared" si="38"/>
        <v>0</v>
      </c>
      <c r="H146" s="156">
        <f t="shared" si="39"/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64" t="s">
        <v>69</v>
      </c>
      <c r="W146" s="564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251</v>
      </c>
      <c r="E149" s="29">
        <v>0</v>
      </c>
      <c r="F149" s="40">
        <f>ROUND(X149/1000,0)</f>
        <v>0</v>
      </c>
      <c r="G149" s="30">
        <f t="shared" ref="G149" si="40">F149-E149</f>
        <v>0</v>
      </c>
      <c r="H149" s="31">
        <f t="shared" ref="H149" si="41"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64" t="s">
        <v>69</v>
      </c>
      <c r="W149" s="564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252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6" t="s">
        <v>109</v>
      </c>
      <c r="E151" s="189">
        <f>E152</f>
        <v>703</v>
      </c>
      <c r="F151" s="189">
        <f>F152</f>
        <v>503</v>
      </c>
      <c r="G151" s="190">
        <f t="shared" ref="G151:G152" si="42">F151-E151</f>
        <v>-200</v>
      </c>
      <c r="H151" s="191">
        <f t="shared" ref="H151:H152" si="43">IF(E151=0,0,G151/E151)</f>
        <v>-0.28449502133712662</v>
      </c>
      <c r="I151" s="173" t="s">
        <v>153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503000</v>
      </c>
      <c r="Y151" s="259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703</v>
      </c>
      <c r="F152" s="40">
        <f>ROUND(X152/1000,0)</f>
        <v>503</v>
      </c>
      <c r="G152" s="266">
        <f t="shared" si="42"/>
        <v>-200</v>
      </c>
      <c r="H152" s="156">
        <f t="shared" si="43"/>
        <v>-0.28449502133712662</v>
      </c>
      <c r="I152" s="127" t="s">
        <v>309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64" t="s">
        <v>69</v>
      </c>
      <c r="W152" s="564"/>
      <c r="X152" s="129">
        <f>SUM(X153:X155)</f>
        <v>503000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73</v>
      </c>
      <c r="J153" s="292"/>
      <c r="K153" s="291"/>
      <c r="L153" s="291"/>
      <c r="M153" s="291"/>
      <c r="N153" s="416"/>
      <c r="O153" s="64"/>
      <c r="P153" s="59"/>
      <c r="Q153" s="64"/>
      <c r="R153" s="71"/>
      <c r="S153" s="65"/>
      <c r="T153" s="65"/>
      <c r="U153" s="416" t="s">
        <v>53</v>
      </c>
      <c r="V153" s="291"/>
      <c r="W153" s="58"/>
      <c r="X153" s="58">
        <v>500000</v>
      </c>
      <c r="Y153" s="4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4"/>
      <c r="H154" s="265"/>
      <c r="I154" s="535" t="s">
        <v>530</v>
      </c>
      <c r="J154" s="536"/>
      <c r="K154" s="536"/>
      <c r="L154" s="536"/>
      <c r="M154" s="536"/>
      <c r="N154" s="536"/>
      <c r="O154" s="536"/>
      <c r="P154" s="536"/>
      <c r="Q154" s="536"/>
      <c r="R154" s="536"/>
      <c r="S154" s="536"/>
      <c r="T154" s="536"/>
      <c r="U154" s="536"/>
      <c r="V154" s="536"/>
      <c r="W154" s="536"/>
      <c r="X154" s="536">
        <v>2000</v>
      </c>
      <c r="Y154" s="537" t="s">
        <v>25</v>
      </c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2"/>
      <c r="I155" s="57" t="s">
        <v>243</v>
      </c>
      <c r="J155" s="292"/>
      <c r="K155" s="291"/>
      <c r="L155" s="291"/>
      <c r="M155" s="291"/>
      <c r="N155" s="291"/>
      <c r="O155" s="291"/>
      <c r="P155" s="291"/>
      <c r="Q155" s="44"/>
      <c r="R155" s="44"/>
      <c r="S155" s="44"/>
      <c r="T155" s="291"/>
      <c r="U155" s="291"/>
      <c r="V155" s="291"/>
      <c r="W155" s="58"/>
      <c r="X155" s="62">
        <v>1000</v>
      </c>
      <c r="Y155" s="47" t="s">
        <v>56</v>
      </c>
    </row>
    <row r="156" spans="1:25" ht="21" customHeight="1">
      <c r="A156" s="27" t="s">
        <v>154</v>
      </c>
      <c r="B156" s="28" t="s">
        <v>154</v>
      </c>
      <c r="C156" s="565" t="s">
        <v>255</v>
      </c>
      <c r="D156" s="566"/>
      <c r="E156" s="239">
        <f>E157+E160</f>
        <v>0</v>
      </c>
      <c r="F156" s="239">
        <f>F157+F160</f>
        <v>0</v>
      </c>
      <c r="G156" s="240">
        <f t="shared" ref="G156:G158" si="44">F156-E156</f>
        <v>0</v>
      </c>
      <c r="H156" s="241">
        <f t="shared" ref="H156:H158" si="45">IF(E156=0,0,G156/E156)</f>
        <v>0</v>
      </c>
      <c r="I156" s="242" t="s">
        <v>257</v>
      </c>
      <c r="J156" s="243"/>
      <c r="K156" s="244"/>
      <c r="L156" s="244"/>
      <c r="M156" s="243"/>
      <c r="N156" s="243"/>
      <c r="O156" s="243"/>
      <c r="P156" s="243"/>
      <c r="Q156" s="243" t="s">
        <v>64</v>
      </c>
      <c r="R156" s="245"/>
      <c r="S156" s="245"/>
      <c r="T156" s="245"/>
      <c r="U156" s="245"/>
      <c r="V156" s="245"/>
      <c r="W156" s="245"/>
      <c r="X156" s="246">
        <f>X157+X160</f>
        <v>0</v>
      </c>
      <c r="Y156" s="258" t="s">
        <v>25</v>
      </c>
    </row>
    <row r="157" spans="1:25" ht="21" customHeight="1">
      <c r="A157" s="37"/>
      <c r="B157" s="38"/>
      <c r="C157" s="28" t="s">
        <v>155</v>
      </c>
      <c r="D157" s="256" t="s">
        <v>109</v>
      </c>
      <c r="E157" s="189">
        <f>E158</f>
        <v>0</v>
      </c>
      <c r="F157" s="189">
        <f>F158</f>
        <v>0</v>
      </c>
      <c r="G157" s="190">
        <f t="shared" si="44"/>
        <v>0</v>
      </c>
      <c r="H157" s="191">
        <f t="shared" si="45"/>
        <v>0</v>
      </c>
      <c r="I157" s="173" t="s">
        <v>158</v>
      </c>
      <c r="J157" s="174"/>
      <c r="K157" s="175"/>
      <c r="L157" s="175"/>
      <c r="M157" s="175"/>
      <c r="N157" s="175"/>
      <c r="O157" s="175"/>
      <c r="P157" s="176"/>
      <c r="Q157" s="176"/>
      <c r="R157" s="176"/>
      <c r="S157" s="176"/>
      <c r="T157" s="176"/>
      <c r="U157" s="176"/>
      <c r="V157" s="210" t="s">
        <v>69</v>
      </c>
      <c r="W157" s="211"/>
      <c r="X157" s="212">
        <f>X158</f>
        <v>0</v>
      </c>
      <c r="Y157" s="259" t="s">
        <v>56</v>
      </c>
    </row>
    <row r="158" spans="1:25" ht="21" customHeight="1">
      <c r="A158" s="37"/>
      <c r="B158" s="38"/>
      <c r="C158" s="38" t="s">
        <v>156</v>
      </c>
      <c r="D158" s="28" t="s">
        <v>160</v>
      </c>
      <c r="E158" s="29">
        <v>0</v>
      </c>
      <c r="F158" s="40">
        <f>ROUND(X158/1000,0)</f>
        <v>0</v>
      </c>
      <c r="G158" s="30">
        <f t="shared" si="44"/>
        <v>0</v>
      </c>
      <c r="H158" s="31">
        <f t="shared" si="45"/>
        <v>0</v>
      </c>
      <c r="I158" s="127" t="s">
        <v>158</v>
      </c>
      <c r="J158" s="13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564" t="s">
        <v>69</v>
      </c>
      <c r="W158" s="564"/>
      <c r="X158" s="129">
        <f>X159</f>
        <v>0</v>
      </c>
      <c r="Y158" s="130" t="s">
        <v>56</v>
      </c>
    </row>
    <row r="159" spans="1:25" ht="21" customHeight="1">
      <c r="A159" s="37"/>
      <c r="B159" s="38"/>
      <c r="C159" s="38" t="s">
        <v>154</v>
      </c>
      <c r="D159" s="38" t="s">
        <v>154</v>
      </c>
      <c r="E159" s="40"/>
      <c r="F159" s="40"/>
      <c r="G159" s="41"/>
      <c r="H159" s="25"/>
      <c r="I159" s="57" t="s">
        <v>159</v>
      </c>
      <c r="J159" s="197"/>
      <c r="K159" s="196"/>
      <c r="L159" s="196"/>
      <c r="M159" s="196"/>
      <c r="N159" s="229"/>
      <c r="O159" s="64"/>
      <c r="P159" s="59"/>
      <c r="Q159" s="64"/>
      <c r="R159" s="71"/>
      <c r="S159" s="65"/>
      <c r="T159" s="65"/>
      <c r="U159" s="229"/>
      <c r="V159" s="196"/>
      <c r="W159" s="58"/>
      <c r="X159" s="58">
        <v>0</v>
      </c>
      <c r="Y159" s="47" t="s">
        <v>56</v>
      </c>
    </row>
    <row r="160" spans="1:25" ht="21" customHeight="1">
      <c r="A160" s="37"/>
      <c r="B160" s="38"/>
      <c r="C160" s="28" t="s">
        <v>145</v>
      </c>
      <c r="D160" s="256" t="s">
        <v>109</v>
      </c>
      <c r="E160" s="189">
        <f>E161</f>
        <v>0</v>
      </c>
      <c r="F160" s="189">
        <f>F161</f>
        <v>0</v>
      </c>
      <c r="G160" s="190">
        <f t="shared" ref="G160:G161" si="46">F160-E160</f>
        <v>0</v>
      </c>
      <c r="H160" s="191">
        <f t="shared" ref="H160:H161" si="47">IF(E160=0,0,G160/E160)</f>
        <v>0</v>
      </c>
      <c r="I160" s="173" t="s">
        <v>161</v>
      </c>
      <c r="J160" s="174"/>
      <c r="K160" s="175"/>
      <c r="L160" s="175"/>
      <c r="M160" s="175"/>
      <c r="N160" s="175"/>
      <c r="O160" s="175"/>
      <c r="P160" s="176"/>
      <c r="Q160" s="176"/>
      <c r="R160" s="176"/>
      <c r="S160" s="176"/>
      <c r="T160" s="176"/>
      <c r="U160" s="176"/>
      <c r="V160" s="210" t="s">
        <v>69</v>
      </c>
      <c r="W160" s="211"/>
      <c r="X160" s="211">
        <f>X161</f>
        <v>0</v>
      </c>
      <c r="Y160" s="259" t="s">
        <v>56</v>
      </c>
    </row>
    <row r="161" spans="1:27" ht="21" customHeight="1">
      <c r="A161" s="37"/>
      <c r="B161" s="38"/>
      <c r="C161" s="38" t="s">
        <v>154</v>
      </c>
      <c r="D161" s="38" t="s">
        <v>157</v>
      </c>
      <c r="E161" s="40">
        <v>0</v>
      </c>
      <c r="F161" s="40">
        <f>ROUND(X161/1000,0)</f>
        <v>0</v>
      </c>
      <c r="G161" s="30">
        <f t="shared" si="46"/>
        <v>0</v>
      </c>
      <c r="H161" s="31">
        <f t="shared" si="47"/>
        <v>0</v>
      </c>
      <c r="I161" s="57" t="s">
        <v>162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2"/>
      <c r="I162" s="61"/>
      <c r="J162" s="199"/>
      <c r="K162" s="198"/>
      <c r="L162" s="198"/>
      <c r="M162" s="198"/>
      <c r="N162" s="169"/>
      <c r="O162" s="182"/>
      <c r="P162" s="183"/>
      <c r="Q162" s="182"/>
      <c r="R162" s="184"/>
      <c r="S162" s="185"/>
      <c r="T162" s="185"/>
      <c r="U162" s="169"/>
      <c r="V162" s="198"/>
      <c r="W162" s="62"/>
      <c r="X162" s="62"/>
      <c r="Y162" s="63"/>
    </row>
    <row r="163" spans="1:27" ht="21" customHeight="1">
      <c r="A163" s="27" t="s">
        <v>74</v>
      </c>
      <c r="B163" s="28" t="s">
        <v>13</v>
      </c>
      <c r="C163" s="565" t="s">
        <v>255</v>
      </c>
      <c r="D163" s="566"/>
      <c r="E163" s="239">
        <f>SUM(E164,E168)</f>
        <v>19000</v>
      </c>
      <c r="F163" s="239">
        <f>SUM(F164,F168)</f>
        <v>0</v>
      </c>
      <c r="G163" s="240">
        <f t="shared" ref="G163:G165" si="48">F163-E163</f>
        <v>-19000</v>
      </c>
      <c r="H163" s="241">
        <f t="shared" ref="H163:H165" si="49">IF(E163=0,0,G163/E163)</f>
        <v>-1</v>
      </c>
      <c r="I163" s="242" t="s">
        <v>258</v>
      </c>
      <c r="J163" s="243"/>
      <c r="K163" s="244"/>
      <c r="L163" s="244"/>
      <c r="M163" s="243"/>
      <c r="N163" s="243"/>
      <c r="O163" s="243"/>
      <c r="P163" s="243"/>
      <c r="Q163" s="243" t="s">
        <v>64</v>
      </c>
      <c r="R163" s="245"/>
      <c r="S163" s="245"/>
      <c r="T163" s="245"/>
      <c r="U163" s="245"/>
      <c r="V163" s="245"/>
      <c r="W163" s="245"/>
      <c r="X163" s="246">
        <f>X165+X168</f>
        <v>0</v>
      </c>
      <c r="Y163" s="258" t="s">
        <v>25</v>
      </c>
      <c r="Z163" s="17"/>
      <c r="AA163" s="18"/>
    </row>
    <row r="164" spans="1:27" ht="21" customHeight="1">
      <c r="A164" s="37"/>
      <c r="B164" s="38"/>
      <c r="C164" s="28" t="s">
        <v>163</v>
      </c>
      <c r="D164" s="256" t="s">
        <v>261</v>
      </c>
      <c r="E164" s="189">
        <f>E165</f>
        <v>0</v>
      </c>
      <c r="F164" s="189">
        <f>F165</f>
        <v>0</v>
      </c>
      <c r="G164" s="190">
        <f t="shared" si="48"/>
        <v>0</v>
      </c>
      <c r="H164" s="191">
        <f t="shared" si="49"/>
        <v>0</v>
      </c>
      <c r="I164" s="173" t="s">
        <v>263</v>
      </c>
      <c r="J164" s="174"/>
      <c r="K164" s="175"/>
      <c r="L164" s="175"/>
      <c r="M164" s="175"/>
      <c r="N164" s="175"/>
      <c r="O164" s="175"/>
      <c r="P164" s="176"/>
      <c r="Q164" s="176"/>
      <c r="R164" s="176"/>
      <c r="S164" s="176"/>
      <c r="T164" s="176"/>
      <c r="U164" s="176"/>
      <c r="V164" s="210" t="s">
        <v>250</v>
      </c>
      <c r="W164" s="211"/>
      <c r="X164" s="212">
        <f>SUM(X165:X165)</f>
        <v>0</v>
      </c>
      <c r="Y164" s="259" t="s">
        <v>245</v>
      </c>
      <c r="Z164" s="17"/>
      <c r="AA164" s="18"/>
    </row>
    <row r="165" spans="1:27" ht="21" customHeight="1">
      <c r="A165" s="37"/>
      <c r="B165" s="38"/>
      <c r="C165" s="38" t="s">
        <v>164</v>
      </c>
      <c r="D165" s="28" t="s">
        <v>165</v>
      </c>
      <c r="E165" s="29">
        <v>0</v>
      </c>
      <c r="F165" s="40">
        <f>ROUND(X165/1000,0)</f>
        <v>0</v>
      </c>
      <c r="G165" s="30">
        <f t="shared" si="48"/>
        <v>0</v>
      </c>
      <c r="H165" s="31">
        <f t="shared" si="49"/>
        <v>0</v>
      </c>
      <c r="I165" s="127" t="s">
        <v>169</v>
      </c>
      <c r="J165" s="1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564" t="s">
        <v>69</v>
      </c>
      <c r="W165" s="564"/>
      <c r="X165" s="129">
        <f>SUM(X167:X167)</f>
        <v>0</v>
      </c>
      <c r="Y165" s="130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 t="s">
        <v>230</v>
      </c>
      <c r="J166" s="197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229"/>
      <c r="W166" s="229"/>
      <c r="X166" s="58"/>
      <c r="Y166" s="47" t="s">
        <v>231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/>
      <c r="J167" s="197"/>
      <c r="K167" s="196"/>
      <c r="L167" s="196"/>
      <c r="M167" s="196"/>
      <c r="N167" s="229"/>
      <c r="O167" s="64"/>
      <c r="P167" s="59"/>
      <c r="Q167" s="64"/>
      <c r="R167" s="71"/>
      <c r="S167" s="65"/>
      <c r="T167" s="65"/>
      <c r="U167" s="229"/>
      <c r="V167" s="196"/>
      <c r="W167" s="58"/>
      <c r="X167" s="58"/>
      <c r="Y167" s="47"/>
      <c r="Z167" s="17"/>
      <c r="AA167" s="18"/>
    </row>
    <row r="168" spans="1:27" ht="21" customHeight="1">
      <c r="A168" s="37"/>
      <c r="B168" s="38"/>
      <c r="C168" s="28" t="s">
        <v>166</v>
      </c>
      <c r="D168" s="256" t="s">
        <v>261</v>
      </c>
      <c r="E168" s="189">
        <f>E169</f>
        <v>19000</v>
      </c>
      <c r="F168" s="189">
        <f>F169</f>
        <v>0</v>
      </c>
      <c r="G168" s="190">
        <f t="shared" ref="G168:G169" si="50">F168-E168</f>
        <v>-19000</v>
      </c>
      <c r="H168" s="191">
        <f t="shared" ref="H168:H169" si="51">IF(E168=0,0,G168/E168)</f>
        <v>-1</v>
      </c>
      <c r="I168" s="173" t="s">
        <v>264</v>
      </c>
      <c r="J168" s="174"/>
      <c r="K168" s="175"/>
      <c r="L168" s="175"/>
      <c r="M168" s="175"/>
      <c r="N168" s="175"/>
      <c r="O168" s="175"/>
      <c r="P168" s="176"/>
      <c r="Q168" s="176"/>
      <c r="R168" s="176"/>
      <c r="S168" s="176"/>
      <c r="T168" s="176"/>
      <c r="U168" s="176"/>
      <c r="V168" s="210" t="s">
        <v>250</v>
      </c>
      <c r="W168" s="211"/>
      <c r="X168" s="211">
        <f>SUM(X169:X169)</f>
        <v>0</v>
      </c>
      <c r="Y168" s="259" t="s">
        <v>245</v>
      </c>
      <c r="Z168" s="17"/>
      <c r="AA168" s="18"/>
    </row>
    <row r="169" spans="1:27" ht="21" customHeight="1">
      <c r="A169" s="37"/>
      <c r="B169" s="38"/>
      <c r="C169" s="38" t="s">
        <v>164</v>
      </c>
      <c r="D169" s="38" t="s">
        <v>165</v>
      </c>
      <c r="E169" s="40">
        <v>19000</v>
      </c>
      <c r="F169" s="40">
        <f>ROUND(X169/1000,0)</f>
        <v>0</v>
      </c>
      <c r="G169" s="30">
        <f t="shared" si="50"/>
        <v>-19000</v>
      </c>
      <c r="H169" s="31">
        <f t="shared" si="51"/>
        <v>-1</v>
      </c>
      <c r="I169" s="127" t="s">
        <v>170</v>
      </c>
      <c r="J169" s="131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564" t="s">
        <v>69</v>
      </c>
      <c r="W169" s="564"/>
      <c r="X169" s="129">
        <v>0</v>
      </c>
      <c r="Y169" s="130" t="s">
        <v>56</v>
      </c>
    </row>
    <row r="170" spans="1:27" ht="21" customHeight="1">
      <c r="A170" s="37"/>
      <c r="B170" s="38"/>
      <c r="C170" s="38" t="s">
        <v>228</v>
      </c>
      <c r="D170" s="38" t="s">
        <v>229</v>
      </c>
      <c r="E170" s="40"/>
      <c r="F170" s="40"/>
      <c r="G170" s="41"/>
      <c r="H170" s="25"/>
      <c r="I170" s="57"/>
      <c r="J170" s="292"/>
      <c r="K170" s="291"/>
      <c r="L170" s="291"/>
      <c r="M170" s="291"/>
      <c r="N170" s="291"/>
      <c r="O170" s="291"/>
      <c r="P170" s="291"/>
      <c r="Q170" s="44"/>
      <c r="R170" s="44"/>
      <c r="S170" s="44"/>
      <c r="T170" s="291"/>
      <c r="U170" s="291"/>
      <c r="V170" s="291"/>
      <c r="W170" s="58"/>
      <c r="X170" s="58"/>
      <c r="Y170" s="47"/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2"/>
      <c r="I171" s="61"/>
      <c r="J171" s="199"/>
      <c r="K171" s="198"/>
      <c r="L171" s="198"/>
      <c r="M171" s="198"/>
      <c r="N171" s="169"/>
      <c r="O171" s="182"/>
      <c r="P171" s="183"/>
      <c r="Q171" s="182"/>
      <c r="R171" s="184"/>
      <c r="S171" s="185"/>
      <c r="T171" s="185"/>
      <c r="U171" s="169"/>
      <c r="V171" s="198"/>
      <c r="W171" s="62"/>
      <c r="X171" s="62"/>
      <c r="Y171" s="63"/>
    </row>
    <row r="172" spans="1:27" ht="21" customHeight="1">
      <c r="A172" s="27" t="s">
        <v>14</v>
      </c>
      <c r="B172" s="28" t="s">
        <v>14</v>
      </c>
      <c r="C172" s="565" t="s">
        <v>255</v>
      </c>
      <c r="D172" s="566"/>
      <c r="E172" s="239">
        <f>SUM(E173,E189,E194)</f>
        <v>2988</v>
      </c>
      <c r="F172" s="239">
        <f>SUM(F173,F189,F194)</f>
        <v>4951</v>
      </c>
      <c r="G172" s="240">
        <f t="shared" ref="G172:G174" si="52">F172-E172</f>
        <v>1963</v>
      </c>
      <c r="H172" s="241">
        <f t="shared" ref="H172:H174" si="53">IF(E172=0,0,G172/E172)</f>
        <v>0.65696117804551535</v>
      </c>
      <c r="I172" s="242" t="s">
        <v>259</v>
      </c>
      <c r="J172" s="243"/>
      <c r="K172" s="244"/>
      <c r="L172" s="244"/>
      <c r="M172" s="243"/>
      <c r="N172" s="243"/>
      <c r="O172" s="243"/>
      <c r="P172" s="243"/>
      <c r="Q172" s="243" t="s">
        <v>64</v>
      </c>
      <c r="R172" s="245"/>
      <c r="S172" s="245"/>
      <c r="T172" s="245"/>
      <c r="U172" s="245"/>
      <c r="V172" s="245"/>
      <c r="W172" s="245"/>
      <c r="X172" s="246">
        <f>SUM(X173,X189,X194)</f>
        <v>4951000</v>
      </c>
      <c r="Y172" s="258" t="s">
        <v>25</v>
      </c>
    </row>
    <row r="173" spans="1:27" ht="21" customHeight="1">
      <c r="A173" s="37"/>
      <c r="B173" s="38"/>
      <c r="C173" s="28" t="s">
        <v>171</v>
      </c>
      <c r="D173" s="256" t="s">
        <v>261</v>
      </c>
      <c r="E173" s="189">
        <f>SUM(E174,E177,E181,E185)</f>
        <v>2861</v>
      </c>
      <c r="F173" s="189">
        <f>SUM(F174,F177,F181,F185)</f>
        <v>4701</v>
      </c>
      <c r="G173" s="190">
        <f t="shared" si="52"/>
        <v>1840</v>
      </c>
      <c r="H173" s="191">
        <f t="shared" si="53"/>
        <v>0.64313177210765471</v>
      </c>
      <c r="I173" s="173" t="s">
        <v>265</v>
      </c>
      <c r="J173" s="174"/>
      <c r="K173" s="175"/>
      <c r="L173" s="175"/>
      <c r="M173" s="175"/>
      <c r="N173" s="175"/>
      <c r="O173" s="175"/>
      <c r="P173" s="176"/>
      <c r="Q173" s="176"/>
      <c r="R173" s="176"/>
      <c r="S173" s="176"/>
      <c r="T173" s="176"/>
      <c r="U173" s="176"/>
      <c r="V173" s="210" t="s">
        <v>250</v>
      </c>
      <c r="W173" s="211"/>
      <c r="X173" s="212">
        <f>SUM(X174,X177,X181,X185)</f>
        <v>4701000</v>
      </c>
      <c r="Y173" s="259" t="s">
        <v>245</v>
      </c>
    </row>
    <row r="174" spans="1:27" ht="21" customHeight="1">
      <c r="A174" s="37"/>
      <c r="B174" s="38"/>
      <c r="C174" s="38" t="s">
        <v>172</v>
      </c>
      <c r="D174" s="28" t="s">
        <v>234</v>
      </c>
      <c r="E174" s="29">
        <v>2118</v>
      </c>
      <c r="F174" s="40">
        <f>ROUND(X174/1000,0)</f>
        <v>4000</v>
      </c>
      <c r="G174" s="30">
        <f t="shared" si="52"/>
        <v>1882</v>
      </c>
      <c r="H174" s="31">
        <f t="shared" si="53"/>
        <v>0.88857412653446644</v>
      </c>
      <c r="I174" s="127" t="s">
        <v>233</v>
      </c>
      <c r="J174" s="1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564" t="s">
        <v>69</v>
      </c>
      <c r="W174" s="564"/>
      <c r="X174" s="129">
        <f>ROUND(SUM(W175:X176),-3)</f>
        <v>4000000</v>
      </c>
      <c r="Y174" s="130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3" t="s">
        <v>286</v>
      </c>
      <c r="J175" s="197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229"/>
      <c r="W175" s="229"/>
      <c r="X175" s="435">
        <v>4000000</v>
      </c>
      <c r="Y175" s="47" t="s">
        <v>231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2"/>
      <c r="I176" s="284" t="s">
        <v>287</v>
      </c>
      <c r="J176" s="199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69"/>
      <c r="W176" s="169"/>
      <c r="X176" s="62">
        <v>0</v>
      </c>
      <c r="Y176" s="63" t="s">
        <v>231</v>
      </c>
    </row>
    <row r="177" spans="1:25" ht="21" customHeight="1">
      <c r="A177" s="37"/>
      <c r="B177" s="38"/>
      <c r="C177" s="38"/>
      <c r="D177" s="28" t="s">
        <v>173</v>
      </c>
      <c r="E177" s="29">
        <v>0</v>
      </c>
      <c r="F177" s="40">
        <f>ROUND(X177/1000,0)</f>
        <v>0</v>
      </c>
      <c r="G177" s="30">
        <f t="shared" ref="G177" si="54">F177-E177</f>
        <v>0</v>
      </c>
      <c r="H177" s="31">
        <f t="shared" ref="H177" si="55">IF(E177=0,0,G177/E177)</f>
        <v>0</v>
      </c>
      <c r="I177" s="127" t="s">
        <v>235</v>
      </c>
      <c r="J177" s="13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564" t="s">
        <v>69</v>
      </c>
      <c r="W177" s="564"/>
      <c r="X177" s="129">
        <f>ROUNDUP(SUM(W178:X179),-3)</f>
        <v>0</v>
      </c>
      <c r="Y177" s="130" t="s">
        <v>56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3" t="s">
        <v>288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231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3" t="s">
        <v>289</v>
      </c>
      <c r="J179" s="197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229"/>
      <c r="W179" s="229"/>
      <c r="X179" s="58">
        <v>0</v>
      </c>
      <c r="Y179" s="47" t="s">
        <v>231</v>
      </c>
    </row>
    <row r="180" spans="1:25" ht="21" customHeight="1">
      <c r="A180" s="37"/>
      <c r="B180" s="38"/>
      <c r="C180" s="38"/>
      <c r="D180" s="49"/>
      <c r="E180" s="51"/>
      <c r="F180" s="51"/>
      <c r="G180" s="52"/>
      <c r="H180" s="172"/>
      <c r="I180" s="61"/>
      <c r="J180" s="199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69"/>
      <c r="W180" s="169"/>
      <c r="X180" s="62"/>
      <c r="Y180" s="63"/>
    </row>
    <row r="181" spans="1:25" ht="21" customHeight="1">
      <c r="A181" s="37"/>
      <c r="B181" s="38"/>
      <c r="C181" s="38"/>
      <c r="D181" s="28" t="s">
        <v>237</v>
      </c>
      <c r="E181" s="29">
        <v>2</v>
      </c>
      <c r="F181" s="29">
        <f>ROUND(X181/1000,0)</f>
        <v>1</v>
      </c>
      <c r="G181" s="30">
        <f t="shared" ref="G181" si="56">F181-E181</f>
        <v>-1</v>
      </c>
      <c r="H181" s="31">
        <f t="shared" ref="H181" si="57">IF(E181=0,0,G181/E181)</f>
        <v>-0.5</v>
      </c>
      <c r="I181" s="127" t="s">
        <v>238</v>
      </c>
      <c r="J181" s="13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64" t="s">
        <v>69</v>
      </c>
      <c r="W181" s="564"/>
      <c r="X181" s="129">
        <f>ROUND(SUM(W182:X183),-3)</f>
        <v>1000</v>
      </c>
      <c r="Y181" s="130" t="s">
        <v>56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3" t="s">
        <v>290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435">
        <v>1000</v>
      </c>
      <c r="Y182" s="47" t="s">
        <v>231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3" t="s">
        <v>291</v>
      </c>
      <c r="J183" s="197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229"/>
      <c r="W183" s="229"/>
      <c r="X183" s="58">
        <v>0</v>
      </c>
      <c r="Y183" s="47" t="s">
        <v>231</v>
      </c>
    </row>
    <row r="184" spans="1:25" ht="21" customHeight="1">
      <c r="A184" s="37"/>
      <c r="B184" s="38"/>
      <c r="C184" s="38"/>
      <c r="D184" s="49"/>
      <c r="E184" s="51"/>
      <c r="F184" s="51"/>
      <c r="G184" s="52"/>
      <c r="H184" s="172"/>
      <c r="I184" s="61"/>
      <c r="J184" s="199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69"/>
      <c r="W184" s="169"/>
      <c r="X184" s="62"/>
      <c r="Y184" s="63"/>
    </row>
    <row r="185" spans="1:25" ht="21" customHeight="1">
      <c r="A185" s="37"/>
      <c r="B185" s="38"/>
      <c r="C185" s="38"/>
      <c r="D185" s="38" t="s">
        <v>236</v>
      </c>
      <c r="E185" s="40">
        <v>741</v>
      </c>
      <c r="F185" s="29">
        <f>ROUND(X185/1000,0)</f>
        <v>700</v>
      </c>
      <c r="G185" s="30">
        <f t="shared" ref="G185" si="58">F185-E185</f>
        <v>-41</v>
      </c>
      <c r="H185" s="31">
        <f t="shared" ref="H185" si="59">IF(E185=0,0,G185/E185)</f>
        <v>-5.5330634278002701E-2</v>
      </c>
      <c r="I185" s="127" t="s">
        <v>240</v>
      </c>
      <c r="J185" s="13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64" t="s">
        <v>69</v>
      </c>
      <c r="W185" s="564"/>
      <c r="X185" s="129">
        <f>ROUNDUP(SUM(W186:X187),-3)</f>
        <v>700000</v>
      </c>
      <c r="Y185" s="130" t="s">
        <v>56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3" t="s">
        <v>292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436">
        <v>700000</v>
      </c>
      <c r="Y186" s="47" t="s">
        <v>231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3" t="s">
        <v>293</v>
      </c>
      <c r="J187" s="197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229"/>
      <c r="W187" s="229"/>
      <c r="X187" s="58">
        <v>0</v>
      </c>
      <c r="Y187" s="47" t="s">
        <v>231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57"/>
      <c r="J188" s="197"/>
      <c r="K188" s="196"/>
      <c r="L188" s="196"/>
      <c r="M188" s="196"/>
      <c r="N188" s="229"/>
      <c r="O188" s="64"/>
      <c r="P188" s="59"/>
      <c r="Q188" s="64"/>
      <c r="R188" s="71"/>
      <c r="S188" s="65"/>
      <c r="T188" s="65"/>
      <c r="U188" s="229"/>
      <c r="V188" s="196"/>
      <c r="W188" s="58"/>
      <c r="X188" s="58"/>
      <c r="Y188" s="47"/>
    </row>
    <row r="189" spans="1:25" ht="21" customHeight="1">
      <c r="A189" s="37"/>
      <c r="B189" s="38"/>
      <c r="C189" s="28" t="s">
        <v>171</v>
      </c>
      <c r="D189" s="256" t="s">
        <v>109</v>
      </c>
      <c r="E189" s="189">
        <f>E190</f>
        <v>127</v>
      </c>
      <c r="F189" s="189">
        <f>F190</f>
        <v>250</v>
      </c>
      <c r="G189" s="190">
        <f t="shared" ref="G189:G190" si="60">F189-E189</f>
        <v>123</v>
      </c>
      <c r="H189" s="191">
        <f t="shared" ref="H189:H190" si="61">IF(E189=0,0,G189/E189)</f>
        <v>0.96850393700787396</v>
      </c>
      <c r="I189" s="173" t="s">
        <v>175</v>
      </c>
      <c r="J189" s="174"/>
      <c r="K189" s="175"/>
      <c r="L189" s="175"/>
      <c r="M189" s="175"/>
      <c r="N189" s="175"/>
      <c r="O189" s="175"/>
      <c r="P189" s="176"/>
      <c r="Q189" s="176"/>
      <c r="R189" s="176"/>
      <c r="S189" s="176"/>
      <c r="T189" s="176"/>
      <c r="U189" s="176"/>
      <c r="V189" s="210" t="s">
        <v>69</v>
      </c>
      <c r="W189" s="211"/>
      <c r="X189" s="211">
        <f>X190</f>
        <v>250000</v>
      </c>
      <c r="Y189" s="259" t="s">
        <v>56</v>
      </c>
    </row>
    <row r="190" spans="1:25" ht="21" customHeight="1">
      <c r="A190" s="37"/>
      <c r="B190" s="38"/>
      <c r="C190" s="38" t="s">
        <v>172</v>
      </c>
      <c r="D190" s="38" t="s">
        <v>174</v>
      </c>
      <c r="E190" s="40">
        <v>127</v>
      </c>
      <c r="F190" s="40">
        <f>ROUND(X190/1000,0)</f>
        <v>250</v>
      </c>
      <c r="G190" s="30">
        <f t="shared" si="60"/>
        <v>123</v>
      </c>
      <c r="H190" s="31">
        <f t="shared" si="61"/>
        <v>0.96850393700787396</v>
      </c>
      <c r="I190" s="285" t="s">
        <v>294</v>
      </c>
      <c r="J190" s="13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564"/>
      <c r="W190" s="564"/>
      <c r="X190" s="129">
        <f>ROUNDUP(SUM(W191:X192),-3)</f>
        <v>250000</v>
      </c>
      <c r="Y190" s="130" t="s">
        <v>56</v>
      </c>
    </row>
    <row r="191" spans="1:25" ht="21" customHeight="1">
      <c r="A191" s="37"/>
      <c r="B191" s="38"/>
      <c r="C191" s="38" t="s">
        <v>167</v>
      </c>
      <c r="D191" s="38" t="s">
        <v>168</v>
      </c>
      <c r="E191" s="40"/>
      <c r="F191" s="40"/>
      <c r="G191" s="41"/>
      <c r="H191" s="60"/>
      <c r="I191" s="283" t="s">
        <v>317</v>
      </c>
      <c r="J191" s="197"/>
      <c r="K191" s="196"/>
      <c r="L191" s="196"/>
      <c r="M191" s="196"/>
      <c r="N191" s="196"/>
      <c r="O191" s="196"/>
      <c r="P191" s="196"/>
      <c r="Q191" s="44"/>
      <c r="R191" s="44"/>
      <c r="S191" s="44"/>
      <c r="T191" s="196"/>
      <c r="U191" s="196"/>
      <c r="V191" s="196"/>
      <c r="W191" s="58"/>
      <c r="X191" s="435">
        <v>250000</v>
      </c>
      <c r="Y191" s="47" t="s">
        <v>104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283" t="s">
        <v>318</v>
      </c>
      <c r="J192" s="292"/>
      <c r="K192" s="291"/>
      <c r="L192" s="291"/>
      <c r="M192" s="291"/>
      <c r="N192" s="291"/>
      <c r="O192" s="291"/>
      <c r="P192" s="291"/>
      <c r="Q192" s="44"/>
      <c r="R192" s="44"/>
      <c r="S192" s="44"/>
      <c r="T192" s="291"/>
      <c r="U192" s="291"/>
      <c r="V192" s="291"/>
      <c r="W192" s="58"/>
      <c r="X192" s="58">
        <v>0</v>
      </c>
      <c r="Y192" s="47" t="s">
        <v>104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60"/>
      <c r="I193" s="57"/>
      <c r="J193" s="197"/>
      <c r="K193" s="196"/>
      <c r="L193" s="196"/>
      <c r="M193" s="196"/>
      <c r="N193" s="196"/>
      <c r="O193" s="196"/>
      <c r="P193" s="196"/>
      <c r="Q193" s="44"/>
      <c r="R193" s="44"/>
      <c r="S193" s="44"/>
      <c r="T193" s="196"/>
      <c r="U193" s="196"/>
      <c r="V193" s="196"/>
      <c r="W193" s="58"/>
      <c r="X193" s="58"/>
      <c r="Y193" s="47"/>
    </row>
    <row r="194" spans="1:47" ht="21" customHeight="1">
      <c r="A194" s="37"/>
      <c r="B194" s="38"/>
      <c r="C194" s="28" t="s">
        <v>176</v>
      </c>
      <c r="D194" s="256" t="s">
        <v>109</v>
      </c>
      <c r="E194" s="189">
        <f>E195</f>
        <v>0</v>
      </c>
      <c r="F194" s="189">
        <f>F195</f>
        <v>0</v>
      </c>
      <c r="G194" s="190">
        <f t="shared" ref="G194:G195" si="62">F194-E194</f>
        <v>0</v>
      </c>
      <c r="H194" s="191">
        <f t="shared" ref="H194:H195" si="63">IF(E194=0,0,G194/E194)</f>
        <v>0</v>
      </c>
      <c r="I194" s="173" t="s">
        <v>179</v>
      </c>
      <c r="J194" s="174"/>
      <c r="K194" s="175"/>
      <c r="L194" s="175"/>
      <c r="M194" s="175"/>
      <c r="N194" s="175"/>
      <c r="O194" s="175"/>
      <c r="P194" s="176"/>
      <c r="Q194" s="176"/>
      <c r="R194" s="176"/>
      <c r="S194" s="176"/>
      <c r="T194" s="176"/>
      <c r="U194" s="176"/>
      <c r="V194" s="210" t="s">
        <v>69</v>
      </c>
      <c r="W194" s="211"/>
      <c r="X194" s="211">
        <f>ROUND(SUM(W195:X196),-3)</f>
        <v>0</v>
      </c>
      <c r="Y194" s="259" t="s">
        <v>56</v>
      </c>
    </row>
    <row r="195" spans="1:47" ht="21" customHeight="1">
      <c r="A195" s="37"/>
      <c r="B195" s="38"/>
      <c r="C195" s="38" t="s">
        <v>177</v>
      </c>
      <c r="D195" s="38" t="s">
        <v>178</v>
      </c>
      <c r="E195" s="40">
        <v>0</v>
      </c>
      <c r="F195" s="40">
        <f>ROUND(X195/1000,0)</f>
        <v>0</v>
      </c>
      <c r="G195" s="30">
        <f t="shared" si="62"/>
        <v>0</v>
      </c>
      <c r="H195" s="31">
        <f t="shared" si="63"/>
        <v>0</v>
      </c>
      <c r="I195" s="57"/>
      <c r="J195" s="197"/>
      <c r="K195" s="196"/>
      <c r="L195" s="196"/>
      <c r="M195" s="196"/>
      <c r="N195" s="229"/>
      <c r="O195" s="64"/>
      <c r="P195" s="59"/>
      <c r="Q195" s="64"/>
      <c r="R195" s="71"/>
      <c r="S195" s="65"/>
      <c r="T195" s="65"/>
      <c r="U195" s="229"/>
      <c r="V195" s="196"/>
      <c r="W195" s="58"/>
      <c r="X195" s="58">
        <f>M195*P195</f>
        <v>0</v>
      </c>
      <c r="Y195" s="47" t="s">
        <v>56</v>
      </c>
    </row>
    <row r="196" spans="1:47" ht="21" customHeight="1">
      <c r="A196" s="48"/>
      <c r="B196" s="49"/>
      <c r="C196" s="49"/>
      <c r="D196" s="49"/>
      <c r="E196" s="51"/>
      <c r="F196" s="51"/>
      <c r="G196" s="52"/>
      <c r="H196" s="75"/>
      <c r="I196" s="61"/>
      <c r="J196" s="199"/>
      <c r="K196" s="198"/>
      <c r="L196" s="198"/>
      <c r="M196" s="198"/>
      <c r="N196" s="198"/>
      <c r="O196" s="198"/>
      <c r="P196" s="198"/>
      <c r="Q196" s="117"/>
      <c r="R196" s="117"/>
      <c r="S196" s="117"/>
      <c r="T196" s="198"/>
      <c r="U196" s="198"/>
      <c r="V196" s="198"/>
      <c r="W196" s="62"/>
      <c r="X196" s="62">
        <v>0</v>
      </c>
      <c r="Y196" s="63" t="s">
        <v>56</v>
      </c>
    </row>
    <row r="197" spans="1:47" s="4" customFormat="1" ht="21" customHeight="1">
      <c r="A197" s="37" t="s">
        <v>75</v>
      </c>
      <c r="B197" s="78" t="s">
        <v>16</v>
      </c>
      <c r="C197" s="565" t="s">
        <v>255</v>
      </c>
      <c r="D197" s="566"/>
      <c r="E197" s="239">
        <f>SUM(E198,E201,E209)</f>
        <v>1921</v>
      </c>
      <c r="F197" s="239">
        <f>SUM(F198,F201,F209)</f>
        <v>1921</v>
      </c>
      <c r="G197" s="240">
        <f t="shared" ref="G197:G199" si="64">F197-E197</f>
        <v>0</v>
      </c>
      <c r="H197" s="241">
        <f t="shared" ref="H197:H199" si="65">IF(E197=0,0,G197/E197)</f>
        <v>0</v>
      </c>
      <c r="I197" s="242" t="s">
        <v>260</v>
      </c>
      <c r="J197" s="243"/>
      <c r="K197" s="244"/>
      <c r="L197" s="244"/>
      <c r="M197" s="243"/>
      <c r="N197" s="243"/>
      <c r="O197" s="243"/>
      <c r="P197" s="243"/>
      <c r="Q197" s="243" t="s">
        <v>64</v>
      </c>
      <c r="R197" s="245"/>
      <c r="S197" s="245"/>
      <c r="T197" s="245"/>
      <c r="U197" s="245"/>
      <c r="V197" s="245"/>
      <c r="W197" s="245"/>
      <c r="X197" s="255">
        <f>SUM(X198,X201,X209)</f>
        <v>1921000</v>
      </c>
      <c r="Y197" s="263" t="s">
        <v>245</v>
      </c>
      <c r="Z197" s="247"/>
      <c r="AA197" s="248"/>
      <c r="AB197" s="248"/>
      <c r="AC197" s="249"/>
      <c r="AD197" s="250"/>
      <c r="AE197" s="251"/>
      <c r="AF197" s="252"/>
      <c r="AG197" s="253"/>
      <c r="AH197" s="253"/>
      <c r="AI197" s="252"/>
      <c r="AJ197" s="252"/>
      <c r="AK197" s="252"/>
      <c r="AL197" s="252"/>
      <c r="AM197" s="252"/>
      <c r="AN197" s="251"/>
      <c r="AO197" s="251"/>
      <c r="AP197" s="251"/>
      <c r="AQ197" s="251"/>
      <c r="AR197" s="251"/>
      <c r="AS197" s="251"/>
      <c r="AT197" s="254"/>
      <c r="AU197" s="252"/>
    </row>
    <row r="198" spans="1:47" ht="21" customHeight="1">
      <c r="A198" s="37"/>
      <c r="B198" s="84"/>
      <c r="C198" s="28" t="s">
        <v>180</v>
      </c>
      <c r="D198" s="256" t="s">
        <v>109</v>
      </c>
      <c r="E198" s="189">
        <f>E199</f>
        <v>0</v>
      </c>
      <c r="F198" s="189">
        <f>F199</f>
        <v>0</v>
      </c>
      <c r="G198" s="190">
        <f t="shared" si="64"/>
        <v>0</v>
      </c>
      <c r="H198" s="191">
        <f t="shared" si="65"/>
        <v>0</v>
      </c>
      <c r="I198" s="173" t="s">
        <v>189</v>
      </c>
      <c r="J198" s="174"/>
      <c r="K198" s="175"/>
      <c r="L198" s="175"/>
      <c r="M198" s="175"/>
      <c r="N198" s="175"/>
      <c r="O198" s="175"/>
      <c r="P198" s="176"/>
      <c r="Q198" s="176"/>
      <c r="R198" s="176"/>
      <c r="S198" s="176"/>
      <c r="T198" s="176"/>
      <c r="U198" s="176"/>
      <c r="V198" s="210" t="s">
        <v>69</v>
      </c>
      <c r="W198" s="211"/>
      <c r="X198" s="212">
        <f>SUM(X199:X199)</f>
        <v>0</v>
      </c>
      <c r="Y198" s="259" t="s">
        <v>56</v>
      </c>
    </row>
    <row r="199" spans="1:47" s="11" customFormat="1" ht="19.5" customHeight="1">
      <c r="A199" s="50"/>
      <c r="B199" s="86"/>
      <c r="C199" s="38" t="s">
        <v>181</v>
      </c>
      <c r="D199" s="28" t="s">
        <v>182</v>
      </c>
      <c r="E199" s="29">
        <v>0</v>
      </c>
      <c r="F199" s="40">
        <f>ROUND(X199/1000,0)</f>
        <v>0</v>
      </c>
      <c r="G199" s="30">
        <f t="shared" si="64"/>
        <v>0</v>
      </c>
      <c r="H199" s="31">
        <f t="shared" si="65"/>
        <v>0</v>
      </c>
      <c r="I199" s="127" t="s">
        <v>189</v>
      </c>
      <c r="J199" s="13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64" t="s">
        <v>69</v>
      </c>
      <c r="W199" s="564"/>
      <c r="X199" s="129">
        <f>SUM(X200:X200)</f>
        <v>0</v>
      </c>
      <c r="Y199" s="130" t="s">
        <v>56</v>
      </c>
      <c r="Z199" s="6"/>
    </row>
    <row r="200" spans="1:47" s="11" customFormat="1" ht="19.5" customHeight="1">
      <c r="A200" s="50"/>
      <c r="B200" s="80"/>
      <c r="C200" s="38"/>
      <c r="D200" s="38"/>
      <c r="E200" s="40"/>
      <c r="F200" s="40"/>
      <c r="G200" s="41"/>
      <c r="H200" s="25"/>
      <c r="I200" s="57"/>
      <c r="J200" s="197"/>
      <c r="K200" s="196"/>
      <c r="L200" s="196"/>
      <c r="M200" s="196"/>
      <c r="N200" s="229"/>
      <c r="O200" s="64"/>
      <c r="P200" s="59"/>
      <c r="Q200" s="64"/>
      <c r="R200" s="71"/>
      <c r="S200" s="65"/>
      <c r="T200" s="65"/>
      <c r="U200" s="229"/>
      <c r="V200" s="196"/>
      <c r="W200" s="58"/>
      <c r="X200" s="58">
        <f>M200*P200</f>
        <v>0</v>
      </c>
      <c r="Y200" s="47" t="s">
        <v>56</v>
      </c>
      <c r="Z200" s="6"/>
    </row>
    <row r="201" spans="1:47" s="11" customFormat="1" ht="19.5" customHeight="1">
      <c r="A201" s="50"/>
      <c r="B201" s="80"/>
      <c r="C201" s="28" t="s">
        <v>183</v>
      </c>
      <c r="D201" s="256" t="s">
        <v>109</v>
      </c>
      <c r="E201" s="189">
        <f>E202</f>
        <v>29</v>
      </c>
      <c r="F201" s="189">
        <f>F202</f>
        <v>31</v>
      </c>
      <c r="G201" s="190">
        <f t="shared" ref="G201:G202" si="66">F201-E201</f>
        <v>2</v>
      </c>
      <c r="H201" s="191">
        <f t="shared" ref="H201:H202" si="67">IF(E201=0,0,G201/E201)</f>
        <v>6.8965517241379309E-2</v>
      </c>
      <c r="I201" s="173" t="s">
        <v>190</v>
      </c>
      <c r="J201" s="174"/>
      <c r="K201" s="175"/>
      <c r="L201" s="175"/>
      <c r="M201" s="175"/>
      <c r="N201" s="175"/>
      <c r="O201" s="175"/>
      <c r="P201" s="176"/>
      <c r="Q201" s="176"/>
      <c r="R201" s="176"/>
      <c r="S201" s="176"/>
      <c r="T201" s="176"/>
      <c r="U201" s="176"/>
      <c r="V201" s="210" t="s">
        <v>69</v>
      </c>
      <c r="W201" s="211"/>
      <c r="X201" s="211">
        <f>SUM(X202:X202)</f>
        <v>31000</v>
      </c>
      <c r="Y201" s="259" t="s">
        <v>56</v>
      </c>
      <c r="Z201" s="6"/>
    </row>
    <row r="202" spans="1:47" s="11" customFormat="1" ht="19.5" customHeight="1">
      <c r="A202" s="50"/>
      <c r="B202" s="80"/>
      <c r="C202" s="38" t="s">
        <v>184</v>
      </c>
      <c r="D202" s="38" t="s">
        <v>185</v>
      </c>
      <c r="E202" s="40">
        <v>29</v>
      </c>
      <c r="F202" s="40">
        <f>ROUND(X202/1000,0)</f>
        <v>31</v>
      </c>
      <c r="G202" s="30">
        <f t="shared" si="66"/>
        <v>2</v>
      </c>
      <c r="H202" s="31">
        <f t="shared" si="67"/>
        <v>6.8965517241379309E-2</v>
      </c>
      <c r="I202" s="127" t="s">
        <v>242</v>
      </c>
      <c r="J202" s="13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564"/>
      <c r="W202" s="564"/>
      <c r="X202" s="129">
        <f>ROUND(SUM(W203:X207),-3)</f>
        <v>31000</v>
      </c>
      <c r="Y202" s="130" t="s">
        <v>56</v>
      </c>
      <c r="Z202" s="6"/>
    </row>
    <row r="203" spans="1:47" s="11" customFormat="1" ht="19.5" customHeight="1">
      <c r="A203" s="50"/>
      <c r="B203" s="80"/>
      <c r="C203" s="38" t="s">
        <v>130</v>
      </c>
      <c r="D203" s="38" t="s">
        <v>186</v>
      </c>
      <c r="E203" s="40"/>
      <c r="F203" s="40"/>
      <c r="G203" s="41"/>
      <c r="H203" s="60"/>
      <c r="I203" s="57" t="s">
        <v>321</v>
      </c>
      <c r="J203" s="197"/>
      <c r="K203" s="196"/>
      <c r="L203" s="196"/>
      <c r="M203" s="196"/>
      <c r="N203" s="196"/>
      <c r="O203" s="196"/>
      <c r="P203" s="196"/>
      <c r="Q203" s="44"/>
      <c r="R203" s="44"/>
      <c r="S203" s="44"/>
      <c r="T203" s="196"/>
      <c r="U203" s="196"/>
      <c r="V203" s="196"/>
      <c r="W203" s="58"/>
      <c r="X203" s="58">
        <v>20000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508</v>
      </c>
      <c r="J204" s="292"/>
      <c r="K204" s="291"/>
      <c r="L204" s="291"/>
      <c r="M204" s="291"/>
      <c r="N204" s="291"/>
      <c r="O204" s="291"/>
      <c r="P204" s="291"/>
      <c r="Q204" s="44"/>
      <c r="R204" s="44"/>
      <c r="S204" s="44"/>
      <c r="T204" s="291"/>
      <c r="U204" s="291"/>
      <c r="V204" s="291"/>
      <c r="W204" s="58"/>
      <c r="X204" s="58">
        <v>2000</v>
      </c>
      <c r="Y204" s="47" t="s">
        <v>502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232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5000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239</v>
      </c>
      <c r="J206" s="197"/>
      <c r="K206" s="196"/>
      <c r="L206" s="196"/>
      <c r="M206" s="196"/>
      <c r="N206" s="196"/>
      <c r="O206" s="196"/>
      <c r="P206" s="196"/>
      <c r="Q206" s="44"/>
      <c r="R206" s="44"/>
      <c r="S206" s="44"/>
      <c r="T206" s="196"/>
      <c r="U206" s="196"/>
      <c r="V206" s="196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241</v>
      </c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>
        <v>2000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/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 t="s">
        <v>323</v>
      </c>
      <c r="Y208" s="47"/>
      <c r="Z208" s="6"/>
    </row>
    <row r="209" spans="1:26" s="11" customFormat="1" ht="19.5" customHeight="1">
      <c r="A209" s="50"/>
      <c r="B209" s="80"/>
      <c r="C209" s="28" t="s">
        <v>145</v>
      </c>
      <c r="D209" s="256" t="s">
        <v>261</v>
      </c>
      <c r="E209" s="189">
        <f>E210</f>
        <v>1892</v>
      </c>
      <c r="F209" s="189">
        <f>F210</f>
        <v>1890</v>
      </c>
      <c r="G209" s="190">
        <f t="shared" ref="G209:G210" si="68">F209-E209</f>
        <v>-2</v>
      </c>
      <c r="H209" s="191">
        <f t="shared" ref="H209:H210" si="69">IF(E209=0,0,G209/E209)</f>
        <v>-1.0570824524312897E-3</v>
      </c>
      <c r="I209" s="173" t="s">
        <v>244</v>
      </c>
      <c r="J209" s="174"/>
      <c r="K209" s="175"/>
      <c r="L209" s="175"/>
      <c r="M209" s="175"/>
      <c r="N209" s="175"/>
      <c r="O209" s="175"/>
      <c r="P209" s="176"/>
      <c r="Q209" s="176"/>
      <c r="R209" s="176"/>
      <c r="S209" s="176"/>
      <c r="T209" s="176"/>
      <c r="U209" s="176"/>
      <c r="V209" s="210" t="s">
        <v>250</v>
      </c>
      <c r="W209" s="211"/>
      <c r="X209" s="211">
        <f>SUM(X210:X210)</f>
        <v>1890000</v>
      </c>
      <c r="Y209" s="259" t="s">
        <v>245</v>
      </c>
      <c r="Z209" s="6"/>
    </row>
    <row r="210" spans="1:26" s="11" customFormat="1" ht="19.5" customHeight="1">
      <c r="A210" s="50"/>
      <c r="B210" s="80"/>
      <c r="C210" s="38" t="s">
        <v>187</v>
      </c>
      <c r="D210" s="38" t="s">
        <v>188</v>
      </c>
      <c r="E210" s="40">
        <v>1892</v>
      </c>
      <c r="F210" s="40">
        <f>ROUND(X210/1000,0)</f>
        <v>1890</v>
      </c>
      <c r="G210" s="30">
        <f t="shared" si="68"/>
        <v>-2</v>
      </c>
      <c r="H210" s="31">
        <f t="shared" si="69"/>
        <v>-1.0570824524312897E-3</v>
      </c>
      <c r="I210" s="127" t="s">
        <v>244</v>
      </c>
      <c r="J210" s="13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564"/>
      <c r="W210" s="564"/>
      <c r="X210" s="129">
        <f>ROUND(SUM(W211:X214),-3)</f>
        <v>1890000</v>
      </c>
      <c r="Y210" s="130" t="s">
        <v>56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35" t="s">
        <v>531</v>
      </c>
      <c r="J211" s="538"/>
      <c r="K211" s="536"/>
      <c r="L211" s="536"/>
      <c r="M211" s="536"/>
      <c r="N211" s="536"/>
      <c r="O211" s="536"/>
      <c r="P211" s="536"/>
      <c r="Q211" s="536"/>
      <c r="R211" s="536"/>
      <c r="S211" s="536"/>
      <c r="T211" s="536"/>
      <c r="U211" s="536"/>
      <c r="V211" s="536"/>
      <c r="W211" s="539"/>
      <c r="X211" s="539">
        <v>8000</v>
      </c>
      <c r="Y211" s="537" t="s">
        <v>25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535" t="s">
        <v>532</v>
      </c>
      <c r="J212" s="538"/>
      <c r="K212" s="536"/>
      <c r="L212" s="536"/>
      <c r="M212" s="536"/>
      <c r="N212" s="536"/>
      <c r="O212" s="536"/>
      <c r="P212" s="536"/>
      <c r="Q212" s="536"/>
      <c r="R212" s="536"/>
      <c r="S212" s="536"/>
      <c r="T212" s="536"/>
      <c r="U212" s="536"/>
      <c r="V212" s="536"/>
      <c r="W212" s="539"/>
      <c r="X212" s="539">
        <v>2000</v>
      </c>
      <c r="Y212" s="537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57" t="s">
        <v>322</v>
      </c>
      <c r="J213" s="196"/>
      <c r="K213" s="196"/>
      <c r="L213" s="196"/>
      <c r="M213" s="196">
        <v>70000</v>
      </c>
      <c r="N213" s="196" t="s">
        <v>245</v>
      </c>
      <c r="O213" s="197" t="s">
        <v>246</v>
      </c>
      <c r="P213" s="196">
        <v>2</v>
      </c>
      <c r="Q213" s="197" t="s">
        <v>247</v>
      </c>
      <c r="R213" s="197" t="s">
        <v>246</v>
      </c>
      <c r="S213" s="196">
        <v>12</v>
      </c>
      <c r="T213" s="196" t="s">
        <v>248</v>
      </c>
      <c r="U213" s="229" t="s">
        <v>249</v>
      </c>
      <c r="V213" s="229"/>
      <c r="W213" s="197"/>
      <c r="X213" s="196">
        <f>ROUND(M213*P213*S213,-3)</f>
        <v>1680000</v>
      </c>
      <c r="Y213" s="47" t="s">
        <v>245</v>
      </c>
      <c r="Z213" s="6"/>
    </row>
    <row r="214" spans="1:26" s="11" customFormat="1" ht="19.5" customHeight="1" thickBot="1">
      <c r="A214" s="88"/>
      <c r="B214" s="89"/>
      <c r="C214" s="90"/>
      <c r="D214" s="90"/>
      <c r="E214" s="91"/>
      <c r="F214" s="91"/>
      <c r="G214" s="92"/>
      <c r="H214" s="93"/>
      <c r="I214" s="53" t="s">
        <v>324</v>
      </c>
      <c r="J214" s="55"/>
      <c r="K214" s="55"/>
      <c r="L214" s="55"/>
      <c r="M214" s="526">
        <v>100000</v>
      </c>
      <c r="N214" s="55" t="s">
        <v>245</v>
      </c>
      <c r="O214" s="54" t="s">
        <v>246</v>
      </c>
      <c r="P214" s="55">
        <v>2</v>
      </c>
      <c r="Q214" s="55" t="s">
        <v>248</v>
      </c>
      <c r="R214" s="54"/>
      <c r="S214" s="55"/>
      <c r="T214" s="55"/>
      <c r="U214" s="94" t="s">
        <v>249</v>
      </c>
      <c r="V214" s="94"/>
      <c r="W214" s="54"/>
      <c r="X214" s="55">
        <f>ROUND(M214*P214,-3)</f>
        <v>200000</v>
      </c>
      <c r="Y214" s="56" t="s">
        <v>245</v>
      </c>
      <c r="Z214" s="6"/>
    </row>
    <row r="225" spans="26:26" ht="19.5" customHeight="1">
      <c r="Z225" s="6" t="s">
        <v>61</v>
      </c>
    </row>
  </sheetData>
  <mergeCells count="29">
    <mergeCell ref="A1:D1"/>
    <mergeCell ref="A2:D2"/>
    <mergeCell ref="E2:E3"/>
    <mergeCell ref="A4:D4"/>
    <mergeCell ref="C172:D172"/>
    <mergeCell ref="C197:D197"/>
    <mergeCell ref="V199:W199"/>
    <mergeCell ref="F2:F3"/>
    <mergeCell ref="C12:D12"/>
    <mergeCell ref="C144:D144"/>
    <mergeCell ref="C156:D156"/>
    <mergeCell ref="V158:W158"/>
    <mergeCell ref="C163:D163"/>
    <mergeCell ref="G2:H2"/>
    <mergeCell ref="I2:Y3"/>
    <mergeCell ref="V146:W146"/>
    <mergeCell ref="V165:W165"/>
    <mergeCell ref="V64:W64"/>
    <mergeCell ref="V125:W125"/>
    <mergeCell ref="V210:W210"/>
    <mergeCell ref="V149:W149"/>
    <mergeCell ref="V169:W169"/>
    <mergeCell ref="V177:W177"/>
    <mergeCell ref="V190:W190"/>
    <mergeCell ref="V181:W181"/>
    <mergeCell ref="V185:W185"/>
    <mergeCell ref="V202:W202"/>
    <mergeCell ref="V152:W152"/>
    <mergeCell ref="V174:W17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firstPageNumber="16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</sheetPr>
  <dimension ref="A1:AE210"/>
  <sheetViews>
    <sheetView tabSelected="1" workbookViewId="0">
      <selection activeCell="D6" sqref="D6"/>
    </sheetView>
    <sheetView topLeftCell="A78" workbookViewId="1">
      <selection activeCell="C98" sqref="C98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74" t="s">
        <v>514</v>
      </c>
      <c r="B1" s="574"/>
      <c r="C1" s="574"/>
      <c r="D1" s="574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5" t="s">
        <v>22</v>
      </c>
      <c r="B2" s="576"/>
      <c r="C2" s="576"/>
      <c r="D2" s="567" t="s">
        <v>521</v>
      </c>
      <c r="E2" s="582" t="s">
        <v>516</v>
      </c>
      <c r="F2" s="583"/>
      <c r="G2" s="583"/>
      <c r="H2" s="583"/>
      <c r="I2" s="583"/>
      <c r="J2" s="583"/>
      <c r="K2" s="583"/>
      <c r="L2" s="584"/>
      <c r="M2" s="569" t="s">
        <v>23</v>
      </c>
      <c r="N2" s="569"/>
      <c r="O2" s="585" t="s">
        <v>327</v>
      </c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87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8"/>
      <c r="E3" s="149" t="s">
        <v>328</v>
      </c>
      <c r="F3" s="149" t="s">
        <v>325</v>
      </c>
      <c r="G3" s="149" t="s">
        <v>326</v>
      </c>
      <c r="H3" s="149" t="s">
        <v>437</v>
      </c>
      <c r="I3" s="149" t="s">
        <v>329</v>
      </c>
      <c r="J3" s="149" t="s">
        <v>330</v>
      </c>
      <c r="K3" s="149" t="s">
        <v>331</v>
      </c>
      <c r="L3" s="149" t="s">
        <v>332</v>
      </c>
      <c r="M3" s="132" t="s">
        <v>333</v>
      </c>
      <c r="N3" s="96" t="s">
        <v>4</v>
      </c>
      <c r="O3" s="588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90"/>
    </row>
    <row r="4" spans="1:31" s="11" customFormat="1" ht="21" customHeight="1">
      <c r="A4" s="591" t="s">
        <v>31</v>
      </c>
      <c r="B4" s="592"/>
      <c r="C4" s="592"/>
      <c r="D4" s="308">
        <f>SUM(D5,D110,D132,D186,D189)</f>
        <v>161205</v>
      </c>
      <c r="E4" s="308">
        <f>SUM(E5,E110,E132,E186+E189)</f>
        <v>138858</v>
      </c>
      <c r="F4" s="308">
        <f t="shared" ref="F4:L4" ca="1" si="0">SUM(F5,F110,F132,F186,F189)</f>
        <v>111321</v>
      </c>
      <c r="G4" s="308">
        <f t="shared" si="0"/>
        <v>1644</v>
      </c>
      <c r="H4" s="308">
        <f t="shared" si="0"/>
        <v>300</v>
      </c>
      <c r="I4" s="308">
        <f t="shared" si="0"/>
        <v>753</v>
      </c>
      <c r="J4" s="308">
        <f t="shared" si="0"/>
        <v>22245</v>
      </c>
      <c r="K4" s="308">
        <f t="shared" si="0"/>
        <v>3</v>
      </c>
      <c r="L4" s="308">
        <f t="shared" si="0"/>
        <v>2592</v>
      </c>
      <c r="M4" s="309">
        <f>E4-D4</f>
        <v>-22347</v>
      </c>
      <c r="N4" s="310">
        <f>IF(D4=0,0,M4/D4)</f>
        <v>-0.13862473248348375</v>
      </c>
      <c r="O4" s="311" t="s">
        <v>334</v>
      </c>
      <c r="P4" s="312"/>
      <c r="Q4" s="312"/>
      <c r="R4" s="312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>
        <f>SUM(AD5,AD110,AD132,AD186,AD189)</f>
        <v>138858000</v>
      </c>
      <c r="AE4" s="314" t="s">
        <v>25</v>
      </c>
    </row>
    <row r="5" spans="1:31" s="11" customFormat="1" ht="21" customHeight="1">
      <c r="A5" s="101" t="s">
        <v>6</v>
      </c>
      <c r="B5" s="593" t="s">
        <v>7</v>
      </c>
      <c r="C5" s="594"/>
      <c r="D5" s="315">
        <f t="shared" ref="D5:L5" si="1">SUM(D6,D62,D71)</f>
        <v>100344</v>
      </c>
      <c r="E5" s="315">
        <f t="shared" si="1"/>
        <v>112955</v>
      </c>
      <c r="F5" s="315">
        <f t="shared" si="1"/>
        <v>105625</v>
      </c>
      <c r="G5" s="315">
        <f t="shared" si="1"/>
        <v>0</v>
      </c>
      <c r="H5" s="315">
        <f t="shared" si="1"/>
        <v>300</v>
      </c>
      <c r="I5" s="315">
        <f t="shared" si="1"/>
        <v>350</v>
      </c>
      <c r="J5" s="315">
        <f t="shared" si="1"/>
        <v>4235</v>
      </c>
      <c r="K5" s="315">
        <f t="shared" si="1"/>
        <v>3</v>
      </c>
      <c r="L5" s="315">
        <f t="shared" si="1"/>
        <v>2442</v>
      </c>
      <c r="M5" s="316">
        <f>E5-D5</f>
        <v>12611</v>
      </c>
      <c r="N5" s="317">
        <f>IF(D5=0,0,M5/D5)</f>
        <v>0.12567766881926173</v>
      </c>
      <c r="O5" s="318" t="s">
        <v>297</v>
      </c>
      <c r="P5" s="318"/>
      <c r="Q5" s="318"/>
      <c r="R5" s="318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>
        <f>SUM(AD6,AD62,AD71)</f>
        <v>112955000</v>
      </c>
      <c r="AE5" s="320" t="s">
        <v>25</v>
      </c>
    </row>
    <row r="6" spans="1:31" s="11" customFormat="1" ht="21" customHeight="1">
      <c r="A6" s="37"/>
      <c r="B6" s="28" t="s">
        <v>8</v>
      </c>
      <c r="C6" s="321" t="s">
        <v>5</v>
      </c>
      <c r="D6" s="418">
        <f t="shared" ref="D6:L6" si="2">SUM(D7,D10,D13,D30,D38,D57)</f>
        <v>89425</v>
      </c>
      <c r="E6" s="322">
        <f t="shared" si="2"/>
        <v>101755</v>
      </c>
      <c r="F6" s="322">
        <f t="shared" si="2"/>
        <v>101105</v>
      </c>
      <c r="G6" s="322">
        <f t="shared" si="2"/>
        <v>0</v>
      </c>
      <c r="H6" s="322">
        <f t="shared" si="2"/>
        <v>300</v>
      </c>
      <c r="I6" s="322">
        <f t="shared" si="2"/>
        <v>350</v>
      </c>
      <c r="J6" s="322">
        <f t="shared" si="2"/>
        <v>0</v>
      </c>
      <c r="K6" s="322">
        <f t="shared" si="2"/>
        <v>0</v>
      </c>
      <c r="L6" s="322">
        <f t="shared" si="2"/>
        <v>0</v>
      </c>
      <c r="M6" s="323">
        <f>E6-D6</f>
        <v>12330</v>
      </c>
      <c r="N6" s="324">
        <f>IF(D6=0,0,M6/D6)</f>
        <v>0.13788090578697232</v>
      </c>
      <c r="O6" s="325" t="s">
        <v>307</v>
      </c>
      <c r="P6" s="325"/>
      <c r="Q6" s="325"/>
      <c r="R6" s="32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>
        <f>SUM(AD7,AD10,AD13,AD30,AD38,AD57)</f>
        <v>101755000</v>
      </c>
      <c r="AE6" s="327" t="s">
        <v>25</v>
      </c>
    </row>
    <row r="7" spans="1:31" s="11" customFormat="1" ht="21" customHeight="1">
      <c r="A7" s="37"/>
      <c r="B7" s="38"/>
      <c r="C7" s="28" t="s">
        <v>32</v>
      </c>
      <c r="D7" s="135">
        <v>53685</v>
      </c>
      <c r="E7" s="103">
        <f>ROUND(AD7/1000,0)</f>
        <v>59854</v>
      </c>
      <c r="F7" s="103">
        <f>SUMIF($AB$8:$AB$9,"보조",$AD$8:$AD$9)/1000</f>
        <v>59854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6169</v>
      </c>
      <c r="N7" s="277">
        <f>IF(D7=0,0,M7/D7)</f>
        <v>0.11491105522957995</v>
      </c>
      <c r="O7" s="105" t="s">
        <v>335</v>
      </c>
      <c r="P7" s="105"/>
      <c r="Q7" s="151"/>
      <c r="R7" s="151"/>
      <c r="S7" s="151"/>
      <c r="T7" s="150"/>
      <c r="U7" s="150"/>
      <c r="V7" s="150"/>
      <c r="W7" s="87" t="s">
        <v>60</v>
      </c>
      <c r="X7" s="524"/>
      <c r="Y7" s="87"/>
      <c r="Z7" s="87"/>
      <c r="AA7" s="87"/>
      <c r="AB7" s="87"/>
      <c r="AC7" s="107"/>
      <c r="AD7" s="107">
        <f>SUM(AD8:AD9)</f>
        <v>59854000</v>
      </c>
      <c r="AE7" s="108" t="s">
        <v>336</v>
      </c>
    </row>
    <row r="8" spans="1:31" s="11" customFormat="1" ht="21" customHeight="1">
      <c r="A8" s="37"/>
      <c r="B8" s="38"/>
      <c r="C8" s="38"/>
      <c r="D8" s="439"/>
      <c r="E8" s="440"/>
      <c r="F8" s="440"/>
      <c r="G8" s="440"/>
      <c r="H8" s="440"/>
      <c r="I8" s="440"/>
      <c r="J8" s="440"/>
      <c r="K8" s="440"/>
      <c r="L8" s="440"/>
      <c r="M8" s="97"/>
      <c r="N8" s="60"/>
      <c r="O8" s="379" t="s">
        <v>494</v>
      </c>
      <c r="P8" s="379"/>
      <c r="Q8" s="379"/>
      <c r="R8" s="379"/>
      <c r="S8" s="273"/>
      <c r="T8" s="270"/>
      <c r="U8" s="270"/>
      <c r="V8" s="270"/>
      <c r="W8" s="270"/>
      <c r="X8" s="270"/>
      <c r="Y8" s="270"/>
      <c r="Z8" s="270"/>
      <c r="AA8" s="344"/>
      <c r="AB8" s="344" t="s">
        <v>337</v>
      </c>
      <c r="AC8" s="345"/>
      <c r="AD8" s="401">
        <v>59854000</v>
      </c>
      <c r="AE8" s="346" t="s">
        <v>336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9"/>
      <c r="P9" s="379"/>
      <c r="Q9" s="379"/>
      <c r="R9" s="379"/>
      <c r="S9" s="273"/>
      <c r="T9" s="270"/>
      <c r="U9" s="270"/>
      <c r="V9" s="270"/>
      <c r="W9" s="270"/>
      <c r="X9" s="270"/>
      <c r="Y9" s="270"/>
      <c r="Z9" s="270"/>
      <c r="AA9" s="344"/>
      <c r="AB9" s="344"/>
      <c r="AC9" s="345"/>
      <c r="AD9" s="401"/>
      <c r="AE9" s="346"/>
    </row>
    <row r="10" spans="1:31" s="11" customFormat="1" ht="21" customHeight="1">
      <c r="A10" s="37"/>
      <c r="B10" s="38"/>
      <c r="C10" s="28" t="s">
        <v>342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343</v>
      </c>
      <c r="P10" s="424"/>
      <c r="Q10" s="153"/>
      <c r="R10" s="153"/>
      <c r="S10" s="153"/>
      <c r="T10" s="152"/>
      <c r="U10" s="152"/>
      <c r="V10" s="150"/>
      <c r="W10" s="87" t="s">
        <v>344</v>
      </c>
      <c r="X10" s="87"/>
      <c r="Y10" s="87"/>
      <c r="Z10" s="87"/>
      <c r="AA10" s="87"/>
      <c r="AB10" s="87"/>
      <c r="AC10" s="107"/>
      <c r="AD10" s="107">
        <v>0</v>
      </c>
      <c r="AE10" s="108" t="s">
        <v>345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2"/>
      <c r="P12" s="292"/>
      <c r="Q12" s="292"/>
      <c r="R12" s="292"/>
      <c r="S12" s="291"/>
      <c r="T12" s="291"/>
      <c r="U12" s="292"/>
      <c r="V12" s="291"/>
      <c r="W12" s="291"/>
      <c r="X12" s="292"/>
      <c r="Y12" s="81"/>
      <c r="Z12" s="291"/>
      <c r="AA12" s="291"/>
      <c r="AB12" s="291"/>
      <c r="AC12" s="58"/>
      <c r="AD12" s="291"/>
      <c r="AE12" s="47"/>
    </row>
    <row r="13" spans="1:31" s="11" customFormat="1" ht="21" customHeight="1">
      <c r="A13" s="37"/>
      <c r="B13" s="38"/>
      <c r="C13" s="28" t="s">
        <v>33</v>
      </c>
      <c r="D13" s="135">
        <v>21126</v>
      </c>
      <c r="E13" s="103">
        <f>ROUND(AD13/1000,0)</f>
        <v>25439</v>
      </c>
      <c r="F13" s="103">
        <f>SUMIF($AB$14:$AB$29,"보조",$AD$14:$AD$29)/1000</f>
        <v>25289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150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4313</v>
      </c>
      <c r="N13" s="109">
        <f>IF(D13=0,0,M13/D13)</f>
        <v>0.20415601628325286</v>
      </c>
      <c r="O13" s="85" t="s">
        <v>34</v>
      </c>
      <c r="P13" s="424"/>
      <c r="Q13" s="153"/>
      <c r="R13" s="153"/>
      <c r="S13" s="153"/>
      <c r="T13" s="152"/>
      <c r="U13" s="152"/>
      <c r="V13" s="152"/>
      <c r="W13" s="423" t="s">
        <v>344</v>
      </c>
      <c r="X13" s="423"/>
      <c r="Y13" s="423"/>
      <c r="Z13" s="423"/>
      <c r="AA13" s="423"/>
      <c r="AB13" s="423"/>
      <c r="AC13" s="147"/>
      <c r="AD13" s="147">
        <f>명절휴가비+가족수당+연장근로수당+AD23+AD26</f>
        <v>25439000</v>
      </c>
      <c r="AE13" s="146" t="s">
        <v>336</v>
      </c>
    </row>
    <row r="14" spans="1:31" s="11" customFormat="1" ht="21" customHeight="1">
      <c r="A14" s="37"/>
      <c r="B14" s="38"/>
      <c r="C14" s="38"/>
      <c r="D14" s="437"/>
      <c r="E14" s="438"/>
      <c r="F14" s="438"/>
      <c r="G14" s="438"/>
      <c r="H14" s="438"/>
      <c r="I14" s="438"/>
      <c r="J14" s="438"/>
      <c r="K14" s="438"/>
      <c r="L14" s="438"/>
      <c r="M14" s="97"/>
      <c r="N14" s="60"/>
      <c r="O14" s="379" t="s">
        <v>346</v>
      </c>
      <c r="P14" s="273"/>
      <c r="Q14" s="273"/>
      <c r="R14" s="273"/>
      <c r="S14" s="273"/>
      <c r="T14" s="270"/>
      <c r="U14" s="270"/>
      <c r="V14" s="270"/>
      <c r="W14" s="344" t="s">
        <v>347</v>
      </c>
      <c r="X14" s="344"/>
      <c r="Y14" s="344"/>
      <c r="Z14" s="344"/>
      <c r="AA14" s="344"/>
      <c r="AB14" s="344"/>
      <c r="AC14" s="345" t="s">
        <v>348</v>
      </c>
      <c r="AD14" s="345">
        <f>AD15</f>
        <v>5941000</v>
      </c>
      <c r="AE14" s="346" t="s">
        <v>336</v>
      </c>
    </row>
    <row r="15" spans="1:31" s="11" customFormat="1" ht="21" customHeight="1">
      <c r="A15" s="37"/>
      <c r="B15" s="38"/>
      <c r="C15" s="38"/>
      <c r="D15" s="439"/>
      <c r="E15" s="440"/>
      <c r="F15" s="440"/>
      <c r="G15" s="440"/>
      <c r="H15" s="440"/>
      <c r="I15" s="440"/>
      <c r="J15" s="440"/>
      <c r="K15" s="440"/>
      <c r="L15" s="440"/>
      <c r="M15" s="97"/>
      <c r="N15" s="60"/>
      <c r="O15" s="273" t="s">
        <v>495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337</v>
      </c>
      <c r="AC15" s="274"/>
      <c r="AD15" s="121">
        <v>5941000</v>
      </c>
      <c r="AE15" s="298" t="s">
        <v>336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8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9" t="s">
        <v>349</v>
      </c>
      <c r="P17" s="273"/>
      <c r="Q17" s="273"/>
      <c r="R17" s="273"/>
      <c r="S17" s="273"/>
      <c r="T17" s="270"/>
      <c r="U17" s="270"/>
      <c r="V17" s="270"/>
      <c r="W17" s="344" t="s">
        <v>347</v>
      </c>
      <c r="X17" s="344"/>
      <c r="Y17" s="344"/>
      <c r="Z17" s="344"/>
      <c r="AA17" s="344"/>
      <c r="AB17" s="344"/>
      <c r="AC17" s="345" t="s">
        <v>348</v>
      </c>
      <c r="AD17" s="345">
        <f>AD18</f>
        <v>2160000</v>
      </c>
      <c r="AE17" s="346" t="s">
        <v>336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426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337</v>
      </c>
      <c r="AC18" s="274"/>
      <c r="AD18" s="274">
        <v>2160000</v>
      </c>
      <c r="AE18" s="298" t="s">
        <v>336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8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9" t="s">
        <v>350</v>
      </c>
      <c r="P20" s="273"/>
      <c r="Q20" s="273"/>
      <c r="R20" s="273"/>
      <c r="S20" s="273"/>
      <c r="T20" s="270"/>
      <c r="U20" s="270"/>
      <c r="V20" s="270"/>
      <c r="W20" s="344" t="s">
        <v>347</v>
      </c>
      <c r="X20" s="344"/>
      <c r="Y20" s="344"/>
      <c r="Z20" s="344"/>
      <c r="AA20" s="344"/>
      <c r="AB20" s="344"/>
      <c r="AC20" s="345" t="s">
        <v>348</v>
      </c>
      <c r="AD20" s="345">
        <f>AD21</f>
        <v>12892000</v>
      </c>
      <c r="AE20" s="346" t="s">
        <v>336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495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337</v>
      </c>
      <c r="AC21" s="274"/>
      <c r="AD21" s="121">
        <v>12892000</v>
      </c>
      <c r="AE21" s="298" t="s">
        <v>336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8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9" t="s">
        <v>427</v>
      </c>
      <c r="P23" s="273"/>
      <c r="Q23" s="273"/>
      <c r="R23" s="273"/>
      <c r="S23" s="273"/>
      <c r="T23" s="270"/>
      <c r="U23" s="270"/>
      <c r="V23" s="270"/>
      <c r="W23" s="344" t="s">
        <v>347</v>
      </c>
      <c r="X23" s="344"/>
      <c r="Y23" s="344"/>
      <c r="Z23" s="344"/>
      <c r="AA23" s="344"/>
      <c r="AB23" s="344"/>
      <c r="AC23" s="345" t="s">
        <v>348</v>
      </c>
      <c r="AD23" s="345">
        <f>AD24</f>
        <v>4296000</v>
      </c>
      <c r="AE23" s="346" t="s">
        <v>336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495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337</v>
      </c>
      <c r="AC24" s="274"/>
      <c r="AD24" s="121">
        <v>4296000</v>
      </c>
      <c r="AE24" s="298" t="s">
        <v>336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8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9" t="s">
        <v>428</v>
      </c>
      <c r="P26" s="273"/>
      <c r="Q26" s="273"/>
      <c r="R26" s="273"/>
      <c r="S26" s="273"/>
      <c r="T26" s="270"/>
      <c r="U26" s="270"/>
      <c r="V26" s="270"/>
      <c r="W26" s="344" t="s">
        <v>347</v>
      </c>
      <c r="X26" s="344"/>
      <c r="Y26" s="344"/>
      <c r="Z26" s="344"/>
      <c r="AA26" s="344"/>
      <c r="AB26" s="344"/>
      <c r="AC26" s="345" t="s">
        <v>348</v>
      </c>
      <c r="AD26" s="345">
        <f>SUM(AD27:AD28)</f>
        <v>150000</v>
      </c>
      <c r="AE26" s="346" t="s">
        <v>336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507</v>
      </c>
      <c r="P27" s="273"/>
      <c r="Q27" s="273"/>
      <c r="R27" s="273"/>
      <c r="S27" s="291"/>
      <c r="T27" s="291"/>
      <c r="U27" s="292"/>
      <c r="V27" s="291"/>
      <c r="W27" s="291"/>
      <c r="X27" s="292"/>
      <c r="Y27" s="294"/>
      <c r="Z27" s="419"/>
      <c r="AA27" s="419"/>
      <c r="AB27" s="270" t="s">
        <v>367</v>
      </c>
      <c r="AC27" s="274"/>
      <c r="AD27" s="121">
        <v>150000</v>
      </c>
      <c r="AE27" s="298" t="s">
        <v>336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 t="s">
        <v>429</v>
      </c>
      <c r="P28" s="273"/>
      <c r="Q28" s="273"/>
      <c r="R28" s="273"/>
      <c r="S28" s="291"/>
      <c r="T28" s="291"/>
      <c r="U28" s="292"/>
      <c r="V28" s="291"/>
      <c r="W28" s="291"/>
      <c r="X28" s="292"/>
      <c r="Y28" s="294"/>
      <c r="Z28" s="419"/>
      <c r="AA28" s="419"/>
      <c r="AB28" s="270" t="s">
        <v>341</v>
      </c>
      <c r="AC28" s="274"/>
      <c r="AD28" s="121">
        <v>0</v>
      </c>
      <c r="AE28" s="298" t="s">
        <v>336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3"/>
      <c r="P29" s="273"/>
      <c r="Q29" s="273"/>
      <c r="R29" s="273"/>
      <c r="S29" s="270"/>
      <c r="T29" s="332"/>
      <c r="U29" s="380"/>
      <c r="V29" s="332"/>
      <c r="W29" s="381"/>
      <c r="X29" s="381"/>
      <c r="Y29" s="270"/>
      <c r="Z29" s="270"/>
      <c r="AA29" s="270"/>
      <c r="AB29" s="270"/>
      <c r="AC29" s="270"/>
      <c r="AD29" s="270"/>
      <c r="AE29" s="298"/>
    </row>
    <row r="30" spans="1:31" s="11" customFormat="1" ht="21" customHeight="1">
      <c r="A30" s="37"/>
      <c r="B30" s="38"/>
      <c r="C30" s="28" t="s">
        <v>9</v>
      </c>
      <c r="D30" s="135">
        <v>6222</v>
      </c>
      <c r="E30" s="103">
        <f>ROUND(AD30/1000,0)</f>
        <v>7096</v>
      </c>
      <c r="F30" s="103">
        <f>SUMIF($AB$31:$AB$37,"보조",$AD$31:$AD$37)/1000</f>
        <v>7096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874</v>
      </c>
      <c r="N30" s="109">
        <f>IF(D30=0,0,M30/D30)</f>
        <v>0.1404693024750884</v>
      </c>
      <c r="O30" s="85" t="s">
        <v>35</v>
      </c>
      <c r="P30" s="424"/>
      <c r="Q30" s="153"/>
      <c r="R30" s="153"/>
      <c r="S30" s="153"/>
      <c r="T30" s="152"/>
      <c r="U30" s="152"/>
      <c r="V30" s="152"/>
      <c r="W30" s="423" t="s">
        <v>347</v>
      </c>
      <c r="X30" s="423"/>
      <c r="Y30" s="423"/>
      <c r="Z30" s="423"/>
      <c r="AA30" s="423"/>
      <c r="AB30" s="423"/>
      <c r="AC30" s="147" t="s">
        <v>348</v>
      </c>
      <c r="AD30" s="147">
        <f>SUM(AD31,AD34)</f>
        <v>7096000</v>
      </c>
      <c r="AE30" s="146" t="s">
        <v>336</v>
      </c>
    </row>
    <row r="31" spans="1:31" s="11" customFormat="1" ht="21" customHeight="1">
      <c r="A31" s="37"/>
      <c r="B31" s="38"/>
      <c r="C31" s="38"/>
      <c r="D31" s="437"/>
      <c r="E31" s="438"/>
      <c r="F31" s="438"/>
      <c r="G31" s="438"/>
      <c r="H31" s="438"/>
      <c r="I31" s="438"/>
      <c r="J31" s="438"/>
      <c r="K31" s="438"/>
      <c r="L31" s="438"/>
      <c r="M31" s="104"/>
      <c r="N31" s="60"/>
      <c r="O31" s="379" t="s">
        <v>430</v>
      </c>
      <c r="P31" s="273"/>
      <c r="Q31" s="273"/>
      <c r="R31" s="273"/>
      <c r="S31" s="273"/>
      <c r="T31" s="270"/>
      <c r="U31" s="270"/>
      <c r="V31" s="270"/>
      <c r="W31" s="344" t="s">
        <v>347</v>
      </c>
      <c r="X31" s="344"/>
      <c r="Y31" s="344"/>
      <c r="Z31" s="344"/>
      <c r="AA31" s="344"/>
      <c r="AB31" s="344"/>
      <c r="AC31" s="345"/>
      <c r="AD31" s="345">
        <f>SUM(AD32:AD33)</f>
        <v>7096000</v>
      </c>
      <c r="AE31" s="346" t="s">
        <v>336</v>
      </c>
    </row>
    <row r="32" spans="1:31" s="11" customFormat="1" ht="21" customHeight="1">
      <c r="A32" s="37"/>
      <c r="B32" s="38"/>
      <c r="C32" s="38"/>
      <c r="D32" s="439"/>
      <c r="E32" s="440"/>
      <c r="F32" s="440"/>
      <c r="G32" s="440"/>
      <c r="H32" s="440"/>
      <c r="I32" s="440"/>
      <c r="J32" s="440"/>
      <c r="K32" s="440"/>
      <c r="L32" s="440"/>
      <c r="M32" s="104"/>
      <c r="N32" s="60"/>
      <c r="O32" s="273" t="s">
        <v>496</v>
      </c>
      <c r="P32" s="273"/>
      <c r="Q32" s="273"/>
      <c r="R32" s="273"/>
      <c r="S32" s="270">
        <f>SUM(AD8,AD15,AD18,AD21,AD23)</f>
        <v>85143000</v>
      </c>
      <c r="T32" s="329" t="s">
        <v>336</v>
      </c>
      <c r="U32" s="329" t="s">
        <v>351</v>
      </c>
      <c r="V32" s="382">
        <v>12</v>
      </c>
      <c r="W32" s="328" t="s">
        <v>339</v>
      </c>
      <c r="X32" s="270"/>
      <c r="Y32" s="270"/>
      <c r="Z32" s="270"/>
      <c r="AA32" s="270" t="s">
        <v>340</v>
      </c>
      <c r="AB32" s="270" t="s">
        <v>337</v>
      </c>
      <c r="AC32" s="274"/>
      <c r="AD32" s="121">
        <f>ROUNDUP(S32/V32,-3)</f>
        <v>7096000</v>
      </c>
      <c r="AE32" s="298" t="s">
        <v>336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3"/>
      <c r="P33" s="273"/>
      <c r="Q33" s="273"/>
      <c r="R33" s="273"/>
      <c r="S33" s="270"/>
      <c r="T33" s="329"/>
      <c r="U33" s="329"/>
      <c r="V33" s="382"/>
      <c r="W33" s="328"/>
      <c r="X33" s="270"/>
      <c r="Y33" s="270"/>
      <c r="Z33" s="270"/>
      <c r="AA33" s="270"/>
      <c r="AB33" s="270"/>
      <c r="AC33" s="274"/>
      <c r="AD33" s="121"/>
      <c r="AE33" s="298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79" t="s">
        <v>431</v>
      </c>
      <c r="P34" s="273"/>
      <c r="Q34" s="273"/>
      <c r="R34" s="273"/>
      <c r="S34" s="273"/>
      <c r="T34" s="270"/>
      <c r="U34" s="270"/>
      <c r="V34" s="270"/>
      <c r="W34" s="344" t="s">
        <v>352</v>
      </c>
      <c r="X34" s="344"/>
      <c r="Y34" s="344"/>
      <c r="Z34" s="344"/>
      <c r="AA34" s="344"/>
      <c r="AB34" s="344"/>
      <c r="AC34" s="345" t="s">
        <v>353</v>
      </c>
      <c r="AD34" s="345">
        <f>SUM(AD35:AD36)</f>
        <v>0</v>
      </c>
      <c r="AE34" s="346" t="s">
        <v>354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27" t="s">
        <v>432</v>
      </c>
      <c r="P35" s="427"/>
      <c r="Q35" s="427"/>
      <c r="R35" s="427"/>
      <c r="S35" s="426">
        <v>0</v>
      </c>
      <c r="T35" s="288" t="s">
        <v>336</v>
      </c>
      <c r="U35" s="288" t="s">
        <v>351</v>
      </c>
      <c r="V35" s="441">
        <v>12</v>
      </c>
      <c r="W35" s="389" t="s">
        <v>339</v>
      </c>
      <c r="X35" s="426"/>
      <c r="Y35" s="426"/>
      <c r="Z35" s="426"/>
      <c r="AA35" s="426" t="s">
        <v>340</v>
      </c>
      <c r="AB35" s="426" t="s">
        <v>341</v>
      </c>
      <c r="AC35" s="121"/>
      <c r="AD35" s="121">
        <f>ROUNDUP(S35/V35,-3)</f>
        <v>0</v>
      </c>
      <c r="AE35" s="122" t="s">
        <v>336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27" t="s">
        <v>355</v>
      </c>
      <c r="P36" s="427"/>
      <c r="Q36" s="427"/>
      <c r="R36" s="427"/>
      <c r="S36" s="426">
        <f>($K$7+$K$13)*1000</f>
        <v>0</v>
      </c>
      <c r="T36" s="288" t="s">
        <v>336</v>
      </c>
      <c r="U36" s="288" t="s">
        <v>351</v>
      </c>
      <c r="V36" s="441">
        <v>12</v>
      </c>
      <c r="W36" s="389" t="s">
        <v>339</v>
      </c>
      <c r="X36" s="426"/>
      <c r="Y36" s="426"/>
      <c r="Z36" s="426"/>
      <c r="AA36" s="426" t="s">
        <v>340</v>
      </c>
      <c r="AB36" s="426" t="s">
        <v>341</v>
      </c>
      <c r="AC36" s="121"/>
      <c r="AD36" s="121">
        <f>ROUND(S36/V36,-3)</f>
        <v>0</v>
      </c>
      <c r="AE36" s="122" t="s">
        <v>336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2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26"/>
      <c r="AC37" s="42"/>
      <c r="AD37" s="58"/>
      <c r="AE37" s="26"/>
    </row>
    <row r="38" spans="1:31" s="11" customFormat="1" ht="21" customHeight="1">
      <c r="A38" s="37"/>
      <c r="B38" s="38"/>
      <c r="C38" s="111" t="s">
        <v>356</v>
      </c>
      <c r="D38" s="135">
        <v>7892</v>
      </c>
      <c r="E38" s="103">
        <f>ROUND(AD38/1000,0)</f>
        <v>8866</v>
      </c>
      <c r="F38" s="103">
        <f>SUMIF($AB$39:$AB$56,"보조",$AD$39:$AD$56)/1000</f>
        <v>8866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974</v>
      </c>
      <c r="N38" s="109">
        <f>IF(D38=0,0,M38/D38)</f>
        <v>0.1234161175874303</v>
      </c>
      <c r="O38" s="85" t="s">
        <v>36</v>
      </c>
      <c r="P38" s="424"/>
      <c r="Q38" s="153"/>
      <c r="R38" s="153"/>
      <c r="S38" s="153"/>
      <c r="T38" s="152"/>
      <c r="U38" s="152"/>
      <c r="V38" s="152"/>
      <c r="W38" s="423" t="s">
        <v>357</v>
      </c>
      <c r="X38" s="423"/>
      <c r="Y38" s="423"/>
      <c r="Z38" s="423"/>
      <c r="AA38" s="423"/>
      <c r="AB38" s="423"/>
      <c r="AC38" s="147"/>
      <c r="AD38" s="147">
        <f>SUM(AD40,AD43,AD46,AD49,AD52,AD55)</f>
        <v>8866000</v>
      </c>
      <c r="AE38" s="146" t="s">
        <v>25</v>
      </c>
    </row>
    <row r="39" spans="1:31" s="11" customFormat="1" ht="21" customHeight="1">
      <c r="A39" s="37"/>
      <c r="B39" s="38"/>
      <c r="C39" s="38" t="s">
        <v>358</v>
      </c>
      <c r="D39" s="437"/>
      <c r="E39" s="438"/>
      <c r="F39" s="438"/>
      <c r="G39" s="438"/>
      <c r="H39" s="438"/>
      <c r="I39" s="438"/>
      <c r="J39" s="438"/>
      <c r="K39" s="438"/>
      <c r="L39" s="438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39"/>
      <c r="E40" s="440"/>
      <c r="F40" s="440"/>
      <c r="G40" s="440"/>
      <c r="H40" s="440"/>
      <c r="I40" s="440"/>
      <c r="J40" s="440"/>
      <c r="K40" s="440"/>
      <c r="L40" s="440"/>
      <c r="M40" s="104"/>
      <c r="N40" s="60"/>
      <c r="O40" s="379" t="s">
        <v>359</v>
      </c>
      <c r="P40" s="273"/>
      <c r="Q40" s="273"/>
      <c r="R40" s="273"/>
      <c r="S40" s="273"/>
      <c r="T40" s="270"/>
      <c r="U40" s="270"/>
      <c r="V40" s="270"/>
      <c r="W40" s="344" t="s">
        <v>347</v>
      </c>
      <c r="X40" s="344"/>
      <c r="Y40" s="344"/>
      <c r="Z40" s="344"/>
      <c r="AA40" s="344"/>
      <c r="AB40" s="344"/>
      <c r="AC40" s="345"/>
      <c r="AD40" s="345">
        <f>ROUND(SUM(AD41:AD42),-3)</f>
        <v>3832000</v>
      </c>
      <c r="AE40" s="346" t="s">
        <v>336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3" t="s">
        <v>495</v>
      </c>
      <c r="P41" s="273"/>
      <c r="Q41" s="273"/>
      <c r="R41" s="273"/>
      <c r="S41" s="270">
        <f>S32</f>
        <v>85143000</v>
      </c>
      <c r="T41" s="329" t="s">
        <v>336</v>
      </c>
      <c r="U41" s="328" t="s">
        <v>338</v>
      </c>
      <c r="V41" s="383">
        <v>0.09</v>
      </c>
      <c r="W41" s="329" t="s">
        <v>351</v>
      </c>
      <c r="X41" s="384">
        <v>2</v>
      </c>
      <c r="Y41" s="331"/>
      <c r="Z41" s="331"/>
      <c r="AA41" s="329" t="s">
        <v>340</v>
      </c>
      <c r="AB41" s="270" t="s">
        <v>337</v>
      </c>
      <c r="AC41" s="274"/>
      <c r="AD41" s="121">
        <f>ROUNDUP(S41*V41/X41,-3)</f>
        <v>3832000</v>
      </c>
      <c r="AE41" s="298" t="s">
        <v>336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3"/>
      <c r="P42" s="273"/>
      <c r="Q42" s="273"/>
      <c r="R42" s="273"/>
      <c r="S42" s="270"/>
      <c r="T42" s="329"/>
      <c r="U42" s="328"/>
      <c r="V42" s="383"/>
      <c r="W42" s="329"/>
      <c r="X42" s="384"/>
      <c r="Y42" s="331"/>
      <c r="Z42" s="331"/>
      <c r="AA42" s="329"/>
      <c r="AB42" s="270"/>
      <c r="AC42" s="274"/>
      <c r="AD42" s="121"/>
      <c r="AE42" s="298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79" t="s">
        <v>360</v>
      </c>
      <c r="P43" s="273"/>
      <c r="Q43" s="273"/>
      <c r="R43" s="273"/>
      <c r="S43" s="273"/>
      <c r="T43" s="270"/>
      <c r="U43" s="270"/>
      <c r="V43" s="270"/>
      <c r="W43" s="344" t="s">
        <v>347</v>
      </c>
      <c r="X43" s="344"/>
      <c r="Y43" s="344"/>
      <c r="Z43" s="344"/>
      <c r="AA43" s="344"/>
      <c r="AB43" s="344"/>
      <c r="AC43" s="345" t="s">
        <v>348</v>
      </c>
      <c r="AD43" s="345">
        <f>ROUND(SUM(AD44:AD45),-3)</f>
        <v>3019000</v>
      </c>
      <c r="AE43" s="346" t="s">
        <v>336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495</v>
      </c>
      <c r="P44" s="273"/>
      <c r="Q44" s="273"/>
      <c r="R44" s="273"/>
      <c r="S44" s="270">
        <f>S41</f>
        <v>85143000</v>
      </c>
      <c r="T44" s="329" t="s">
        <v>336</v>
      </c>
      <c r="U44" s="328" t="s">
        <v>338</v>
      </c>
      <c r="V44" s="385">
        <v>7.0900000000000005E-2</v>
      </c>
      <c r="W44" s="329" t="s">
        <v>351</v>
      </c>
      <c r="X44" s="386">
        <v>2</v>
      </c>
      <c r="Y44" s="331"/>
      <c r="Z44" s="331"/>
      <c r="AA44" s="329" t="s">
        <v>340</v>
      </c>
      <c r="AB44" s="270" t="s">
        <v>337</v>
      </c>
      <c r="AC44" s="274"/>
      <c r="AD44" s="121">
        <f>ROUNDUP(S44*V44/X44,-3)</f>
        <v>3019000</v>
      </c>
      <c r="AE44" s="298" t="s">
        <v>336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270"/>
      <c r="U45" s="329"/>
      <c r="V45" s="385"/>
      <c r="W45" s="270"/>
      <c r="X45" s="329"/>
      <c r="Y45" s="270"/>
      <c r="Z45" s="270"/>
      <c r="AA45" s="270"/>
      <c r="AB45" s="270"/>
      <c r="AC45" s="274"/>
      <c r="AD45" s="121"/>
      <c r="AE45" s="298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9" t="s">
        <v>361</v>
      </c>
      <c r="P46" s="273"/>
      <c r="Q46" s="273"/>
      <c r="R46" s="273"/>
      <c r="S46" s="273"/>
      <c r="T46" s="270"/>
      <c r="U46" s="270"/>
      <c r="V46" s="270"/>
      <c r="W46" s="344" t="s">
        <v>347</v>
      </c>
      <c r="X46" s="344"/>
      <c r="Y46" s="344"/>
      <c r="Z46" s="344"/>
      <c r="AA46" s="344"/>
      <c r="AB46" s="344"/>
      <c r="AC46" s="345" t="s">
        <v>348</v>
      </c>
      <c r="AD46" s="345">
        <f>ROUND(SUM(AD47:AD48),-3)</f>
        <v>387000</v>
      </c>
      <c r="AE46" s="346" t="s">
        <v>336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495</v>
      </c>
      <c r="P47" s="273"/>
      <c r="Q47" s="273"/>
      <c r="R47" s="273"/>
      <c r="S47" s="387">
        <f>AD44</f>
        <v>3019000</v>
      </c>
      <c r="T47" s="329" t="s">
        <v>336</v>
      </c>
      <c r="U47" s="328" t="s">
        <v>338</v>
      </c>
      <c r="V47" s="385">
        <v>0.12809999999999999</v>
      </c>
      <c r="W47" s="328"/>
      <c r="X47" s="330"/>
      <c r="Y47" s="331"/>
      <c r="Z47" s="331"/>
      <c r="AA47" s="329" t="s">
        <v>340</v>
      </c>
      <c r="AB47" s="270" t="s">
        <v>337</v>
      </c>
      <c r="AC47" s="274"/>
      <c r="AD47" s="121">
        <f>ROUNDUP(S47*V47,-3)</f>
        <v>387000</v>
      </c>
      <c r="AE47" s="298" t="s">
        <v>336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387"/>
      <c r="T48" s="329"/>
      <c r="U48" s="328"/>
      <c r="V48" s="385"/>
      <c r="W48" s="328"/>
      <c r="X48" s="330"/>
      <c r="Y48" s="331"/>
      <c r="Z48" s="331"/>
      <c r="AA48" s="329"/>
      <c r="AB48" s="270"/>
      <c r="AC48" s="274"/>
      <c r="AD48" s="121"/>
      <c r="AE48" s="298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9" t="s">
        <v>362</v>
      </c>
      <c r="P49" s="273"/>
      <c r="Q49" s="273"/>
      <c r="R49" s="273"/>
      <c r="S49" s="273"/>
      <c r="T49" s="270"/>
      <c r="U49" s="270"/>
      <c r="V49" s="270"/>
      <c r="W49" s="344" t="s">
        <v>347</v>
      </c>
      <c r="X49" s="344"/>
      <c r="Y49" s="344"/>
      <c r="Z49" s="344"/>
      <c r="AA49" s="344"/>
      <c r="AB49" s="344"/>
      <c r="AC49" s="345" t="s">
        <v>348</v>
      </c>
      <c r="AD49" s="345">
        <f>ROUND(SUM(AD50:AD51),-3)</f>
        <v>980000</v>
      </c>
      <c r="AE49" s="346" t="s">
        <v>336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495</v>
      </c>
      <c r="P50" s="273"/>
      <c r="Q50" s="273"/>
      <c r="R50" s="273"/>
      <c r="S50" s="270">
        <f>S44</f>
        <v>85143000</v>
      </c>
      <c r="T50" s="329" t="s">
        <v>336</v>
      </c>
      <c r="U50" s="328" t="s">
        <v>338</v>
      </c>
      <c r="V50" s="385">
        <v>1.15E-2</v>
      </c>
      <c r="W50" s="328"/>
      <c r="X50" s="330"/>
      <c r="Y50" s="331"/>
      <c r="Z50" s="331"/>
      <c r="AA50" s="329" t="s">
        <v>340</v>
      </c>
      <c r="AB50" s="270" t="s">
        <v>337</v>
      </c>
      <c r="AC50" s="274"/>
      <c r="AD50" s="121">
        <f>ROUNDUP(S50*V50,-3)</f>
        <v>980000</v>
      </c>
      <c r="AE50" s="298" t="s">
        <v>336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270"/>
      <c r="T51" s="329"/>
      <c r="U51" s="328"/>
      <c r="V51" s="385"/>
      <c r="W51" s="328"/>
      <c r="X51" s="330"/>
      <c r="Y51" s="331"/>
      <c r="Z51" s="331"/>
      <c r="AA51" s="329"/>
      <c r="AB51" s="270"/>
      <c r="AC51" s="274"/>
      <c r="AD51" s="121"/>
      <c r="AE51" s="298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9" t="s">
        <v>363</v>
      </c>
      <c r="P52" s="273"/>
      <c r="Q52" s="273"/>
      <c r="R52" s="273"/>
      <c r="S52" s="273"/>
      <c r="T52" s="270"/>
      <c r="U52" s="270"/>
      <c r="V52" s="270"/>
      <c r="W52" s="344" t="s">
        <v>347</v>
      </c>
      <c r="X52" s="344"/>
      <c r="Y52" s="344"/>
      <c r="Z52" s="344"/>
      <c r="AA52" s="344"/>
      <c r="AB52" s="344"/>
      <c r="AC52" s="345" t="s">
        <v>348</v>
      </c>
      <c r="AD52" s="345">
        <f>ROUND(SUM(AD53:AD54),-3)</f>
        <v>648000</v>
      </c>
      <c r="AE52" s="346" t="s">
        <v>336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495</v>
      </c>
      <c r="P53" s="273"/>
      <c r="Q53" s="273"/>
      <c r="R53" s="273"/>
      <c r="S53" s="270">
        <f>S50</f>
        <v>85143000</v>
      </c>
      <c r="T53" s="329" t="s">
        <v>336</v>
      </c>
      <c r="U53" s="328" t="s">
        <v>338</v>
      </c>
      <c r="V53" s="388">
        <v>7.6E-3</v>
      </c>
      <c r="W53" s="328"/>
      <c r="X53" s="330"/>
      <c r="Y53" s="331"/>
      <c r="Z53" s="331"/>
      <c r="AA53" s="329" t="s">
        <v>340</v>
      </c>
      <c r="AB53" s="270" t="s">
        <v>337</v>
      </c>
      <c r="AC53" s="274"/>
      <c r="AD53" s="121">
        <f>ROUNDUP(S53*V53,-3)</f>
        <v>648000</v>
      </c>
      <c r="AE53" s="298" t="s">
        <v>336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9"/>
      <c r="U54" s="328"/>
      <c r="V54" s="388"/>
      <c r="W54" s="328"/>
      <c r="X54" s="330"/>
      <c r="Y54" s="331"/>
      <c r="Z54" s="331"/>
      <c r="AA54" s="329"/>
      <c r="AB54" s="270"/>
      <c r="AC54" s="274"/>
      <c r="AD54" s="121"/>
      <c r="AE54" s="298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3" t="s">
        <v>433</v>
      </c>
      <c r="P55" s="273"/>
      <c r="Q55" s="273"/>
      <c r="R55" s="273"/>
      <c r="S55" s="270"/>
      <c r="T55" s="329"/>
      <c r="U55" s="328"/>
      <c r="V55" s="388"/>
      <c r="W55" s="459"/>
      <c r="X55" s="460"/>
      <c r="Y55" s="461"/>
      <c r="Z55" s="461"/>
      <c r="AA55" s="377"/>
      <c r="AB55" s="344" t="s">
        <v>341</v>
      </c>
      <c r="AC55" s="345"/>
      <c r="AD55" s="401">
        <v>0</v>
      </c>
      <c r="AE55" s="346" t="s">
        <v>336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/>
      <c r="P56" s="273"/>
      <c r="Q56" s="273"/>
      <c r="R56" s="273"/>
      <c r="S56" s="273"/>
      <c r="T56" s="270"/>
      <c r="U56" s="270"/>
      <c r="V56" s="270"/>
      <c r="W56" s="270"/>
      <c r="X56" s="270"/>
      <c r="Y56" s="270"/>
      <c r="Z56" s="270"/>
      <c r="AA56" s="270"/>
      <c r="AB56" s="270"/>
      <c r="AC56" s="274"/>
      <c r="AD56" s="274"/>
      <c r="AE56" s="298"/>
    </row>
    <row r="57" spans="1:31" s="11" customFormat="1" ht="21" customHeight="1">
      <c r="A57" s="37"/>
      <c r="B57" s="38"/>
      <c r="C57" s="28" t="s">
        <v>364</v>
      </c>
      <c r="D57" s="135">
        <v>500</v>
      </c>
      <c r="E57" s="103">
        <f>ROUND(AD57/1000,0)</f>
        <v>500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0</v>
      </c>
      <c r="N57" s="109">
        <f>IF(D57=0,0,M57/D57)</f>
        <v>0</v>
      </c>
      <c r="O57" s="85" t="s">
        <v>365</v>
      </c>
      <c r="P57" s="424"/>
      <c r="Q57" s="153"/>
      <c r="R57" s="153"/>
      <c r="S57" s="153"/>
      <c r="T57" s="152"/>
      <c r="U57" s="152"/>
      <c r="V57" s="152"/>
      <c r="W57" s="423" t="s">
        <v>357</v>
      </c>
      <c r="X57" s="423"/>
      <c r="Y57" s="423"/>
      <c r="Z57" s="423"/>
      <c r="AA57" s="423"/>
      <c r="AB57" s="423"/>
      <c r="AC57" s="147"/>
      <c r="AD57" s="147">
        <f>SUM(AD58:AD61)</f>
        <v>500000</v>
      </c>
      <c r="AE57" s="146" t="s">
        <v>25</v>
      </c>
    </row>
    <row r="58" spans="1:31" s="11" customFormat="1" ht="21" customHeight="1">
      <c r="A58" s="37"/>
      <c r="B58" s="38"/>
      <c r="C58" s="38"/>
      <c r="D58" s="437"/>
      <c r="E58" s="438"/>
      <c r="F58" s="438"/>
      <c r="G58" s="438"/>
      <c r="H58" s="438"/>
      <c r="I58" s="438"/>
      <c r="J58" s="438"/>
      <c r="K58" s="438"/>
      <c r="L58" s="438"/>
      <c r="M58" s="97"/>
      <c r="N58" s="60"/>
      <c r="O58" s="469" t="s">
        <v>366</v>
      </c>
      <c r="P58" s="469"/>
      <c r="Q58" s="469"/>
      <c r="R58" s="469"/>
      <c r="S58" s="468"/>
      <c r="T58" s="468"/>
      <c r="U58" s="389"/>
      <c r="V58" s="468"/>
      <c r="W58" s="468"/>
      <c r="X58" s="389"/>
      <c r="Y58" s="468"/>
      <c r="Z58" s="468"/>
      <c r="AA58" s="468"/>
      <c r="AB58" s="468" t="s">
        <v>310</v>
      </c>
      <c r="AC58" s="390"/>
      <c r="AD58" s="468">
        <v>300000</v>
      </c>
      <c r="AE58" s="391" t="s">
        <v>25</v>
      </c>
    </row>
    <row r="59" spans="1:31" s="11" customFormat="1" ht="21" customHeight="1">
      <c r="A59" s="37"/>
      <c r="B59" s="38"/>
      <c r="C59" s="38"/>
      <c r="D59" s="439"/>
      <c r="E59" s="440"/>
      <c r="F59" s="440"/>
      <c r="G59" s="440"/>
      <c r="H59" s="440"/>
      <c r="I59" s="440"/>
      <c r="J59" s="440"/>
      <c r="K59" s="440"/>
      <c r="L59" s="440"/>
      <c r="M59" s="97"/>
      <c r="N59" s="60"/>
      <c r="O59" s="469" t="s">
        <v>505</v>
      </c>
      <c r="P59" s="396"/>
      <c r="Q59" s="469"/>
      <c r="R59" s="469"/>
      <c r="S59" s="291">
        <v>55000</v>
      </c>
      <c r="T59" s="44" t="s">
        <v>56</v>
      </c>
      <c r="U59" s="235">
        <v>2</v>
      </c>
      <c r="V59" s="291" t="s">
        <v>55</v>
      </c>
      <c r="W59" s="64"/>
      <c r="X59" s="64"/>
      <c r="Y59" s="67"/>
      <c r="Z59" s="65"/>
      <c r="AA59" s="515" t="s">
        <v>53</v>
      </c>
      <c r="AB59" s="291" t="s">
        <v>367</v>
      </c>
      <c r="AC59" s="58"/>
      <c r="AD59" s="58"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69" t="s">
        <v>506</v>
      </c>
      <c r="P60" s="468"/>
      <c r="Q60" s="469"/>
      <c r="R60" s="469"/>
      <c r="S60" s="291">
        <v>55000</v>
      </c>
      <c r="T60" s="44" t="s">
        <v>56</v>
      </c>
      <c r="U60" s="235">
        <v>2</v>
      </c>
      <c r="V60" s="291" t="s">
        <v>55</v>
      </c>
      <c r="W60" s="64"/>
      <c r="X60" s="64"/>
      <c r="Y60" s="67"/>
      <c r="Z60" s="65"/>
      <c r="AA60" s="515" t="s">
        <v>53</v>
      </c>
      <c r="AB60" s="291" t="s">
        <v>367</v>
      </c>
      <c r="AC60" s="58"/>
      <c r="AD60" s="58"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27"/>
      <c r="P61" s="426"/>
      <c r="Q61" s="427"/>
      <c r="R61" s="427"/>
      <c r="S61" s="291"/>
      <c r="T61" s="44"/>
      <c r="U61" s="235"/>
      <c r="V61" s="291"/>
      <c r="W61" s="64"/>
      <c r="X61" s="64"/>
      <c r="Y61" s="67"/>
      <c r="Z61" s="65"/>
      <c r="AA61" s="419"/>
      <c r="AB61" s="291"/>
      <c r="AC61" s="58"/>
      <c r="AD61" s="58"/>
      <c r="AE61" s="122"/>
    </row>
    <row r="62" spans="1:31" s="11" customFormat="1" ht="21" customHeight="1">
      <c r="A62" s="37"/>
      <c r="B62" s="28" t="s">
        <v>368</v>
      </c>
      <c r="C62" s="28" t="s">
        <v>5</v>
      </c>
      <c r="D62" s="102">
        <f t="shared" ref="D62:L62" si="3">SUM(D63,D65,D67)</f>
        <v>180</v>
      </c>
      <c r="E62" s="102">
        <f t="shared" si="3"/>
        <v>230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230</v>
      </c>
      <c r="K62" s="102">
        <f t="shared" si="3"/>
        <v>0</v>
      </c>
      <c r="L62" s="102">
        <f t="shared" si="3"/>
        <v>0</v>
      </c>
      <c r="M62" s="102">
        <f>E62-D62</f>
        <v>50</v>
      </c>
      <c r="N62" s="109">
        <f>IF(D62=0,0,M62/D62)</f>
        <v>0.27777777777777779</v>
      </c>
      <c r="O62" s="153" t="s">
        <v>369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230000</v>
      </c>
      <c r="AE62" s="83" t="s">
        <v>25</v>
      </c>
    </row>
    <row r="63" spans="1:31" s="11" customFormat="1" ht="21" customHeight="1">
      <c r="A63" s="37"/>
      <c r="B63" s="38" t="s">
        <v>370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23" t="s">
        <v>371</v>
      </c>
      <c r="Z63" s="423"/>
      <c r="AA63" s="423"/>
      <c r="AB63" s="423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7" t="s">
        <v>372</v>
      </c>
      <c r="P64" s="427"/>
      <c r="Q64" s="427"/>
      <c r="R64" s="427"/>
      <c r="S64" s="426"/>
      <c r="T64" s="293"/>
      <c r="U64" s="293"/>
      <c r="V64" s="426"/>
      <c r="W64" s="427"/>
      <c r="X64" s="426"/>
      <c r="Y64" s="426"/>
      <c r="Z64" s="426"/>
      <c r="AA64" s="426"/>
      <c r="AB64" s="426" t="s">
        <v>341</v>
      </c>
      <c r="AC64" s="426"/>
      <c r="AD64" s="426">
        <v>0</v>
      </c>
      <c r="AE64" s="122" t="s">
        <v>336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373</v>
      </c>
      <c r="P65" s="424"/>
      <c r="Q65" s="153"/>
      <c r="R65" s="153"/>
      <c r="S65" s="153"/>
      <c r="T65" s="152"/>
      <c r="U65" s="152"/>
      <c r="V65" s="152"/>
      <c r="W65" s="152"/>
      <c r="X65" s="152"/>
      <c r="Y65" s="423" t="s">
        <v>371</v>
      </c>
      <c r="Z65" s="423"/>
      <c r="AA65" s="423"/>
      <c r="AB65" s="423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51"/>
      <c r="P66" s="351"/>
      <c r="Q66" s="351"/>
      <c r="R66" s="351"/>
      <c r="S66" s="350"/>
      <c r="T66" s="76"/>
      <c r="U66" s="76"/>
      <c r="V66" s="350"/>
      <c r="W66" s="351"/>
      <c r="X66" s="350"/>
      <c r="Y66" s="350"/>
      <c r="Z66" s="350"/>
      <c r="AA66" s="350"/>
      <c r="AB66" s="350"/>
      <c r="AC66" s="350"/>
      <c r="AD66" s="350"/>
      <c r="AE66" s="63"/>
    </row>
    <row r="67" spans="1:31" s="11" customFormat="1" ht="21" customHeight="1">
      <c r="A67" s="37"/>
      <c r="B67" s="38"/>
      <c r="C67" s="38" t="s">
        <v>374</v>
      </c>
      <c r="D67" s="133">
        <v>180</v>
      </c>
      <c r="E67" s="97">
        <f>AD67/1000</f>
        <v>230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230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50</v>
      </c>
      <c r="N67" s="60">
        <f>IF(D67=0,0,M67/D67)</f>
        <v>0.27777777777777779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23" t="s">
        <v>371</v>
      </c>
      <c r="Z67" s="423"/>
      <c r="AA67" s="423"/>
      <c r="AB67" s="423"/>
      <c r="AC67" s="147"/>
      <c r="AD67" s="147">
        <f>SUM(AD68:AD70)</f>
        <v>230000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63" t="s">
        <v>435</v>
      </c>
      <c r="P68" s="427"/>
      <c r="Q68" s="427"/>
      <c r="R68" s="427"/>
      <c r="S68" s="462">
        <v>50000</v>
      </c>
      <c r="T68" s="462" t="s">
        <v>25</v>
      </c>
      <c r="U68" s="463" t="s">
        <v>26</v>
      </c>
      <c r="V68" s="464">
        <v>3</v>
      </c>
      <c r="W68" s="463" t="s">
        <v>26</v>
      </c>
      <c r="X68" s="465">
        <v>1</v>
      </c>
      <c r="Y68" s="466"/>
      <c r="Z68" s="467"/>
      <c r="AA68" s="467" t="s">
        <v>27</v>
      </c>
      <c r="AB68" s="467" t="s">
        <v>434</v>
      </c>
      <c r="AC68" s="426"/>
      <c r="AD68" s="442">
        <f>S68*V68*X68</f>
        <v>150000</v>
      </c>
      <c r="AE68" s="122" t="s">
        <v>336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3" t="s">
        <v>436</v>
      </c>
      <c r="P69" s="427"/>
      <c r="Q69" s="427"/>
      <c r="R69" s="427"/>
      <c r="S69" s="462">
        <v>20000</v>
      </c>
      <c r="T69" s="462" t="s">
        <v>25</v>
      </c>
      <c r="U69" s="463" t="s">
        <v>26</v>
      </c>
      <c r="V69" s="464">
        <v>4</v>
      </c>
      <c r="W69" s="462"/>
      <c r="X69" s="463"/>
      <c r="Y69" s="466"/>
      <c r="Z69" s="467"/>
      <c r="AA69" s="467" t="s">
        <v>27</v>
      </c>
      <c r="AB69" s="467" t="s">
        <v>434</v>
      </c>
      <c r="AC69" s="427"/>
      <c r="AD69" s="442">
        <f>S69*V69</f>
        <v>80000</v>
      </c>
      <c r="AE69" s="122" t="s">
        <v>336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27"/>
      <c r="P70" s="427"/>
      <c r="Q70" s="427"/>
      <c r="R70" s="427"/>
      <c r="S70" s="426"/>
      <c r="T70" s="293"/>
      <c r="U70" s="293"/>
      <c r="V70" s="426"/>
      <c r="W70" s="427"/>
      <c r="X70" s="426"/>
      <c r="Y70" s="426"/>
      <c r="Z70" s="426"/>
      <c r="AA70" s="426"/>
      <c r="AB70" s="426"/>
      <c r="AC70" s="426"/>
      <c r="AD70" s="426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SUM(D72,D75,D85,D93,D99,D103)</f>
        <v>10739</v>
      </c>
      <c r="E71" s="144">
        <f t="shared" si="4"/>
        <v>10970</v>
      </c>
      <c r="F71" s="144">
        <f t="shared" si="4"/>
        <v>4520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4005</v>
      </c>
      <c r="K71" s="144">
        <f t="shared" si="4"/>
        <v>3</v>
      </c>
      <c r="L71" s="144">
        <f t="shared" si="4"/>
        <v>2442</v>
      </c>
      <c r="M71" s="443">
        <f>E71-D71</f>
        <v>231</v>
      </c>
      <c r="N71" s="145">
        <f>IF(D71=0,0,M71/D71)</f>
        <v>2.1510382717198993E-2</v>
      </c>
      <c r="O71" s="424" t="s">
        <v>376</v>
      </c>
      <c r="P71" s="424"/>
      <c r="Q71" s="424"/>
      <c r="R71" s="424"/>
      <c r="S71" s="423"/>
      <c r="T71" s="154"/>
      <c r="U71" s="423"/>
      <c r="V71" s="595"/>
      <c r="W71" s="596"/>
      <c r="X71" s="423"/>
      <c r="Y71" s="423"/>
      <c r="Z71" s="423"/>
      <c r="AA71" s="423"/>
      <c r="AB71" s="423"/>
      <c r="AC71" s="423"/>
      <c r="AD71" s="423">
        <f>SUM(AD72,AD75,AD85,AD93,AD99,AD103)</f>
        <v>10970000</v>
      </c>
      <c r="AE71" s="146" t="s">
        <v>25</v>
      </c>
    </row>
    <row r="72" spans="1:31" s="11" customFormat="1" ht="21" customHeight="1">
      <c r="A72" s="37"/>
      <c r="B72" s="38"/>
      <c r="C72" s="38" t="s">
        <v>377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23" t="s">
        <v>371</v>
      </c>
      <c r="Z72" s="423"/>
      <c r="AA72" s="423"/>
      <c r="AB72" s="423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7" t="s">
        <v>378</v>
      </c>
      <c r="P73" s="427"/>
      <c r="Q73" s="427"/>
      <c r="R73" s="427"/>
      <c r="S73" s="462">
        <v>30000</v>
      </c>
      <c r="T73" s="473" t="s">
        <v>25</v>
      </c>
      <c r="U73" s="473" t="s">
        <v>26</v>
      </c>
      <c r="V73" s="472">
        <v>2</v>
      </c>
      <c r="W73" s="474" t="s">
        <v>498</v>
      </c>
      <c r="X73" s="472" t="s">
        <v>27</v>
      </c>
      <c r="Y73" s="462"/>
      <c r="Z73" s="462"/>
      <c r="AA73" s="462"/>
      <c r="AB73" s="462" t="s">
        <v>499</v>
      </c>
      <c r="AC73" s="462"/>
      <c r="AD73" s="462">
        <f>S73*V73</f>
        <v>60000</v>
      </c>
      <c r="AE73" s="471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27" t="s">
        <v>379</v>
      </c>
      <c r="P74" s="427"/>
      <c r="Q74" s="427"/>
      <c r="R74" s="427"/>
      <c r="S74" s="426"/>
      <c r="T74" s="293"/>
      <c r="U74" s="293"/>
      <c r="V74" s="426"/>
      <c r="W74" s="293"/>
      <c r="X74" s="426"/>
      <c r="Y74" s="426"/>
      <c r="Z74" s="426"/>
      <c r="AA74" s="426"/>
      <c r="AB74" s="426" t="s">
        <v>341</v>
      </c>
      <c r="AC74" s="426"/>
      <c r="AD74" s="426">
        <v>0</v>
      </c>
      <c r="AE74" s="122" t="s">
        <v>336</v>
      </c>
    </row>
    <row r="75" spans="1:31" s="11" customFormat="1" ht="21" customHeight="1">
      <c r="A75" s="37"/>
      <c r="B75" s="38"/>
      <c r="C75" s="28" t="s">
        <v>41</v>
      </c>
      <c r="D75" s="135">
        <v>1892</v>
      </c>
      <c r="E75" s="102">
        <f>ROUND(AD75/1000,0)</f>
        <v>2295</v>
      </c>
      <c r="F75" s="103">
        <f>SUMIF($AB$76:$AB$83,"보조",$AD$76:$AD$83)/1000</f>
        <v>750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1545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403</v>
      </c>
      <c r="N75" s="109">
        <f>IF(D75=0,0,M75/D75)</f>
        <v>0.21300211416490486</v>
      </c>
      <c r="O75" s="299" t="s">
        <v>42</v>
      </c>
      <c r="P75" s="300"/>
      <c r="Q75" s="300"/>
      <c r="R75" s="300"/>
      <c r="S75" s="300"/>
      <c r="T75" s="301"/>
      <c r="U75" s="301"/>
      <c r="V75" s="301"/>
      <c r="W75" s="301"/>
      <c r="X75" s="301"/>
      <c r="Y75" s="302" t="s">
        <v>28</v>
      </c>
      <c r="Z75" s="302"/>
      <c r="AA75" s="302"/>
      <c r="AB75" s="302"/>
      <c r="AC75" s="303"/>
      <c r="AD75" s="303">
        <f>SUM(AD76:AD84)</f>
        <v>2295000</v>
      </c>
      <c r="AE75" s="146" t="s">
        <v>25</v>
      </c>
    </row>
    <row r="76" spans="1:31" s="11" customFormat="1" ht="21" customHeight="1">
      <c r="A76" s="37"/>
      <c r="B76" s="38"/>
      <c r="C76" s="38" t="s">
        <v>380</v>
      </c>
      <c r="D76" s="437"/>
      <c r="E76" s="438"/>
      <c r="F76" s="438"/>
      <c r="G76" s="438"/>
      <c r="H76" s="438"/>
      <c r="I76" s="438"/>
      <c r="J76" s="438"/>
      <c r="K76" s="438"/>
      <c r="L76" s="438"/>
      <c r="M76" s="97"/>
      <c r="N76" s="60"/>
      <c r="O76" s="304" t="s">
        <v>444</v>
      </c>
      <c r="P76" s="427"/>
      <c r="Q76" s="427"/>
      <c r="R76" s="427"/>
      <c r="S76" s="426"/>
      <c r="T76" s="293"/>
      <c r="U76" s="426"/>
      <c r="V76" s="305"/>
      <c r="W76" s="306"/>
      <c r="X76" s="306"/>
      <c r="Y76" s="305"/>
      <c r="Z76" s="307"/>
      <c r="AA76" s="305"/>
      <c r="AB76" s="289" t="s">
        <v>337</v>
      </c>
      <c r="AC76" s="289"/>
      <c r="AD76" s="468">
        <v>409000</v>
      </c>
      <c r="AE76" s="392" t="s">
        <v>25</v>
      </c>
    </row>
    <row r="77" spans="1:31" s="11" customFormat="1" ht="21" customHeight="1">
      <c r="A77" s="37"/>
      <c r="B77" s="38"/>
      <c r="C77" s="38"/>
      <c r="D77" s="439"/>
      <c r="E77" s="440"/>
      <c r="F77" s="440"/>
      <c r="G77" s="440"/>
      <c r="H77" s="440"/>
      <c r="I77" s="440"/>
      <c r="J77" s="440"/>
      <c r="K77" s="440"/>
      <c r="L77" s="440"/>
      <c r="M77" s="97"/>
      <c r="N77" s="60"/>
      <c r="O77" s="463" t="s">
        <v>442</v>
      </c>
      <c r="P77" s="463"/>
      <c r="Q77" s="463"/>
      <c r="R77" s="463"/>
      <c r="S77" s="462"/>
      <c r="T77" s="470"/>
      <c r="U77" s="470"/>
      <c r="V77" s="462">
        <v>31000</v>
      </c>
      <c r="W77" s="462" t="s">
        <v>25</v>
      </c>
      <c r="X77" s="462" t="s">
        <v>26</v>
      </c>
      <c r="Y77" s="462">
        <v>11</v>
      </c>
      <c r="Z77" s="462" t="s">
        <v>29</v>
      </c>
      <c r="AA77" s="462" t="s">
        <v>27</v>
      </c>
      <c r="AB77" s="462" t="s">
        <v>443</v>
      </c>
      <c r="AC77" s="462"/>
      <c r="AD77" s="462">
        <f>V77*Y77</f>
        <v>341000</v>
      </c>
      <c r="AE77" s="471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63"/>
      <c r="P78" s="463"/>
      <c r="Q78" s="463"/>
      <c r="R78" s="463"/>
      <c r="S78" s="462"/>
      <c r="T78" s="470"/>
      <c r="U78" s="470"/>
      <c r="V78" s="462">
        <v>31000</v>
      </c>
      <c r="W78" s="462" t="s">
        <v>25</v>
      </c>
      <c r="X78" s="462" t="s">
        <v>26</v>
      </c>
      <c r="Y78" s="462">
        <v>1</v>
      </c>
      <c r="Z78" s="462" t="s">
        <v>29</v>
      </c>
      <c r="AA78" s="462" t="s">
        <v>27</v>
      </c>
      <c r="AB78" s="462" t="s">
        <v>381</v>
      </c>
      <c r="AC78" s="462"/>
      <c r="AD78" s="462">
        <f>V78*Y78</f>
        <v>31000</v>
      </c>
      <c r="AE78" s="471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63" t="s">
        <v>517</v>
      </c>
      <c r="P79" s="463"/>
      <c r="Q79" s="463"/>
      <c r="R79" s="463"/>
      <c r="S79" s="462"/>
      <c r="T79" s="470"/>
      <c r="U79" s="470"/>
      <c r="V79" s="462">
        <v>20000</v>
      </c>
      <c r="W79" s="462" t="s">
        <v>25</v>
      </c>
      <c r="X79" s="462" t="s">
        <v>26</v>
      </c>
      <c r="Y79" s="462">
        <v>12</v>
      </c>
      <c r="Z79" s="462" t="s">
        <v>29</v>
      </c>
      <c r="AA79" s="462" t="s">
        <v>27</v>
      </c>
      <c r="AB79" s="462" t="s">
        <v>381</v>
      </c>
      <c r="AC79" s="462"/>
      <c r="AD79" s="462">
        <f>V79*Y79</f>
        <v>240000</v>
      </c>
      <c r="AE79" s="471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27" t="s">
        <v>445</v>
      </c>
      <c r="P80" s="427"/>
      <c r="Q80" s="427"/>
      <c r="R80" s="427"/>
      <c r="S80" s="426"/>
      <c r="T80" s="293"/>
      <c r="U80" s="293"/>
      <c r="V80" s="305">
        <v>55000</v>
      </c>
      <c r="W80" s="306" t="s">
        <v>336</v>
      </c>
      <c r="X80" s="306" t="s">
        <v>26</v>
      </c>
      <c r="Y80" s="305">
        <v>4</v>
      </c>
      <c r="Z80" s="307" t="s">
        <v>375</v>
      </c>
      <c r="AA80" s="305" t="s">
        <v>27</v>
      </c>
      <c r="AB80" s="462" t="s">
        <v>381</v>
      </c>
      <c r="AC80" s="426"/>
      <c r="AD80" s="426">
        <f>V80*Y80</f>
        <v>220000</v>
      </c>
      <c r="AE80" s="122" t="s">
        <v>336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3" t="s">
        <v>446</v>
      </c>
      <c r="P81" s="463"/>
      <c r="Q81" s="463"/>
      <c r="R81" s="463"/>
      <c r="S81" s="462"/>
      <c r="T81" s="470"/>
      <c r="U81" s="470"/>
      <c r="V81" s="462"/>
      <c r="W81" s="462"/>
      <c r="X81" s="462"/>
      <c r="Y81" s="462"/>
      <c r="Z81" s="462"/>
      <c r="AA81" s="462"/>
      <c r="AB81" s="462" t="s">
        <v>434</v>
      </c>
      <c r="AC81" s="462"/>
      <c r="AD81" s="462">
        <v>400000</v>
      </c>
      <c r="AE81" s="471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3" t="s">
        <v>447</v>
      </c>
      <c r="P82" s="463"/>
      <c r="Q82" s="463"/>
      <c r="R82" s="463"/>
      <c r="S82" s="462"/>
      <c r="T82" s="470"/>
      <c r="U82" s="470"/>
      <c r="V82" s="462"/>
      <c r="W82" s="462"/>
      <c r="X82" s="462"/>
      <c r="Y82" s="462"/>
      <c r="Z82" s="462"/>
      <c r="AA82" s="462"/>
      <c r="AB82" s="462" t="s">
        <v>434</v>
      </c>
      <c r="AC82" s="462"/>
      <c r="AD82" s="462">
        <v>300000</v>
      </c>
      <c r="AE82" s="471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3" t="s">
        <v>448</v>
      </c>
      <c r="P83" s="463"/>
      <c r="Q83" s="463"/>
      <c r="R83" s="463"/>
      <c r="S83" s="462"/>
      <c r="T83" s="470"/>
      <c r="U83" s="470"/>
      <c r="V83" s="472"/>
      <c r="W83" s="473"/>
      <c r="X83" s="473"/>
      <c r="Y83" s="472"/>
      <c r="Z83" s="474"/>
      <c r="AA83" s="472"/>
      <c r="AB83" s="462" t="s">
        <v>434</v>
      </c>
      <c r="AC83" s="462"/>
      <c r="AD83" s="462">
        <v>354000</v>
      </c>
      <c r="AE83" s="471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44"/>
      <c r="P84" s="444"/>
      <c r="Q84" s="444"/>
      <c r="R84" s="444"/>
      <c r="S84" s="444"/>
      <c r="T84" s="444"/>
      <c r="U84" s="444"/>
      <c r="V84" s="444"/>
      <c r="W84" s="444"/>
      <c r="X84" s="444"/>
      <c r="Y84" s="444"/>
      <c r="Z84" s="444"/>
      <c r="AA84" s="444"/>
      <c r="AB84" s="444"/>
      <c r="AC84" s="444"/>
      <c r="AD84" s="445"/>
      <c r="AE84" s="446"/>
    </row>
    <row r="85" spans="1:31" s="11" customFormat="1" ht="21" customHeight="1">
      <c r="A85" s="37"/>
      <c r="B85" s="38"/>
      <c r="C85" s="38" t="s">
        <v>39</v>
      </c>
      <c r="D85" s="133">
        <v>5767</v>
      </c>
      <c r="E85" s="97">
        <f>ROUND(AD85/1000,0)</f>
        <v>5335</v>
      </c>
      <c r="F85" s="103">
        <f>SUMIF($AB$86:$AB$92,"보조",$AD$86:$AD$92)/1000</f>
        <v>3770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800</v>
      </c>
      <c r="K85" s="103">
        <f>SUMIF($AB$86:$AB$92,"법인",$AD$86:$AD$92)/1000</f>
        <v>3</v>
      </c>
      <c r="L85" s="103">
        <f>SUMIF($AB$86:$AB$92,"잡수",$AD$86:$AD$92)/1000</f>
        <v>762</v>
      </c>
      <c r="M85" s="415">
        <f>E85-D85</f>
        <v>-432</v>
      </c>
      <c r="N85" s="60">
        <f>IF(D85=0,0,M85/D85)</f>
        <v>-7.4908964799722561E-2</v>
      </c>
      <c r="O85" s="333" t="s">
        <v>43</v>
      </c>
      <c r="P85" s="334"/>
      <c r="Q85" s="334"/>
      <c r="R85" s="334"/>
      <c r="S85" s="334"/>
      <c r="T85" s="335"/>
      <c r="U85" s="335"/>
      <c r="V85" s="335"/>
      <c r="W85" s="335"/>
      <c r="X85" s="335"/>
      <c r="Y85" s="336" t="s">
        <v>371</v>
      </c>
      <c r="Z85" s="336"/>
      <c r="AA85" s="336"/>
      <c r="AB85" s="336"/>
      <c r="AC85" s="337"/>
      <c r="AD85" s="337">
        <f>ROUND(SUM(AD86:AD92),-3)</f>
        <v>5335000</v>
      </c>
      <c r="AE85" s="338" t="s">
        <v>25</v>
      </c>
    </row>
    <row r="86" spans="1:31" s="11" customFormat="1" ht="21" customHeight="1">
      <c r="A86" s="37"/>
      <c r="B86" s="38"/>
      <c r="C86" s="38"/>
      <c r="D86" s="437"/>
      <c r="E86" s="438"/>
      <c r="F86" s="438"/>
      <c r="G86" s="438"/>
      <c r="H86" s="438"/>
      <c r="I86" s="438"/>
      <c r="J86" s="438"/>
      <c r="K86" s="438"/>
      <c r="L86" s="438"/>
      <c r="M86" s="97"/>
      <c r="N86" s="60"/>
      <c r="O86" s="475" t="s">
        <v>449</v>
      </c>
      <c r="P86" s="463"/>
      <c r="Q86" s="463"/>
      <c r="R86" s="463"/>
      <c r="S86" s="462">
        <v>35000</v>
      </c>
      <c r="T86" s="473" t="s">
        <v>25</v>
      </c>
      <c r="U86" s="473" t="s">
        <v>26</v>
      </c>
      <c r="V86" s="472">
        <v>10</v>
      </c>
      <c r="W86" s="474" t="s">
        <v>29</v>
      </c>
      <c r="X86" s="472" t="s">
        <v>27</v>
      </c>
      <c r="Y86" s="462"/>
      <c r="Z86" s="462"/>
      <c r="AA86" s="462"/>
      <c r="AB86" s="462" t="s">
        <v>443</v>
      </c>
      <c r="AC86" s="462"/>
      <c r="AD86" s="462">
        <f>S86*V86</f>
        <v>350000</v>
      </c>
      <c r="AE86" s="471" t="s">
        <v>25</v>
      </c>
    </row>
    <row r="87" spans="1:31" s="11" customFormat="1" ht="21" customHeight="1">
      <c r="A87" s="37"/>
      <c r="B87" s="38"/>
      <c r="C87" s="38"/>
      <c r="D87" s="439"/>
      <c r="E87" s="440"/>
      <c r="F87" s="440"/>
      <c r="G87" s="440"/>
      <c r="H87" s="440"/>
      <c r="I87" s="440"/>
      <c r="J87" s="440"/>
      <c r="K87" s="440"/>
      <c r="L87" s="440"/>
      <c r="M87" s="97"/>
      <c r="N87" s="60"/>
      <c r="O87" s="463"/>
      <c r="P87" s="463"/>
      <c r="Q87" s="463"/>
      <c r="R87" s="463"/>
      <c r="S87" s="462">
        <v>35000</v>
      </c>
      <c r="T87" s="473" t="s">
        <v>25</v>
      </c>
      <c r="U87" s="473" t="s">
        <v>26</v>
      </c>
      <c r="V87" s="472">
        <v>2</v>
      </c>
      <c r="W87" s="474" t="s">
        <v>29</v>
      </c>
      <c r="X87" s="472" t="s">
        <v>27</v>
      </c>
      <c r="Y87" s="462"/>
      <c r="Z87" s="462"/>
      <c r="AA87" s="462"/>
      <c r="AB87" s="462" t="s">
        <v>386</v>
      </c>
      <c r="AC87" s="462"/>
      <c r="AD87" s="462">
        <f>S87*V87</f>
        <v>70000</v>
      </c>
      <c r="AE87" s="471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3" t="s">
        <v>450</v>
      </c>
      <c r="P88" s="463"/>
      <c r="Q88" s="463"/>
      <c r="R88" s="463"/>
      <c r="S88" s="462">
        <v>380000</v>
      </c>
      <c r="T88" s="470" t="s">
        <v>25</v>
      </c>
      <c r="U88" s="470" t="s">
        <v>26</v>
      </c>
      <c r="V88" s="462">
        <v>9</v>
      </c>
      <c r="W88" s="463" t="s">
        <v>29</v>
      </c>
      <c r="X88" s="462" t="s">
        <v>27</v>
      </c>
      <c r="Y88" s="462"/>
      <c r="Z88" s="462"/>
      <c r="AA88" s="462"/>
      <c r="AB88" s="462" t="s">
        <v>443</v>
      </c>
      <c r="AC88" s="462"/>
      <c r="AD88" s="462">
        <f>S88*V88</f>
        <v>3420000</v>
      </c>
      <c r="AE88" s="471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3"/>
      <c r="P89" s="463"/>
      <c r="Q89" s="463"/>
      <c r="R89" s="463"/>
      <c r="S89" s="462">
        <v>400000</v>
      </c>
      <c r="T89" s="470" t="s">
        <v>25</v>
      </c>
      <c r="U89" s="470" t="s">
        <v>26</v>
      </c>
      <c r="V89" s="462">
        <v>2</v>
      </c>
      <c r="W89" s="463" t="s">
        <v>29</v>
      </c>
      <c r="X89" s="462" t="s">
        <v>27</v>
      </c>
      <c r="Y89" s="462"/>
      <c r="Z89" s="462"/>
      <c r="AA89" s="462"/>
      <c r="AB89" s="462" t="s">
        <v>510</v>
      </c>
      <c r="AC89" s="462"/>
      <c r="AD89" s="462">
        <f>S89*V89</f>
        <v>800000</v>
      </c>
      <c r="AE89" s="471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3"/>
      <c r="P90" s="463"/>
      <c r="Q90" s="463"/>
      <c r="R90" s="463"/>
      <c r="S90" s="462">
        <v>399000</v>
      </c>
      <c r="T90" s="470" t="s">
        <v>25</v>
      </c>
      <c r="U90" s="470" t="s">
        <v>26</v>
      </c>
      <c r="V90" s="462">
        <v>1</v>
      </c>
      <c r="W90" s="463" t="s">
        <v>29</v>
      </c>
      <c r="X90" s="462" t="s">
        <v>27</v>
      </c>
      <c r="Y90" s="462"/>
      <c r="Z90" s="462"/>
      <c r="AA90" s="462"/>
      <c r="AB90" s="462" t="s">
        <v>451</v>
      </c>
      <c r="AC90" s="462"/>
      <c r="AD90" s="462">
        <f>S90*V90</f>
        <v>399000</v>
      </c>
      <c r="AE90" s="471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3" t="s">
        <v>452</v>
      </c>
      <c r="P91" s="463"/>
      <c r="Q91" s="463"/>
      <c r="R91" s="463"/>
      <c r="S91" s="462"/>
      <c r="T91" s="470"/>
      <c r="V91" s="462"/>
      <c r="W91" s="463"/>
      <c r="X91" s="462"/>
      <c r="Y91" s="462"/>
      <c r="Z91" s="462"/>
      <c r="AA91" s="462"/>
      <c r="AB91" s="462" t="s">
        <v>386</v>
      </c>
      <c r="AC91" s="462"/>
      <c r="AD91" s="462">
        <v>293000</v>
      </c>
      <c r="AE91" s="471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3"/>
      <c r="P92" s="463"/>
      <c r="Q92" s="463"/>
      <c r="R92" s="463"/>
      <c r="S92" s="462"/>
      <c r="T92" s="470"/>
      <c r="V92" s="462"/>
      <c r="W92" s="463"/>
      <c r="X92" s="462"/>
      <c r="Y92" s="462"/>
      <c r="Z92" s="462"/>
      <c r="AA92" s="462"/>
      <c r="AB92" s="462" t="s">
        <v>166</v>
      </c>
      <c r="AC92" s="462"/>
      <c r="AD92" s="462">
        <v>3000</v>
      </c>
      <c r="AE92" s="471" t="s">
        <v>25</v>
      </c>
    </row>
    <row r="93" spans="1:31" ht="21" customHeight="1">
      <c r="A93" s="37"/>
      <c r="B93" s="38"/>
      <c r="C93" s="28" t="s">
        <v>15</v>
      </c>
      <c r="D93" s="135">
        <v>430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90</v>
      </c>
      <c r="N93" s="109">
        <f>IF(D93=0,0,M93/D93)</f>
        <v>0.20930232558139536</v>
      </c>
      <c r="O93" s="339" t="s">
        <v>44</v>
      </c>
      <c r="P93" s="340"/>
      <c r="Q93" s="340"/>
      <c r="R93" s="340"/>
      <c r="S93" s="340"/>
      <c r="T93" s="341"/>
      <c r="U93" s="341"/>
      <c r="V93" s="341"/>
      <c r="W93" s="341"/>
      <c r="X93" s="341"/>
      <c r="Y93" s="336" t="s">
        <v>371</v>
      </c>
      <c r="Z93" s="336"/>
      <c r="AA93" s="336"/>
      <c r="AB93" s="336"/>
      <c r="AC93" s="337"/>
      <c r="AD93" s="337">
        <f>SUM(AD94:AD98)</f>
        <v>520000</v>
      </c>
      <c r="AE93" s="338" t="s">
        <v>25</v>
      </c>
    </row>
    <row r="94" spans="1:31" s="11" customFormat="1" ht="21" customHeight="1">
      <c r="A94" s="37"/>
      <c r="B94" s="38"/>
      <c r="C94" s="38"/>
      <c r="D94" s="437"/>
      <c r="E94" s="438"/>
      <c r="F94" s="438"/>
      <c r="G94" s="438"/>
      <c r="H94" s="438"/>
      <c r="I94" s="438"/>
      <c r="J94" s="438"/>
      <c r="K94" s="438"/>
      <c r="L94" s="438"/>
      <c r="M94" s="97"/>
      <c r="N94" s="60"/>
      <c r="O94" s="463" t="s">
        <v>453</v>
      </c>
      <c r="P94" s="476"/>
      <c r="Q94" s="476"/>
      <c r="R94" s="476"/>
      <c r="S94" s="462">
        <v>20000</v>
      </c>
      <c r="T94" s="470" t="s">
        <v>25</v>
      </c>
      <c r="U94" s="470" t="s">
        <v>26</v>
      </c>
      <c r="V94" s="462">
        <v>1</v>
      </c>
      <c r="W94" s="463" t="s">
        <v>501</v>
      </c>
      <c r="X94" s="467"/>
      <c r="Y94" s="478"/>
      <c r="Z94" s="462"/>
      <c r="AA94" s="462" t="s">
        <v>27</v>
      </c>
      <c r="AB94" s="462" t="s">
        <v>434</v>
      </c>
      <c r="AC94" s="462"/>
      <c r="AD94" s="462">
        <f>S94*V94</f>
        <v>20000</v>
      </c>
      <c r="AE94" s="471" t="s">
        <v>25</v>
      </c>
    </row>
    <row r="95" spans="1:31" s="11" customFormat="1" ht="21" customHeight="1">
      <c r="A95" s="37"/>
      <c r="B95" s="38"/>
      <c r="C95" s="38"/>
      <c r="D95" s="439"/>
      <c r="E95" s="440"/>
      <c r="F95" s="440"/>
      <c r="G95" s="440"/>
      <c r="H95" s="440"/>
      <c r="I95" s="440"/>
      <c r="J95" s="440"/>
      <c r="K95" s="440"/>
      <c r="L95" s="440"/>
      <c r="M95" s="97"/>
      <c r="N95" s="60"/>
      <c r="O95" s="463" t="s">
        <v>455</v>
      </c>
      <c r="P95" s="476"/>
      <c r="Q95" s="476"/>
      <c r="R95" s="476"/>
      <c r="S95" s="462">
        <v>600000</v>
      </c>
      <c r="T95" s="470" t="s">
        <v>25</v>
      </c>
      <c r="U95" s="470" t="s">
        <v>26</v>
      </c>
      <c r="V95" s="462">
        <v>1</v>
      </c>
      <c r="W95" s="463" t="s">
        <v>454</v>
      </c>
      <c r="X95" s="467" t="s">
        <v>106</v>
      </c>
      <c r="Y95" s="478">
        <v>3</v>
      </c>
      <c r="Z95" s="462"/>
      <c r="AA95" s="462" t="s">
        <v>27</v>
      </c>
      <c r="AB95" s="462" t="s">
        <v>434</v>
      </c>
      <c r="AC95" s="462"/>
      <c r="AD95" s="462">
        <f>ROUNDDOWN(S95*V95/Y95,-4)</f>
        <v>200000</v>
      </c>
      <c r="AE95" s="471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3" t="s">
        <v>456</v>
      </c>
      <c r="P96" s="476"/>
      <c r="Q96" s="476"/>
      <c r="R96" s="476"/>
      <c r="S96" s="462">
        <v>200000</v>
      </c>
      <c r="T96" s="470" t="s">
        <v>25</v>
      </c>
      <c r="U96" s="470" t="s">
        <v>26</v>
      </c>
      <c r="V96" s="462">
        <v>1</v>
      </c>
      <c r="W96" s="463" t="s">
        <v>454</v>
      </c>
      <c r="X96" s="467"/>
      <c r="Y96" s="478"/>
      <c r="Z96" s="462"/>
      <c r="AA96" s="462" t="s">
        <v>27</v>
      </c>
      <c r="AB96" s="462" t="s">
        <v>434</v>
      </c>
      <c r="AC96" s="462"/>
      <c r="AD96" s="462">
        <f>S96*V96</f>
        <v>200000</v>
      </c>
      <c r="AE96" s="471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3" t="s">
        <v>457</v>
      </c>
      <c r="P97" s="476"/>
      <c r="Q97" s="476"/>
      <c r="R97" s="476"/>
      <c r="S97" s="463"/>
      <c r="T97" s="435"/>
      <c r="U97" s="477"/>
      <c r="V97" s="472"/>
      <c r="W97" s="473"/>
      <c r="X97" s="473"/>
      <c r="Y97" s="472"/>
      <c r="Z97" s="474"/>
      <c r="AA97" s="472" t="s">
        <v>27</v>
      </c>
      <c r="AB97" s="462" t="s">
        <v>381</v>
      </c>
      <c r="AC97" s="462"/>
      <c r="AD97" s="462">
        <v>100000</v>
      </c>
      <c r="AE97" s="471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3"/>
      <c r="P98" s="425"/>
      <c r="Q98" s="425"/>
      <c r="R98" s="425"/>
      <c r="S98" s="425"/>
      <c r="T98" s="274"/>
      <c r="U98" s="342"/>
      <c r="V98" s="273"/>
      <c r="W98" s="332"/>
      <c r="X98" s="270"/>
      <c r="Y98" s="270"/>
      <c r="Z98" s="270"/>
      <c r="AA98" s="273"/>
      <c r="AB98" s="273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580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100</v>
      </c>
      <c r="N99" s="109">
        <f>IF(D99=0,0,M99/D99)</f>
        <v>0.17241379310344829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3" t="s">
        <v>371</v>
      </c>
      <c r="Z99" s="423"/>
      <c r="AA99" s="423"/>
      <c r="AB99" s="302"/>
      <c r="AC99" s="303"/>
      <c r="AD99" s="303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37"/>
      <c r="E100" s="438"/>
      <c r="F100" s="438"/>
      <c r="G100" s="438"/>
      <c r="H100" s="438"/>
      <c r="I100" s="438"/>
      <c r="J100" s="438"/>
      <c r="K100" s="438"/>
      <c r="L100" s="438"/>
      <c r="M100" s="97"/>
      <c r="N100" s="60"/>
      <c r="O100" s="463" t="s">
        <v>458</v>
      </c>
      <c r="P100" s="463"/>
      <c r="Q100" s="463"/>
      <c r="R100" s="463"/>
      <c r="S100" s="462">
        <v>40000</v>
      </c>
      <c r="T100" s="470" t="s">
        <v>25</v>
      </c>
      <c r="U100" s="470" t="s">
        <v>26</v>
      </c>
      <c r="V100" s="462">
        <v>12</v>
      </c>
      <c r="W100" s="463" t="s">
        <v>29</v>
      </c>
      <c r="X100" s="462" t="s">
        <v>27</v>
      </c>
      <c r="Y100" s="462"/>
      <c r="Z100" s="462"/>
      <c r="AA100" s="462"/>
      <c r="AB100" s="462" t="s">
        <v>434</v>
      </c>
      <c r="AC100" s="462"/>
      <c r="AD100" s="462">
        <f>S100*V100</f>
        <v>480000</v>
      </c>
      <c r="AE100" s="471" t="s">
        <v>25</v>
      </c>
    </row>
    <row r="101" spans="1:31" s="11" customFormat="1" ht="21" customHeight="1">
      <c r="A101" s="37"/>
      <c r="B101" s="38"/>
      <c r="C101" s="38"/>
      <c r="D101" s="439"/>
      <c r="E101" s="440"/>
      <c r="F101" s="440"/>
      <c r="G101" s="440"/>
      <c r="H101" s="440"/>
      <c r="I101" s="440"/>
      <c r="J101" s="440"/>
      <c r="K101" s="440"/>
      <c r="L101" s="440"/>
      <c r="M101" s="97"/>
      <c r="N101" s="60"/>
      <c r="O101" s="463" t="s">
        <v>459</v>
      </c>
      <c r="P101" s="463"/>
      <c r="Q101" s="463"/>
      <c r="R101" s="463"/>
      <c r="S101" s="462"/>
      <c r="T101" s="470"/>
      <c r="U101" s="470"/>
      <c r="V101" s="462"/>
      <c r="W101" s="463"/>
      <c r="X101" s="462"/>
      <c r="Y101" s="462"/>
      <c r="Z101" s="462"/>
      <c r="AA101" s="462"/>
      <c r="AB101" s="462" t="s">
        <v>434</v>
      </c>
      <c r="AC101" s="462"/>
      <c r="AD101" s="462">
        <v>200000</v>
      </c>
      <c r="AE101" s="471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2"/>
      <c r="P102" s="422"/>
      <c r="Q102" s="422"/>
      <c r="R102" s="422"/>
      <c r="S102" s="421"/>
      <c r="T102" s="394"/>
      <c r="U102" s="421"/>
      <c r="V102" s="580"/>
      <c r="W102" s="581"/>
      <c r="X102" s="421"/>
      <c r="Y102" s="421"/>
      <c r="Z102" s="421"/>
      <c r="AA102" s="421"/>
      <c r="AB102" s="421"/>
      <c r="AC102" s="421"/>
      <c r="AD102" s="421"/>
      <c r="AE102" s="395"/>
    </row>
    <row r="103" spans="1:31" s="11" customFormat="1" ht="21" customHeight="1">
      <c r="A103" s="37"/>
      <c r="B103" s="38"/>
      <c r="C103" s="28" t="s">
        <v>382</v>
      </c>
      <c r="D103" s="115">
        <v>2010</v>
      </c>
      <c r="E103" s="102">
        <f>ROUND(AD103/1000,0)</f>
        <v>2080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400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70</v>
      </c>
      <c r="N103" s="109">
        <f>IF(D103=0,0,M103/D103)</f>
        <v>3.482587064676617E-2</v>
      </c>
      <c r="O103" s="105" t="s">
        <v>383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3" t="s">
        <v>384</v>
      </c>
      <c r="Z103" s="423"/>
      <c r="AA103" s="423"/>
      <c r="AB103" s="423"/>
      <c r="AC103" s="147"/>
      <c r="AD103" s="147">
        <f>SUM(AD104,AD106)</f>
        <v>2080000</v>
      </c>
      <c r="AE103" s="146" t="s">
        <v>25</v>
      </c>
    </row>
    <row r="104" spans="1:31" s="11" customFormat="1" ht="21" customHeight="1">
      <c r="A104" s="37"/>
      <c r="B104" s="38"/>
      <c r="C104" s="38"/>
      <c r="D104" s="437"/>
      <c r="E104" s="438"/>
      <c r="F104" s="438"/>
      <c r="G104" s="438"/>
      <c r="H104" s="438"/>
      <c r="I104" s="438"/>
      <c r="J104" s="438"/>
      <c r="K104" s="438"/>
      <c r="L104" s="438"/>
      <c r="M104" s="97"/>
      <c r="N104" s="60"/>
      <c r="O104" s="463" t="s">
        <v>460</v>
      </c>
      <c r="P104" s="479"/>
      <c r="Q104" s="479"/>
      <c r="R104" s="479"/>
      <c r="S104" s="479"/>
      <c r="T104" s="480"/>
      <c r="U104" s="480"/>
      <c r="V104" s="480"/>
      <c r="W104" s="480"/>
      <c r="X104" s="480"/>
      <c r="Y104" s="481" t="s">
        <v>371</v>
      </c>
      <c r="Z104" s="481"/>
      <c r="AA104" s="481"/>
      <c r="AB104" s="481"/>
      <c r="AC104" s="482"/>
      <c r="AD104" s="482">
        <f>AD105</f>
        <v>280000</v>
      </c>
      <c r="AE104" s="483" t="s">
        <v>56</v>
      </c>
    </row>
    <row r="105" spans="1:31" s="11" customFormat="1" ht="20.25" customHeight="1">
      <c r="A105" s="37"/>
      <c r="B105" s="38"/>
      <c r="C105" s="38"/>
      <c r="D105" s="437"/>
      <c r="E105" s="438"/>
      <c r="F105" s="438"/>
      <c r="G105" s="440"/>
      <c r="H105" s="438"/>
      <c r="I105" s="438"/>
      <c r="J105" s="440"/>
      <c r="K105" s="438"/>
      <c r="L105" s="438"/>
      <c r="M105" s="97"/>
      <c r="N105" s="60"/>
      <c r="O105" s="463" t="s">
        <v>504</v>
      </c>
      <c r="P105" s="463"/>
      <c r="Q105" s="463"/>
      <c r="R105" s="463"/>
      <c r="S105" s="462">
        <v>70000</v>
      </c>
      <c r="T105" s="462" t="s">
        <v>25</v>
      </c>
      <c r="U105" s="484" t="s">
        <v>26</v>
      </c>
      <c r="V105" s="462">
        <v>4</v>
      </c>
      <c r="W105" s="462" t="s">
        <v>454</v>
      </c>
      <c r="X105" s="484"/>
      <c r="Y105" s="462"/>
      <c r="Z105" s="462"/>
      <c r="AA105" s="462" t="s">
        <v>27</v>
      </c>
      <c r="AB105" s="462" t="s">
        <v>434</v>
      </c>
      <c r="AC105" s="435"/>
      <c r="AD105" s="435">
        <f>S105*V105</f>
        <v>280000</v>
      </c>
      <c r="AE105" s="471" t="s">
        <v>25</v>
      </c>
    </row>
    <row r="106" spans="1:31" s="11" customFormat="1" ht="20.25" customHeight="1">
      <c r="A106" s="37"/>
      <c r="B106" s="38"/>
      <c r="C106" s="38"/>
      <c r="D106" s="439"/>
      <c r="E106" s="440"/>
      <c r="F106" s="440"/>
      <c r="G106" s="440"/>
      <c r="H106" s="440"/>
      <c r="I106" s="440"/>
      <c r="J106" s="440"/>
      <c r="K106" s="440"/>
      <c r="L106" s="440"/>
      <c r="M106" s="97"/>
      <c r="N106" s="60"/>
      <c r="O106" s="488" t="s">
        <v>461</v>
      </c>
      <c r="P106" s="463"/>
      <c r="Q106" s="463"/>
      <c r="R106" s="463"/>
      <c r="S106" s="462"/>
      <c r="T106" s="462"/>
      <c r="U106" s="484"/>
      <c r="V106" s="462"/>
      <c r="W106" s="462"/>
      <c r="X106" s="484"/>
      <c r="Y106" s="485" t="s">
        <v>371</v>
      </c>
      <c r="Z106" s="485"/>
      <c r="AA106" s="485"/>
      <c r="AB106" s="485"/>
      <c r="AC106" s="486"/>
      <c r="AD106" s="486">
        <f>SUM(AD107:AD108)</f>
        <v>1800000</v>
      </c>
      <c r="AE106" s="487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3" t="s">
        <v>462</v>
      </c>
      <c r="P107" s="463"/>
      <c r="Q107" s="463"/>
      <c r="R107" s="463"/>
      <c r="S107" s="462">
        <v>140000</v>
      </c>
      <c r="T107" s="462" t="s">
        <v>25</v>
      </c>
      <c r="U107" s="484" t="s">
        <v>26</v>
      </c>
      <c r="V107" s="462">
        <v>12</v>
      </c>
      <c r="W107" s="462" t="s">
        <v>454</v>
      </c>
      <c r="X107" s="484"/>
      <c r="Y107" s="462"/>
      <c r="Z107" s="462"/>
      <c r="AA107" s="462" t="s">
        <v>27</v>
      </c>
      <c r="AB107" s="462" t="s">
        <v>386</v>
      </c>
      <c r="AC107" s="435"/>
      <c r="AD107" s="435">
        <f>S107*V107</f>
        <v>1680000</v>
      </c>
      <c r="AE107" s="471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69" t="s">
        <v>503</v>
      </c>
      <c r="P108" s="468"/>
      <c r="Q108" s="469"/>
      <c r="R108" s="469"/>
      <c r="S108" s="291"/>
      <c r="T108" s="44"/>
      <c r="U108" s="235"/>
      <c r="V108" s="291"/>
      <c r="W108" s="64"/>
      <c r="X108" s="64"/>
      <c r="Y108" s="67"/>
      <c r="Z108" s="65"/>
      <c r="AA108" s="522"/>
      <c r="AB108" s="291" t="s">
        <v>381</v>
      </c>
      <c r="AC108" s="58"/>
      <c r="AD108" s="58">
        <v>120000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1"/>
      <c r="P109" s="351"/>
      <c r="Q109" s="351"/>
      <c r="R109" s="351"/>
      <c r="S109" s="350"/>
      <c r="T109" s="351"/>
      <c r="U109" s="350"/>
      <c r="V109" s="117"/>
      <c r="W109" s="117"/>
      <c r="X109" s="350"/>
      <c r="Y109" s="350"/>
      <c r="Z109" s="350"/>
      <c r="AA109" s="350"/>
      <c r="AB109" s="350"/>
      <c r="AC109" s="350"/>
      <c r="AD109" s="350"/>
      <c r="AE109" s="63"/>
    </row>
    <row r="110" spans="1:31" s="11" customFormat="1" ht="21" customHeight="1">
      <c r="A110" s="101" t="s">
        <v>47</v>
      </c>
      <c r="B110" s="599" t="s">
        <v>20</v>
      </c>
      <c r="C110" s="599"/>
      <c r="D110" s="158">
        <f>D111</f>
        <v>44247</v>
      </c>
      <c r="E110" s="158">
        <f>E111</f>
        <v>3100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0</v>
      </c>
      <c r="I110" s="158">
        <f t="shared" si="5"/>
        <v>0</v>
      </c>
      <c r="J110" s="158">
        <f t="shared" si="5"/>
        <v>3100</v>
      </c>
      <c r="K110" s="158">
        <f t="shared" si="5"/>
        <v>0</v>
      </c>
      <c r="L110" s="158">
        <f t="shared" si="5"/>
        <v>0</v>
      </c>
      <c r="M110" s="447">
        <f>E110-D110</f>
        <v>-41147</v>
      </c>
      <c r="N110" s="141">
        <f>IF(D110=0,0,M110/D110)</f>
        <v>-0.92993875290980177</v>
      </c>
      <c r="O110" s="151" t="s">
        <v>387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3100000</v>
      </c>
      <c r="AE110" s="26" t="s">
        <v>25</v>
      </c>
    </row>
    <row r="111" spans="1:31" s="11" customFormat="1" ht="21" customHeight="1">
      <c r="A111" s="157" t="s">
        <v>388</v>
      </c>
      <c r="B111" s="38" t="s">
        <v>17</v>
      </c>
      <c r="C111" s="38" t="s">
        <v>389</v>
      </c>
      <c r="D111" s="97">
        <f t="shared" ref="D111:L111" si="6">SUM(D112,D114,D126)</f>
        <v>44247</v>
      </c>
      <c r="E111" s="97">
        <f t="shared" si="6"/>
        <v>3100</v>
      </c>
      <c r="F111" s="97">
        <f t="shared" si="6"/>
        <v>0</v>
      </c>
      <c r="G111" s="97">
        <f t="shared" si="6"/>
        <v>0</v>
      </c>
      <c r="H111" s="97">
        <f t="shared" si="6"/>
        <v>0</v>
      </c>
      <c r="I111" s="97">
        <f t="shared" si="6"/>
        <v>0</v>
      </c>
      <c r="J111" s="97">
        <f t="shared" si="6"/>
        <v>3100</v>
      </c>
      <c r="K111" s="97">
        <f t="shared" si="6"/>
        <v>0</v>
      </c>
      <c r="L111" s="97">
        <f t="shared" si="6"/>
        <v>0</v>
      </c>
      <c r="M111" s="97">
        <f>E111-D111</f>
        <v>-41147</v>
      </c>
      <c r="N111" s="60">
        <f>IF(D111=0,0,M111/D111)</f>
        <v>-0.92993875290980177</v>
      </c>
      <c r="O111" s="153" t="s">
        <v>390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3100000</v>
      </c>
      <c r="AE111" s="83" t="s">
        <v>25</v>
      </c>
    </row>
    <row r="112" spans="1:31" s="11" customFormat="1" ht="21" customHeight="1">
      <c r="A112" s="37"/>
      <c r="B112" s="38"/>
      <c r="C112" s="28" t="s">
        <v>390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23" t="s">
        <v>389</v>
      </c>
      <c r="Z112" s="423"/>
      <c r="AA112" s="423"/>
      <c r="AB112" s="423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341</v>
      </c>
      <c r="AC113" s="106"/>
      <c r="AD113" s="398">
        <v>0</v>
      </c>
      <c r="AE113" s="402" t="s">
        <v>336</v>
      </c>
    </row>
    <row r="114" spans="1:31" s="11" customFormat="1" ht="21" customHeight="1">
      <c r="A114" s="37"/>
      <c r="B114" s="38"/>
      <c r="C114" s="28" t="s">
        <v>18</v>
      </c>
      <c r="D114" s="135">
        <v>0</v>
      </c>
      <c r="E114" s="102">
        <f>ROUND(AD114/1000,0)</f>
        <v>3000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0</v>
      </c>
      <c r="I114" s="103">
        <f>SUMIF($AB$115:$AB$125,"후원",$AD$115:$AD$125)/1000</f>
        <v>0</v>
      </c>
      <c r="J114" s="103">
        <f>SUMIF($AB$115:$AB$125,"입소",$AD$115:$AD$125)/1000</f>
        <v>3000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3000</v>
      </c>
      <c r="N114" s="109">
        <f>IF(D114=0,0,M114/D114)</f>
        <v>0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23" t="s">
        <v>371</v>
      </c>
      <c r="Z114" s="423"/>
      <c r="AA114" s="423"/>
      <c r="AB114" s="423"/>
      <c r="AC114" s="147"/>
      <c r="AD114" s="303">
        <f>SUM(AD115:AD125)</f>
        <v>3000000</v>
      </c>
      <c r="AE114" s="146" t="s">
        <v>25</v>
      </c>
    </row>
    <row r="115" spans="1:31" s="11" customFormat="1" ht="21" customHeight="1">
      <c r="A115" s="37"/>
      <c r="B115" s="38"/>
      <c r="C115" s="38"/>
      <c r="D115" s="437"/>
      <c r="E115" s="438"/>
      <c r="F115" s="438"/>
      <c r="G115" s="438"/>
      <c r="H115" s="438"/>
      <c r="I115" s="438"/>
      <c r="J115" s="438"/>
      <c r="K115" s="438"/>
      <c r="L115" s="438"/>
      <c r="M115" s="97"/>
      <c r="N115" s="60"/>
      <c r="O115" s="604" t="s">
        <v>492</v>
      </c>
      <c r="P115" s="605"/>
      <c r="Q115" s="605"/>
      <c r="R115" s="605"/>
      <c r="S115" s="462"/>
      <c r="T115" s="470"/>
      <c r="U115" s="470"/>
      <c r="V115" s="462"/>
      <c r="W115" s="463"/>
      <c r="X115" s="462"/>
      <c r="Y115" s="462"/>
      <c r="Z115" s="462"/>
      <c r="AA115" s="462"/>
      <c r="AB115" s="462" t="s">
        <v>465</v>
      </c>
      <c r="AC115" s="462"/>
      <c r="AD115" s="462">
        <v>0</v>
      </c>
      <c r="AE115" s="471" t="s">
        <v>25</v>
      </c>
    </row>
    <row r="116" spans="1:31" s="11" customFormat="1" ht="21" customHeight="1">
      <c r="A116" s="37"/>
      <c r="B116" s="38"/>
      <c r="C116" s="38"/>
      <c r="D116" s="439"/>
      <c r="E116" s="440"/>
      <c r="F116" s="440"/>
      <c r="G116" s="440"/>
      <c r="H116" s="440"/>
      <c r="I116" s="440"/>
      <c r="J116" s="440"/>
      <c r="K116" s="440"/>
      <c r="L116" s="440"/>
      <c r="M116" s="97"/>
      <c r="N116" s="60"/>
      <c r="O116" s="463" t="s">
        <v>529</v>
      </c>
      <c r="P116" s="463"/>
      <c r="Q116" s="463"/>
      <c r="R116" s="479"/>
      <c r="S116" s="479"/>
      <c r="T116" s="480"/>
      <c r="U116" s="480"/>
      <c r="V116" s="480"/>
      <c r="W116" s="480"/>
      <c r="X116" s="480"/>
      <c r="Y116" s="480"/>
      <c r="Z116" s="480"/>
      <c r="AA116" s="480"/>
      <c r="AB116" s="462" t="s">
        <v>434</v>
      </c>
      <c r="AC116" s="489"/>
      <c r="AD116" s="435">
        <v>3000000</v>
      </c>
      <c r="AE116" s="471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27"/>
      <c r="P117" s="427"/>
      <c r="Q117" s="427"/>
      <c r="R117" s="427"/>
      <c r="S117" s="426"/>
      <c r="T117" s="397"/>
      <c r="U117" s="293"/>
      <c r="V117" s="121"/>
      <c r="W117" s="121"/>
      <c r="X117" s="426"/>
      <c r="Y117" s="426"/>
      <c r="Z117" s="426"/>
      <c r="AA117" s="426"/>
      <c r="AB117" s="426"/>
      <c r="AC117" s="426"/>
      <c r="AD117" s="426"/>
      <c r="AE117" s="122"/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27"/>
      <c r="P118" s="427"/>
      <c r="Q118" s="427"/>
      <c r="R118" s="427"/>
      <c r="S118" s="426"/>
      <c r="T118" s="293"/>
      <c r="U118" s="293"/>
      <c r="V118" s="426"/>
      <c r="W118" s="427"/>
      <c r="X118" s="426"/>
      <c r="Y118" s="426"/>
      <c r="Z118" s="426"/>
      <c r="AA118" s="426"/>
      <c r="AB118" s="426" t="s">
        <v>367</v>
      </c>
      <c r="AC118" s="426"/>
      <c r="AD118" s="426"/>
      <c r="AE118" s="122" t="s">
        <v>336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27"/>
      <c r="P119" s="427"/>
      <c r="Q119" s="427"/>
      <c r="R119" s="427"/>
      <c r="S119" s="426"/>
      <c r="T119" s="397"/>
      <c r="U119" s="293"/>
      <c r="V119" s="121"/>
      <c r="W119" s="121"/>
      <c r="X119" s="426"/>
      <c r="Y119" s="426"/>
      <c r="Z119" s="426"/>
      <c r="AA119" s="426"/>
      <c r="AB119" s="426" t="s">
        <v>367</v>
      </c>
      <c r="AC119" s="426"/>
      <c r="AD119" s="426"/>
      <c r="AE119" s="122" t="s">
        <v>336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7"/>
      <c r="P120" s="427"/>
      <c r="Q120" s="427"/>
      <c r="R120" s="427"/>
      <c r="S120" s="426"/>
      <c r="T120" s="397"/>
      <c r="U120" s="293"/>
      <c r="V120" s="121"/>
      <c r="W120" s="121"/>
      <c r="X120" s="426"/>
      <c r="Y120" s="426"/>
      <c r="Z120" s="426"/>
      <c r="AA120" s="426"/>
      <c r="AB120" s="426" t="s">
        <v>367</v>
      </c>
      <c r="AC120" s="426"/>
      <c r="AD120" s="426"/>
      <c r="AE120" s="122" t="s">
        <v>336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7"/>
      <c r="P121" s="427"/>
      <c r="Q121" s="427"/>
      <c r="R121" s="427"/>
      <c r="S121" s="426"/>
      <c r="T121" s="397"/>
      <c r="U121" s="293"/>
      <c r="V121" s="121"/>
      <c r="W121" s="121"/>
      <c r="X121" s="426"/>
      <c r="Y121" s="426"/>
      <c r="Z121" s="426"/>
      <c r="AA121" s="426"/>
      <c r="AB121" s="426" t="s">
        <v>367</v>
      </c>
      <c r="AC121" s="426"/>
      <c r="AD121" s="426"/>
      <c r="AE121" s="122" t="s">
        <v>336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7"/>
      <c r="P122" s="427"/>
      <c r="Q122" s="427"/>
      <c r="R122" s="427"/>
      <c r="S122" s="426"/>
      <c r="T122" s="397"/>
      <c r="U122" s="293"/>
      <c r="V122" s="121"/>
      <c r="W122" s="121"/>
      <c r="X122" s="426"/>
      <c r="Y122" s="426"/>
      <c r="Z122" s="426"/>
      <c r="AA122" s="426"/>
      <c r="AB122" s="426" t="s">
        <v>367</v>
      </c>
      <c r="AC122" s="426"/>
      <c r="AD122" s="426"/>
      <c r="AE122" s="122" t="s">
        <v>336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7"/>
      <c r="P123" s="427"/>
      <c r="Q123" s="427"/>
      <c r="R123" s="427"/>
      <c r="S123" s="426"/>
      <c r="T123" s="397"/>
      <c r="U123" s="293"/>
      <c r="V123" s="121"/>
      <c r="W123" s="121"/>
      <c r="X123" s="426"/>
      <c r="Y123" s="426"/>
      <c r="Z123" s="426"/>
      <c r="AA123" s="426"/>
      <c r="AB123" s="426" t="s">
        <v>367</v>
      </c>
      <c r="AC123" s="426"/>
      <c r="AD123" s="426"/>
      <c r="AE123" s="122" t="s">
        <v>336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7"/>
      <c r="P124" s="427"/>
      <c r="Q124" s="427"/>
      <c r="R124" s="427"/>
      <c r="S124" s="426"/>
      <c r="T124" s="397"/>
      <c r="U124" s="293"/>
      <c r="V124" s="121"/>
      <c r="W124" s="121"/>
      <c r="X124" s="426"/>
      <c r="Y124" s="426"/>
      <c r="Z124" s="426"/>
      <c r="AA124" s="426"/>
      <c r="AB124" s="426" t="s">
        <v>367</v>
      </c>
      <c r="AC124" s="426"/>
      <c r="AD124" s="426"/>
      <c r="AE124" s="122" t="s">
        <v>336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7"/>
      <c r="P125" s="427"/>
      <c r="Q125" s="427"/>
      <c r="R125" s="427"/>
      <c r="S125" s="426"/>
      <c r="T125" s="397"/>
      <c r="U125" s="293"/>
      <c r="V125" s="121"/>
      <c r="W125" s="121"/>
      <c r="X125" s="426"/>
      <c r="Y125" s="426"/>
      <c r="Z125" s="426"/>
      <c r="AA125" s="426"/>
      <c r="AB125" s="426" t="s">
        <v>367</v>
      </c>
      <c r="AC125" s="426"/>
      <c r="AD125" s="426"/>
      <c r="AE125" s="122" t="s">
        <v>336</v>
      </c>
    </row>
    <row r="126" spans="1:31" s="11" customFormat="1" ht="21" customHeight="1">
      <c r="A126" s="37"/>
      <c r="B126" s="38"/>
      <c r="C126" s="28" t="s">
        <v>50</v>
      </c>
      <c r="D126" s="135">
        <v>44247</v>
      </c>
      <c r="E126" s="102">
        <f>ROUND(AD126/1000,0)</f>
        <v>100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100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-44147</v>
      </c>
      <c r="N126" s="109">
        <f>IF(D126=0,0,M126/D126)</f>
        <v>-0.99773995977128394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23" t="s">
        <v>371</v>
      </c>
      <c r="Z126" s="423"/>
      <c r="AA126" s="423"/>
      <c r="AB126" s="423"/>
      <c r="AC126" s="147"/>
      <c r="AD126" s="147">
        <f>SUM(AD127:AD131)</f>
        <v>100000</v>
      </c>
      <c r="AE126" s="146" t="s">
        <v>25</v>
      </c>
    </row>
    <row r="127" spans="1:31" s="1" customFormat="1" ht="21" customHeight="1">
      <c r="A127" s="37"/>
      <c r="B127" s="38"/>
      <c r="C127" s="38" t="s">
        <v>391</v>
      </c>
      <c r="D127" s="437"/>
      <c r="E127" s="438"/>
      <c r="F127" s="438"/>
      <c r="G127" s="438"/>
      <c r="H127" s="438"/>
      <c r="I127" s="438"/>
      <c r="J127" s="438"/>
      <c r="K127" s="438"/>
      <c r="L127" s="438"/>
      <c r="M127" s="97"/>
      <c r="N127" s="60"/>
      <c r="O127" s="463" t="s">
        <v>492</v>
      </c>
      <c r="P127" s="463"/>
      <c r="Q127" s="463"/>
      <c r="R127" s="463"/>
      <c r="S127" s="462"/>
      <c r="T127" s="470"/>
      <c r="U127" s="470"/>
      <c r="V127" s="462"/>
      <c r="W127" s="463"/>
      <c r="X127" s="462"/>
      <c r="Y127" s="462"/>
      <c r="Z127" s="462"/>
      <c r="AA127" s="462"/>
      <c r="AB127" s="462" t="s">
        <v>465</v>
      </c>
      <c r="AC127" s="462"/>
      <c r="AD127" s="462"/>
      <c r="AE127" s="471" t="s">
        <v>25</v>
      </c>
    </row>
    <row r="128" spans="1:31" s="1" customFormat="1" ht="21" customHeight="1">
      <c r="A128" s="37"/>
      <c r="B128" s="38"/>
      <c r="C128" s="38"/>
      <c r="D128" s="439"/>
      <c r="E128" s="440"/>
      <c r="F128" s="440"/>
      <c r="G128" s="440"/>
      <c r="H128" s="440"/>
      <c r="I128" s="440"/>
      <c r="J128" s="440"/>
      <c r="K128" s="440"/>
      <c r="L128" s="440"/>
      <c r="M128" s="97"/>
      <c r="N128" s="60"/>
      <c r="O128" s="463" t="s">
        <v>527</v>
      </c>
      <c r="P128" s="463"/>
      <c r="Q128" s="463"/>
      <c r="R128" s="463"/>
      <c r="S128" s="462"/>
      <c r="T128" s="470"/>
      <c r="U128" s="470"/>
      <c r="V128" s="462"/>
      <c r="W128" s="463"/>
      <c r="X128" s="462"/>
      <c r="Y128" s="462"/>
      <c r="Z128" s="462"/>
      <c r="AA128" s="462"/>
      <c r="AB128" s="462" t="s">
        <v>434</v>
      </c>
      <c r="AC128" s="462"/>
      <c r="AD128" s="462">
        <v>0</v>
      </c>
      <c r="AE128" s="471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3" t="s">
        <v>463</v>
      </c>
      <c r="P129" s="463"/>
      <c r="Q129" s="463"/>
      <c r="R129" s="463"/>
      <c r="S129" s="462"/>
      <c r="T129" s="470"/>
      <c r="U129" s="470"/>
      <c r="V129" s="462">
        <v>60000</v>
      </c>
      <c r="W129" s="463" t="s">
        <v>25</v>
      </c>
      <c r="X129" s="462" t="s">
        <v>26</v>
      </c>
      <c r="Y129" s="462">
        <v>1</v>
      </c>
      <c r="Z129" s="462" t="s">
        <v>454</v>
      </c>
      <c r="AA129" s="462" t="s">
        <v>27</v>
      </c>
      <c r="AB129" s="462" t="s">
        <v>434</v>
      </c>
      <c r="AC129" s="462"/>
      <c r="AD129" s="462">
        <f>V129*Y129</f>
        <v>60000</v>
      </c>
      <c r="AE129" s="471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63" t="s">
        <v>464</v>
      </c>
      <c r="P130" s="463"/>
      <c r="Q130" s="463"/>
      <c r="R130" s="463"/>
      <c r="S130" s="462"/>
      <c r="T130" s="470"/>
      <c r="U130" s="470"/>
      <c r="V130" s="462">
        <v>40000</v>
      </c>
      <c r="W130" s="463" t="s">
        <v>25</v>
      </c>
      <c r="X130" s="462" t="s">
        <v>26</v>
      </c>
      <c r="Y130" s="462">
        <v>1</v>
      </c>
      <c r="Z130" s="462" t="s">
        <v>454</v>
      </c>
      <c r="AA130" s="462" t="s">
        <v>27</v>
      </c>
      <c r="AB130" s="462" t="s">
        <v>434</v>
      </c>
      <c r="AC130" s="462"/>
      <c r="AD130" s="462">
        <f>V130*Y130</f>
        <v>40000</v>
      </c>
      <c r="AE130" s="471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7"/>
      <c r="P131" s="427"/>
      <c r="Q131" s="427"/>
      <c r="R131" s="427"/>
      <c r="S131" s="426"/>
      <c r="T131" s="293"/>
      <c r="U131" s="293"/>
      <c r="V131" s="426"/>
      <c r="W131" s="427"/>
      <c r="X131" s="426"/>
      <c r="Y131" s="426"/>
      <c r="Z131" s="426"/>
      <c r="AA131" s="426"/>
      <c r="AB131" s="426"/>
      <c r="AC131" s="426"/>
      <c r="AD131" s="426"/>
      <c r="AE131" s="122"/>
    </row>
    <row r="132" spans="1:31" s="11" customFormat="1" ht="21" customHeight="1">
      <c r="A132" s="159" t="s">
        <v>19</v>
      </c>
      <c r="B132" s="600" t="s">
        <v>20</v>
      </c>
      <c r="C132" s="601"/>
      <c r="D132" s="160">
        <f t="shared" ref="D132:M132" si="7">SUM(D133,D158)</f>
        <v>16472</v>
      </c>
      <c r="E132" s="160">
        <f t="shared" si="7"/>
        <v>22781</v>
      </c>
      <c r="F132" s="160">
        <f t="shared" ca="1" si="7"/>
        <v>5676</v>
      </c>
      <c r="G132" s="160">
        <f t="shared" si="7"/>
        <v>1642</v>
      </c>
      <c r="H132" s="160">
        <f t="shared" si="7"/>
        <v>0</v>
      </c>
      <c r="I132" s="160">
        <f t="shared" si="7"/>
        <v>403</v>
      </c>
      <c r="J132" s="160">
        <f t="shared" si="7"/>
        <v>14910</v>
      </c>
      <c r="K132" s="160">
        <f t="shared" si="7"/>
        <v>0</v>
      </c>
      <c r="L132" s="160">
        <f t="shared" si="7"/>
        <v>150</v>
      </c>
      <c r="M132" s="160">
        <f t="shared" si="7"/>
        <v>6309</v>
      </c>
      <c r="N132" s="161">
        <f>IF(D132=0,0,M132/D132)</f>
        <v>0.38301359883438563</v>
      </c>
      <c r="O132" s="153" t="s">
        <v>392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301">
        <f>SUM(AD133,AD158)</f>
        <v>22781000</v>
      </c>
      <c r="AE132" s="83" t="s">
        <v>25</v>
      </c>
    </row>
    <row r="133" spans="1:31" s="11" customFormat="1" ht="21" customHeight="1">
      <c r="A133" s="38"/>
      <c r="B133" s="28" t="s">
        <v>393</v>
      </c>
      <c r="C133" s="28" t="s">
        <v>394</v>
      </c>
      <c r="D133" s="102">
        <f t="shared" ref="D133:L133" si="8">SUM(D134,D143,D147,D150,D155)</f>
        <v>14242</v>
      </c>
      <c r="E133" s="102">
        <f t="shared" si="8"/>
        <v>15731</v>
      </c>
      <c r="F133" s="102">
        <f t="shared" si="8"/>
        <v>5676</v>
      </c>
      <c r="G133" s="102">
        <f t="shared" si="8"/>
        <v>1642</v>
      </c>
      <c r="H133" s="102">
        <f t="shared" si="8"/>
        <v>0</v>
      </c>
      <c r="I133" s="102">
        <f t="shared" si="8"/>
        <v>403</v>
      </c>
      <c r="J133" s="102">
        <f t="shared" si="8"/>
        <v>7860</v>
      </c>
      <c r="K133" s="102">
        <f t="shared" si="8"/>
        <v>0</v>
      </c>
      <c r="L133" s="102">
        <f t="shared" si="8"/>
        <v>150</v>
      </c>
      <c r="M133" s="102">
        <f>E133-D133</f>
        <v>1489</v>
      </c>
      <c r="N133" s="109">
        <f>IF(D133=0,0,M133/D133)</f>
        <v>0.10454992276365679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49">
        <f>SUM(AD134,AD143,AD147,AD150,AD155)</f>
        <v>15731000</v>
      </c>
      <c r="AE133" s="83" t="s">
        <v>25</v>
      </c>
    </row>
    <row r="134" spans="1:31" s="11" customFormat="1" ht="21" customHeight="1">
      <c r="A134" s="38"/>
      <c r="B134" s="38"/>
      <c r="C134" s="28" t="s">
        <v>395</v>
      </c>
      <c r="D134" s="135">
        <v>12502</v>
      </c>
      <c r="E134" s="102">
        <f>AD134/1000</f>
        <v>13468</v>
      </c>
      <c r="F134" s="103">
        <f>SUMIF($AB$135:$AB$142,"보조",$AD$135:$AD$142)/1000</f>
        <v>5676</v>
      </c>
      <c r="G134" s="103">
        <f>SUMIF($AB$135:$AB$142,"4종",$AD$135:$AD$142)/1000</f>
        <v>1162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6480</v>
      </c>
      <c r="K134" s="103">
        <f>SUMIF($AB$135:$AB$142,"법인",$AD$135:$AD$142)/1000</f>
        <v>0</v>
      </c>
      <c r="L134" s="103">
        <f>SUMIF($AB$135:$AB$142,"잡수",$AD$135:$AD$142)/1000</f>
        <v>150</v>
      </c>
      <c r="M134" s="155">
        <f>E134-D134</f>
        <v>966</v>
      </c>
      <c r="N134" s="109">
        <f>IF(D134=0,0,M134/D134)</f>
        <v>7.7267637178051518E-2</v>
      </c>
      <c r="O134" s="85" t="s">
        <v>396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23" t="s">
        <v>397</v>
      </c>
      <c r="Z134" s="423"/>
      <c r="AA134" s="423"/>
      <c r="AB134" s="423"/>
      <c r="AC134" s="147"/>
      <c r="AD134" s="337">
        <f>ROUND(SUM(AD135:AD141),-3)</f>
        <v>13468000</v>
      </c>
      <c r="AE134" s="146" t="s">
        <v>25</v>
      </c>
    </row>
    <row r="135" spans="1:31" s="11" customFormat="1" ht="21" customHeight="1">
      <c r="A135" s="38"/>
      <c r="B135" s="38"/>
      <c r="C135" s="38"/>
      <c r="D135" s="437"/>
      <c r="E135" s="438"/>
      <c r="F135" s="438"/>
      <c r="G135" s="438"/>
      <c r="H135" s="438"/>
      <c r="I135" s="438"/>
      <c r="J135" s="438"/>
      <c r="K135" s="438"/>
      <c r="L135" s="438"/>
      <c r="M135" s="97"/>
      <c r="N135" s="60"/>
      <c r="O135" s="463" t="s">
        <v>466</v>
      </c>
      <c r="P135" s="463"/>
      <c r="Q135" s="462"/>
      <c r="R135" s="462"/>
      <c r="S135" s="462">
        <v>236500</v>
      </c>
      <c r="T135" s="470" t="s">
        <v>25</v>
      </c>
      <c r="U135" s="470" t="s">
        <v>26</v>
      </c>
      <c r="V135" s="462">
        <v>6</v>
      </c>
      <c r="W135" s="463" t="s">
        <v>29</v>
      </c>
      <c r="X135" s="463" t="s">
        <v>26</v>
      </c>
      <c r="Y135" s="490">
        <v>4</v>
      </c>
      <c r="Z135" s="467" t="s">
        <v>108</v>
      </c>
      <c r="AA135" s="467" t="s">
        <v>27</v>
      </c>
      <c r="AB135" s="462" t="s">
        <v>443</v>
      </c>
      <c r="AC135" s="435"/>
      <c r="AD135" s="435">
        <f>S135*V135*Y135</f>
        <v>5676000</v>
      </c>
      <c r="AE135" s="471" t="s">
        <v>25</v>
      </c>
    </row>
    <row r="136" spans="1:31" s="11" customFormat="1" ht="21" customHeight="1">
      <c r="A136" s="38"/>
      <c r="B136" s="38"/>
      <c r="C136" s="38"/>
      <c r="D136" s="439"/>
      <c r="E136" s="440"/>
      <c r="F136" s="440"/>
      <c r="G136" s="440"/>
      <c r="H136" s="440"/>
      <c r="I136" s="440"/>
      <c r="J136" s="440"/>
      <c r="K136" s="440"/>
      <c r="L136" s="440"/>
      <c r="M136" s="97"/>
      <c r="N136" s="60"/>
      <c r="O136" s="463" t="s">
        <v>466</v>
      </c>
      <c r="P136" s="463"/>
      <c r="Q136" s="463"/>
      <c r="R136" s="463"/>
      <c r="S136" s="462">
        <v>250000</v>
      </c>
      <c r="T136" s="470" t="s">
        <v>25</v>
      </c>
      <c r="U136" s="470" t="s">
        <v>26</v>
      </c>
      <c r="V136" s="462">
        <v>6</v>
      </c>
      <c r="W136" s="463" t="s">
        <v>29</v>
      </c>
      <c r="X136" s="463" t="s">
        <v>26</v>
      </c>
      <c r="Y136" s="490">
        <v>4</v>
      </c>
      <c r="Z136" s="467" t="s">
        <v>108</v>
      </c>
      <c r="AA136" s="467" t="s">
        <v>27</v>
      </c>
      <c r="AB136" s="462" t="s">
        <v>434</v>
      </c>
      <c r="AC136" s="435"/>
      <c r="AD136" s="435">
        <f>S136*V136*Y136</f>
        <v>6000000</v>
      </c>
      <c r="AE136" s="471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63" t="s">
        <v>467</v>
      </c>
      <c r="P137" s="463"/>
      <c r="Q137" s="462"/>
      <c r="R137" s="462"/>
      <c r="S137" s="462">
        <v>182500</v>
      </c>
      <c r="T137" s="470" t="s">
        <v>25</v>
      </c>
      <c r="U137" s="470" t="s">
        <v>26</v>
      </c>
      <c r="V137" s="462"/>
      <c r="W137" s="463"/>
      <c r="X137" s="463"/>
      <c r="Y137" s="490">
        <v>4</v>
      </c>
      <c r="Z137" s="467" t="s">
        <v>108</v>
      </c>
      <c r="AA137" s="467" t="s">
        <v>27</v>
      </c>
      <c r="AB137" s="462" t="s">
        <v>296</v>
      </c>
      <c r="AC137" s="435"/>
      <c r="AD137" s="435">
        <f>S137*Y137</f>
        <v>730000</v>
      </c>
      <c r="AE137" s="471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91" t="s">
        <v>468</v>
      </c>
      <c r="P138" s="491"/>
      <c r="Q138" s="491"/>
      <c r="R138" s="491"/>
      <c r="S138" s="436">
        <v>20000</v>
      </c>
      <c r="T138" s="492" t="s">
        <v>25</v>
      </c>
      <c r="U138" s="492" t="s">
        <v>26</v>
      </c>
      <c r="V138" s="436">
        <v>6</v>
      </c>
      <c r="W138" s="491" t="s">
        <v>29</v>
      </c>
      <c r="X138" s="491" t="s">
        <v>26</v>
      </c>
      <c r="Y138" s="493">
        <v>4</v>
      </c>
      <c r="Z138" s="494" t="s">
        <v>108</v>
      </c>
      <c r="AA138" s="494" t="s">
        <v>27</v>
      </c>
      <c r="AB138" s="436" t="s">
        <v>434</v>
      </c>
      <c r="AC138" s="495"/>
      <c r="AD138" s="495">
        <f>S138*V138*Y138</f>
        <v>480000</v>
      </c>
      <c r="AE138" s="496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3" t="s">
        <v>469</v>
      </c>
      <c r="P139" s="463"/>
      <c r="Q139" s="462"/>
      <c r="R139" s="462"/>
      <c r="S139" s="462">
        <v>60000</v>
      </c>
      <c r="T139" s="470" t="s">
        <v>25</v>
      </c>
      <c r="U139" s="470" t="s">
        <v>26</v>
      </c>
      <c r="V139" s="462"/>
      <c r="W139" s="463"/>
      <c r="X139" s="463"/>
      <c r="Y139" s="490">
        <v>4</v>
      </c>
      <c r="Z139" s="467" t="s">
        <v>108</v>
      </c>
      <c r="AA139" s="467" t="s">
        <v>27</v>
      </c>
      <c r="AB139" s="462" t="s">
        <v>296</v>
      </c>
      <c r="AC139" s="435"/>
      <c r="AD139" s="435">
        <f>S139*Y139</f>
        <v>240000</v>
      </c>
      <c r="AE139" s="471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3" t="s">
        <v>470</v>
      </c>
      <c r="P140" s="463"/>
      <c r="Q140" s="462"/>
      <c r="R140" s="462"/>
      <c r="S140" s="462"/>
      <c r="T140" s="470"/>
      <c r="U140" s="470"/>
      <c r="V140" s="462"/>
      <c r="W140" s="463"/>
      <c r="X140" s="463"/>
      <c r="Y140" s="490"/>
      <c r="Z140" s="467"/>
      <c r="AA140" s="467"/>
      <c r="AB140" s="462" t="s">
        <v>386</v>
      </c>
      <c r="AC140" s="435"/>
      <c r="AD140" s="435">
        <v>150000</v>
      </c>
      <c r="AE140" s="471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3" t="s">
        <v>471</v>
      </c>
      <c r="P141" s="463"/>
      <c r="Q141" s="462"/>
      <c r="R141" s="462"/>
      <c r="S141" s="462">
        <v>48000</v>
      </c>
      <c r="T141" s="470" t="s">
        <v>25</v>
      </c>
      <c r="U141" s="470" t="s">
        <v>26</v>
      </c>
      <c r="V141" s="462"/>
      <c r="W141" s="463"/>
      <c r="X141" s="463"/>
      <c r="Y141" s="490">
        <v>4</v>
      </c>
      <c r="Z141" s="467" t="s">
        <v>108</v>
      </c>
      <c r="AA141" s="467" t="s">
        <v>27</v>
      </c>
      <c r="AB141" s="462" t="s">
        <v>296</v>
      </c>
      <c r="AC141" s="435"/>
      <c r="AD141" s="435">
        <f>S141*Y141</f>
        <v>192000</v>
      </c>
      <c r="AE141" s="471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398"/>
      <c r="AE142" s="113"/>
    </row>
    <row r="143" spans="1:31" s="11" customFormat="1" ht="21" customHeight="1">
      <c r="A143" s="38"/>
      <c r="B143" s="38"/>
      <c r="C143" s="38" t="s">
        <v>398</v>
      </c>
      <c r="D143" s="133">
        <v>430</v>
      </c>
      <c r="E143" s="97">
        <f>ROUND(AD143/1000,0)</f>
        <v>403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403</v>
      </c>
      <c r="J143" s="103">
        <f>SUMIF($AB$144:$AB$146,"입소",$AD$144:$AD$146)/1000</f>
        <v>0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-27</v>
      </c>
      <c r="N143" s="60">
        <f>IF(D143=0,0,M143/D143)</f>
        <v>-6.2790697674418611E-2</v>
      </c>
      <c r="O143" s="85" t="s">
        <v>399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23" t="s">
        <v>385</v>
      </c>
      <c r="Z143" s="423"/>
      <c r="AA143" s="423"/>
      <c r="AB143" s="423"/>
      <c r="AC143" s="147"/>
      <c r="AD143" s="303">
        <f>SUM(AD144:AD146)</f>
        <v>403000</v>
      </c>
      <c r="AE143" s="146" t="s">
        <v>25</v>
      </c>
    </row>
    <row r="144" spans="1:31" s="11" customFormat="1" ht="21" customHeight="1">
      <c r="A144" s="38"/>
      <c r="B144" s="38"/>
      <c r="C144" s="38" t="s">
        <v>400</v>
      </c>
      <c r="D144" s="437"/>
      <c r="E144" s="438"/>
      <c r="F144" s="438"/>
      <c r="G144" s="438"/>
      <c r="H144" s="438"/>
      <c r="I144" s="438"/>
      <c r="J144" s="438"/>
      <c r="K144" s="438"/>
      <c r="L144" s="438"/>
      <c r="M144" s="97"/>
      <c r="N144" s="60"/>
      <c r="O144" s="463" t="s">
        <v>472</v>
      </c>
      <c r="P144" s="463"/>
      <c r="Q144" s="463"/>
      <c r="R144" s="463"/>
      <c r="S144" s="462"/>
      <c r="T144" s="470"/>
      <c r="U144" s="470"/>
      <c r="V144" s="462"/>
      <c r="W144" s="462"/>
      <c r="X144" s="462"/>
      <c r="Y144" s="462"/>
      <c r="Z144" s="462"/>
      <c r="AA144" s="462"/>
      <c r="AB144" s="462" t="s">
        <v>473</v>
      </c>
      <c r="AC144" s="462"/>
      <c r="AD144" s="462">
        <v>250000</v>
      </c>
      <c r="AE144" s="471" t="s">
        <v>25</v>
      </c>
    </row>
    <row r="145" spans="1:31" s="11" customFormat="1" ht="21" customHeight="1">
      <c r="A145" s="38"/>
      <c r="B145" s="38"/>
      <c r="C145" s="38"/>
      <c r="D145" s="439"/>
      <c r="E145" s="440"/>
      <c r="F145" s="440"/>
      <c r="G145" s="440"/>
      <c r="H145" s="440"/>
      <c r="I145" s="440"/>
      <c r="J145" s="440"/>
      <c r="K145" s="440"/>
      <c r="L145" s="440"/>
      <c r="M145" s="97"/>
      <c r="N145" s="60"/>
      <c r="O145" s="463" t="s">
        <v>474</v>
      </c>
      <c r="P145" s="463"/>
      <c r="Q145" s="463"/>
      <c r="R145" s="463"/>
      <c r="S145" s="462"/>
      <c r="T145" s="470"/>
      <c r="U145" s="470"/>
      <c r="V145" s="462"/>
      <c r="W145" s="462"/>
      <c r="X145" s="462"/>
      <c r="Y145" s="462"/>
      <c r="Z145" s="462"/>
      <c r="AA145" s="462"/>
      <c r="AB145" s="462" t="s">
        <v>367</v>
      </c>
      <c r="AC145" s="462"/>
      <c r="AD145" s="462">
        <v>153000</v>
      </c>
      <c r="AE145" s="471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5"/>
      <c r="P146" s="275"/>
      <c r="Q146" s="275"/>
      <c r="R146" s="275"/>
      <c r="S146" s="295"/>
      <c r="T146" s="296"/>
      <c r="U146" s="281"/>
      <c r="V146" s="297"/>
      <c r="W146" s="295"/>
      <c r="X146" s="295"/>
      <c r="Y146" s="295"/>
      <c r="Z146" s="295"/>
      <c r="AA146" s="295"/>
      <c r="AB146" s="344"/>
      <c r="AC146" s="344"/>
      <c r="AD146" s="344"/>
      <c r="AE146" s="346"/>
    </row>
    <row r="147" spans="1:31" s="11" customFormat="1" ht="21" customHeight="1">
      <c r="A147" s="38"/>
      <c r="B147" s="38"/>
      <c r="C147" s="28" t="s">
        <v>401</v>
      </c>
      <c r="D147" s="135">
        <v>840</v>
      </c>
      <c r="E147" s="102">
        <f>ROUND(AD147/1000,0)</f>
        <v>1120</v>
      </c>
      <c r="F147" s="103">
        <f>SUMIF($AB$148:$AB$149,"보조",$AD$148:$AD$149)/1000</f>
        <v>0</v>
      </c>
      <c r="G147" s="103">
        <f>SUMIF($AB$148:$AB$149,"4종",$AD$148:$AD$149)/1000</f>
        <v>320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800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280</v>
      </c>
      <c r="N147" s="109">
        <f>IF(D147=0,0,M147/D147)</f>
        <v>0.33333333333333331</v>
      </c>
      <c r="O147" s="85" t="s">
        <v>105</v>
      </c>
      <c r="P147" s="424"/>
      <c r="Q147" s="153"/>
      <c r="R147" s="153"/>
      <c r="S147" s="153"/>
      <c r="T147" s="152"/>
      <c r="U147" s="152"/>
      <c r="V147" s="152"/>
      <c r="W147" s="152"/>
      <c r="X147" s="152"/>
      <c r="Y147" s="423" t="s">
        <v>385</v>
      </c>
      <c r="Z147" s="423"/>
      <c r="AA147" s="423"/>
      <c r="AB147" s="423"/>
      <c r="AC147" s="147"/>
      <c r="AD147" s="147">
        <f>SUM(AD148:AD149)</f>
        <v>1120000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3" t="s">
        <v>475</v>
      </c>
      <c r="P148" s="463"/>
      <c r="Q148" s="462"/>
      <c r="R148" s="462"/>
      <c r="S148" s="462">
        <v>200000</v>
      </c>
      <c r="T148" s="462" t="s">
        <v>25</v>
      </c>
      <c r="U148" s="463" t="s">
        <v>26</v>
      </c>
      <c r="V148" s="462">
        <v>4</v>
      </c>
      <c r="W148" s="462" t="s">
        <v>108</v>
      </c>
      <c r="X148" s="463"/>
      <c r="Y148" s="462"/>
      <c r="Z148" s="462"/>
      <c r="AA148" s="462" t="s">
        <v>27</v>
      </c>
      <c r="AB148" s="462" t="s">
        <v>434</v>
      </c>
      <c r="AC148" s="435"/>
      <c r="AD148" s="435">
        <f>S148*V148</f>
        <v>800000</v>
      </c>
      <c r="AE148" s="471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63"/>
      <c r="P149" s="463"/>
      <c r="Q149" s="462"/>
      <c r="R149" s="462"/>
      <c r="S149" s="462">
        <v>80000</v>
      </c>
      <c r="T149" s="462" t="s">
        <v>25</v>
      </c>
      <c r="U149" s="463" t="s">
        <v>26</v>
      </c>
      <c r="V149" s="462">
        <v>4</v>
      </c>
      <c r="W149" s="462" t="s">
        <v>108</v>
      </c>
      <c r="X149" s="463"/>
      <c r="Y149" s="462"/>
      <c r="Z149" s="462"/>
      <c r="AA149" s="462" t="s">
        <v>27</v>
      </c>
      <c r="AB149" s="462" t="s">
        <v>296</v>
      </c>
      <c r="AC149" s="435"/>
      <c r="AD149" s="435">
        <f>S149*V149</f>
        <v>320000</v>
      </c>
      <c r="AE149" s="471" t="s">
        <v>25</v>
      </c>
    </row>
    <row r="150" spans="1:31" s="11" customFormat="1" ht="21" customHeight="1">
      <c r="A150" s="38"/>
      <c r="B150" s="38"/>
      <c r="C150" s="28" t="s">
        <v>402</v>
      </c>
      <c r="D150" s="135">
        <v>320</v>
      </c>
      <c r="E150" s="102">
        <f>ROUND(AD150/1000,0)</f>
        <v>620</v>
      </c>
      <c r="F150" s="103">
        <f>SUMIF($AB$151:$AB$154,"보조",$AD$151:$AD$154)/1000</f>
        <v>0</v>
      </c>
      <c r="G150" s="103">
        <f>SUMIF($AB$151:$AB$154,"4종",$AD$151:$AD$154)/1000</f>
        <v>160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460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300</v>
      </c>
      <c r="N150" s="109">
        <f>IF(D150=0,0,M150/D150)</f>
        <v>0.9375</v>
      </c>
      <c r="O150" s="85" t="s">
        <v>403</v>
      </c>
      <c r="P150" s="424"/>
      <c r="Q150" s="153"/>
      <c r="R150" s="153"/>
      <c r="S150" s="153"/>
      <c r="T150" s="152"/>
      <c r="U150" s="152"/>
      <c r="V150" s="152"/>
      <c r="W150" s="152"/>
      <c r="X150" s="152"/>
      <c r="Y150" s="423" t="s">
        <v>404</v>
      </c>
      <c r="Z150" s="423"/>
      <c r="AA150" s="423"/>
      <c r="AB150" s="423"/>
      <c r="AC150" s="147"/>
      <c r="AD150" s="147">
        <f>SUM(AD151:AD153)</f>
        <v>620000</v>
      </c>
      <c r="AE150" s="146" t="s">
        <v>25</v>
      </c>
    </row>
    <row r="151" spans="1:31" s="13" customFormat="1" ht="21" customHeight="1">
      <c r="A151" s="38"/>
      <c r="B151" s="38"/>
      <c r="C151" s="38"/>
      <c r="D151" s="437"/>
      <c r="E151" s="438"/>
      <c r="F151" s="438"/>
      <c r="G151" s="438"/>
      <c r="H151" s="438"/>
      <c r="I151" s="438"/>
      <c r="J151" s="438"/>
      <c r="K151" s="438"/>
      <c r="L151" s="438"/>
      <c r="M151" s="97"/>
      <c r="N151" s="60"/>
      <c r="O151" s="463" t="s">
        <v>476</v>
      </c>
      <c r="P151" s="463"/>
      <c r="Q151" s="462"/>
      <c r="R151" s="462"/>
      <c r="S151" s="462">
        <v>40000</v>
      </c>
      <c r="T151" s="462" t="s">
        <v>25</v>
      </c>
      <c r="U151" s="463" t="s">
        <v>26</v>
      </c>
      <c r="V151" s="462">
        <v>1</v>
      </c>
      <c r="W151" s="462" t="s">
        <v>454</v>
      </c>
      <c r="X151" s="463" t="s">
        <v>26</v>
      </c>
      <c r="Y151" s="462">
        <v>4</v>
      </c>
      <c r="Z151" s="462" t="s">
        <v>108</v>
      </c>
      <c r="AA151" s="462" t="s">
        <v>27</v>
      </c>
      <c r="AB151" s="462" t="s">
        <v>434</v>
      </c>
      <c r="AC151" s="435"/>
      <c r="AD151" s="435">
        <f>S151*V151*Y151</f>
        <v>160000</v>
      </c>
      <c r="AE151" s="471" t="s">
        <v>25</v>
      </c>
    </row>
    <row r="152" spans="1:31" s="13" customFormat="1" ht="21" customHeight="1">
      <c r="A152" s="38"/>
      <c r="B152" s="38"/>
      <c r="C152" s="38"/>
      <c r="D152" s="439"/>
      <c r="E152" s="440"/>
      <c r="F152" s="440"/>
      <c r="G152" s="440"/>
      <c r="H152" s="440"/>
      <c r="I152" s="440"/>
      <c r="J152" s="440"/>
      <c r="K152" s="440"/>
      <c r="L152" s="440"/>
      <c r="M152" s="97"/>
      <c r="N152" s="272"/>
      <c r="O152" s="488"/>
      <c r="P152" s="463"/>
      <c r="Q152" s="463"/>
      <c r="R152" s="463"/>
      <c r="S152" s="462">
        <v>40000</v>
      </c>
      <c r="T152" s="462" t="s">
        <v>25</v>
      </c>
      <c r="U152" s="463" t="s">
        <v>26</v>
      </c>
      <c r="V152" s="462">
        <v>1</v>
      </c>
      <c r="W152" s="462" t="s">
        <v>454</v>
      </c>
      <c r="X152" s="463" t="s">
        <v>26</v>
      </c>
      <c r="Y152" s="462">
        <v>4</v>
      </c>
      <c r="Z152" s="462" t="s">
        <v>108</v>
      </c>
      <c r="AA152" s="462" t="s">
        <v>27</v>
      </c>
      <c r="AB152" s="462" t="s">
        <v>296</v>
      </c>
      <c r="AC152" s="435"/>
      <c r="AD152" s="462">
        <f>S152*Y152</f>
        <v>160000</v>
      </c>
      <c r="AE152" s="471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88" t="s">
        <v>477</v>
      </c>
      <c r="P153" s="463"/>
      <c r="Q153" s="463"/>
      <c r="R153" s="463"/>
      <c r="S153" s="462"/>
      <c r="T153" s="462"/>
      <c r="U153" s="463"/>
      <c r="V153" s="462"/>
      <c r="W153" s="462"/>
      <c r="X153" s="463"/>
      <c r="Y153" s="490"/>
      <c r="Z153" s="467"/>
      <c r="AA153" s="467"/>
      <c r="AB153" s="462" t="s">
        <v>434</v>
      </c>
      <c r="AC153" s="435"/>
      <c r="AD153" s="462">
        <v>300000</v>
      </c>
      <c r="AE153" s="471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399"/>
      <c r="P154" s="399"/>
      <c r="Q154" s="399"/>
      <c r="R154" s="399"/>
      <c r="S154" s="399"/>
      <c r="T154" s="119"/>
      <c r="U154" s="426"/>
      <c r="V154" s="288"/>
      <c r="W154" s="426"/>
      <c r="X154" s="426"/>
      <c r="Y154" s="426"/>
      <c r="Z154" s="426"/>
      <c r="AA154" s="426"/>
      <c r="AB154" s="426"/>
      <c r="AC154" s="426"/>
      <c r="AD154" s="426"/>
      <c r="AE154" s="122"/>
    </row>
    <row r="155" spans="1:31" s="11" customFormat="1" ht="21" customHeight="1">
      <c r="A155" s="38"/>
      <c r="B155" s="38"/>
      <c r="C155" s="38" t="s">
        <v>405</v>
      </c>
      <c r="D155" s="116">
        <v>150</v>
      </c>
      <c r="E155" s="97">
        <f>ROUND(AD155/1000,0)</f>
        <v>120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120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-30</v>
      </c>
      <c r="N155" s="60">
        <f>IF(D155=0,0,M155/D155)</f>
        <v>-0.2</v>
      </c>
      <c r="O155" s="85" t="s">
        <v>406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23" t="s">
        <v>404</v>
      </c>
      <c r="Z155" s="423"/>
      <c r="AA155" s="423"/>
      <c r="AB155" s="423"/>
      <c r="AC155" s="147"/>
      <c r="AD155" s="147">
        <f>SUM(AD156:AD157)</f>
        <v>120000</v>
      </c>
      <c r="AE155" s="146" t="s">
        <v>25</v>
      </c>
    </row>
    <row r="156" spans="1:31" s="11" customFormat="1" ht="21" customHeight="1">
      <c r="A156" s="38"/>
      <c r="B156" s="38"/>
      <c r="C156" s="38"/>
      <c r="D156" s="437"/>
      <c r="E156" s="438"/>
      <c r="F156" s="438"/>
      <c r="G156" s="438"/>
      <c r="H156" s="438"/>
      <c r="I156" s="438"/>
      <c r="J156" s="438"/>
      <c r="K156" s="438"/>
      <c r="L156" s="438"/>
      <c r="M156" s="97"/>
      <c r="N156" s="60"/>
      <c r="O156" s="463" t="s">
        <v>478</v>
      </c>
      <c r="P156" s="463"/>
      <c r="Q156" s="463"/>
      <c r="R156" s="463"/>
      <c r="S156" s="462">
        <v>20000</v>
      </c>
      <c r="T156" s="470" t="s">
        <v>25</v>
      </c>
      <c r="U156" s="470" t="s">
        <v>26</v>
      </c>
      <c r="V156" s="462">
        <v>6</v>
      </c>
      <c r="W156" s="462" t="s">
        <v>29</v>
      </c>
      <c r="X156" s="467"/>
      <c r="Y156" s="497"/>
      <c r="Z156" s="498"/>
      <c r="AA156" s="499" t="s">
        <v>27</v>
      </c>
      <c r="AB156" s="462" t="s">
        <v>434</v>
      </c>
      <c r="AC156" s="462"/>
      <c r="AD156" s="462">
        <f>S156*V156</f>
        <v>120000</v>
      </c>
      <c r="AE156" s="471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27"/>
      <c r="P157" s="427"/>
      <c r="Q157" s="427"/>
      <c r="R157" s="427"/>
      <c r="S157" s="426"/>
      <c r="T157" s="293"/>
      <c r="U157" s="427"/>
      <c r="V157" s="426"/>
      <c r="W157" s="427"/>
      <c r="X157" s="426"/>
      <c r="Y157" s="426"/>
      <c r="Z157" s="426"/>
      <c r="AA157" s="426"/>
      <c r="AB157" s="426"/>
      <c r="AC157" s="426"/>
      <c r="AD157" s="426"/>
      <c r="AE157" s="122"/>
    </row>
    <row r="158" spans="1:31" s="11" customFormat="1" ht="21" customHeight="1">
      <c r="A158" s="38"/>
      <c r="B158" s="28" t="s">
        <v>407</v>
      </c>
      <c r="C158" s="143" t="s">
        <v>408</v>
      </c>
      <c r="D158" s="144">
        <f>SUM(D159,D164,D165,D167,D170,D173,D178,D181)</f>
        <v>2230</v>
      </c>
      <c r="E158" s="144">
        <f t="shared" ref="E158:L158" si="9">SUM(E159,E164,E167,E170,E173,E178,E181)</f>
        <v>7050</v>
      </c>
      <c r="F158" s="144">
        <f t="shared" ca="1" si="9"/>
        <v>0</v>
      </c>
      <c r="G158" s="144">
        <f t="shared" si="9"/>
        <v>0</v>
      </c>
      <c r="H158" s="144">
        <f t="shared" si="9"/>
        <v>0</v>
      </c>
      <c r="I158" s="144">
        <f t="shared" si="9"/>
        <v>0</v>
      </c>
      <c r="J158" s="144">
        <f t="shared" si="9"/>
        <v>7050</v>
      </c>
      <c r="K158" s="144">
        <f t="shared" si="9"/>
        <v>0</v>
      </c>
      <c r="L158" s="144">
        <f t="shared" si="9"/>
        <v>0</v>
      </c>
      <c r="M158" s="144">
        <f>SUM(M159,M164,M165,M167,M170,M173,M178,M181)</f>
        <v>4820</v>
      </c>
      <c r="N158" s="141">
        <f>IF(D158=0,0,M158/D158)</f>
        <v>2.1614349775784754</v>
      </c>
      <c r="O158" s="424"/>
      <c r="P158" s="424"/>
      <c r="Q158" s="424"/>
      <c r="R158" s="424"/>
      <c r="S158" s="424"/>
      <c r="T158" s="423"/>
      <c r="U158" s="423"/>
      <c r="V158" s="423"/>
      <c r="W158" s="423"/>
      <c r="X158" s="423"/>
      <c r="Y158" s="423" t="s">
        <v>28</v>
      </c>
      <c r="Z158" s="423"/>
      <c r="AA158" s="423"/>
      <c r="AB158" s="423"/>
      <c r="AC158" s="147"/>
      <c r="AD158" s="147">
        <f>SUM(AD159,AD164,AD167,AD170,AD173,AD178,AD181)</f>
        <v>7050000</v>
      </c>
      <c r="AE158" s="146" t="s">
        <v>25</v>
      </c>
    </row>
    <row r="159" spans="1:31" s="11" customFormat="1" ht="21" customHeight="1">
      <c r="A159" s="38"/>
      <c r="B159" s="38" t="s">
        <v>409</v>
      </c>
      <c r="C159" s="28" t="s">
        <v>482</v>
      </c>
      <c r="D159" s="135">
        <v>800</v>
      </c>
      <c r="E159" s="97">
        <f>ROUND(AD159/1000,0)</f>
        <v>910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910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110</v>
      </c>
      <c r="N159" s="60">
        <f>IF(D159=0,0,M159/D159)</f>
        <v>0.13750000000000001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23" t="s">
        <v>404</v>
      </c>
      <c r="Z159" s="423"/>
      <c r="AA159" s="423"/>
      <c r="AB159" s="423"/>
      <c r="AC159" s="147"/>
      <c r="AD159" s="147">
        <f>SUM(AD160:AD163)</f>
        <v>910000</v>
      </c>
      <c r="AE159" s="146" t="s">
        <v>25</v>
      </c>
    </row>
    <row r="160" spans="1:31" s="11" customFormat="1" ht="21" customHeight="1">
      <c r="A160" s="38"/>
      <c r="B160" s="38"/>
      <c r="C160" s="38" t="s">
        <v>412</v>
      </c>
      <c r="D160" s="437"/>
      <c r="E160" s="438"/>
      <c r="F160" s="438"/>
      <c r="G160" s="438"/>
      <c r="H160" s="438"/>
      <c r="I160" s="438"/>
      <c r="J160" s="438"/>
      <c r="K160" s="438"/>
      <c r="L160" s="438"/>
      <c r="M160" s="97"/>
      <c r="N160" s="60"/>
      <c r="O160" s="463" t="s">
        <v>479</v>
      </c>
      <c r="P160" s="463"/>
      <c r="Q160" s="463"/>
      <c r="R160" s="463"/>
      <c r="S160" s="462">
        <v>60000</v>
      </c>
      <c r="T160" s="470" t="s">
        <v>25</v>
      </c>
      <c r="U160" s="470" t="s">
        <v>26</v>
      </c>
      <c r="V160" s="462">
        <v>4</v>
      </c>
      <c r="W160" s="462" t="s">
        <v>108</v>
      </c>
      <c r="X160" s="467"/>
      <c r="Y160" s="497"/>
      <c r="Z160" s="498"/>
      <c r="AA160" s="499" t="s">
        <v>27</v>
      </c>
      <c r="AB160" s="462" t="s">
        <v>434</v>
      </c>
      <c r="AC160" s="462"/>
      <c r="AD160" s="462">
        <f>S160*V160</f>
        <v>240000</v>
      </c>
      <c r="AE160" s="471" t="s">
        <v>25</v>
      </c>
    </row>
    <row r="161" spans="1:31" s="11" customFormat="1" ht="21" customHeight="1">
      <c r="A161" s="38"/>
      <c r="B161" s="38"/>
      <c r="C161" s="38"/>
      <c r="D161" s="439"/>
      <c r="E161" s="440"/>
      <c r="F161" s="440"/>
      <c r="G161" s="440"/>
      <c r="H161" s="440"/>
      <c r="I161" s="440"/>
      <c r="J161" s="440"/>
      <c r="K161" s="440"/>
      <c r="L161" s="440"/>
      <c r="M161" s="97"/>
      <c r="N161" s="60"/>
      <c r="O161" s="463" t="s">
        <v>480</v>
      </c>
      <c r="P161" s="463"/>
      <c r="Q161" s="463"/>
      <c r="R161" s="463"/>
      <c r="S161" s="462">
        <v>17000</v>
      </c>
      <c r="T161" s="470" t="s">
        <v>25</v>
      </c>
      <c r="U161" s="470" t="s">
        <v>26</v>
      </c>
      <c r="V161" s="462">
        <v>5</v>
      </c>
      <c r="W161" s="462" t="s">
        <v>55</v>
      </c>
      <c r="X161" s="470" t="s">
        <v>26</v>
      </c>
      <c r="Y161" s="497">
        <v>2</v>
      </c>
      <c r="Z161" s="498" t="s">
        <v>71</v>
      </c>
      <c r="AA161" s="499" t="s">
        <v>27</v>
      </c>
      <c r="AB161" s="462" t="s">
        <v>434</v>
      </c>
      <c r="AC161" s="462"/>
      <c r="AD161" s="462">
        <f>S161*V161*Y161</f>
        <v>170000</v>
      </c>
      <c r="AE161" s="471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63" t="s">
        <v>481</v>
      </c>
      <c r="P162" s="463"/>
      <c r="Q162" s="463"/>
      <c r="R162" s="463"/>
      <c r="S162" s="462">
        <v>50000</v>
      </c>
      <c r="T162" s="470" t="s">
        <v>25</v>
      </c>
      <c r="U162" s="470" t="s">
        <v>26</v>
      </c>
      <c r="V162" s="462">
        <v>10</v>
      </c>
      <c r="W162" s="462" t="s">
        <v>454</v>
      </c>
      <c r="X162" s="467"/>
      <c r="Y162" s="497"/>
      <c r="Z162" s="498"/>
      <c r="AA162" s="499" t="s">
        <v>27</v>
      </c>
      <c r="AB162" s="462" t="s">
        <v>434</v>
      </c>
      <c r="AC162" s="462"/>
      <c r="AD162" s="462">
        <f>S162*V162</f>
        <v>500000</v>
      </c>
      <c r="AE162" s="471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27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400"/>
    </row>
    <row r="164" spans="1:31" s="11" customFormat="1" ht="21" customHeight="1">
      <c r="A164" s="38"/>
      <c r="B164" s="38"/>
      <c r="C164" s="28" t="s">
        <v>411</v>
      </c>
      <c r="D164" s="135">
        <v>0</v>
      </c>
      <c r="E164" s="102">
        <f>ROUND(AD164/1000,0)</f>
        <v>300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300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300</v>
      </c>
      <c r="N164" s="109">
        <f>IF(D164=0,0,M164/D164)</f>
        <v>0</v>
      </c>
      <c r="O164" s="286"/>
      <c r="P164" s="300"/>
      <c r="Q164" s="300"/>
      <c r="R164" s="451"/>
      <c r="S164" s="451"/>
      <c r="T164" s="451"/>
      <c r="U164" s="451"/>
      <c r="V164" s="451"/>
      <c r="W164" s="452" t="s">
        <v>410</v>
      </c>
      <c r="X164" s="452"/>
      <c r="Y164" s="452"/>
      <c r="Z164" s="452"/>
      <c r="AA164" s="452"/>
      <c r="AB164" s="452"/>
      <c r="AC164" s="453"/>
      <c r="AD164" s="454">
        <f>SUM(AD165:AD166)</f>
        <v>300000</v>
      </c>
      <c r="AE164" s="455" t="s">
        <v>25</v>
      </c>
    </row>
    <row r="165" spans="1:31" s="11" customFormat="1" ht="21" customHeight="1">
      <c r="A165" s="38"/>
      <c r="B165" s="38"/>
      <c r="C165" s="38" t="s">
        <v>103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63" t="s">
        <v>528</v>
      </c>
      <c r="P165" s="463"/>
      <c r="Q165" s="463"/>
      <c r="R165" s="463"/>
      <c r="S165" s="462"/>
      <c r="T165" s="470"/>
      <c r="U165" s="470"/>
      <c r="V165" s="462"/>
      <c r="W165" s="463"/>
      <c r="X165" s="462"/>
      <c r="Y165" s="500"/>
      <c r="Z165" s="500"/>
      <c r="AA165" s="500"/>
      <c r="AB165" s="500" t="s">
        <v>434</v>
      </c>
      <c r="AC165" s="500"/>
      <c r="AD165" s="501">
        <v>300000</v>
      </c>
      <c r="AE165" s="502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7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400"/>
    </row>
    <row r="167" spans="1:31" s="14" customFormat="1" ht="24" customHeight="1">
      <c r="A167" s="38"/>
      <c r="B167" s="38"/>
      <c r="C167" s="28" t="s">
        <v>484</v>
      </c>
      <c r="D167" s="456">
        <v>300</v>
      </c>
      <c r="E167" s="102">
        <f>ROUND(AD167/1000,0)</f>
        <v>450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450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150</v>
      </c>
      <c r="N167" s="109">
        <f>IF(D167=0,0,M167/D167)</f>
        <v>0.5</v>
      </c>
      <c r="O167" s="457"/>
      <c r="P167" s="139"/>
      <c r="Q167" s="139"/>
      <c r="R167" s="139"/>
      <c r="S167" s="139"/>
      <c r="T167" s="79"/>
      <c r="U167" s="79"/>
      <c r="V167" s="79"/>
      <c r="W167" s="128" t="s">
        <v>410</v>
      </c>
      <c r="X167" s="128"/>
      <c r="Y167" s="128"/>
      <c r="Z167" s="128"/>
      <c r="AA167" s="128"/>
      <c r="AB167" s="128"/>
      <c r="AC167" s="129"/>
      <c r="AD167" s="458">
        <f>SUM(AD168:AD169)</f>
        <v>450000</v>
      </c>
      <c r="AE167" s="130" t="s">
        <v>25</v>
      </c>
    </row>
    <row r="168" spans="1:31" s="14" customFormat="1" ht="24" customHeight="1">
      <c r="A168" s="38"/>
      <c r="B168" s="38"/>
      <c r="C168" s="38" t="s">
        <v>412</v>
      </c>
      <c r="D168" s="437"/>
      <c r="E168" s="438"/>
      <c r="F168" s="438"/>
      <c r="G168" s="438"/>
      <c r="H168" s="438"/>
      <c r="I168" s="438"/>
      <c r="J168" s="438"/>
      <c r="K168" s="438"/>
      <c r="L168" s="438"/>
      <c r="M168" s="97"/>
      <c r="N168" s="60"/>
      <c r="O168" s="463" t="s">
        <v>483</v>
      </c>
      <c r="P168" s="479"/>
      <c r="Q168" s="479"/>
      <c r="R168" s="476"/>
      <c r="S168" s="462">
        <v>15000</v>
      </c>
      <c r="T168" s="462" t="s">
        <v>25</v>
      </c>
      <c r="U168" s="463" t="s">
        <v>26</v>
      </c>
      <c r="V168" s="462">
        <v>5</v>
      </c>
      <c r="W168" s="462" t="s">
        <v>108</v>
      </c>
      <c r="X168" s="463" t="s">
        <v>26</v>
      </c>
      <c r="Y168" s="490">
        <v>6</v>
      </c>
      <c r="Z168" s="467" t="s">
        <v>454</v>
      </c>
      <c r="AA168" s="467" t="s">
        <v>27</v>
      </c>
      <c r="AB168" s="462" t="s">
        <v>434</v>
      </c>
      <c r="AC168" s="435"/>
      <c r="AD168" s="462">
        <f>S168*V168*Y168</f>
        <v>450000</v>
      </c>
      <c r="AE168" s="471" t="s">
        <v>25</v>
      </c>
    </row>
    <row r="169" spans="1:31" s="14" customFormat="1" ht="24" customHeight="1">
      <c r="A169" s="38"/>
      <c r="B169" s="38"/>
      <c r="C169" s="38"/>
      <c r="D169" s="439"/>
      <c r="E169" s="440"/>
      <c r="F169" s="440"/>
      <c r="G169" s="440"/>
      <c r="H169" s="440"/>
      <c r="I169" s="440"/>
      <c r="J169" s="440"/>
      <c r="K169" s="440"/>
      <c r="L169" s="440"/>
      <c r="M169" s="97"/>
      <c r="N169" s="60"/>
      <c r="O169" s="427"/>
      <c r="P169" s="427"/>
      <c r="Q169" s="427"/>
      <c r="R169" s="427"/>
      <c r="S169" s="427"/>
      <c r="T169" s="426"/>
      <c r="U169" s="426"/>
      <c r="V169" s="426"/>
      <c r="W169" s="426"/>
      <c r="X169" s="426"/>
      <c r="Y169" s="426"/>
      <c r="Z169" s="426"/>
      <c r="AA169" s="426"/>
      <c r="AB169" s="426"/>
      <c r="AC169" s="434"/>
      <c r="AD169" s="399"/>
      <c r="AE169" s="122"/>
    </row>
    <row r="170" spans="1:31" s="14" customFormat="1" ht="24" customHeight="1">
      <c r="A170" s="38"/>
      <c r="B170" s="38"/>
      <c r="C170" s="28" t="s">
        <v>487</v>
      </c>
      <c r="D170" s="135">
        <v>100</v>
      </c>
      <c r="E170" s="102">
        <f>ROUND(AD170/1000,0)</f>
        <v>250</v>
      </c>
      <c r="F170" s="103">
        <f>SUMIF($AB$171:$AB$172,"보조",$AD$171:$AD$172)/1000</f>
        <v>0</v>
      </c>
      <c r="G170" s="103">
        <f>SUMIF($AB$171:$AB$172,"4종",$AD$171:$AD$172)/1000</f>
        <v>0</v>
      </c>
      <c r="H170" s="103">
        <f>SUMIF($AB$171:$AB$172,"6종",$AD$171:$AD$172)/1000</f>
        <v>0</v>
      </c>
      <c r="I170" s="103">
        <f>SUMIF($AB$171:$AB$172,"후원",$AD$171:$AD$172)/1000</f>
        <v>0</v>
      </c>
      <c r="J170" s="103">
        <f>SUMIF($AB$171:$AB$172,"입소",$AD$171:$AD$172)/1000</f>
        <v>250</v>
      </c>
      <c r="K170" s="103">
        <f>SUMIF($AB$171:$AB$172,"법인",$AD$171:$AD$172)/1000</f>
        <v>0</v>
      </c>
      <c r="L170" s="103">
        <f>SUMIF($AB$171:$AB$172,"잡수",$AD$171:$AD$172)/1000</f>
        <v>0</v>
      </c>
      <c r="M170" s="102">
        <f>E170-D170</f>
        <v>150</v>
      </c>
      <c r="N170" s="109">
        <f>IF(D170=0,0,M170/D170)</f>
        <v>1.5</v>
      </c>
      <c r="O170" s="286"/>
      <c r="P170" s="300"/>
      <c r="Q170" s="300"/>
      <c r="R170" s="451"/>
      <c r="S170" s="451"/>
      <c r="T170" s="451"/>
      <c r="U170" s="451"/>
      <c r="V170" s="451"/>
      <c r="W170" s="452" t="s">
        <v>410</v>
      </c>
      <c r="X170" s="452"/>
      <c r="Y170" s="452"/>
      <c r="Z170" s="452"/>
      <c r="AA170" s="452"/>
      <c r="AB170" s="452"/>
      <c r="AC170" s="453"/>
      <c r="AD170" s="521">
        <f>SUM(AD171:AD172)</f>
        <v>250000</v>
      </c>
      <c r="AE170" s="130" t="s">
        <v>25</v>
      </c>
    </row>
    <row r="171" spans="1:31" s="14" customFormat="1" ht="24" customHeight="1">
      <c r="A171" s="38"/>
      <c r="B171" s="38"/>
      <c r="C171" s="38" t="s">
        <v>412</v>
      </c>
      <c r="D171" s="437"/>
      <c r="E171" s="438"/>
      <c r="F171" s="438"/>
      <c r="G171" s="438"/>
      <c r="H171" s="438"/>
      <c r="I171" s="438"/>
      <c r="J171" s="438"/>
      <c r="K171" s="438"/>
      <c r="L171" s="438"/>
      <c r="M171" s="97"/>
      <c r="N171" s="60"/>
      <c r="O171" s="463" t="s">
        <v>486</v>
      </c>
      <c r="P171" s="503"/>
      <c r="Q171" s="503"/>
      <c r="R171" s="503"/>
      <c r="S171" s="462">
        <v>10000</v>
      </c>
      <c r="T171" s="470" t="s">
        <v>25</v>
      </c>
      <c r="U171" s="470" t="s">
        <v>26</v>
      </c>
      <c r="V171" s="462">
        <v>5</v>
      </c>
      <c r="W171" s="463" t="s">
        <v>108</v>
      </c>
      <c r="X171" s="463" t="s">
        <v>26</v>
      </c>
      <c r="Y171" s="490">
        <v>5</v>
      </c>
      <c r="Z171" s="467" t="s">
        <v>454</v>
      </c>
      <c r="AA171" s="500" t="s">
        <v>27</v>
      </c>
      <c r="AB171" s="500" t="s">
        <v>434</v>
      </c>
      <c r="AC171" s="500"/>
      <c r="AD171" s="501">
        <f>S171*V171*Y171</f>
        <v>250000</v>
      </c>
      <c r="AE171" s="502" t="s">
        <v>25</v>
      </c>
    </row>
    <row r="172" spans="1:31" s="14" customFormat="1" ht="24" customHeight="1">
      <c r="A172" s="38"/>
      <c r="B172" s="38"/>
      <c r="C172" s="38"/>
      <c r="D172" s="136"/>
      <c r="E172" s="97"/>
      <c r="F172" s="97"/>
      <c r="G172" s="97"/>
      <c r="H172" s="97"/>
      <c r="I172" s="97"/>
      <c r="J172" s="97"/>
      <c r="K172" s="97"/>
      <c r="L172" s="97"/>
      <c r="M172" s="97"/>
      <c r="N172" s="60"/>
      <c r="O172" s="427"/>
      <c r="P172" s="427"/>
      <c r="Q172" s="427"/>
      <c r="R172" s="427"/>
      <c r="S172" s="427"/>
      <c r="T172" s="426"/>
      <c r="U172" s="426"/>
      <c r="V172" s="426"/>
      <c r="W172" s="426"/>
      <c r="X172" s="426"/>
      <c r="Y172" s="426"/>
      <c r="Z172" s="426"/>
      <c r="AA172" s="426"/>
      <c r="AB172" s="426"/>
      <c r="AC172" s="121"/>
      <c r="AD172" s="468"/>
      <c r="AE172" s="122"/>
    </row>
    <row r="173" spans="1:31" s="14" customFormat="1" ht="24" customHeight="1">
      <c r="A173" s="38"/>
      <c r="B173" s="38"/>
      <c r="C173" s="28" t="s">
        <v>485</v>
      </c>
      <c r="D173" s="456">
        <v>840</v>
      </c>
      <c r="E173" s="102">
        <f>ROUND(AD173/1000,0)</f>
        <v>4660</v>
      </c>
      <c r="F173" s="103">
        <f>SUMIF($AB$174:$AB$177,"보조",$AD$174:$AD$177)/1000</f>
        <v>0</v>
      </c>
      <c r="G173" s="103">
        <f>SUMIF($AB$174:$AB$177,"4종",$AD$174:$AD$177)/1000</f>
        <v>0</v>
      </c>
      <c r="H173" s="103">
        <f>SUMIF($AB$174:$AB$177,"6종",$AD$174:$AD$177)/1000</f>
        <v>0</v>
      </c>
      <c r="I173" s="103">
        <f>SUMIF($AB$174:$AB$177,"후원",$AD$174:$AD$177)/1000</f>
        <v>0</v>
      </c>
      <c r="J173" s="103">
        <f>SUMIF($AB$174:$AB$177,"입소",$AD$174:$AD$177)/1000</f>
        <v>4660</v>
      </c>
      <c r="K173" s="103">
        <f>SUMIF($AB$174:$AB$177,"법인",$AD$174:$AD$177)/1000</f>
        <v>0</v>
      </c>
      <c r="L173" s="103">
        <f>SUMIF($AB$174:$AB$177,"잡수",$AD$174:$AD$177)/1000</f>
        <v>0</v>
      </c>
      <c r="M173" s="102">
        <f>E173-D173</f>
        <v>3820</v>
      </c>
      <c r="N173" s="109">
        <f>IF(D173=0,0,M173/D173)</f>
        <v>4.5476190476190474</v>
      </c>
      <c r="O173" s="286"/>
      <c r="P173" s="300"/>
      <c r="Q173" s="300"/>
      <c r="R173" s="451"/>
      <c r="S173" s="451"/>
      <c r="T173" s="451"/>
      <c r="U173" s="451"/>
      <c r="V173" s="451"/>
      <c r="W173" s="452" t="s">
        <v>410</v>
      </c>
      <c r="X173" s="452"/>
      <c r="Y173" s="452"/>
      <c r="Z173" s="452"/>
      <c r="AA173" s="452"/>
      <c r="AB173" s="452"/>
      <c r="AC173" s="453"/>
      <c r="AD173" s="454">
        <f>SUM(AD174:AD177)</f>
        <v>4660000</v>
      </c>
      <c r="AE173" s="455" t="s">
        <v>25</v>
      </c>
    </row>
    <row r="174" spans="1:31" s="14" customFormat="1" ht="24" customHeight="1">
      <c r="A174" s="38"/>
      <c r="B174" s="38"/>
      <c r="C174" s="38"/>
      <c r="D174" s="437"/>
      <c r="E174" s="438"/>
      <c r="F174" s="438"/>
      <c r="G174" s="438"/>
      <c r="H174" s="438"/>
      <c r="I174" s="438"/>
      <c r="J174" s="438"/>
      <c r="K174" s="438"/>
      <c r="L174" s="438"/>
      <c r="M174" s="97"/>
      <c r="N174" s="60"/>
      <c r="O174" s="503" t="s">
        <v>522</v>
      </c>
      <c r="P174" s="503"/>
      <c r="Q174" s="503"/>
      <c r="R174" s="503"/>
      <c r="S174" s="462">
        <v>60000</v>
      </c>
      <c r="T174" s="470" t="s">
        <v>25</v>
      </c>
      <c r="U174" s="470" t="s">
        <v>26</v>
      </c>
      <c r="V174" s="462">
        <v>6</v>
      </c>
      <c r="W174" s="463" t="s">
        <v>108</v>
      </c>
      <c r="X174" s="462"/>
      <c r="Y174" s="500"/>
      <c r="Z174" s="500"/>
      <c r="AA174" s="500" t="s">
        <v>27</v>
      </c>
      <c r="AB174" s="500" t="s">
        <v>434</v>
      </c>
      <c r="AC174" s="500"/>
      <c r="AD174" s="501">
        <f>S174*V174</f>
        <v>360000</v>
      </c>
      <c r="AE174" s="502" t="s">
        <v>25</v>
      </c>
    </row>
    <row r="175" spans="1:31" s="14" customFormat="1" ht="24" customHeight="1">
      <c r="A175" s="38"/>
      <c r="B175" s="38"/>
      <c r="C175" s="38"/>
      <c r="D175" s="437"/>
      <c r="E175" s="438"/>
      <c r="F175" s="438"/>
      <c r="G175" s="438"/>
      <c r="H175" s="438"/>
      <c r="I175" s="438"/>
      <c r="J175" s="438"/>
      <c r="K175" s="438"/>
      <c r="L175" s="438"/>
      <c r="M175" s="97"/>
      <c r="N175" s="60"/>
      <c r="O175" s="503" t="s">
        <v>518</v>
      </c>
      <c r="P175" s="503"/>
      <c r="Q175" s="503"/>
      <c r="R175" s="503"/>
      <c r="S175" s="462"/>
      <c r="T175" s="470"/>
      <c r="U175" s="470"/>
      <c r="V175" s="462"/>
      <c r="W175" s="463"/>
      <c r="X175" s="462"/>
      <c r="Y175" s="500"/>
      <c r="Z175" s="500"/>
      <c r="AA175" s="500"/>
      <c r="AB175" s="500" t="s">
        <v>434</v>
      </c>
      <c r="AC175" s="500"/>
      <c r="AD175" s="501">
        <v>4000000</v>
      </c>
      <c r="AE175" s="502" t="s">
        <v>25</v>
      </c>
    </row>
    <row r="176" spans="1:31" s="14" customFormat="1" ht="24" customHeight="1">
      <c r="A176" s="38"/>
      <c r="B176" s="38"/>
      <c r="C176" s="38"/>
      <c r="D176" s="439"/>
      <c r="E176" s="440"/>
      <c r="F176" s="440"/>
      <c r="G176" s="440"/>
      <c r="H176" s="440"/>
      <c r="I176" s="440"/>
      <c r="J176" s="440"/>
      <c r="K176" s="440"/>
      <c r="L176" s="440"/>
      <c r="M176" s="97"/>
      <c r="N176" s="60"/>
      <c r="O176" s="503" t="s">
        <v>519</v>
      </c>
      <c r="P176" s="503"/>
      <c r="Q176" s="503"/>
      <c r="R176" s="503"/>
      <c r="S176" s="462">
        <v>50000</v>
      </c>
      <c r="T176" s="470" t="s">
        <v>25</v>
      </c>
      <c r="U176" s="470" t="s">
        <v>26</v>
      </c>
      <c r="V176" s="462">
        <v>6</v>
      </c>
      <c r="W176" s="463" t="s">
        <v>108</v>
      </c>
      <c r="X176" s="462"/>
      <c r="Y176" s="500"/>
      <c r="Z176" s="500"/>
      <c r="AA176" s="500" t="s">
        <v>27</v>
      </c>
      <c r="AB176" s="500" t="s">
        <v>434</v>
      </c>
      <c r="AC176" s="500"/>
      <c r="AD176" s="501">
        <f>S176*V176</f>
        <v>300000</v>
      </c>
      <c r="AE176" s="502" t="s">
        <v>25</v>
      </c>
    </row>
    <row r="177" spans="1:31" s="14" customFormat="1" ht="24" customHeight="1">
      <c r="A177" s="38"/>
      <c r="B177" s="38"/>
      <c r="C177" s="38"/>
      <c r="D177" s="136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27"/>
      <c r="P177" s="396"/>
      <c r="Q177" s="396"/>
      <c r="R177" s="393"/>
      <c r="S177" s="393"/>
      <c r="T177" s="393"/>
      <c r="U177" s="393"/>
      <c r="V177" s="393"/>
      <c r="W177" s="426"/>
      <c r="X177" s="426"/>
      <c r="Y177" s="426"/>
      <c r="Z177" s="426"/>
      <c r="AA177" s="426"/>
      <c r="AB177" s="426"/>
      <c r="AC177" s="121"/>
      <c r="AD177" s="468"/>
      <c r="AE177" s="122"/>
    </row>
    <row r="178" spans="1:31" s="14" customFormat="1" ht="24" customHeight="1">
      <c r="A178" s="38"/>
      <c r="B178" s="38"/>
      <c r="C178" s="28" t="s">
        <v>488</v>
      </c>
      <c r="D178" s="135">
        <v>90</v>
      </c>
      <c r="E178" s="102">
        <f>ROUND(AD178/1000,0)</f>
        <v>150</v>
      </c>
      <c r="F178" s="103">
        <f>SUMIF($AB$179:$AB$185,"보조",$AD$179:$AD$185)/1000</f>
        <v>0</v>
      </c>
      <c r="G178" s="103">
        <f>SUMIF($AB$179:$AB$185,"4종",$AD$179:$AD$185)/1000</f>
        <v>0</v>
      </c>
      <c r="H178" s="103">
        <f>SUMIF($AB$179:$AB$185,"6종",$AD$179:$AD$185)/1000</f>
        <v>0</v>
      </c>
      <c r="I178" s="103">
        <f>SUMIF($AB$179:$AB$180,"후원",$AD$179:$AD$180)/1000</f>
        <v>0</v>
      </c>
      <c r="J178" s="103">
        <f>SUMIF($AB$179:$AB$179,"입소",$AD$179:$AD$179)/1000</f>
        <v>150</v>
      </c>
      <c r="K178" s="103">
        <f>SUMIF($AB$179:$AB$185,"법인",$AD$179:$AD$185)/1000</f>
        <v>0</v>
      </c>
      <c r="L178" s="103">
        <f>SUMIF($AB$179:$AB$185,"잡수",$AD$179:$AD$185)/1000</f>
        <v>0</v>
      </c>
      <c r="M178" s="102">
        <f>E178-D178</f>
        <v>60</v>
      </c>
      <c r="N178" s="109">
        <f>IF(D178=0,0,M178/D178)</f>
        <v>0.66666666666666663</v>
      </c>
      <c r="O178" s="286"/>
      <c r="P178" s="300"/>
      <c r="Q178" s="300"/>
      <c r="R178" s="451"/>
      <c r="S178" s="451"/>
      <c r="T178" s="451"/>
      <c r="U178" s="451"/>
      <c r="V178" s="451"/>
      <c r="W178" s="452" t="s">
        <v>410</v>
      </c>
      <c r="X178" s="452"/>
      <c r="Y178" s="452"/>
      <c r="Z178" s="452"/>
      <c r="AA178" s="452"/>
      <c r="AB178" s="452"/>
      <c r="AC178" s="453"/>
      <c r="AD178" s="454">
        <f>SUM(AD179:AD180)</f>
        <v>150000</v>
      </c>
      <c r="AE178" s="455" t="s">
        <v>25</v>
      </c>
    </row>
    <row r="179" spans="1:31" s="14" customFormat="1" ht="24" customHeight="1">
      <c r="A179" s="38"/>
      <c r="B179" s="38"/>
      <c r="C179" s="38" t="s">
        <v>103</v>
      </c>
      <c r="D179" s="437"/>
      <c r="E179" s="438"/>
      <c r="F179" s="438"/>
      <c r="G179" s="438"/>
      <c r="H179" s="438"/>
      <c r="I179" s="438"/>
      <c r="J179" s="438"/>
      <c r="K179" s="438"/>
      <c r="L179" s="438"/>
      <c r="M179" s="97"/>
      <c r="N179" s="60"/>
      <c r="O179" s="504" t="s">
        <v>523</v>
      </c>
      <c r="P179" s="505"/>
      <c r="Q179" s="505"/>
      <c r="R179" s="505"/>
      <c r="S179" s="506">
        <v>15000</v>
      </c>
      <c r="T179" s="506" t="s">
        <v>25</v>
      </c>
      <c r="U179" s="505" t="s">
        <v>26</v>
      </c>
      <c r="V179" s="506">
        <v>5</v>
      </c>
      <c r="W179" s="506" t="s">
        <v>108</v>
      </c>
      <c r="X179" s="505" t="s">
        <v>26</v>
      </c>
      <c r="Y179" s="507">
        <v>2</v>
      </c>
      <c r="Z179" s="508" t="s">
        <v>454</v>
      </c>
      <c r="AA179" s="508" t="s">
        <v>27</v>
      </c>
      <c r="AB179" s="506" t="s">
        <v>434</v>
      </c>
      <c r="AC179" s="509"/>
      <c r="AD179" s="506">
        <f>S179*V179*Y179</f>
        <v>150000</v>
      </c>
      <c r="AE179" s="510" t="s">
        <v>25</v>
      </c>
    </row>
    <row r="180" spans="1:31" s="14" customFormat="1" ht="24" customHeight="1">
      <c r="A180" s="38"/>
      <c r="B180" s="38"/>
      <c r="C180" s="38"/>
      <c r="D180" s="133"/>
      <c r="E180" s="97"/>
      <c r="F180" s="97"/>
      <c r="G180" s="97"/>
      <c r="H180" s="97"/>
      <c r="I180" s="97"/>
      <c r="J180" s="97"/>
      <c r="K180" s="97"/>
      <c r="L180" s="97"/>
      <c r="M180" s="97"/>
      <c r="N180" s="60"/>
      <c r="O180" s="399"/>
      <c r="P180" s="399"/>
      <c r="Q180" s="399"/>
      <c r="R180" s="399"/>
      <c r="S180" s="426"/>
      <c r="T180" s="293"/>
      <c r="U180" s="293"/>
      <c r="V180" s="426"/>
      <c r="W180" s="427"/>
      <c r="X180" s="426"/>
      <c r="Y180" s="399"/>
      <c r="Z180" s="399"/>
      <c r="AA180" s="399"/>
      <c r="AB180" s="399"/>
      <c r="AC180" s="399"/>
      <c r="AD180" s="450"/>
      <c r="AE180" s="400"/>
    </row>
    <row r="181" spans="1:31" s="14" customFormat="1" ht="24" customHeight="1">
      <c r="A181" s="38"/>
      <c r="B181" s="38"/>
      <c r="C181" s="28" t="s">
        <v>491</v>
      </c>
      <c r="D181" s="135">
        <v>100</v>
      </c>
      <c r="E181" s="102">
        <f>ROUND(AD181/1000,0)</f>
        <v>330</v>
      </c>
      <c r="F181" s="103">
        <f>SUMIF($AB$179:$AB$185,"보조",$AD$179:$AD$185)/1000</f>
        <v>0</v>
      </c>
      <c r="G181" s="103">
        <f>SUMIF($AB$179:$AB$185,"4종",$AD$179:$AD$185)/1000</f>
        <v>0</v>
      </c>
      <c r="H181" s="103">
        <f>SUMIF($AB$179:$AB$185,"6종",$AD$179:$AD$185)/1000</f>
        <v>0</v>
      </c>
      <c r="I181" s="103">
        <f>SUMIF($AB$182:$AB$185,"후원",$AD$182:$AD$185)/1000</f>
        <v>0</v>
      </c>
      <c r="J181" s="103">
        <f>SUMIF($AB$182:$AB$185,"입소",$AD$182:$AD$185)/1000</f>
        <v>330</v>
      </c>
      <c r="K181" s="103">
        <f>SUMIF($AB$179:$AB$185,"법인",$AD$179:$AD$185)/1000</f>
        <v>0</v>
      </c>
      <c r="L181" s="103">
        <v>0</v>
      </c>
      <c r="M181" s="102">
        <f>E181-D181</f>
        <v>230</v>
      </c>
      <c r="N181" s="109">
        <f>IF(D181=0,0,M181/D181)</f>
        <v>2.2999999999999998</v>
      </c>
      <c r="O181" s="286"/>
      <c r="P181" s="300"/>
      <c r="Q181" s="300"/>
      <c r="R181" s="451"/>
      <c r="S181" s="451"/>
      <c r="T181" s="451"/>
      <c r="U181" s="451"/>
      <c r="V181" s="451"/>
      <c r="W181" s="452" t="s">
        <v>410</v>
      </c>
      <c r="X181" s="452"/>
      <c r="Y181" s="452"/>
      <c r="Z181" s="452"/>
      <c r="AA181" s="452"/>
      <c r="AB181" s="452"/>
      <c r="AC181" s="453"/>
      <c r="AD181" s="454">
        <f>SUM(AD182:AD184)</f>
        <v>330000</v>
      </c>
      <c r="AE181" s="455" t="s">
        <v>25</v>
      </c>
    </row>
    <row r="182" spans="1:31" s="14" customFormat="1" ht="24" customHeight="1">
      <c r="A182" s="38"/>
      <c r="B182" s="38"/>
      <c r="C182" s="38" t="s">
        <v>407</v>
      </c>
      <c r="D182" s="133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463" t="s">
        <v>489</v>
      </c>
      <c r="P182" s="479"/>
      <c r="Q182" s="479"/>
      <c r="R182" s="476"/>
      <c r="S182" s="462">
        <v>200000</v>
      </c>
      <c r="T182" s="470" t="s">
        <v>25</v>
      </c>
      <c r="U182" s="470" t="s">
        <v>26</v>
      </c>
      <c r="V182" s="462">
        <v>1</v>
      </c>
      <c r="W182" s="463" t="s">
        <v>454</v>
      </c>
      <c r="X182" s="462"/>
      <c r="Y182" s="503"/>
      <c r="Z182" s="503" t="s">
        <v>27</v>
      </c>
      <c r="AA182" s="503"/>
      <c r="AB182" s="503" t="s">
        <v>434</v>
      </c>
      <c r="AC182" s="503"/>
      <c r="AD182" s="511">
        <f>S182*V182</f>
        <v>200000</v>
      </c>
      <c r="AE182" s="502" t="s">
        <v>25</v>
      </c>
    </row>
    <row r="183" spans="1:31" s="14" customFormat="1" ht="24" customHeight="1">
      <c r="A183" s="38"/>
      <c r="B183" s="38"/>
      <c r="C183" s="38"/>
      <c r="D183" s="133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63" t="s">
        <v>500</v>
      </c>
      <c r="P183" s="479"/>
      <c r="Q183" s="479"/>
      <c r="R183" s="476"/>
      <c r="S183" s="462">
        <v>100000</v>
      </c>
      <c r="T183" s="470" t="s">
        <v>25</v>
      </c>
      <c r="U183" s="470" t="s">
        <v>26</v>
      </c>
      <c r="V183" s="462">
        <v>1</v>
      </c>
      <c r="W183" s="463" t="s">
        <v>454</v>
      </c>
      <c r="X183" s="462"/>
      <c r="Y183" s="503"/>
      <c r="Z183" s="503" t="s">
        <v>27</v>
      </c>
      <c r="AA183" s="503"/>
      <c r="AB183" s="523" t="s">
        <v>381</v>
      </c>
      <c r="AC183" s="503"/>
      <c r="AD183" s="511">
        <f>S183*V183</f>
        <v>100000</v>
      </c>
      <c r="AE183" s="502" t="s">
        <v>25</v>
      </c>
    </row>
    <row r="184" spans="1:31" s="14" customFormat="1" ht="24" customHeight="1">
      <c r="A184" s="38"/>
      <c r="B184" s="38"/>
      <c r="C184" s="38"/>
      <c r="D184" s="133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63" t="s">
        <v>490</v>
      </c>
      <c r="P184" s="479"/>
      <c r="Q184" s="479"/>
      <c r="R184" s="476"/>
      <c r="S184" s="462"/>
      <c r="T184" s="470"/>
      <c r="U184" s="470"/>
      <c r="V184" s="462"/>
      <c r="W184" s="463"/>
      <c r="X184" s="462"/>
      <c r="Y184" s="503"/>
      <c r="Z184" s="503"/>
      <c r="AA184" s="503"/>
      <c r="AB184" s="503" t="s">
        <v>434</v>
      </c>
      <c r="AC184" s="503"/>
      <c r="AD184" s="511">
        <v>30000</v>
      </c>
      <c r="AE184" s="502" t="s">
        <v>25</v>
      </c>
    </row>
    <row r="185" spans="1:31" s="14" customFormat="1" ht="24" customHeight="1">
      <c r="A185" s="38"/>
      <c r="B185" s="38"/>
      <c r="C185" s="38"/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63"/>
      <c r="P185" s="479"/>
      <c r="Q185" s="479"/>
      <c r="R185" s="476"/>
      <c r="S185" s="462"/>
      <c r="T185" s="470"/>
      <c r="U185" s="470"/>
      <c r="V185" s="462"/>
      <c r="W185" s="463"/>
      <c r="X185" s="462"/>
      <c r="Y185" s="503"/>
      <c r="Z185" s="503"/>
      <c r="AA185" s="503"/>
      <c r="AB185" s="503"/>
      <c r="AC185" s="503"/>
      <c r="AD185" s="511"/>
      <c r="AE185" s="502"/>
    </row>
    <row r="186" spans="1:31" s="11" customFormat="1" ht="21" customHeight="1">
      <c r="A186" s="27" t="s">
        <v>419</v>
      </c>
      <c r="B186" s="602" t="s">
        <v>20</v>
      </c>
      <c r="C186" s="603"/>
      <c r="D186" s="144">
        <f>D187</f>
        <v>0</v>
      </c>
      <c r="E186" s="144">
        <f>E187</f>
        <v>0</v>
      </c>
      <c r="F186" s="144">
        <f t="shared" ref="F186:L186" si="10">F187</f>
        <v>0</v>
      </c>
      <c r="G186" s="144">
        <f t="shared" si="10"/>
        <v>0</v>
      </c>
      <c r="H186" s="144">
        <f t="shared" si="10"/>
        <v>0</v>
      </c>
      <c r="I186" s="144">
        <f t="shared" si="10"/>
        <v>0</v>
      </c>
      <c r="J186" s="144">
        <f t="shared" si="10"/>
        <v>0</v>
      </c>
      <c r="K186" s="144">
        <f t="shared" si="10"/>
        <v>0</v>
      </c>
      <c r="L186" s="144">
        <f t="shared" si="10"/>
        <v>0</v>
      </c>
      <c r="M186" s="144">
        <f>E186-D186</f>
        <v>0</v>
      </c>
      <c r="N186" s="145">
        <f>IF(D186=0,0,M186/D186)</f>
        <v>0</v>
      </c>
      <c r="O186" s="424" t="s">
        <v>420</v>
      </c>
      <c r="P186" s="424"/>
      <c r="Q186" s="424"/>
      <c r="R186" s="424"/>
      <c r="S186" s="423"/>
      <c r="T186" s="423"/>
      <c r="U186" s="423"/>
      <c r="V186" s="423"/>
      <c r="W186" s="423"/>
      <c r="X186" s="423"/>
      <c r="Y186" s="423"/>
      <c r="Z186" s="423"/>
      <c r="AA186" s="423"/>
      <c r="AB186" s="423"/>
      <c r="AC186" s="423"/>
      <c r="AD186" s="423">
        <f>SUM(AD187)</f>
        <v>0</v>
      </c>
      <c r="AE186" s="146" t="s">
        <v>25</v>
      </c>
    </row>
    <row r="187" spans="1:31" s="11" customFormat="1" ht="21" customHeight="1">
      <c r="A187" s="37"/>
      <c r="B187" s="38" t="s">
        <v>419</v>
      </c>
      <c r="C187" s="38" t="s">
        <v>419</v>
      </c>
      <c r="D187" s="133">
        <v>0</v>
      </c>
      <c r="E187" s="97">
        <f>AD187/1000</f>
        <v>0</v>
      </c>
      <c r="F187" s="103">
        <f>SUMIF($AB$188:$AB$188,"보조",$AD$188:$AD$188)/1000</f>
        <v>0</v>
      </c>
      <c r="G187" s="103">
        <f>SUMIF($AB$188:$AB$188,"4종",$AD$188:$AD$188)/1000</f>
        <v>0</v>
      </c>
      <c r="H187" s="103">
        <f>SUMIF($AB$188:$AB$188,"6종",$AD$188:$AD$188)/1000</f>
        <v>0</v>
      </c>
      <c r="I187" s="103">
        <f>SUMIF($AB$188:$AB$188,"후원",$AD$188:$AD$188)/1000</f>
        <v>0</v>
      </c>
      <c r="J187" s="103">
        <f>SUMIF($AB$188:$AB$188,"입소",$AD$188:$AD$188)/1000</f>
        <v>0</v>
      </c>
      <c r="K187" s="103">
        <f>SUMIF($AB$188:$AB$188,"법인",$AD$188:$AD$188)/1000</f>
        <v>0</v>
      </c>
      <c r="L187" s="103">
        <f>SUMIF($AB$188:$AB$188,"잡수",$AD$188:$AD$188)/1000</f>
        <v>0</v>
      </c>
      <c r="M187" s="97">
        <f>E187-D187</f>
        <v>0</v>
      </c>
      <c r="N187" s="60">
        <f>IF(D187=0,0,M187/D187)</f>
        <v>0</v>
      </c>
      <c r="O187" s="105" t="s">
        <v>421</v>
      </c>
      <c r="P187" s="151"/>
      <c r="Q187" s="151"/>
      <c r="R187" s="151"/>
      <c r="S187" s="151"/>
      <c r="T187" s="150"/>
      <c r="U187" s="150"/>
      <c r="V187" s="150"/>
      <c r="W187" s="150"/>
      <c r="X187" s="150"/>
      <c r="Y187" s="423" t="s">
        <v>385</v>
      </c>
      <c r="Z187" s="87"/>
      <c r="AA187" s="87"/>
      <c r="AB187" s="87"/>
      <c r="AC187" s="107"/>
      <c r="AD187" s="107">
        <v>0</v>
      </c>
      <c r="AE187" s="108" t="s">
        <v>25</v>
      </c>
    </row>
    <row r="188" spans="1:31" s="1" customFormat="1" ht="21" customHeight="1">
      <c r="A188" s="48"/>
      <c r="B188" s="49"/>
      <c r="C188" s="49"/>
      <c r="D188" s="134"/>
      <c r="E188" s="100"/>
      <c r="F188" s="100"/>
      <c r="G188" s="100"/>
      <c r="H188" s="100"/>
      <c r="I188" s="100"/>
      <c r="J188" s="100"/>
      <c r="K188" s="100"/>
      <c r="L188" s="100"/>
      <c r="M188" s="100"/>
      <c r="N188" s="75"/>
      <c r="O188" s="351"/>
      <c r="P188" s="351"/>
      <c r="Q188" s="351"/>
      <c r="R188" s="351"/>
      <c r="S188" s="351"/>
      <c r="T188" s="351"/>
      <c r="U188" s="351"/>
      <c r="V188" s="351"/>
      <c r="W188" s="351"/>
      <c r="X188" s="351"/>
      <c r="Y188" s="351"/>
      <c r="Z188" s="351"/>
      <c r="AA188" s="351"/>
      <c r="AB188" s="351"/>
      <c r="AC188" s="351"/>
      <c r="AD188" s="351"/>
      <c r="AE188" s="519"/>
    </row>
    <row r="189" spans="1:31" s="11" customFormat="1" ht="21" customHeight="1">
      <c r="A189" s="37" t="s">
        <v>21</v>
      </c>
      <c r="B189" s="597" t="s">
        <v>20</v>
      </c>
      <c r="C189" s="598"/>
      <c r="D189" s="100">
        <f t="shared" ref="D189:L189" si="11">SUM(D190)+D196</f>
        <v>142</v>
      </c>
      <c r="E189" s="100">
        <f t="shared" si="11"/>
        <v>22</v>
      </c>
      <c r="F189" s="100">
        <f t="shared" si="11"/>
        <v>20</v>
      </c>
      <c r="G189" s="100">
        <f t="shared" si="11"/>
        <v>2</v>
      </c>
      <c r="H189" s="100">
        <f t="shared" si="11"/>
        <v>0</v>
      </c>
      <c r="I189" s="100">
        <f t="shared" si="11"/>
        <v>0</v>
      </c>
      <c r="J189" s="100">
        <f t="shared" si="11"/>
        <v>0</v>
      </c>
      <c r="K189" s="100">
        <f t="shared" si="11"/>
        <v>0</v>
      </c>
      <c r="L189" s="100">
        <f t="shared" si="11"/>
        <v>0</v>
      </c>
      <c r="M189" s="100">
        <f>E189-D189</f>
        <v>-120</v>
      </c>
      <c r="N189" s="75">
        <f>IF(D189=0,0,M189/D189)</f>
        <v>-0.84507042253521125</v>
      </c>
      <c r="O189" s="520" t="s">
        <v>21</v>
      </c>
      <c r="P189" s="105"/>
      <c r="Q189" s="105"/>
      <c r="R189" s="105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>
        <f>AD190+AD196</f>
        <v>22000</v>
      </c>
      <c r="AE189" s="108" t="s">
        <v>25</v>
      </c>
    </row>
    <row r="190" spans="1:31" s="11" customFormat="1" ht="21" customHeight="1">
      <c r="A190" s="37"/>
      <c r="B190" s="38" t="s">
        <v>21</v>
      </c>
      <c r="C190" s="38" t="s">
        <v>21</v>
      </c>
      <c r="D190" s="97">
        <v>0</v>
      </c>
      <c r="E190" s="102">
        <f>AD190/1000</f>
        <v>0</v>
      </c>
      <c r="F190" s="103">
        <f>SUMIF($AB$190:$AB$194,"보조",$AD$190:$AD$194)/1000</f>
        <v>0</v>
      </c>
      <c r="G190" s="103">
        <f>SUMIF($AB$190:$AB$194,"4종",$AD$190:$AD$194)/1000</f>
        <v>0</v>
      </c>
      <c r="H190" s="103">
        <f>SUMIF($AB$190:$AB$194,"6종",$AD$190:$AD$194)/1000</f>
        <v>0</v>
      </c>
      <c r="I190" s="103">
        <f>SUMIF($AB$190:$AB$194,"후원",$AD$190:$AD$194)/1000</f>
        <v>0</v>
      </c>
      <c r="J190" s="103">
        <f>SUMIF($AB$190:$AB$194,"입소",$AD$190:$AD$194)/1000</f>
        <v>0</v>
      </c>
      <c r="K190" s="103">
        <f>SUMIF($AB$190:$AB$194,"법인",$AD$190:$AD$194)/1000</f>
        <v>0</v>
      </c>
      <c r="L190" s="103">
        <f>SUMIF($AB$190:$AB$194,"잡수",$AD$190:$AD$194)/1000</f>
        <v>0</v>
      </c>
      <c r="M190" s="97">
        <f>E190-D190</f>
        <v>0</v>
      </c>
      <c r="N190" s="60">
        <f>IF(D190=0,0,M190/D190)</f>
        <v>0</v>
      </c>
      <c r="O190" s="105" t="s">
        <v>52</v>
      </c>
      <c r="P190" s="151"/>
      <c r="Q190" s="151"/>
      <c r="R190" s="151"/>
      <c r="S190" s="151"/>
      <c r="T190" s="150"/>
      <c r="U190" s="150"/>
      <c r="V190" s="150"/>
      <c r="W190" s="150"/>
      <c r="X190" s="150"/>
      <c r="Y190" s="423" t="s">
        <v>371</v>
      </c>
      <c r="Z190" s="87"/>
      <c r="AA190" s="87"/>
      <c r="AB190" s="87"/>
      <c r="AC190" s="107"/>
      <c r="AD190" s="107">
        <f>SUM(AD191:AD194)</f>
        <v>0</v>
      </c>
      <c r="AE190" s="108" t="s">
        <v>25</v>
      </c>
    </row>
    <row r="191" spans="1:31" s="11" customFormat="1" ht="21" customHeight="1">
      <c r="A191" s="37"/>
      <c r="B191" s="38"/>
      <c r="C191" s="38"/>
      <c r="D191" s="133"/>
      <c r="E191" s="97"/>
      <c r="F191" s="448"/>
      <c r="G191" s="448"/>
      <c r="H191" s="448"/>
      <c r="I191" s="448"/>
      <c r="J191" s="448"/>
      <c r="K191" s="448"/>
      <c r="L191" s="448"/>
      <c r="M191" s="97"/>
      <c r="N191" s="60"/>
      <c r="O191" s="469" t="s">
        <v>422</v>
      </c>
      <c r="P191" s="469"/>
      <c r="Q191" s="469"/>
      <c r="R191" s="469"/>
      <c r="S191" s="469"/>
      <c r="T191" s="468"/>
      <c r="U191" s="468"/>
      <c r="V191" s="468"/>
      <c r="W191" s="468"/>
      <c r="X191" s="468"/>
      <c r="Y191" s="468"/>
      <c r="Z191" s="468"/>
      <c r="AA191" s="468"/>
      <c r="AB191" s="468" t="s">
        <v>381</v>
      </c>
      <c r="AC191" s="121"/>
      <c r="AD191" s="121">
        <v>0</v>
      </c>
      <c r="AE191" s="122" t="s">
        <v>56</v>
      </c>
    </row>
    <row r="192" spans="1:31" s="11" customFormat="1" ht="21" customHeight="1">
      <c r="A192" s="37"/>
      <c r="B192" s="38"/>
      <c r="C192" s="38"/>
      <c r="D192" s="133"/>
      <c r="E192" s="97"/>
      <c r="F192" s="448"/>
      <c r="G192" s="448"/>
      <c r="H192" s="448"/>
      <c r="I192" s="448"/>
      <c r="J192" s="448"/>
      <c r="K192" s="448"/>
      <c r="L192" s="448"/>
      <c r="M192" s="97"/>
      <c r="N192" s="60"/>
      <c r="O192" s="469" t="s">
        <v>423</v>
      </c>
      <c r="P192" s="469"/>
      <c r="Q192" s="469"/>
      <c r="R192" s="469"/>
      <c r="S192" s="469"/>
      <c r="T192" s="468"/>
      <c r="U192" s="468"/>
      <c r="V192" s="468"/>
      <c r="W192" s="468"/>
      <c r="X192" s="468"/>
      <c r="Y192" s="468"/>
      <c r="Z192" s="468"/>
      <c r="AA192" s="468"/>
      <c r="AB192" s="468" t="s">
        <v>367</v>
      </c>
      <c r="AC192" s="121"/>
      <c r="AD192" s="121">
        <v>0</v>
      </c>
      <c r="AE192" s="122" t="s">
        <v>56</v>
      </c>
    </row>
    <row r="193" spans="1:31" s="11" customFormat="1" ht="21" customHeight="1">
      <c r="A193" s="37"/>
      <c r="B193" s="38"/>
      <c r="C193" s="38"/>
      <c r="D193" s="133"/>
      <c r="E193" s="97"/>
      <c r="F193" s="448"/>
      <c r="G193" s="448"/>
      <c r="H193" s="448"/>
      <c r="I193" s="448"/>
      <c r="J193" s="448"/>
      <c r="K193" s="448"/>
      <c r="L193" s="448"/>
      <c r="M193" s="97"/>
      <c r="N193" s="60"/>
      <c r="O193" s="469" t="s">
        <v>424</v>
      </c>
      <c r="P193" s="469"/>
      <c r="Q193" s="469"/>
      <c r="R193" s="469"/>
      <c r="S193" s="469"/>
      <c r="T193" s="468"/>
      <c r="U193" s="468"/>
      <c r="V193" s="468"/>
      <c r="W193" s="468"/>
      <c r="X193" s="468"/>
      <c r="Y193" s="468"/>
      <c r="Z193" s="468"/>
      <c r="AA193" s="468"/>
      <c r="AB193" s="468" t="s">
        <v>166</v>
      </c>
      <c r="AC193" s="121"/>
      <c r="AD193" s="121">
        <v>0</v>
      </c>
      <c r="AE193" s="122" t="s">
        <v>56</v>
      </c>
    </row>
    <row r="194" spans="1:31" s="11" customFormat="1" ht="21" customHeight="1">
      <c r="A194" s="37"/>
      <c r="B194" s="38"/>
      <c r="C194" s="38"/>
      <c r="D194" s="133"/>
      <c r="E194" s="97"/>
      <c r="F194" s="448"/>
      <c r="G194" s="448"/>
      <c r="H194" s="448"/>
      <c r="I194" s="448"/>
      <c r="J194" s="448"/>
      <c r="K194" s="448"/>
      <c r="L194" s="448"/>
      <c r="M194" s="97"/>
      <c r="N194" s="60"/>
      <c r="O194" s="469" t="s">
        <v>425</v>
      </c>
      <c r="P194" s="469"/>
      <c r="Q194" s="469"/>
      <c r="R194" s="469"/>
      <c r="S194" s="469"/>
      <c r="T194" s="468"/>
      <c r="U194" s="468"/>
      <c r="V194" s="468"/>
      <c r="W194" s="468"/>
      <c r="X194" s="468"/>
      <c r="Y194" s="468"/>
      <c r="Z194" s="468"/>
      <c r="AA194" s="468"/>
      <c r="AB194" s="468" t="s">
        <v>386</v>
      </c>
      <c r="AC194" s="121"/>
      <c r="AD194" s="121">
        <v>0</v>
      </c>
      <c r="AE194" s="122" t="s">
        <v>56</v>
      </c>
    </row>
    <row r="195" spans="1:31" s="11" customFormat="1" ht="21" customHeight="1">
      <c r="A195" s="37"/>
      <c r="B195" s="38"/>
      <c r="C195" s="38"/>
      <c r="D195" s="133"/>
      <c r="E195" s="97"/>
      <c r="F195" s="97"/>
      <c r="G195" s="97"/>
      <c r="H195" s="97"/>
      <c r="I195" s="97"/>
      <c r="J195" s="97"/>
      <c r="K195" s="97"/>
      <c r="L195" s="97"/>
      <c r="M195" s="97"/>
      <c r="N195" s="60"/>
      <c r="O195" s="427"/>
      <c r="P195" s="427"/>
      <c r="Q195" s="427"/>
      <c r="R195" s="427"/>
      <c r="S195" s="427"/>
      <c r="T195" s="426"/>
      <c r="U195" s="426"/>
      <c r="V195" s="426"/>
      <c r="W195" s="426"/>
      <c r="X195" s="426"/>
      <c r="Y195" s="426"/>
      <c r="Z195" s="426"/>
      <c r="AA195" s="426"/>
      <c r="AB195" s="426"/>
      <c r="AC195" s="121"/>
      <c r="AD195" s="121"/>
      <c r="AE195" s="122"/>
    </row>
    <row r="196" spans="1:31" s="11" customFormat="1" ht="21" customHeight="1">
      <c r="A196" s="37"/>
      <c r="B196" s="38"/>
      <c r="C196" s="28" t="s">
        <v>132</v>
      </c>
      <c r="D196" s="135">
        <v>142</v>
      </c>
      <c r="E196" s="102">
        <f>AD196/1000</f>
        <v>22</v>
      </c>
      <c r="F196" s="103">
        <f>SUMIF($AB$197:$AB$203,"보조",$AD$197:$AD$203)/1000</f>
        <v>20</v>
      </c>
      <c r="G196" s="103">
        <f>SUMIF($AB$197:$AB$202,"4종",$AD$197:$AD$202)/1000</f>
        <v>2</v>
      </c>
      <c r="H196" s="103">
        <f>SUMIF($AB$197:$AB$202,"6종",$AD$197:$AD$202)/1000</f>
        <v>0</v>
      </c>
      <c r="I196" s="103">
        <f>SUMIF($AB$197:$AB$202,"후원",$AD$197:$AD$202)/1000</f>
        <v>0</v>
      </c>
      <c r="J196" s="103">
        <f>SUMIF($AB$197:$AB$202,"입소",$AD$197:$AD$202)/1000</f>
        <v>0</v>
      </c>
      <c r="K196" s="103">
        <f>SUMIF($AB$197:$AB$202,"법인",$AD$197:$AD$202)/1000</f>
        <v>0</v>
      </c>
      <c r="L196" s="103">
        <f>SUMIF($AB$197:$AB$202,"잡수",$AD$197:$AD$202)/1000</f>
        <v>0</v>
      </c>
      <c r="M196" s="102">
        <f>E196-D196</f>
        <v>-120</v>
      </c>
      <c r="N196" s="109">
        <f>IF(D196=0,0,M196/D196)</f>
        <v>-0.84507042253521125</v>
      </c>
      <c r="O196" s="299" t="s">
        <v>414</v>
      </c>
      <c r="P196" s="153"/>
      <c r="Q196" s="153"/>
      <c r="R196" s="153"/>
      <c r="S196" s="153"/>
      <c r="T196" s="152"/>
      <c r="U196" s="152"/>
      <c r="V196" s="152"/>
      <c r="W196" s="152"/>
      <c r="X196" s="152"/>
      <c r="Y196" s="516" t="s">
        <v>371</v>
      </c>
      <c r="Z196" s="516"/>
      <c r="AA196" s="516"/>
      <c r="AB196" s="516"/>
      <c r="AC196" s="147"/>
      <c r="AD196" s="303">
        <f>ROUNDUP(SUM(AD197:AD202),-3)</f>
        <v>22000</v>
      </c>
      <c r="AE196" s="146" t="s">
        <v>25</v>
      </c>
    </row>
    <row r="197" spans="1:31" s="11" customFormat="1" ht="21" customHeight="1">
      <c r="A197" s="37"/>
      <c r="B197" s="38"/>
      <c r="C197" s="38" t="s">
        <v>413</v>
      </c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69" t="s">
        <v>415</v>
      </c>
      <c r="P197" s="469"/>
      <c r="Q197" s="469"/>
      <c r="R197" s="469"/>
      <c r="S197" s="468"/>
      <c r="T197" s="468"/>
      <c r="U197" s="468"/>
      <c r="V197" s="468"/>
      <c r="W197" s="468"/>
      <c r="X197" s="468"/>
      <c r="Y197" s="468"/>
      <c r="Z197" s="468"/>
      <c r="AA197" s="468"/>
      <c r="AB197" s="468" t="s">
        <v>337</v>
      </c>
      <c r="AC197" s="468"/>
      <c r="AD197" s="121">
        <v>0</v>
      </c>
      <c r="AE197" s="122" t="s">
        <v>25</v>
      </c>
    </row>
    <row r="198" spans="1:31" s="11" customFormat="1" ht="21" customHeight="1">
      <c r="A198" s="37"/>
      <c r="B198" s="38"/>
      <c r="C198" s="38"/>
      <c r="D198" s="133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469" t="s">
        <v>416</v>
      </c>
      <c r="P198" s="469"/>
      <c r="Q198" s="469"/>
      <c r="R198" s="469"/>
      <c r="S198" s="468"/>
      <c r="T198" s="468"/>
      <c r="U198" s="468"/>
      <c r="V198" s="468"/>
      <c r="W198" s="468"/>
      <c r="X198" s="468"/>
      <c r="Y198" s="468"/>
      <c r="Z198" s="468"/>
      <c r="AA198" s="468"/>
      <c r="AB198" s="468" t="s">
        <v>337</v>
      </c>
      <c r="AC198" s="468"/>
      <c r="AD198" s="274">
        <v>20000</v>
      </c>
      <c r="AE198" s="122" t="s">
        <v>56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69" t="s">
        <v>417</v>
      </c>
      <c r="P199" s="469"/>
      <c r="Q199" s="469"/>
      <c r="R199" s="469"/>
      <c r="S199" s="468"/>
      <c r="T199" s="468"/>
      <c r="U199" s="468"/>
      <c r="V199" s="468"/>
      <c r="W199" s="468"/>
      <c r="X199" s="468"/>
      <c r="Y199" s="468"/>
      <c r="Z199" s="468"/>
      <c r="AA199" s="468"/>
      <c r="AB199" s="468" t="s">
        <v>296</v>
      </c>
      <c r="AC199" s="468"/>
      <c r="AD199" s="121">
        <v>0</v>
      </c>
      <c r="AE199" s="122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69" t="s">
        <v>418</v>
      </c>
      <c r="P200" s="469"/>
      <c r="Q200" s="469"/>
      <c r="R200" s="469"/>
      <c r="S200" s="468"/>
      <c r="T200" s="468"/>
      <c r="U200" s="468"/>
      <c r="V200" s="468"/>
      <c r="W200" s="468"/>
      <c r="X200" s="468"/>
      <c r="Y200" s="468"/>
      <c r="Z200" s="468"/>
      <c r="AA200" s="468"/>
      <c r="AB200" s="468" t="s">
        <v>296</v>
      </c>
      <c r="AC200" s="468"/>
      <c r="AD200" s="274">
        <v>2000</v>
      </c>
      <c r="AE200" s="122" t="s">
        <v>56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69" t="s">
        <v>438</v>
      </c>
      <c r="P201" s="469"/>
      <c r="Q201" s="469"/>
      <c r="R201" s="469"/>
      <c r="S201" s="468"/>
      <c r="T201" s="468"/>
      <c r="U201" s="468"/>
      <c r="V201" s="468"/>
      <c r="W201" s="468"/>
      <c r="X201" s="468"/>
      <c r="Y201" s="468"/>
      <c r="Z201" s="468"/>
      <c r="AA201" s="468"/>
      <c r="AB201" s="468" t="s">
        <v>310</v>
      </c>
      <c r="AC201" s="468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69" t="s">
        <v>439</v>
      </c>
      <c r="P202" s="469"/>
      <c r="Q202" s="469"/>
      <c r="R202" s="469"/>
      <c r="S202" s="468"/>
      <c r="T202" s="468"/>
      <c r="U202" s="468"/>
      <c r="V202" s="468"/>
      <c r="W202" s="468"/>
      <c r="X202" s="468"/>
      <c r="Y202" s="468"/>
      <c r="Z202" s="468"/>
      <c r="AA202" s="468"/>
      <c r="AB202" s="468" t="s">
        <v>310</v>
      </c>
      <c r="AC202" s="468"/>
      <c r="AD202" s="434"/>
      <c r="AE202" s="122" t="s">
        <v>56</v>
      </c>
    </row>
    <row r="203" spans="1:31" s="1" customFormat="1" ht="21" customHeight="1" thickBot="1">
      <c r="A203" s="123"/>
      <c r="B203" s="90"/>
      <c r="C203" s="90"/>
      <c r="D203" s="138"/>
      <c r="E203" s="124"/>
      <c r="F203" s="124"/>
      <c r="G203" s="124"/>
      <c r="H203" s="124"/>
      <c r="I203" s="124"/>
      <c r="J203" s="124"/>
      <c r="K203" s="124"/>
      <c r="L203" s="124"/>
      <c r="M203" s="124"/>
      <c r="N203" s="125"/>
      <c r="O203" s="403"/>
      <c r="P203" s="403"/>
      <c r="Q203" s="403"/>
      <c r="R203" s="403"/>
      <c r="S203" s="404"/>
      <c r="T203" s="404"/>
      <c r="U203" s="404"/>
      <c r="V203" s="404"/>
      <c r="W203" s="404"/>
      <c r="X203" s="404"/>
      <c r="Y203" s="404"/>
      <c r="Z203" s="404"/>
      <c r="AA203" s="404"/>
      <c r="AB203" s="404"/>
      <c r="AC203" s="404"/>
      <c r="AD203" s="404"/>
      <c r="AE203" s="405"/>
    </row>
    <row r="205" spans="1:31" ht="21" customHeight="1">
      <c r="E205" s="290"/>
      <c r="F205" s="290"/>
    </row>
    <row r="206" spans="1:31" ht="21" customHeight="1">
      <c r="E206" s="290"/>
      <c r="F206" s="290"/>
    </row>
    <row r="207" spans="1:31" ht="21" customHeight="1">
      <c r="F207" s="290"/>
    </row>
    <row r="208" spans="1:31" ht="21" customHeight="1">
      <c r="E208" s="290"/>
      <c r="F208" s="290"/>
    </row>
    <row r="209" spans="5:6" ht="21" customHeight="1">
      <c r="E209" s="290"/>
      <c r="F209" s="290"/>
    </row>
    <row r="210" spans="5:6" ht="21" customHeight="1">
      <c r="E210" s="290"/>
      <c r="F210" s="290"/>
    </row>
  </sheetData>
  <mergeCells count="15">
    <mergeCell ref="B189:C189"/>
    <mergeCell ref="B110:C110"/>
    <mergeCell ref="B132:C132"/>
    <mergeCell ref="B186:C186"/>
    <mergeCell ref="O115:R115"/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</mergeCells>
  <phoneticPr fontId="7" type="noConversion"/>
  <conditionalFormatting sqref="M1:M1048576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2023-11-07T08:36:14Z</cp:lastPrinted>
  <dcterms:created xsi:type="dcterms:W3CDTF">2003-12-18T04:11:57Z</dcterms:created>
  <dcterms:modified xsi:type="dcterms:W3CDTF">2023-12-18T02:34:34Z</dcterms:modified>
</cp:coreProperties>
</file>