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2340" yWindow="-75" windowWidth="21570" windowHeight="12615" tabRatio="833"/>
  </bookViews>
  <sheets>
    <sheet name="세입세출총괄표" sheetId="18" r:id="rId1"/>
    <sheet name="세입" sheetId="29" r:id="rId2"/>
    <sheet name="세출" sheetId="45" r:id="rId3"/>
  </sheets>
  <externalReferences>
    <externalReference r:id="rId4"/>
  </externalReferences>
  <definedNames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#REF!</definedName>
    <definedName name="가계보조수당">#REF!</definedName>
    <definedName name="가족수당" localSheetId="2">세출!$AD$34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세출!$AD$9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세출!$AD$11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기본급테이블">#REF!</definedName>
    <definedName name="명절휴가비" localSheetId="2">세출!$AD$26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#REF!</definedName>
    <definedName name="수정제수당총액">#REF!</definedName>
    <definedName name="연장근로수당" localSheetId="2">세출!$AD$39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2">[1]세입!#REF!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#REF!</definedName>
    <definedName name="직원급식비">#REF!</definedName>
    <definedName name="직책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#REF!</definedName>
    <definedName name="특수근무수당3">#REF!</definedName>
    <definedName name="프로그램지원금" localSheetId="1">세입!#REF!</definedName>
    <definedName name="호봉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12" i="45" l="1"/>
  <c r="AD187" i="45"/>
  <c r="AD264" i="45"/>
  <c r="AD103" i="45" l="1"/>
  <c r="E320" i="29"/>
  <c r="AD355" i="45"/>
  <c r="AD294" i="45"/>
  <c r="AD293" i="45"/>
  <c r="AD192" i="45"/>
  <c r="AD139" i="45"/>
  <c r="AD55" i="45" l="1"/>
  <c r="AD44" i="45"/>
  <c r="AD248" i="45"/>
  <c r="X45" i="29"/>
  <c r="X17" i="29"/>
  <c r="X133" i="29"/>
  <c r="D6" i="45" l="1"/>
  <c r="D121" i="45"/>
  <c r="D108" i="45"/>
  <c r="D406" i="45"/>
  <c r="D403" i="45"/>
  <c r="D287" i="45"/>
  <c r="D246" i="45"/>
  <c r="D204" i="45"/>
  <c r="D203" i="45" s="1"/>
  <c r="D5" i="45" l="1"/>
  <c r="D245" i="45"/>
  <c r="D4" i="45" s="1"/>
  <c r="AD58" i="45" l="1"/>
  <c r="X249" i="29" l="1"/>
  <c r="X278" i="29" l="1"/>
  <c r="AD51" i="45" l="1"/>
  <c r="AD50" i="45"/>
  <c r="AD389" i="45" l="1"/>
  <c r="AD390" i="45"/>
  <c r="G413" i="45" l="1"/>
  <c r="G407" i="45"/>
  <c r="G404" i="45"/>
  <c r="G393" i="45"/>
  <c r="G386" i="45"/>
  <c r="G379" i="45"/>
  <c r="G371" i="45"/>
  <c r="G360" i="45"/>
  <c r="G344" i="45"/>
  <c r="G320" i="45"/>
  <c r="G317" i="45"/>
  <c r="G302" i="45"/>
  <c r="G288" i="45"/>
  <c r="G282" i="45"/>
  <c r="G271" i="45"/>
  <c r="G267" i="45"/>
  <c r="G247" i="45"/>
  <c r="G229" i="45"/>
  <c r="G212" i="45"/>
  <c r="G205" i="45"/>
  <c r="G174" i="45"/>
  <c r="G156" i="45"/>
  <c r="G148" i="45"/>
  <c r="G125" i="45"/>
  <c r="G122" i="45"/>
  <c r="G118" i="45"/>
  <c r="G116" i="45"/>
  <c r="G109" i="45"/>
  <c r="G25" i="45"/>
  <c r="AD199" i="45" l="1"/>
  <c r="X376" i="29"/>
  <c r="I26" i="18" l="1"/>
  <c r="I21" i="18"/>
  <c r="I20" i="18"/>
  <c r="I19" i="18"/>
  <c r="I18" i="18"/>
  <c r="I17" i="18"/>
  <c r="I15" i="18"/>
  <c r="I13" i="18"/>
  <c r="I14" i="18"/>
  <c r="D11" i="18"/>
  <c r="L109" i="45" l="1"/>
  <c r="J109" i="45"/>
  <c r="H109" i="45"/>
  <c r="F109" i="45"/>
  <c r="I109" i="45"/>
  <c r="X294" i="29"/>
  <c r="X271" i="29"/>
  <c r="X292" i="29"/>
  <c r="X288" i="29" s="1"/>
  <c r="AD113" i="45"/>
  <c r="AD182" i="45"/>
  <c r="AD133" i="45"/>
  <c r="I9" i="18"/>
  <c r="I10" i="18"/>
  <c r="I11" i="18"/>
  <c r="I22" i="18"/>
  <c r="AD109" i="45" l="1"/>
  <c r="K109" i="45"/>
  <c r="X287" i="29"/>
  <c r="I212" i="45" l="1"/>
  <c r="AD172" i="45"/>
  <c r="X110" i="29" l="1"/>
  <c r="AD254" i="45" l="1"/>
  <c r="AD253" i="45"/>
  <c r="AD252" i="45"/>
  <c r="AD236" i="45"/>
  <c r="AD152" i="45"/>
  <c r="AD279" i="45"/>
  <c r="AD255" i="45"/>
  <c r="AD356" i="45"/>
  <c r="AD354" i="45"/>
  <c r="AD353" i="45" l="1"/>
  <c r="AD292" i="45" l="1"/>
  <c r="AD291" i="45"/>
  <c r="AD260" i="45" l="1"/>
  <c r="AD250" i="45"/>
  <c r="AD249" i="45"/>
  <c r="AD251" i="45"/>
  <c r="X298" i="29" l="1"/>
  <c r="K122" i="45"/>
  <c r="L118" i="45"/>
  <c r="AD46" i="45"/>
  <c r="X263" i="29" l="1"/>
  <c r="X262" i="29" l="1"/>
  <c r="X317" i="29"/>
  <c r="X316" i="29" s="1"/>
  <c r="X41" i="29" l="1"/>
  <c r="X40" i="29" l="1"/>
  <c r="X66" i="29"/>
  <c r="X38" i="29"/>
  <c r="X18" i="29"/>
  <c r="X105" i="29" l="1"/>
  <c r="X106" i="29"/>
  <c r="X104" i="29"/>
  <c r="X165" i="29"/>
  <c r="X111" i="29" l="1"/>
  <c r="X47" i="29"/>
  <c r="X19" i="29"/>
  <c r="X8" i="29" l="1"/>
  <c r="X349" i="29" l="1"/>
  <c r="X335" i="29" l="1"/>
  <c r="X325" i="29"/>
  <c r="L413" i="45" l="1"/>
  <c r="K413" i="45"/>
  <c r="J413" i="45"/>
  <c r="I413" i="45"/>
  <c r="H413" i="45"/>
  <c r="F413" i="45"/>
  <c r="AD413" i="45"/>
  <c r="E413" i="45" l="1"/>
  <c r="M413" i="45" s="1"/>
  <c r="N413" i="45" s="1"/>
  <c r="AD153" i="45"/>
  <c r="L320" i="45"/>
  <c r="K320" i="45"/>
  <c r="H320" i="45"/>
  <c r="F320" i="45"/>
  <c r="L379" i="45"/>
  <c r="K379" i="45"/>
  <c r="J379" i="45"/>
  <c r="I379" i="45"/>
  <c r="H379" i="45"/>
  <c r="F379" i="45"/>
  <c r="L371" i="45"/>
  <c r="K371" i="45"/>
  <c r="J371" i="45"/>
  <c r="I371" i="45"/>
  <c r="H371" i="45"/>
  <c r="F371" i="45"/>
  <c r="AD235" i="45"/>
  <c r="AD107" i="45"/>
  <c r="AD185" i="45"/>
  <c r="AD178" i="45"/>
  <c r="AD183" i="45"/>
  <c r="AD120" i="45"/>
  <c r="K118" i="45" l="1"/>
  <c r="AD118" i="45"/>
  <c r="X248" i="29" l="1"/>
  <c r="X174" i="29" l="1"/>
  <c r="AD64" i="45"/>
  <c r="AD23" i="45"/>
  <c r="AD407" i="45"/>
  <c r="N407" i="45"/>
  <c r="L407" i="45"/>
  <c r="L406" i="45" s="1"/>
  <c r="K407" i="45"/>
  <c r="K406" i="45" s="1"/>
  <c r="J407" i="45"/>
  <c r="J406" i="45" s="1"/>
  <c r="I407" i="45"/>
  <c r="I406" i="45" s="1"/>
  <c r="H407" i="45"/>
  <c r="H406" i="45" s="1"/>
  <c r="G406" i="45"/>
  <c r="F407" i="45"/>
  <c r="F406" i="45" s="1"/>
  <c r="N404" i="45"/>
  <c r="L404" i="45"/>
  <c r="L403" i="45" s="1"/>
  <c r="K404" i="45"/>
  <c r="K403" i="45" s="1"/>
  <c r="J404" i="45"/>
  <c r="J403" i="45" s="1"/>
  <c r="I404" i="45"/>
  <c r="I403" i="45" s="1"/>
  <c r="H404" i="45"/>
  <c r="H403" i="45" s="1"/>
  <c r="G403" i="45"/>
  <c r="F404" i="45"/>
  <c r="F403" i="45" s="1"/>
  <c r="E404" i="45"/>
  <c r="M404" i="45" s="1"/>
  <c r="AD403" i="45"/>
  <c r="N403" i="45"/>
  <c r="AD393" i="45"/>
  <c r="L393" i="45"/>
  <c r="K393" i="45"/>
  <c r="J393" i="45"/>
  <c r="I393" i="45"/>
  <c r="H393" i="45"/>
  <c r="F393" i="45"/>
  <c r="AD386" i="45"/>
  <c r="L386" i="45"/>
  <c r="K386" i="45"/>
  <c r="J386" i="45"/>
  <c r="I386" i="45"/>
  <c r="H386" i="45"/>
  <c r="F386" i="45"/>
  <c r="AD379" i="45"/>
  <c r="AD371" i="45"/>
  <c r="AD360" i="45"/>
  <c r="L360" i="45"/>
  <c r="K360" i="45"/>
  <c r="J360" i="45"/>
  <c r="I360" i="45"/>
  <c r="H360" i="45"/>
  <c r="F360" i="45"/>
  <c r="AD344" i="45"/>
  <c r="L344" i="45"/>
  <c r="K344" i="45"/>
  <c r="J344" i="45"/>
  <c r="I344" i="45"/>
  <c r="H344" i="45"/>
  <c r="F344" i="45"/>
  <c r="AD320" i="45"/>
  <c r="J320" i="45"/>
  <c r="I320" i="45"/>
  <c r="AD317" i="45"/>
  <c r="L317" i="45"/>
  <c r="K317" i="45"/>
  <c r="J317" i="45"/>
  <c r="I317" i="45"/>
  <c r="H317" i="45"/>
  <c r="F317" i="45"/>
  <c r="AD302" i="45"/>
  <c r="L302" i="45"/>
  <c r="K302" i="45"/>
  <c r="J302" i="45"/>
  <c r="I302" i="45"/>
  <c r="H302" i="45"/>
  <c r="F302" i="45"/>
  <c r="AD288" i="45"/>
  <c r="L288" i="45"/>
  <c r="K288" i="45"/>
  <c r="J288" i="45"/>
  <c r="I288" i="45"/>
  <c r="H288" i="45"/>
  <c r="F288" i="45"/>
  <c r="AD284" i="45"/>
  <c r="AD283" i="45"/>
  <c r="L282" i="45"/>
  <c r="K282" i="45"/>
  <c r="J282" i="45"/>
  <c r="I282" i="45"/>
  <c r="H282" i="45"/>
  <c r="AD280" i="45"/>
  <c r="AD278" i="45"/>
  <c r="AD277" i="45"/>
  <c r="AD276" i="45"/>
  <c r="AD275" i="45"/>
  <c r="L274" i="45"/>
  <c r="K274" i="45"/>
  <c r="J274" i="45"/>
  <c r="AD272" i="45"/>
  <c r="L271" i="45"/>
  <c r="K271" i="45"/>
  <c r="J271" i="45"/>
  <c r="I271" i="45"/>
  <c r="F271" i="45"/>
  <c r="AD267" i="45"/>
  <c r="L267" i="45"/>
  <c r="K267" i="45"/>
  <c r="J267" i="45"/>
  <c r="I267" i="45"/>
  <c r="H267" i="45"/>
  <c r="F267" i="45"/>
  <c r="AD262" i="45"/>
  <c r="AD261" i="45"/>
  <c r="AD259" i="45"/>
  <c r="AD258" i="45"/>
  <c r="AD257" i="45"/>
  <c r="AD256" i="45"/>
  <c r="K247" i="45"/>
  <c r="AD231" i="45"/>
  <c r="AD230" i="45"/>
  <c r="L229" i="45"/>
  <c r="K229" i="45"/>
  <c r="J229" i="45"/>
  <c r="I229" i="45"/>
  <c r="H229" i="45"/>
  <c r="L212" i="45"/>
  <c r="K212" i="45"/>
  <c r="J212" i="45"/>
  <c r="H212" i="45"/>
  <c r="F212" i="45"/>
  <c r="AD209" i="45"/>
  <c r="AD206" i="45"/>
  <c r="L205" i="45"/>
  <c r="K205" i="45"/>
  <c r="J205" i="45"/>
  <c r="I205" i="45"/>
  <c r="H205" i="45"/>
  <c r="F205" i="45"/>
  <c r="AD198" i="45"/>
  <c r="AD197" i="45"/>
  <c r="AD195" i="45"/>
  <c r="J174" i="45"/>
  <c r="I174" i="45"/>
  <c r="H174" i="45"/>
  <c r="F174" i="45"/>
  <c r="AD170" i="45"/>
  <c r="AD169" i="45"/>
  <c r="L168" i="45"/>
  <c r="K168" i="45"/>
  <c r="J168" i="45"/>
  <c r="I168" i="45"/>
  <c r="H168" i="45"/>
  <c r="AD160" i="45"/>
  <c r="AD159" i="45"/>
  <c r="AD158" i="45"/>
  <c r="L156" i="45"/>
  <c r="K156" i="45"/>
  <c r="J156" i="45"/>
  <c r="I156" i="45"/>
  <c r="H156" i="45"/>
  <c r="AD151" i="45"/>
  <c r="AD150" i="45"/>
  <c r="AD149" i="45"/>
  <c r="L148" i="45"/>
  <c r="K148" i="45"/>
  <c r="J148" i="45"/>
  <c r="H148" i="45"/>
  <c r="AD144" i="45"/>
  <c r="AD143" i="45"/>
  <c r="AD141" i="45"/>
  <c r="AD132" i="45"/>
  <c r="AD131" i="45"/>
  <c r="AD130" i="45"/>
  <c r="AD129" i="45"/>
  <c r="AD128" i="45"/>
  <c r="AD127" i="45"/>
  <c r="AD126" i="45"/>
  <c r="L125" i="45"/>
  <c r="K125" i="45"/>
  <c r="J125" i="45"/>
  <c r="H125" i="45"/>
  <c r="AD122" i="45"/>
  <c r="L122" i="45"/>
  <c r="J122" i="45"/>
  <c r="I122" i="45"/>
  <c r="H122" i="45"/>
  <c r="F122" i="45"/>
  <c r="J118" i="45"/>
  <c r="I118" i="45"/>
  <c r="H118" i="45"/>
  <c r="F118" i="45"/>
  <c r="N116" i="45"/>
  <c r="L116" i="45"/>
  <c r="K116" i="45"/>
  <c r="K108" i="45" s="1"/>
  <c r="J116" i="45"/>
  <c r="I116" i="45"/>
  <c r="H116" i="45"/>
  <c r="F116" i="45"/>
  <c r="E116" i="45"/>
  <c r="M116" i="45" s="1"/>
  <c r="AD102" i="45"/>
  <c r="K101" i="45"/>
  <c r="L101" i="45"/>
  <c r="J101" i="45"/>
  <c r="I101" i="45"/>
  <c r="H101" i="45"/>
  <c r="F101" i="45"/>
  <c r="L67" i="45"/>
  <c r="J67" i="45"/>
  <c r="I67" i="45"/>
  <c r="H67" i="45"/>
  <c r="L53" i="45"/>
  <c r="J53" i="45"/>
  <c r="I53" i="45"/>
  <c r="H53" i="45"/>
  <c r="AD39" i="45"/>
  <c r="AD34" i="45"/>
  <c r="AD26" i="45"/>
  <c r="L25" i="45"/>
  <c r="J25" i="45"/>
  <c r="I25" i="45"/>
  <c r="H25" i="45"/>
  <c r="F25" i="45"/>
  <c r="AD22" i="45"/>
  <c r="L20" i="45"/>
  <c r="K20" i="45"/>
  <c r="J20" i="45"/>
  <c r="I20" i="45"/>
  <c r="H20" i="45"/>
  <c r="F20" i="45"/>
  <c r="L7" i="45"/>
  <c r="J7" i="45"/>
  <c r="I7" i="45"/>
  <c r="H7" i="45"/>
  <c r="F7" i="45"/>
  <c r="AD229" i="45" l="1"/>
  <c r="G168" i="45"/>
  <c r="G20" i="45"/>
  <c r="G274" i="45"/>
  <c r="G101" i="45"/>
  <c r="AD191" i="45"/>
  <c r="F274" i="45"/>
  <c r="I148" i="45"/>
  <c r="AD271" i="45"/>
  <c r="K25" i="45"/>
  <c r="I247" i="45"/>
  <c r="E267" i="45"/>
  <c r="J18" i="18" s="1"/>
  <c r="E288" i="45"/>
  <c r="M288" i="45" s="1"/>
  <c r="E302" i="45"/>
  <c r="M302" i="45" s="1"/>
  <c r="N302" i="45" s="1"/>
  <c r="E317" i="45"/>
  <c r="M317" i="45" s="1"/>
  <c r="N317" i="45" s="1"/>
  <c r="AD406" i="45"/>
  <c r="H274" i="45"/>
  <c r="E360" i="45"/>
  <c r="M360" i="45" s="1"/>
  <c r="N360" i="45" s="1"/>
  <c r="E371" i="45"/>
  <c r="M371" i="45" s="1"/>
  <c r="N371" i="45" s="1"/>
  <c r="E212" i="45"/>
  <c r="M212" i="45" s="1"/>
  <c r="N212" i="45" s="1"/>
  <c r="E379" i="45"/>
  <c r="M379" i="45" s="1"/>
  <c r="N379" i="45" s="1"/>
  <c r="E386" i="45"/>
  <c r="M386" i="45" s="1"/>
  <c r="N386" i="45" s="1"/>
  <c r="E393" i="45"/>
  <c r="M393" i="45" s="1"/>
  <c r="N393" i="45" s="1"/>
  <c r="E320" i="45"/>
  <c r="M320" i="45" s="1"/>
  <c r="N320" i="45" s="1"/>
  <c r="E344" i="45"/>
  <c r="M344" i="45" s="1"/>
  <c r="N344" i="45" s="1"/>
  <c r="F168" i="45"/>
  <c r="AD125" i="45"/>
  <c r="AD101" i="45"/>
  <c r="F229" i="45"/>
  <c r="I108" i="45"/>
  <c r="H247" i="45"/>
  <c r="AD168" i="45"/>
  <c r="AD287" i="45"/>
  <c r="I125" i="45"/>
  <c r="K174" i="45"/>
  <c r="I287" i="45"/>
  <c r="J287" i="45"/>
  <c r="H271" i="45"/>
  <c r="J108" i="45"/>
  <c r="J247" i="45"/>
  <c r="J246" i="45" s="1"/>
  <c r="F148" i="45"/>
  <c r="L247" i="45"/>
  <c r="AD70" i="45"/>
  <c r="K246" i="45"/>
  <c r="AD72" i="45"/>
  <c r="K7" i="45"/>
  <c r="K204" i="45"/>
  <c r="K203" i="45" s="1"/>
  <c r="F247" i="45"/>
  <c r="L108" i="45"/>
  <c r="H121" i="45"/>
  <c r="H108" i="45"/>
  <c r="L174" i="45"/>
  <c r="AD205" i="45"/>
  <c r="G108" i="45"/>
  <c r="G204" i="45"/>
  <c r="E403" i="45"/>
  <c r="M403" i="45" s="1"/>
  <c r="F108" i="45"/>
  <c r="J121" i="45"/>
  <c r="F156" i="45"/>
  <c r="AD247" i="45"/>
  <c r="I274" i="45"/>
  <c r="F125" i="45"/>
  <c r="E407" i="45"/>
  <c r="AD20" i="45"/>
  <c r="J6" i="45"/>
  <c r="H6" i="45"/>
  <c r="F287" i="45"/>
  <c r="AD78" i="45"/>
  <c r="AD175" i="45"/>
  <c r="L204" i="45"/>
  <c r="L203" i="45" s="1"/>
  <c r="G287" i="45"/>
  <c r="AD49" i="45"/>
  <c r="E109" i="45"/>
  <c r="E118" i="45"/>
  <c r="E122" i="45"/>
  <c r="J204" i="45"/>
  <c r="J203" i="45" s="1"/>
  <c r="AD274" i="45"/>
  <c r="AD282" i="45"/>
  <c r="L6" i="45"/>
  <c r="I204" i="45"/>
  <c r="I203" i="45" s="1"/>
  <c r="F282" i="45"/>
  <c r="L287" i="45"/>
  <c r="AD61" i="45"/>
  <c r="AD148" i="45"/>
  <c r="AD156" i="45"/>
  <c r="H204" i="45"/>
  <c r="H203" i="45" s="1"/>
  <c r="K287" i="45"/>
  <c r="I6" i="45"/>
  <c r="H287" i="45"/>
  <c r="E101" i="45" l="1"/>
  <c r="M101" i="45" s="1"/>
  <c r="N101" i="45" s="1"/>
  <c r="G53" i="45"/>
  <c r="G246" i="45"/>
  <c r="G245" i="45" s="1"/>
  <c r="G121" i="45"/>
  <c r="G203" i="45"/>
  <c r="AD97" i="45"/>
  <c r="AD25" i="45"/>
  <c r="M267" i="45"/>
  <c r="N267" i="45" s="1"/>
  <c r="AD71" i="45"/>
  <c r="E287" i="45"/>
  <c r="J22" i="18" s="1"/>
  <c r="E125" i="45"/>
  <c r="M125" i="45" s="1"/>
  <c r="N125" i="45" s="1"/>
  <c r="J14" i="18"/>
  <c r="E229" i="45"/>
  <c r="M229" i="45" s="1"/>
  <c r="N229" i="45" s="1"/>
  <c r="E156" i="45"/>
  <c r="M156" i="45" s="1"/>
  <c r="N156" i="45" s="1"/>
  <c r="E274" i="45"/>
  <c r="J20" i="18" s="1"/>
  <c r="E205" i="45"/>
  <c r="J13" i="18" s="1"/>
  <c r="E271" i="45"/>
  <c r="AD60" i="45"/>
  <c r="E20" i="45"/>
  <c r="M20" i="45" s="1"/>
  <c r="N20" i="45" s="1"/>
  <c r="E247" i="45"/>
  <c r="J17" i="18" s="1"/>
  <c r="E148" i="45"/>
  <c r="M148" i="45" s="1"/>
  <c r="N148" i="45" s="1"/>
  <c r="E282" i="45"/>
  <c r="J21" i="18" s="1"/>
  <c r="E168" i="45"/>
  <c r="M168" i="45" s="1"/>
  <c r="N168" i="45" s="1"/>
  <c r="M118" i="45"/>
  <c r="N118" i="45" s="1"/>
  <c r="E406" i="45"/>
  <c r="J26" i="18" s="1"/>
  <c r="AD76" i="45"/>
  <c r="H246" i="45"/>
  <c r="H245" i="45" s="1"/>
  <c r="J245" i="45"/>
  <c r="F204" i="45"/>
  <c r="F203" i="45" s="1"/>
  <c r="K245" i="45"/>
  <c r="I121" i="45"/>
  <c r="I5" i="45" s="1"/>
  <c r="K121" i="45"/>
  <c r="AD204" i="45"/>
  <c r="L246" i="45"/>
  <c r="L245" i="45" s="1"/>
  <c r="L121" i="45"/>
  <c r="L5" i="45" s="1"/>
  <c r="M407" i="45"/>
  <c r="H5" i="45"/>
  <c r="I246" i="45"/>
  <c r="I245" i="45" s="1"/>
  <c r="AD174" i="45"/>
  <c r="F121" i="45"/>
  <c r="J5" i="45"/>
  <c r="M122" i="45"/>
  <c r="N122" i="45" s="1"/>
  <c r="AD96" i="45"/>
  <c r="AD90" i="45"/>
  <c r="N288" i="45"/>
  <c r="N287" i="45" s="1"/>
  <c r="M287" i="45"/>
  <c r="AD77" i="45"/>
  <c r="AD89" i="45"/>
  <c r="AD246" i="45"/>
  <c r="AD57" i="45"/>
  <c r="F246" i="45"/>
  <c r="F245" i="45" s="1"/>
  <c r="AD84" i="45"/>
  <c r="F53" i="45"/>
  <c r="AD54" i="45"/>
  <c r="E108" i="45"/>
  <c r="M109" i="45"/>
  <c r="N109" i="45" s="1"/>
  <c r="AD108" i="45"/>
  <c r="E25" i="45" l="1"/>
  <c r="M25" i="45" s="1"/>
  <c r="N25" i="45" s="1"/>
  <c r="AD65" i="45"/>
  <c r="AD73" i="45"/>
  <c r="AD91" i="45"/>
  <c r="AD79" i="45"/>
  <c r="M282" i="45"/>
  <c r="N282" i="45" s="1"/>
  <c r="E246" i="45"/>
  <c r="M246" i="45" s="1"/>
  <c r="M274" i="45"/>
  <c r="N274" i="45" s="1"/>
  <c r="M247" i="45"/>
  <c r="N247" i="45" s="1"/>
  <c r="M205" i="45"/>
  <c r="N205" i="45" s="1"/>
  <c r="J15" i="18"/>
  <c r="E204" i="45"/>
  <c r="M204" i="45" s="1"/>
  <c r="N204" i="45" s="1"/>
  <c r="E174" i="45"/>
  <c r="M174" i="45" s="1"/>
  <c r="N174" i="45" s="1"/>
  <c r="AD203" i="45"/>
  <c r="M271" i="45"/>
  <c r="N271" i="45" s="1"/>
  <c r="J19" i="18"/>
  <c r="AD245" i="45"/>
  <c r="J4" i="45"/>
  <c r="K53" i="45"/>
  <c r="AD88" i="45"/>
  <c r="M406" i="45"/>
  <c r="N406" i="45" s="1"/>
  <c r="L4" i="45"/>
  <c r="H4" i="45"/>
  <c r="I4" i="45"/>
  <c r="M108" i="45"/>
  <c r="N108" i="45" s="1"/>
  <c r="J10" i="18"/>
  <c r="AD121" i="45"/>
  <c r="AD82" i="45"/>
  <c r="AD95" i="45"/>
  <c r="AD83" i="45"/>
  <c r="E121" i="45" l="1"/>
  <c r="J11" i="18" s="1"/>
  <c r="E203" i="45"/>
  <c r="M203" i="45" s="1"/>
  <c r="N203" i="45" s="1"/>
  <c r="AD75" i="45"/>
  <c r="AD69" i="45"/>
  <c r="AD63" i="45"/>
  <c r="G67" i="45"/>
  <c r="E245" i="45"/>
  <c r="AD94" i="45"/>
  <c r="AD85" i="45"/>
  <c r="AD87" i="45"/>
  <c r="M245" i="45"/>
  <c r="N245" i="45" s="1"/>
  <c r="N246" i="45"/>
  <c r="F67" i="45" l="1"/>
  <c r="F6" i="45" s="1"/>
  <c r="F5" i="45" s="1"/>
  <c r="F4" i="45" s="1"/>
  <c r="M121" i="45"/>
  <c r="N121" i="45" s="1"/>
  <c r="AD93" i="45"/>
  <c r="AD53" i="45"/>
  <c r="K67" i="45"/>
  <c r="K6" i="45" s="1"/>
  <c r="AD81" i="45"/>
  <c r="E53" i="45" l="1"/>
  <c r="M53" i="45" s="1"/>
  <c r="N53" i="45" s="1"/>
  <c r="K5" i="45"/>
  <c r="K4" i="45" s="1"/>
  <c r="AD67" i="45"/>
  <c r="E67" i="45" l="1"/>
  <c r="M67" i="45" l="1"/>
  <c r="N67" i="45" s="1"/>
  <c r="X334" i="29" l="1"/>
  <c r="X331" i="29"/>
  <c r="F331" i="29" l="1"/>
  <c r="F334" i="29"/>
  <c r="X247" i="29" l="1"/>
  <c r="X243" i="29"/>
  <c r="X246" i="29" l="1"/>
  <c r="X245" i="29" s="1"/>
  <c r="X65" i="29"/>
  <c r="X109" i="29"/>
  <c r="X46" i="29"/>
  <c r="X16" i="29" l="1"/>
  <c r="X108" i="29"/>
  <c r="X44" i="29"/>
  <c r="X24" i="29"/>
  <c r="X252" i="29" l="1"/>
  <c r="D9" i="18" l="1"/>
  <c r="X69" i="29" l="1"/>
  <c r="X83" i="29"/>
  <c r="X378" i="29"/>
  <c r="X375" i="29"/>
  <c r="X374" i="29"/>
  <c r="X373" i="29"/>
  <c r="X372" i="29"/>
  <c r="E370" i="29"/>
  <c r="X358" i="29"/>
  <c r="E357" i="29"/>
  <c r="X354" i="29"/>
  <c r="E353" i="29"/>
  <c r="F349" i="29"/>
  <c r="G349" i="29" s="1"/>
  <c r="H349" i="29" s="1"/>
  <c r="X340" i="29"/>
  <c r="E339" i="29"/>
  <c r="G334" i="29"/>
  <c r="H334" i="29" s="1"/>
  <c r="G331" i="29"/>
  <c r="H331" i="29" s="1"/>
  <c r="X327" i="29"/>
  <c r="X324" i="29"/>
  <c r="X321" i="29"/>
  <c r="X242" i="29"/>
  <c r="E240" i="29"/>
  <c r="X232" i="29"/>
  <c r="X230" i="29"/>
  <c r="X228" i="29"/>
  <c r="X226" i="29"/>
  <c r="X219" i="29"/>
  <c r="X218" i="29"/>
  <c r="X217" i="29"/>
  <c r="X216" i="29"/>
  <c r="X212" i="29"/>
  <c r="X210" i="29"/>
  <c r="X209" i="29"/>
  <c r="X208" i="29"/>
  <c r="X201" i="29"/>
  <c r="H200" i="29"/>
  <c r="E199" i="29"/>
  <c r="H199" i="29" s="1"/>
  <c r="H196" i="29"/>
  <c r="F196" i="29"/>
  <c r="F195" i="29" s="1"/>
  <c r="X195" i="29"/>
  <c r="E195" i="29"/>
  <c r="H195" i="29" s="1"/>
  <c r="X193" i="29"/>
  <c r="H193" i="29"/>
  <c r="E192" i="29"/>
  <c r="H192" i="29" s="1"/>
  <c r="X188" i="29"/>
  <c r="X187" i="29" s="1"/>
  <c r="E186" i="29"/>
  <c r="D19" i="18" s="1"/>
  <c r="X184" i="29"/>
  <c r="X183" i="29"/>
  <c r="X173" i="29"/>
  <c r="E172" i="29"/>
  <c r="D18" i="18" s="1"/>
  <c r="F169" i="29"/>
  <c r="F168" i="29" s="1"/>
  <c r="X168" i="29"/>
  <c r="E168" i="29"/>
  <c r="D16" i="18" s="1"/>
  <c r="X166" i="29"/>
  <c r="X163" i="29"/>
  <c r="X160" i="29"/>
  <c r="X159" i="29"/>
  <c r="X144" i="29"/>
  <c r="X137" i="29"/>
  <c r="X136" i="29"/>
  <c r="X135" i="29"/>
  <c r="X134" i="29"/>
  <c r="X130" i="29"/>
  <c r="X116" i="29"/>
  <c r="E107" i="29"/>
  <c r="D15" i="18" s="1"/>
  <c r="X102" i="29"/>
  <c r="X99" i="29"/>
  <c r="X98" i="29"/>
  <c r="X76" i="29"/>
  <c r="X75" i="29"/>
  <c r="X74" i="29"/>
  <c r="X73" i="29"/>
  <c r="X72" i="29"/>
  <c r="X129" i="29"/>
  <c r="X52" i="29"/>
  <c r="E43" i="29"/>
  <c r="D14" i="18" s="1"/>
  <c r="X37" i="29"/>
  <c r="E15" i="29"/>
  <c r="D13" i="18" s="1"/>
  <c r="X12" i="29"/>
  <c r="H12" i="29"/>
  <c r="F8" i="29"/>
  <c r="X7" i="29"/>
  <c r="X6" i="29"/>
  <c r="X339" i="29" l="1"/>
  <c r="F12" i="29"/>
  <c r="G12" i="29" s="1"/>
  <c r="X241" i="29"/>
  <c r="F321" i="29"/>
  <c r="G321" i="29" s="1"/>
  <c r="H321" i="29" s="1"/>
  <c r="F354" i="29"/>
  <c r="G354" i="29" s="1"/>
  <c r="H354" i="29" s="1"/>
  <c r="X128" i="29"/>
  <c r="F193" i="29"/>
  <c r="G193" i="29" s="1"/>
  <c r="X225" i="29"/>
  <c r="F327" i="29"/>
  <c r="G327" i="29" s="1"/>
  <c r="H327" i="29" s="1"/>
  <c r="X377" i="29"/>
  <c r="X357" i="29"/>
  <c r="X36" i="29"/>
  <c r="F324" i="29"/>
  <c r="G324" i="29" s="1"/>
  <c r="H324" i="29" s="1"/>
  <c r="X320" i="29"/>
  <c r="X256" i="29"/>
  <c r="G8" i="29"/>
  <c r="H8" i="29" s="1"/>
  <c r="X192" i="29"/>
  <c r="X182" i="29"/>
  <c r="G195" i="29"/>
  <c r="E352" i="29"/>
  <c r="D25" i="18" s="1"/>
  <c r="X5" i="29"/>
  <c r="G196" i="29"/>
  <c r="E191" i="29"/>
  <c r="H191" i="29" s="1"/>
  <c r="F44" i="29"/>
  <c r="X64" i="29"/>
  <c r="X215" i="29"/>
  <c r="X97" i="29"/>
  <c r="E198" i="29"/>
  <c r="D21" i="18" s="1"/>
  <c r="X353" i="29"/>
  <c r="X132" i="29"/>
  <c r="X71" i="29"/>
  <c r="E171" i="29"/>
  <c r="X207" i="29"/>
  <c r="G168" i="29"/>
  <c r="F340" i="29"/>
  <c r="G340" i="29" s="1"/>
  <c r="H340" i="29" s="1"/>
  <c r="X371" i="29"/>
  <c r="G169" i="29"/>
  <c r="H169" i="29" s="1"/>
  <c r="X158" i="29"/>
  <c r="E319" i="29"/>
  <c r="D23" i="18" s="1"/>
  <c r="F173" i="29"/>
  <c r="H168" i="29"/>
  <c r="X186" i="29"/>
  <c r="F187" i="29"/>
  <c r="E14" i="29"/>
  <c r="F358" i="29"/>
  <c r="F192" i="29" l="1"/>
  <c r="F191" i="29" s="1"/>
  <c r="G191" i="29" s="1"/>
  <c r="F353" i="29"/>
  <c r="G353" i="29" s="1"/>
  <c r="H353" i="29" s="1"/>
  <c r="F128" i="29"/>
  <c r="G128" i="29" s="1"/>
  <c r="H128" i="29" s="1"/>
  <c r="F64" i="29"/>
  <c r="G64" i="29" s="1"/>
  <c r="H64" i="29" s="1"/>
  <c r="X191" i="29"/>
  <c r="F132" i="29"/>
  <c r="G132" i="29" s="1"/>
  <c r="H132" i="29" s="1"/>
  <c r="F377" i="29"/>
  <c r="G377" i="29" s="1"/>
  <c r="H377" i="29" s="1"/>
  <c r="F182" i="29"/>
  <c r="G182" i="29" s="1"/>
  <c r="H182" i="29" s="1"/>
  <c r="X319" i="29"/>
  <c r="F371" i="29"/>
  <c r="G371" i="29" s="1"/>
  <c r="H371" i="29" s="1"/>
  <c r="F71" i="29"/>
  <c r="G71" i="29" s="1"/>
  <c r="H71" i="29" s="1"/>
  <c r="F36" i="29"/>
  <c r="G36" i="29" s="1"/>
  <c r="H36" i="29" s="1"/>
  <c r="F320" i="29"/>
  <c r="G320" i="29" s="1"/>
  <c r="H320" i="29" s="1"/>
  <c r="X257" i="29"/>
  <c r="X260" i="29"/>
  <c r="F16" i="29"/>
  <c r="G16" i="29" s="1"/>
  <c r="H16" i="29" s="1"/>
  <c r="F5" i="29"/>
  <c r="X172" i="29"/>
  <c r="X200" i="29"/>
  <c r="F339" i="29"/>
  <c r="G339" i="29" s="1"/>
  <c r="H339" i="29" s="1"/>
  <c r="X370" i="29"/>
  <c r="X352" i="29" s="1"/>
  <c r="F186" i="29"/>
  <c r="G187" i="29"/>
  <c r="H187" i="29" s="1"/>
  <c r="G173" i="29"/>
  <c r="H173" i="29" s="1"/>
  <c r="F108" i="29"/>
  <c r="G358" i="29"/>
  <c r="H358" i="29" s="1"/>
  <c r="F357" i="29"/>
  <c r="G357" i="29" s="1"/>
  <c r="H357" i="29" s="1"/>
  <c r="E4" i="29"/>
  <c r="G44" i="29"/>
  <c r="H44" i="29" s="1"/>
  <c r="X259" i="29" l="1"/>
  <c r="G192" i="29"/>
  <c r="F370" i="29"/>
  <c r="G370" i="29" s="1"/>
  <c r="H370" i="29" s="1"/>
  <c r="F172" i="29"/>
  <c r="F171" i="29" s="1"/>
  <c r="G171" i="29" s="1"/>
  <c r="H171" i="29" s="1"/>
  <c r="X171" i="29"/>
  <c r="X258" i="29"/>
  <c r="X199" i="29"/>
  <c r="F200" i="29"/>
  <c r="G200" i="29" s="1"/>
  <c r="G5" i="29"/>
  <c r="H5" i="29" s="1"/>
  <c r="G186" i="29"/>
  <c r="H186" i="29" s="1"/>
  <c r="E19" i="18"/>
  <c r="F319" i="29"/>
  <c r="G108" i="29"/>
  <c r="H108" i="29" s="1"/>
  <c r="G172" i="29" l="1"/>
  <c r="H172" i="29" s="1"/>
  <c r="F352" i="29"/>
  <c r="G352" i="29" s="1"/>
  <c r="H352" i="29" s="1"/>
  <c r="X255" i="29"/>
  <c r="F199" i="29"/>
  <c r="G319" i="29"/>
  <c r="H319" i="29" s="1"/>
  <c r="E23" i="18"/>
  <c r="E25" i="18" l="1"/>
  <c r="G199" i="29"/>
  <c r="D10" i="18" l="1"/>
  <c r="X147" i="29" l="1"/>
  <c r="X86" i="29"/>
  <c r="X146" i="29" l="1"/>
  <c r="X85" i="29"/>
  <c r="X81" i="29"/>
  <c r="X143" i="29" l="1"/>
  <c r="X82" i="29"/>
  <c r="X142" i="29"/>
  <c r="G7" i="45" l="1"/>
  <c r="G6" i="45" s="1"/>
  <c r="G5" i="45" s="1"/>
  <c r="G4" i="45" s="1"/>
  <c r="AD7" i="45"/>
  <c r="X148" i="29"/>
  <c r="X87" i="29"/>
  <c r="X80" i="29"/>
  <c r="X141" i="29"/>
  <c r="E7" i="45" l="1"/>
  <c r="AD6" i="45"/>
  <c r="X84" i="29"/>
  <c r="X150" i="29"/>
  <c r="X89" i="29"/>
  <c r="X145" i="29"/>
  <c r="AD5" i="45" l="1"/>
  <c r="AD4" i="45" s="1"/>
  <c r="M7" i="45"/>
  <c r="N7" i="45" s="1"/>
  <c r="E6" i="45"/>
  <c r="X253" i="29"/>
  <c r="X92" i="29"/>
  <c r="X153" i="29"/>
  <c r="X94" i="29"/>
  <c r="X155" i="29"/>
  <c r="X95" i="29"/>
  <c r="X149" i="29"/>
  <c r="X152" i="29"/>
  <c r="X91" i="29"/>
  <c r="X88" i="29"/>
  <c r="X164" i="29"/>
  <c r="X103" i="29"/>
  <c r="E5" i="45" l="1"/>
  <c r="M6" i="45"/>
  <c r="N6" i="45" s="1"/>
  <c r="J9" i="18"/>
  <c r="X156" i="29"/>
  <c r="X251" i="29"/>
  <c r="X240" i="29" s="1"/>
  <c r="X198" i="29" s="1"/>
  <c r="X93" i="29"/>
  <c r="X101" i="29"/>
  <c r="X162" i="29"/>
  <c r="K26" i="18"/>
  <c r="K24" i="18"/>
  <c r="E4" i="45" l="1"/>
  <c r="M4" i="45" s="1"/>
  <c r="N4" i="45" s="1"/>
  <c r="M5" i="45"/>
  <c r="N5" i="45" s="1"/>
  <c r="X154" i="29"/>
  <c r="X151" i="29" s="1"/>
  <c r="X90" i="29"/>
  <c r="F101" i="29"/>
  <c r="F162" i="29"/>
  <c r="F241" i="29"/>
  <c r="X79" i="29" l="1"/>
  <c r="X140" i="29"/>
  <c r="G101" i="29"/>
  <c r="H101" i="29" s="1"/>
  <c r="G162" i="29"/>
  <c r="H162" i="29" s="1"/>
  <c r="G241" i="29"/>
  <c r="H241" i="29" s="1"/>
  <c r="F240" i="29"/>
  <c r="J5" i="18"/>
  <c r="I5" i="18"/>
  <c r="D12" i="18"/>
  <c r="D17" i="18"/>
  <c r="D20" i="18"/>
  <c r="D22" i="18"/>
  <c r="D24" i="18"/>
  <c r="X139" i="29" l="1"/>
  <c r="X78" i="29"/>
  <c r="G240" i="29"/>
  <c r="H240" i="29" s="1"/>
  <c r="F198" i="29"/>
  <c r="I25" i="18"/>
  <c r="I16" i="18"/>
  <c r="I12" i="18"/>
  <c r="I8" i="18"/>
  <c r="D8" i="18"/>
  <c r="D7" i="18" s="1"/>
  <c r="F78" i="29" l="1"/>
  <c r="F139" i="29"/>
  <c r="E21" i="18"/>
  <c r="G198" i="29"/>
  <c r="H198" i="29" s="1"/>
  <c r="I7" i="18"/>
  <c r="G139" i="29" l="1"/>
  <c r="H139" i="29" s="1"/>
  <c r="G78" i="29"/>
  <c r="H78" i="29" s="1"/>
  <c r="E16" i="18"/>
  <c r="F16" i="18" s="1"/>
  <c r="E11" i="18" l="1"/>
  <c r="E9" i="18"/>
  <c r="F9" i="18" s="1"/>
  <c r="E10" i="18" l="1"/>
  <c r="F10" i="18" s="1"/>
  <c r="F11" i="18"/>
  <c r="F19" i="18"/>
  <c r="E18" i="18"/>
  <c r="F18" i="18" s="1"/>
  <c r="E17" i="18" l="1"/>
  <c r="F17" i="18" s="1"/>
  <c r="F23" i="18"/>
  <c r="E22" i="18" l="1"/>
  <c r="F22" i="18" s="1"/>
  <c r="F25" i="18"/>
  <c r="E24" i="18" l="1"/>
  <c r="F24" i="18" s="1"/>
  <c r="J25" i="18" l="1"/>
  <c r="K25" i="18" s="1"/>
  <c r="J23" i="18"/>
  <c r="K23" i="18" s="1"/>
  <c r="E8" i="18"/>
  <c r="F8" i="18" s="1"/>
  <c r="K22" i="18" l="1"/>
  <c r="K13" i="18" l="1"/>
  <c r="K19" i="18" l="1"/>
  <c r="K17" i="18" l="1"/>
  <c r="K15" i="18"/>
  <c r="K14" i="18" l="1"/>
  <c r="K18" i="18"/>
  <c r="K20" i="18"/>
  <c r="J12" i="18" l="1"/>
  <c r="K12" i="18" s="1"/>
  <c r="K21" i="18"/>
  <c r="J16" i="18" l="1"/>
  <c r="K16" i="18" s="1"/>
  <c r="K10" i="18"/>
  <c r="K9" i="18" l="1"/>
  <c r="K11" i="18"/>
  <c r="J8" i="18" l="1"/>
  <c r="J7" i="18" s="1"/>
  <c r="K8" i="18"/>
  <c r="K7" i="18" s="1"/>
  <c r="F21" i="18" l="1"/>
  <c r="E20" i="18" l="1"/>
  <c r="F20" i="18" l="1"/>
  <c r="X113" i="29" l="1"/>
  <c r="X21" i="29" l="1"/>
  <c r="X49" i="29"/>
  <c r="X23" i="29" l="1"/>
  <c r="X115" i="29" l="1"/>
  <c r="X51" i="29"/>
  <c r="X58" i="29"/>
  <c r="X118" i="29"/>
  <c r="X54" i="29"/>
  <c r="X26" i="29"/>
  <c r="X125" i="29" l="1"/>
  <c r="X31" i="29"/>
  <c r="X30" i="29"/>
  <c r="X28" i="29"/>
  <c r="X33" i="29"/>
  <c r="X62" i="29"/>
  <c r="X25" i="29"/>
  <c r="X53" i="29"/>
  <c r="X117" i="29"/>
  <c r="X61" i="29"/>
  <c r="X59" i="29"/>
  <c r="X32" i="29"/>
  <c r="X122" i="29" l="1"/>
  <c r="X123" i="29"/>
  <c r="X124" i="29" s="1"/>
  <c r="X56" i="29"/>
  <c r="X34" i="29"/>
  <c r="X29" i="29" s="1"/>
  <c r="X126" i="29"/>
  <c r="X120" i="29"/>
  <c r="X114" i="29"/>
  <c r="X50" i="29"/>
  <c r="X22" i="29"/>
  <c r="X27" i="29"/>
  <c r="X60" i="29"/>
  <c r="X119" i="29" l="1"/>
  <c r="X55" i="29"/>
  <c r="X20" i="29"/>
  <c r="X121" i="29"/>
  <c r="X57" i="29"/>
  <c r="X112" i="29" l="1"/>
  <c r="X107" i="29" s="1"/>
  <c r="X15" i="29"/>
  <c r="F20" i="29"/>
  <c r="G20" i="29" s="1"/>
  <c r="H20" i="29" s="1"/>
  <c r="X48" i="29"/>
  <c r="F112" i="29" l="1"/>
  <c r="G112" i="29" s="1"/>
  <c r="H112" i="29" s="1"/>
  <c r="F15" i="29"/>
  <c r="X43" i="29"/>
  <c r="F48" i="29"/>
  <c r="G48" i="29" s="1"/>
  <c r="H48" i="29" s="1"/>
  <c r="E13" i="18"/>
  <c r="G15" i="29"/>
  <c r="H15" i="29" s="1"/>
  <c r="F107" i="29" l="1"/>
  <c r="G107" i="29" s="1"/>
  <c r="H107" i="29" s="1"/>
  <c r="X14" i="29"/>
  <c r="X4" i="29" s="1"/>
  <c r="F43" i="29"/>
  <c r="F13" i="18"/>
  <c r="E15" i="18" l="1"/>
  <c r="F15" i="18" s="1"/>
  <c r="F14" i="29"/>
  <c r="G14" i="29" s="1"/>
  <c r="E14" i="18"/>
  <c r="F14" i="18" s="1"/>
  <c r="G43" i="29"/>
  <c r="H43" i="29" s="1"/>
  <c r="F4" i="29"/>
  <c r="H14" i="29"/>
  <c r="G4" i="29"/>
  <c r="H4" i="29" s="1"/>
  <c r="E12" i="18" l="1"/>
  <c r="F12" i="18"/>
  <c r="F7" i="18" s="1"/>
  <c r="E7" i="18"/>
</calcChain>
</file>

<file path=xl/sharedStrings.xml><?xml version="1.0" encoding="utf-8"?>
<sst xmlns="http://schemas.openxmlformats.org/spreadsheetml/2006/main" count="3191" uniqueCount="857">
  <si>
    <t>월</t>
    <phoneticPr fontId="14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</si>
  <si>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</si>
  <si>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</si>
  <si>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</si>
  <si>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</si>
  <si>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</si>
  <si>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</si>
  <si>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</si>
  <si>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</si>
  <si>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</si>
  <si>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</si>
  <si>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</si>
  <si>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</si>
  <si>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</si>
  <si>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</si>
  <si>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</si>
  <si>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</si>
  <si>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시설비</t>
  </si>
  <si>
    <t>자산취득비</t>
  </si>
  <si>
    <t>사업비</t>
  </si>
  <si>
    <t>소     계</t>
  </si>
  <si>
    <t>예비비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</si>
  <si>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</si>
  <si>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</si>
  <si>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</si>
  <si>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</si>
  <si>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</si>
  <si>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</si>
  <si>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</si>
  <si>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</si>
  <si>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후원금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</si>
  <si>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</si>
  <si>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</si>
  <si>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</si>
  <si>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</si>
  <si>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</si>
  <si>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</si>
  <si>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</si>
  <si>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</si>
  <si>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</si>
  <si>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</si>
  <si>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</si>
  <si>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</si>
  <si>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</si>
  <si>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</si>
  <si>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</si>
  <si>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</si>
  <si>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</si>
  <si>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</si>
  <si>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</si>
  <si>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</si>
  <si>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</si>
  <si>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※ 예비비</t>
  </si>
  <si>
    <t>=</t>
    <phoneticPr fontId="14" type="noConversion"/>
  </si>
  <si>
    <t>명</t>
    <phoneticPr fontId="14" type="noConversion"/>
  </si>
  <si>
    <t>원</t>
    <phoneticPr fontId="14" type="noConversion"/>
  </si>
  <si>
    <t>×</t>
    <phoneticPr fontId="14" type="noConversion"/>
  </si>
  <si>
    <t>생계비</t>
    <phoneticPr fontId="14" type="noConversion"/>
  </si>
  <si>
    <t>후원금</t>
    <phoneticPr fontId="14" type="noConversion"/>
  </si>
  <si>
    <t>잡수입</t>
    <phoneticPr fontId="14" type="noConversion"/>
  </si>
  <si>
    <t>÷</t>
    <phoneticPr fontId="14" type="noConversion"/>
  </si>
  <si>
    <t>회</t>
    <phoneticPr fontId="14" type="noConversion"/>
  </si>
  <si>
    <t>일용잡급</t>
    <phoneticPr fontId="14" type="noConversion"/>
  </si>
  <si>
    <t>※기본급</t>
    <phoneticPr fontId="14" type="noConversion"/>
  </si>
  <si>
    <t>※ 일용잡급</t>
    <phoneticPr fontId="14" type="noConversion"/>
  </si>
  <si>
    <t>사회보험</t>
    <phoneticPr fontId="14" type="noConversion"/>
  </si>
  <si>
    <t>기타후생</t>
    <phoneticPr fontId="14" type="noConversion"/>
  </si>
  <si>
    <t>※ 기타후생경비</t>
    <phoneticPr fontId="14" type="noConversion"/>
  </si>
  <si>
    <t>회  의  비</t>
    <phoneticPr fontId="14" type="noConversion"/>
  </si>
  <si>
    <t>여    비</t>
    <phoneticPr fontId="14" type="noConversion"/>
  </si>
  <si>
    <t>보조</t>
    <phoneticPr fontId="14" type="noConversion"/>
  </si>
  <si>
    <t>기타운영비</t>
    <phoneticPr fontId="14" type="noConversion"/>
  </si>
  <si>
    <t>※ 직원 교육훈련비</t>
    <phoneticPr fontId="14" type="noConversion"/>
  </si>
  <si>
    <t>피복비</t>
    <phoneticPr fontId="14" type="noConversion"/>
  </si>
  <si>
    <t>의료비</t>
    <phoneticPr fontId="14" type="noConversion"/>
  </si>
  <si>
    <t>연료비</t>
    <phoneticPr fontId="14" type="noConversion"/>
  </si>
  <si>
    <t>운영비</t>
    <phoneticPr fontId="14" type="noConversion"/>
  </si>
  <si>
    <t>※ 생계비</t>
    <phoneticPr fontId="14" type="noConversion"/>
  </si>
  <si>
    <t>수용기관</t>
    <phoneticPr fontId="14" type="noConversion"/>
  </si>
  <si>
    <t>※ 수용기관경비</t>
    <phoneticPr fontId="14" type="noConversion"/>
  </si>
  <si>
    <t>※ 연료비</t>
    <phoneticPr fontId="14" type="noConversion"/>
  </si>
  <si>
    <t>프로그램</t>
    <phoneticPr fontId="14" type="noConversion"/>
  </si>
  <si>
    <t>잡지출</t>
    <phoneticPr fontId="14" type="noConversion"/>
  </si>
  <si>
    <t>※ 잡지출</t>
    <phoneticPr fontId="14" type="noConversion"/>
  </si>
  <si>
    <t>일</t>
    <phoneticPr fontId="14" type="noConversion"/>
  </si>
  <si>
    <t>잡수</t>
    <phoneticPr fontId="14" type="noConversion"/>
  </si>
  <si>
    <t>운      영      비</t>
    <phoneticPr fontId="31" type="noConversion"/>
  </si>
  <si>
    <t>재산조성비</t>
    <phoneticPr fontId="31" type="noConversion"/>
  </si>
  <si>
    <t>시      설      비</t>
    <phoneticPr fontId="31" type="noConversion"/>
  </si>
  <si>
    <t>후원금  수입</t>
    <phoneticPr fontId="31" type="noConversion"/>
  </si>
  <si>
    <t>지정      후원금</t>
    <phoneticPr fontId="31" type="noConversion"/>
  </si>
  <si>
    <t>자 산   취 득 비</t>
    <phoneticPr fontId="31" type="noConversion"/>
  </si>
  <si>
    <t>비지정   후원금</t>
    <phoneticPr fontId="31" type="noConversion"/>
  </si>
  <si>
    <t>시설장비유지비</t>
    <phoneticPr fontId="31" type="noConversion"/>
  </si>
  <si>
    <t>전    입    금</t>
    <phoneticPr fontId="31" type="noConversion"/>
  </si>
  <si>
    <t>법인      전입금</t>
    <phoneticPr fontId="31" type="noConversion"/>
  </si>
  <si>
    <t>사   업   비</t>
    <phoneticPr fontId="31" type="noConversion"/>
  </si>
  <si>
    <t>생      계      비</t>
    <phoneticPr fontId="31" type="noConversion"/>
  </si>
  <si>
    <t>이    월    금</t>
    <phoneticPr fontId="31" type="noConversion"/>
  </si>
  <si>
    <t>전년도   이월금</t>
    <phoneticPr fontId="31" type="noConversion"/>
  </si>
  <si>
    <t>수용기관   경비</t>
    <phoneticPr fontId="31" type="noConversion"/>
  </si>
  <si>
    <t>잡    수    입</t>
    <phoneticPr fontId="31" type="noConversion"/>
  </si>
  <si>
    <t>잡      수      입</t>
    <phoneticPr fontId="31" type="noConversion"/>
  </si>
  <si>
    <t>피      복      비</t>
    <phoneticPr fontId="31" type="noConversion"/>
  </si>
  <si>
    <t>의      료      비</t>
    <phoneticPr fontId="31" type="noConversion"/>
  </si>
  <si>
    <t>연      료      비</t>
    <phoneticPr fontId="31" type="noConversion"/>
  </si>
  <si>
    <t>프로그램사업비</t>
    <phoneticPr fontId="31" type="noConversion"/>
  </si>
  <si>
    <t>잡   지   출</t>
    <phoneticPr fontId="31" type="noConversion"/>
  </si>
  <si>
    <t>잡      지      출</t>
    <phoneticPr fontId="31" type="noConversion"/>
  </si>
  <si>
    <t>예   비   비</t>
    <phoneticPr fontId="31" type="noConversion"/>
  </si>
  <si>
    <t>입소자
부담금</t>
    <phoneticPr fontId="14" type="noConversion"/>
  </si>
  <si>
    <t>비  용</t>
  </si>
  <si>
    <t>보조금
(4종)</t>
    <phoneticPr fontId="14" type="noConversion"/>
  </si>
  <si>
    <t>법인
전입금</t>
    <phoneticPr fontId="14" type="noConversion"/>
  </si>
  <si>
    <t>계
(B)</t>
    <phoneticPr fontId="14" type="noConversion"/>
  </si>
  <si>
    <t>금액
(B-A)</t>
    <phoneticPr fontId="14" type="noConversion"/>
  </si>
  <si>
    <t>합  계 :</t>
    <phoneticPr fontId="14" type="noConversion"/>
  </si>
  <si>
    <t>부담금</t>
    <phoneticPr fontId="14" type="noConversion"/>
  </si>
  <si>
    <t>업   무</t>
    <phoneticPr fontId="14" type="noConversion"/>
  </si>
  <si>
    <t>사업비</t>
    <phoneticPr fontId="14" type="noConversion"/>
  </si>
  <si>
    <t>소  계 :</t>
    <phoneticPr fontId="14" type="noConversion"/>
  </si>
  <si>
    <t>※ 피복비</t>
  </si>
  <si>
    <t>※ 의료비</t>
    <phoneticPr fontId="14" type="noConversion"/>
  </si>
  <si>
    <t>÷</t>
  </si>
  <si>
    <t>추진비</t>
    <phoneticPr fontId="14" type="noConversion"/>
  </si>
  <si>
    <t>업무추진비</t>
    <phoneticPr fontId="14" type="noConversion"/>
  </si>
  <si>
    <t>※ 직책보조비</t>
    <phoneticPr fontId="14" type="noConversion"/>
  </si>
  <si>
    <t>소계:</t>
    <phoneticPr fontId="14" type="noConversion"/>
  </si>
  <si>
    <t>명</t>
  </si>
  <si>
    <t>재산조성비</t>
    <phoneticPr fontId="14" type="noConversion"/>
  </si>
  <si>
    <t>계</t>
    <phoneticPr fontId="14" type="noConversion"/>
  </si>
  <si>
    <t>시설비</t>
    <phoneticPr fontId="14" type="noConversion"/>
  </si>
  <si>
    <t>수수료</t>
    <phoneticPr fontId="14" type="noConversion"/>
  </si>
  <si>
    <t>경비</t>
    <phoneticPr fontId="14" type="noConversion"/>
  </si>
  <si>
    <t>조성비</t>
    <phoneticPr fontId="14" type="noConversion"/>
  </si>
  <si>
    <t>보조금</t>
    <phoneticPr fontId="14" type="noConversion"/>
  </si>
  <si>
    <t>반환금</t>
    <phoneticPr fontId="14" type="noConversion"/>
  </si>
  <si>
    <t>후원</t>
    <phoneticPr fontId="14" type="noConversion"/>
  </si>
  <si>
    <t>보조금
(운영/생계)</t>
    <phoneticPr fontId="14" type="noConversion"/>
  </si>
  <si>
    <t>유지비</t>
    <phoneticPr fontId="14" type="noConversion"/>
  </si>
  <si>
    <t>세       입</t>
    <phoneticPr fontId="31" type="noConversion"/>
  </si>
  <si>
    <t>세       출</t>
    <phoneticPr fontId="31" type="noConversion"/>
  </si>
  <si>
    <t>구        분</t>
    <phoneticPr fontId="31" type="noConversion"/>
  </si>
  <si>
    <t>증감</t>
    <phoneticPr fontId="31" type="noConversion"/>
  </si>
  <si>
    <t>합        계</t>
    <phoneticPr fontId="31" type="noConversion"/>
  </si>
  <si>
    <t>입소비용수입</t>
    <phoneticPr fontId="31" type="noConversion"/>
  </si>
  <si>
    <t>입소비용   수입</t>
    <phoneticPr fontId="31" type="noConversion"/>
  </si>
  <si>
    <t>사   무   비</t>
    <phoneticPr fontId="31" type="noConversion"/>
  </si>
  <si>
    <t>인      건      비</t>
    <phoneticPr fontId="31" type="noConversion"/>
  </si>
  <si>
    <t>보조금  수입</t>
    <phoneticPr fontId="31" type="noConversion"/>
  </si>
  <si>
    <t>업 무   추 진 비</t>
    <phoneticPr fontId="31" type="noConversion"/>
  </si>
  <si>
    <t>법인</t>
    <phoneticPr fontId="14" type="noConversion"/>
  </si>
  <si>
    <t>합    계 :</t>
    <phoneticPr fontId="14" type="noConversion"/>
  </si>
  <si>
    <t xml:space="preserve"> </t>
    <phoneticPr fontId="14" type="noConversion"/>
  </si>
  <si>
    <t>국고보조금</t>
    <phoneticPr fontId="31" type="noConversion"/>
  </si>
  <si>
    <t>시도보조금</t>
    <phoneticPr fontId="31" type="noConversion"/>
  </si>
  <si>
    <t>시군구보조금</t>
    <phoneticPr fontId="31" type="noConversion"/>
  </si>
  <si>
    <t>※ 보조금 반환금(수원시)</t>
    <phoneticPr fontId="14" type="noConversion"/>
  </si>
  <si>
    <t>4종</t>
    <phoneticPr fontId="14" type="noConversion"/>
  </si>
  <si>
    <t>1.출산휴가 대체인건비(7종)</t>
    <phoneticPr fontId="14" type="noConversion"/>
  </si>
  <si>
    <t>1.협회비</t>
    <phoneticPr fontId="14" type="noConversion"/>
  </si>
  <si>
    <t xml:space="preserve"> ① 한국장애인복지시설협회비</t>
    <phoneticPr fontId="14" type="noConversion"/>
  </si>
  <si>
    <t xml:space="preserve"> ② 경기도장애인복지시설협회비</t>
    <phoneticPr fontId="14" type="noConversion"/>
  </si>
  <si>
    <t>2.보험료 및 세금</t>
    <phoneticPr fontId="14" type="noConversion"/>
  </si>
  <si>
    <t>세출총계</t>
    <phoneticPr fontId="14" type="noConversion"/>
  </si>
  <si>
    <t>사무비</t>
    <phoneticPr fontId="14" type="noConversion"/>
  </si>
  <si>
    <t>인건비</t>
    <phoneticPr fontId="14" type="noConversion"/>
  </si>
  <si>
    <t>1.명절휴가비</t>
    <phoneticPr fontId="14" type="noConversion"/>
  </si>
  <si>
    <t>2.가족수당</t>
    <phoneticPr fontId="14" type="noConversion"/>
  </si>
  <si>
    <t>3.연장근로수당</t>
    <phoneticPr fontId="14" type="noConversion"/>
  </si>
  <si>
    <t>1.국민연금부담금</t>
    <phoneticPr fontId="14" type="noConversion"/>
  </si>
  <si>
    <t>2.국민건강보험부담금</t>
    <phoneticPr fontId="14" type="noConversion"/>
  </si>
  <si>
    <t>3.장기요양보험부담금</t>
    <phoneticPr fontId="14" type="noConversion"/>
  </si>
  <si>
    <t>4.고용보험부담금</t>
    <phoneticPr fontId="14" type="noConversion"/>
  </si>
  <si>
    <t>5.산업재해보험부담금</t>
    <phoneticPr fontId="14" type="noConversion"/>
  </si>
  <si>
    <t>2. 복사용지 구입</t>
    <phoneticPr fontId="14" type="noConversion"/>
  </si>
  <si>
    <t>2.차량 점검 및 정비비 등</t>
    <phoneticPr fontId="14" type="noConversion"/>
  </si>
  <si>
    <t>1.생계비</t>
    <phoneticPr fontId="14" type="noConversion"/>
  </si>
  <si>
    <t>3.입소자 부식비(4종)</t>
    <phoneticPr fontId="14" type="noConversion"/>
  </si>
  <si>
    <t>4.입소자 간식비(4종)</t>
    <phoneticPr fontId="14" type="noConversion"/>
  </si>
  <si>
    <t>5.입소자 구료비(특별급식비:4종)</t>
    <phoneticPr fontId="14" type="noConversion"/>
  </si>
  <si>
    <t>6.특별위로금(설날,추석)</t>
    <phoneticPr fontId="14" type="noConversion"/>
  </si>
  <si>
    <t xml:space="preserve">7.월동대책비(김장:수급자급여) </t>
    <phoneticPr fontId="14" type="noConversion"/>
  </si>
  <si>
    <t>1. 생활용품구입비</t>
    <phoneticPr fontId="14" type="noConversion"/>
  </si>
  <si>
    <t>1.입소자 건강진단비(4종)</t>
    <phoneticPr fontId="14" type="noConversion"/>
  </si>
  <si>
    <t>3.외래진료</t>
    <phoneticPr fontId="14" type="noConversion"/>
  </si>
  <si>
    <t>4.의약품비</t>
    <phoneticPr fontId="14" type="noConversion"/>
  </si>
  <si>
    <t>1. 심야전력요금</t>
    <phoneticPr fontId="14" type="noConversion"/>
  </si>
  <si>
    <t>2.보조금 운영비 예금이자</t>
    <phoneticPr fontId="14" type="noConversion"/>
  </si>
  <si>
    <t>4.보조금 생계비 예금이자</t>
    <phoneticPr fontId="14" type="noConversion"/>
  </si>
  <si>
    <t>6.보조금(4종) 예금이자</t>
    <phoneticPr fontId="14" type="noConversion"/>
  </si>
  <si>
    <t>소계</t>
    <phoneticPr fontId="14" type="noConversion"/>
  </si>
  <si>
    <t>4. 상하수도요금</t>
    <phoneticPr fontId="14" type="noConversion"/>
  </si>
  <si>
    <t>2. 일반전기요금</t>
    <phoneticPr fontId="14" type="noConversion"/>
  </si>
  <si>
    <t>1. 전화료(체험홈, 유선방송 포함)</t>
    <phoneticPr fontId="14" type="noConversion"/>
  </si>
  <si>
    <t xml:space="preserve"> ③ 기타 협회비(영양사협회,방화관리자 외)</t>
    <phoneticPr fontId="14" type="noConversion"/>
  </si>
  <si>
    <t>질보장</t>
    <phoneticPr fontId="14" type="noConversion"/>
  </si>
  <si>
    <t>지역사회</t>
    <phoneticPr fontId="14" type="noConversion"/>
  </si>
  <si>
    <t>후원/자원</t>
    <phoneticPr fontId="14" type="noConversion"/>
  </si>
  <si>
    <t>체험홈</t>
    <phoneticPr fontId="14" type="noConversion"/>
  </si>
  <si>
    <t>1. 예금이자(입소비용)</t>
    <phoneticPr fontId="14" type="noConversion"/>
  </si>
  <si>
    <t>2. 예금이자(후원금)</t>
    <phoneticPr fontId="14" type="noConversion"/>
  </si>
  <si>
    <t>3. 예금이자(법인전입금)</t>
    <phoneticPr fontId="14" type="noConversion"/>
  </si>
  <si>
    <t>4. 예금이자(잡수입)</t>
    <phoneticPr fontId="14" type="noConversion"/>
  </si>
  <si>
    <t>1.보조금 운영비 잔액</t>
    <phoneticPr fontId="14" type="noConversion"/>
  </si>
  <si>
    <t>3.보조금 생계비 잔액</t>
    <phoneticPr fontId="14" type="noConversion"/>
  </si>
  <si>
    <t>5.보조금(4종) 잔액</t>
    <phoneticPr fontId="14" type="noConversion"/>
  </si>
  <si>
    <t>5. 인쇄비(소식지, 사업계획 및 평가서, 연하장, 감사장, 리플렛 등)</t>
    <phoneticPr fontId="14" type="noConversion"/>
  </si>
  <si>
    <t>6. 소규모수선비(시설잡자재, 비품 수리, 전산장비 등)</t>
    <phoneticPr fontId="14" type="noConversion"/>
  </si>
  <si>
    <t>잡수입이월금</t>
  </si>
  <si>
    <t>비지정</t>
    <phoneticPr fontId="14" type="noConversion"/>
  </si>
  <si>
    <t>회</t>
  </si>
  <si>
    <t>*월동대책비(10월신청)</t>
  </si>
  <si>
    <t>기타 보조금</t>
    <phoneticPr fontId="31" type="noConversion"/>
  </si>
  <si>
    <t>(지정후원금)</t>
    <phoneticPr fontId="14" type="noConversion"/>
  </si>
  <si>
    <t>입소</t>
    <phoneticPr fontId="14" type="noConversion"/>
  </si>
  <si>
    <t>6. 체험홈 APT관리비</t>
    <phoneticPr fontId="14" type="noConversion"/>
  </si>
  <si>
    <t>4. 주방식기류 및 그릇보강</t>
    <phoneticPr fontId="14" type="noConversion"/>
  </si>
  <si>
    <t>9.재활프로그램 보조금 잔액</t>
    <phoneticPr fontId="14" type="noConversion"/>
  </si>
  <si>
    <t xml:space="preserve"> ① CMS 이용료</t>
    <phoneticPr fontId="14" type="noConversion"/>
  </si>
  <si>
    <t xml:space="preserve"> ② CMS 이체수수료</t>
    <phoneticPr fontId="14" type="noConversion"/>
  </si>
  <si>
    <t xml:space="preserve"> ③ 보증보험료</t>
    <phoneticPr fontId="14" type="noConversion"/>
  </si>
  <si>
    <t>②자동차세/환경개선부담금(시설,자동차분)</t>
    <phoneticPr fontId="14" type="noConversion"/>
  </si>
  <si>
    <t>2.생계비(입소비용 부담금)</t>
    <phoneticPr fontId="14" type="noConversion"/>
  </si>
  <si>
    <t xml:space="preserve">               (김장 자부담)</t>
    <phoneticPr fontId="14" type="noConversion"/>
  </si>
  <si>
    <t>③복지시설 손해배상책임공제 가입(영업배상, 화재 등)</t>
    <phoneticPr fontId="14" type="noConversion"/>
  </si>
  <si>
    <t>※ 기타운영비</t>
    <phoneticPr fontId="14" type="noConversion"/>
  </si>
  <si>
    <t>(단위:천원)</t>
    <phoneticPr fontId="31" type="noConversion"/>
  </si>
  <si>
    <t>④신원보증보험갱신</t>
    <phoneticPr fontId="14" type="noConversion"/>
  </si>
  <si>
    <t>1. 회의관련 다과비등</t>
    <phoneticPr fontId="14" type="noConversion"/>
  </si>
  <si>
    <t xml:space="preserve">2.주방 보조인력 </t>
    <phoneticPr fontId="14" type="noConversion"/>
  </si>
  <si>
    <t>* 조리원, 영양사 위생복</t>
    <phoneticPr fontId="14" type="noConversion"/>
  </si>
  <si>
    <t>* 기관방문 손님접대용 다과 및 운영위원 선물구입</t>
    <phoneticPr fontId="14" type="noConversion"/>
  </si>
  <si>
    <t xml:space="preserve"> * 교육 및 출장여비</t>
    <phoneticPr fontId="14" type="noConversion"/>
  </si>
  <si>
    <t xml:space="preserve"> * 시설장 여비</t>
    <phoneticPr fontId="14" type="noConversion"/>
  </si>
  <si>
    <t>2. 세탁세제구입 등</t>
    <phoneticPr fontId="14" type="noConversion"/>
  </si>
  <si>
    <t>5.이용인/직원/봉사자 등 구충제</t>
    <phoneticPr fontId="14" type="noConversion"/>
  </si>
  <si>
    <t>7. 일반전기요금/ 상하수도요금 자부담 보충액</t>
    <phoneticPr fontId="14" type="noConversion"/>
  </si>
  <si>
    <t>2. 주방가스요금</t>
    <phoneticPr fontId="14" type="noConversion"/>
  </si>
  <si>
    <t>사업수입</t>
    <phoneticPr fontId="31" type="noConversion"/>
  </si>
  <si>
    <t xml:space="preserve"> 가.연장야간근로수당(5h:법인전입금이월금)</t>
    <phoneticPr fontId="14" type="noConversion"/>
  </si>
  <si>
    <t>1.전기안전관리대행료</t>
    <phoneticPr fontId="14" type="noConversion"/>
  </si>
  <si>
    <t>2.방화관리(소방) 대행료</t>
    <phoneticPr fontId="14" type="noConversion"/>
  </si>
  <si>
    <t>9. 퇴직연금 관리 수수료</t>
    <phoneticPr fontId="14" type="noConversion"/>
  </si>
  <si>
    <t>10. 주차료, 통행료, 택배료, 김장 운송비 등</t>
    <phoneticPr fontId="14" type="noConversion"/>
  </si>
  <si>
    <t>12. 시설방역</t>
    <phoneticPr fontId="14" type="noConversion"/>
  </si>
  <si>
    <t>의료재활</t>
    <phoneticPr fontId="14" type="noConversion"/>
  </si>
  <si>
    <t>사회심리</t>
    <phoneticPr fontId="14" type="noConversion"/>
  </si>
  <si>
    <t>재활사업비</t>
    <phoneticPr fontId="14" type="noConversion"/>
  </si>
  <si>
    <t>교육재활</t>
    <phoneticPr fontId="14" type="noConversion"/>
  </si>
  <si>
    <t>원내</t>
    <phoneticPr fontId="14" type="noConversion"/>
  </si>
  <si>
    <t>자립지원</t>
    <phoneticPr fontId="14" type="noConversion"/>
  </si>
  <si>
    <t>자부담</t>
    <phoneticPr fontId="14" type="noConversion"/>
  </si>
  <si>
    <t>1. 물리치료실사업비</t>
    <phoneticPr fontId="14" type="noConversion"/>
  </si>
  <si>
    <t>2. 작업치료실사업비</t>
    <phoneticPr fontId="14" type="noConversion"/>
  </si>
  <si>
    <t>1. 사회적응프로그램</t>
    <phoneticPr fontId="14" type="noConversion"/>
  </si>
  <si>
    <t>3. 심리안정프로그램(마음의소리/사랑채심리정서지원)</t>
    <phoneticPr fontId="14" type="noConversion"/>
  </si>
  <si>
    <t>4. 재활승마</t>
    <phoneticPr fontId="14" type="noConversion"/>
  </si>
  <si>
    <t>5. 성지순례</t>
    <phoneticPr fontId="14" type="noConversion"/>
  </si>
  <si>
    <t>1. 금전관리교육</t>
    <phoneticPr fontId="14" type="noConversion"/>
  </si>
  <si>
    <t>11. 송년회</t>
    <phoneticPr fontId="14" type="noConversion"/>
  </si>
  <si>
    <t>1. 개별지원서비스</t>
    <phoneticPr fontId="14" type="noConversion"/>
  </si>
  <si>
    <t>1. 자립준비가정</t>
    <phoneticPr fontId="14" type="noConversion"/>
  </si>
  <si>
    <t>교류사업비</t>
    <phoneticPr fontId="14" type="noConversion"/>
  </si>
  <si>
    <t>2. 실습생관리</t>
    <phoneticPr fontId="14" type="noConversion"/>
  </si>
  <si>
    <t>3. 종교활동</t>
    <phoneticPr fontId="14" type="noConversion"/>
  </si>
  <si>
    <t>4. 찾아가는 푸드트럭"슬기로운 나눔생활"</t>
    <phoneticPr fontId="14" type="noConversion"/>
  </si>
  <si>
    <t>1. 지역사회자원개발관리</t>
    <phoneticPr fontId="14" type="noConversion"/>
  </si>
  <si>
    <t>2. 결연후원</t>
    <phoneticPr fontId="14" type="noConversion"/>
  </si>
  <si>
    <t>3. 후원자관리</t>
    <phoneticPr fontId="14" type="noConversion"/>
  </si>
  <si>
    <t>4. 봉사자관리</t>
    <phoneticPr fontId="14" type="noConversion"/>
  </si>
  <si>
    <t>5. 기관홍보</t>
    <phoneticPr fontId="14" type="noConversion"/>
  </si>
  <si>
    <t>가정연계</t>
    <phoneticPr fontId="14" type="noConversion"/>
  </si>
  <si>
    <t>지원사업비</t>
    <phoneticPr fontId="14" type="noConversion"/>
  </si>
  <si>
    <t>1.특별피복비(도비4종)</t>
    <phoneticPr fontId="14" type="noConversion"/>
  </si>
  <si>
    <t>3.시설개보수(일일바자회 지정후원금)</t>
    <phoneticPr fontId="14" type="noConversion"/>
  </si>
  <si>
    <t>12. 별까페</t>
    <phoneticPr fontId="14" type="noConversion"/>
  </si>
  <si>
    <t xml:space="preserve">5. 우편물발송료 </t>
    <phoneticPr fontId="14" type="noConversion"/>
  </si>
  <si>
    <t>①자동차보험료(포터, 25인승, 12인승, 레이,니로, 모닝, G12인승)</t>
    <phoneticPr fontId="14" type="noConversion"/>
  </si>
  <si>
    <t>(김장 자부담 추가비용)</t>
    <phoneticPr fontId="14" type="noConversion"/>
  </si>
  <si>
    <t>14. 근태관리시스템 이용료</t>
    <phoneticPr fontId="14" type="noConversion"/>
  </si>
  <si>
    <t>15. CMS수수료,보증보험료,이용료</t>
    <phoneticPr fontId="14" type="noConversion"/>
  </si>
  <si>
    <t>* 직원건강검진비(순수시비)</t>
    <phoneticPr fontId="14" type="noConversion"/>
  </si>
  <si>
    <t>* 야간근로자 특수건강검진(18명)</t>
    <phoneticPr fontId="14" type="noConversion"/>
  </si>
  <si>
    <t>* 직원독감 예방접종(지정후원금)</t>
    <phoneticPr fontId="14" type="noConversion"/>
  </si>
  <si>
    <t>1. 공익근무요원(사기진작모임)</t>
    <phoneticPr fontId="14" type="noConversion"/>
  </si>
  <si>
    <t>2. 실습사회복무요원 다과비</t>
    <phoneticPr fontId="14" type="noConversion"/>
  </si>
  <si>
    <t>5. 직원급식비(직재)</t>
    <phoneticPr fontId="14" type="noConversion"/>
  </si>
  <si>
    <t>6. 직재재가 급식비</t>
    <phoneticPr fontId="14" type="noConversion"/>
  </si>
  <si>
    <t>원</t>
    <phoneticPr fontId="14" type="noConversion"/>
  </si>
  <si>
    <t>명</t>
    <phoneticPr fontId="14" type="noConversion"/>
  </si>
  <si>
    <t>×</t>
    <phoneticPr fontId="14" type="noConversion"/>
  </si>
  <si>
    <t>3.교대인력인건비(7명)</t>
    <phoneticPr fontId="14" type="noConversion"/>
  </si>
  <si>
    <t xml:space="preserve"> C.교대인력(7명)</t>
    <phoneticPr fontId="14" type="noConversion"/>
  </si>
  <si>
    <t>4.법인부담금</t>
    <phoneticPr fontId="14" type="noConversion"/>
  </si>
  <si>
    <t>3.교대인력(7명)</t>
    <phoneticPr fontId="14" type="noConversion"/>
  </si>
  <si>
    <t>13. 기타수용비 및 수수료 등</t>
    <phoneticPr fontId="14" type="noConversion"/>
  </si>
  <si>
    <t>11.수원시복지기금예금이자</t>
    <phoneticPr fontId="14" type="noConversion"/>
  </si>
  <si>
    <t>10.스페셜올림픽코리아 예금이자(젼년도 이자반납금 포함)</t>
    <phoneticPr fontId="14" type="noConversion"/>
  </si>
  <si>
    <t>4.외벽공사 설계용역비(지정후원금 이월금)</t>
    <phoneticPr fontId="14" type="noConversion"/>
  </si>
  <si>
    <t>6.시설물안전관리(2회)</t>
    <phoneticPr fontId="14" type="noConversion"/>
  </si>
  <si>
    <t>8.장애인편의시설 설치공사비</t>
    <phoneticPr fontId="14" type="noConversion"/>
  </si>
  <si>
    <t>9.원장실 이전 브라인드 설치</t>
    <phoneticPr fontId="14" type="noConversion"/>
  </si>
  <si>
    <t>10. PG실천정누수/체험홈누수공사</t>
    <phoneticPr fontId="14" type="noConversion"/>
  </si>
  <si>
    <t>11. 시청각화재경보기/음식물처리기수리/CCTV수리</t>
    <phoneticPr fontId="14" type="noConversion"/>
  </si>
  <si>
    <t>12. 기타시설장비유지비</t>
    <phoneticPr fontId="14" type="noConversion"/>
  </si>
  <si>
    <t>13.자동고장구분개폐기(ASS) 설치(전기)</t>
    <phoneticPr fontId="14" type="noConversion"/>
  </si>
  <si>
    <t>과            목</t>
    <phoneticPr fontId="14" type="noConversion"/>
  </si>
  <si>
    <t>산               출                기               초</t>
    <phoneticPr fontId="14" type="noConversion"/>
  </si>
  <si>
    <t>목</t>
    <phoneticPr fontId="14" type="noConversion"/>
  </si>
  <si>
    <t>세목</t>
    <phoneticPr fontId="14" type="noConversion"/>
  </si>
  <si>
    <t>금액
(B-A)</t>
    <phoneticPr fontId="14" type="noConversion"/>
  </si>
  <si>
    <t>※ 총 계</t>
    <phoneticPr fontId="14" type="noConversion"/>
  </si>
  <si>
    <t>원</t>
    <phoneticPr fontId="14" type="noConversion"/>
  </si>
  <si>
    <t>입  소</t>
    <phoneticPr fontId="14" type="noConversion"/>
  </si>
  <si>
    <t>입   소</t>
    <phoneticPr fontId="14" type="noConversion"/>
  </si>
  <si>
    <t>※ 입소비용수입</t>
    <phoneticPr fontId="14" type="noConversion"/>
  </si>
  <si>
    <t>합  계 :</t>
    <phoneticPr fontId="14" type="noConversion"/>
  </si>
  <si>
    <t>비  용</t>
    <phoneticPr fontId="14" type="noConversion"/>
  </si>
  <si>
    <t>×</t>
    <phoneticPr fontId="14" type="noConversion"/>
  </si>
  <si>
    <t>명</t>
    <phoneticPr fontId="14" type="noConversion"/>
  </si>
  <si>
    <t>월</t>
    <phoneticPr fontId="14" type="noConversion"/>
  </si>
  <si>
    <t>=</t>
    <phoneticPr fontId="14" type="noConversion"/>
  </si>
  <si>
    <t>사 업</t>
    <phoneticPr fontId="14" type="noConversion"/>
  </si>
  <si>
    <t>※ 사업수입</t>
    <phoneticPr fontId="14" type="noConversion"/>
  </si>
  <si>
    <t>수 입</t>
    <phoneticPr fontId="14" type="noConversion"/>
  </si>
  <si>
    <t>과년도</t>
    <phoneticPr fontId="14" type="noConversion"/>
  </si>
  <si>
    <t>※ 과년도 수입</t>
    <phoneticPr fontId="14" type="noConversion"/>
  </si>
  <si>
    <t>보조금</t>
    <phoneticPr fontId="14" type="noConversion"/>
  </si>
  <si>
    <t>소  계</t>
    <phoneticPr fontId="14" type="noConversion"/>
  </si>
  <si>
    <t>※ 보조금수입 합계</t>
    <phoneticPr fontId="14" type="noConversion"/>
  </si>
  <si>
    <t>수  입</t>
    <phoneticPr fontId="14" type="noConversion"/>
  </si>
  <si>
    <t>국 고</t>
    <phoneticPr fontId="14" type="noConversion"/>
  </si>
  <si>
    <t>계</t>
    <phoneticPr fontId="14" type="noConversion"/>
  </si>
  <si>
    <t xml:space="preserve"> &lt;국고 보조금 합계&gt;</t>
    <phoneticPr fontId="14" type="noConversion"/>
  </si>
  <si>
    <t>소계 :</t>
    <phoneticPr fontId="14" type="noConversion"/>
  </si>
  <si>
    <t>생계비</t>
    <phoneticPr fontId="14" type="noConversion"/>
  </si>
  <si>
    <t>&lt;생계비&gt;</t>
    <phoneticPr fontId="14" type="noConversion"/>
  </si>
  <si>
    <t>계:</t>
    <phoneticPr fontId="14" type="noConversion"/>
  </si>
  <si>
    <t>인건비</t>
    <phoneticPr fontId="14" type="noConversion"/>
  </si>
  <si>
    <t>계:</t>
    <phoneticPr fontId="14" type="noConversion"/>
  </si>
  <si>
    <t>원</t>
    <phoneticPr fontId="14" type="noConversion"/>
  </si>
  <si>
    <t>1.기본급 (인건비 산출내역 참조)</t>
    <phoneticPr fontId="14" type="noConversion"/>
  </si>
  <si>
    <t>×</t>
    <phoneticPr fontId="14" type="noConversion"/>
  </si>
  <si>
    <t>=</t>
    <phoneticPr fontId="14" type="noConversion"/>
  </si>
  <si>
    <t>소계 :</t>
    <phoneticPr fontId="14" type="noConversion"/>
  </si>
  <si>
    <t>2.제수당</t>
    <phoneticPr fontId="14" type="noConversion"/>
  </si>
  <si>
    <t xml:space="preserve"> 가.명절휴가비</t>
    <phoneticPr fontId="14" type="noConversion"/>
  </si>
  <si>
    <t xml:space="preserve"> 나.가족수당</t>
    <phoneticPr fontId="14" type="noConversion"/>
  </si>
  <si>
    <t xml:space="preserve"> 다.연장근로수당</t>
    <phoneticPr fontId="14" type="noConversion"/>
  </si>
  <si>
    <t>3.종사자퇴직금적립금</t>
    <phoneticPr fontId="14" type="noConversion"/>
  </si>
  <si>
    <t>소계 :</t>
    <phoneticPr fontId="14" type="noConversion"/>
  </si>
  <si>
    <t>원</t>
    <phoneticPr fontId="14" type="noConversion"/>
  </si>
  <si>
    <t>÷</t>
    <phoneticPr fontId="14" type="noConversion"/>
  </si>
  <si>
    <t>월</t>
    <phoneticPr fontId="14" type="noConversion"/>
  </si>
  <si>
    <t>×</t>
    <phoneticPr fontId="14" type="noConversion"/>
  </si>
  <si>
    <t>=</t>
    <phoneticPr fontId="14" type="noConversion"/>
  </si>
  <si>
    <t>4.종사자사회보험부담금</t>
    <phoneticPr fontId="14" type="noConversion"/>
  </si>
  <si>
    <t xml:space="preserve"> 가.국민연금부담금</t>
    <phoneticPr fontId="14" type="noConversion"/>
  </si>
  <si>
    <t xml:space="preserve"> 나.건강보험부담금</t>
    <phoneticPr fontId="14" type="noConversion"/>
  </si>
  <si>
    <t xml:space="preserve"> 다.장기요양보험부담금</t>
    <phoneticPr fontId="14" type="noConversion"/>
  </si>
  <si>
    <t xml:space="preserve"> 라.고용보험부담금</t>
    <phoneticPr fontId="14" type="noConversion"/>
  </si>
  <si>
    <t xml:space="preserve"> 마.산재보험부담금</t>
    <phoneticPr fontId="14" type="noConversion"/>
  </si>
  <si>
    <t>계:</t>
    <phoneticPr fontId="14" type="noConversion"/>
  </si>
  <si>
    <t>1.기본급 (인건비 산출내역 참조)</t>
    <phoneticPr fontId="14" type="noConversion"/>
  </si>
  <si>
    <t>2.제수당</t>
    <phoneticPr fontId="14" type="noConversion"/>
  </si>
  <si>
    <t xml:space="preserve"> 가.명절휴가비</t>
    <phoneticPr fontId="14" type="noConversion"/>
  </si>
  <si>
    <t xml:space="preserve"> 나.가족수당</t>
    <phoneticPr fontId="14" type="noConversion"/>
  </si>
  <si>
    <t xml:space="preserve"> 다.연장근로수당</t>
    <phoneticPr fontId="14" type="noConversion"/>
  </si>
  <si>
    <t>운영비</t>
    <phoneticPr fontId="14" type="noConversion"/>
  </si>
  <si>
    <t>&lt;운영비 지원&gt;</t>
    <phoneticPr fontId="14" type="noConversion"/>
  </si>
  <si>
    <t>*시설당 기본지원금</t>
    <phoneticPr fontId="14" type="noConversion"/>
  </si>
  <si>
    <t>명</t>
    <phoneticPr fontId="14" type="noConversion"/>
  </si>
  <si>
    <t>*거주장애인 가중지원</t>
    <phoneticPr fontId="14" type="noConversion"/>
  </si>
  <si>
    <t>&lt;기능보강사업비&gt;</t>
    <phoneticPr fontId="14" type="noConversion"/>
  </si>
  <si>
    <t>시 도</t>
    <phoneticPr fontId="14" type="noConversion"/>
  </si>
  <si>
    <t>계</t>
    <phoneticPr fontId="14" type="noConversion"/>
  </si>
  <si>
    <t xml:space="preserve"> &lt;시도 보조금 합계&gt;</t>
    <phoneticPr fontId="14" type="noConversion"/>
  </si>
  <si>
    <t>보조금</t>
    <phoneticPr fontId="14" type="noConversion"/>
  </si>
  <si>
    <t>생계비</t>
    <phoneticPr fontId="14" type="noConversion"/>
  </si>
  <si>
    <t>&lt;생계비&gt;</t>
    <phoneticPr fontId="14" type="noConversion"/>
  </si>
  <si>
    <t>인건비</t>
    <phoneticPr fontId="14" type="noConversion"/>
  </si>
  <si>
    <t>&lt;운영비&gt;</t>
    <phoneticPr fontId="14" type="noConversion"/>
  </si>
  <si>
    <t xml:space="preserve"> * 시설당 기본지원</t>
    <phoneticPr fontId="14" type="noConversion"/>
  </si>
  <si>
    <t xml:space="preserve"> * 거주 장애인수 가중지원</t>
    <phoneticPr fontId="14" type="noConversion"/>
  </si>
  <si>
    <t>입소자지원금</t>
    <phoneticPr fontId="14" type="noConversion"/>
  </si>
  <si>
    <t>&lt;입소자지원금 : 4종&gt;</t>
    <phoneticPr fontId="14" type="noConversion"/>
  </si>
  <si>
    <t>(4종)</t>
    <phoneticPr fontId="14" type="noConversion"/>
  </si>
  <si>
    <t>*입소자 부식비(매월신청)</t>
    <phoneticPr fontId="14" type="noConversion"/>
  </si>
  <si>
    <t>일</t>
    <phoneticPr fontId="14" type="noConversion"/>
  </si>
  <si>
    <t>*입소자 간식비(매월신청)</t>
    <phoneticPr fontId="14" type="noConversion"/>
  </si>
  <si>
    <t>*입소자 구료비(특별피복비)</t>
    <phoneticPr fontId="14" type="noConversion"/>
  </si>
  <si>
    <t>회</t>
    <phoneticPr fontId="14" type="noConversion"/>
  </si>
  <si>
    <t>*입소자 건강진단비</t>
    <phoneticPr fontId="14" type="noConversion"/>
  </si>
  <si>
    <t>시설운영지원</t>
    <phoneticPr fontId="14" type="noConversion"/>
  </si>
  <si>
    <t>A.. 인건비 지원금</t>
    <phoneticPr fontId="14" type="noConversion"/>
  </si>
  <si>
    <t>중계 :</t>
    <phoneticPr fontId="14" type="noConversion"/>
  </si>
  <si>
    <t xml:space="preserve"> 1.기본급 (인건비 산출내역 참조)</t>
    <phoneticPr fontId="14" type="noConversion"/>
  </si>
  <si>
    <t xml:space="preserve"> 가. 운전원</t>
    <phoneticPr fontId="14" type="noConversion"/>
  </si>
  <si>
    <t xml:space="preserve"> 나. 생활지도원</t>
    <phoneticPr fontId="14" type="noConversion"/>
  </si>
  <si>
    <t xml:space="preserve"> 다. 조리보조원</t>
    <phoneticPr fontId="14" type="noConversion"/>
  </si>
  <si>
    <t xml:space="preserve"> 2.제수당</t>
    <phoneticPr fontId="14" type="noConversion"/>
  </si>
  <si>
    <t xml:space="preserve"> 3.종사자퇴직금적립금</t>
    <phoneticPr fontId="14" type="noConversion"/>
  </si>
  <si>
    <t xml:space="preserve"> *운전원/생활지도원/조리보조원(3명)</t>
    <phoneticPr fontId="14" type="noConversion"/>
  </si>
  <si>
    <t xml:space="preserve"> 4.종사자사회보험부담금</t>
    <phoneticPr fontId="14" type="noConversion"/>
  </si>
  <si>
    <t>B.. 운영비 지원금</t>
    <phoneticPr fontId="14" type="noConversion"/>
  </si>
  <si>
    <t>*차량운영비</t>
    <phoneticPr fontId="14" type="noConversion"/>
  </si>
  <si>
    <t>*간병인비 지원</t>
    <phoneticPr fontId="14" type="noConversion"/>
  </si>
  <si>
    <t>기타지원금</t>
    <phoneticPr fontId="14" type="noConversion"/>
  </si>
  <si>
    <t>&lt;기타 지원금&gt;</t>
    <phoneticPr fontId="14" type="noConversion"/>
  </si>
  <si>
    <t>계 :</t>
    <phoneticPr fontId="14" type="noConversion"/>
  </si>
  <si>
    <t xml:space="preserve"> * 추가 연장야간근로수당(5h)</t>
    <phoneticPr fontId="14" type="noConversion"/>
  </si>
  <si>
    <t>시군구</t>
    <phoneticPr fontId="14" type="noConversion"/>
  </si>
  <si>
    <t xml:space="preserve"> &lt;시군구 보조금 합계&gt;</t>
    <phoneticPr fontId="14" type="noConversion"/>
  </si>
  <si>
    <t>기 타</t>
    <phoneticPr fontId="14" type="noConversion"/>
  </si>
  <si>
    <t>기타 보조금</t>
    <phoneticPr fontId="14" type="noConversion"/>
  </si>
  <si>
    <t>후원금</t>
    <phoneticPr fontId="14" type="noConversion"/>
  </si>
  <si>
    <t>소  계</t>
    <phoneticPr fontId="14" type="noConversion"/>
  </si>
  <si>
    <t>※후원금수입</t>
    <phoneticPr fontId="14" type="noConversion"/>
  </si>
  <si>
    <t>총  계 :</t>
    <phoneticPr fontId="14" type="noConversion"/>
  </si>
  <si>
    <t>수 입</t>
    <phoneticPr fontId="14" type="noConversion"/>
  </si>
  <si>
    <t>지 정</t>
    <phoneticPr fontId="14" type="noConversion"/>
  </si>
  <si>
    <t xml:space="preserve"> &lt;지정 후원금 합계&gt;</t>
    <phoneticPr fontId="14" type="noConversion"/>
  </si>
  <si>
    <t>지정 후원금</t>
    <phoneticPr fontId="14" type="noConversion"/>
  </si>
  <si>
    <t>&lt;지정후원금&gt;</t>
    <phoneticPr fontId="14" type="noConversion"/>
  </si>
  <si>
    <t>결연 후원금</t>
    <phoneticPr fontId="14" type="noConversion"/>
  </si>
  <si>
    <t xml:space="preserve">  *결연후원금</t>
    <phoneticPr fontId="14" type="noConversion"/>
  </si>
  <si>
    <t xml:space="preserve">  *경장협 결연후원금</t>
    <phoneticPr fontId="14" type="noConversion"/>
  </si>
  <si>
    <t>비지정</t>
    <phoneticPr fontId="14" type="noConversion"/>
  </si>
  <si>
    <t xml:space="preserve"> &lt;비지정 후원금 합계&gt;</t>
    <phoneticPr fontId="14" type="noConversion"/>
  </si>
  <si>
    <t>비지정후원금</t>
    <phoneticPr fontId="14" type="noConversion"/>
  </si>
  <si>
    <t>&lt;비지정후원금&gt;</t>
    <phoneticPr fontId="14" type="noConversion"/>
  </si>
  <si>
    <t xml:space="preserve">  *후원금 수입</t>
    <phoneticPr fontId="14" type="noConversion"/>
  </si>
  <si>
    <t>차입금</t>
    <phoneticPr fontId="14" type="noConversion"/>
  </si>
  <si>
    <t>※ 차 입 금</t>
    <phoneticPr fontId="14" type="noConversion"/>
  </si>
  <si>
    <t>금융</t>
    <phoneticPr fontId="14" type="noConversion"/>
  </si>
  <si>
    <t xml:space="preserve"> &lt;금융기관 차입금&gt;</t>
    <phoneticPr fontId="14" type="noConversion"/>
  </si>
  <si>
    <t>기관</t>
    <phoneticPr fontId="14" type="noConversion"/>
  </si>
  <si>
    <t>금융기관</t>
    <phoneticPr fontId="14" type="noConversion"/>
  </si>
  <si>
    <t xml:space="preserve"> &lt;금융기관 차입금&gt;</t>
    <phoneticPr fontId="14" type="noConversion"/>
  </si>
  <si>
    <t>차입금</t>
    <phoneticPr fontId="14" type="noConversion"/>
  </si>
  <si>
    <t xml:space="preserve">  *금융기관 차입금</t>
    <phoneticPr fontId="14" type="noConversion"/>
  </si>
  <si>
    <t>기 타</t>
    <phoneticPr fontId="14" type="noConversion"/>
  </si>
  <si>
    <t>계</t>
    <phoneticPr fontId="14" type="noConversion"/>
  </si>
  <si>
    <t xml:space="preserve"> &lt;기타 차입금&gt;</t>
    <phoneticPr fontId="14" type="noConversion"/>
  </si>
  <si>
    <t>기타 차입금</t>
    <phoneticPr fontId="14" type="noConversion"/>
  </si>
  <si>
    <t xml:space="preserve">  *기타 차입금</t>
    <phoneticPr fontId="14" type="noConversion"/>
  </si>
  <si>
    <t>전입금</t>
    <phoneticPr fontId="14" type="noConversion"/>
  </si>
  <si>
    <t>※법인 전입금</t>
    <phoneticPr fontId="14" type="noConversion"/>
  </si>
  <si>
    <t>법 인</t>
    <phoneticPr fontId="14" type="noConversion"/>
  </si>
  <si>
    <t xml:space="preserve"> &lt;법인 전입금&gt;</t>
    <phoneticPr fontId="14" type="noConversion"/>
  </si>
  <si>
    <t>법인전입금</t>
    <phoneticPr fontId="14" type="noConversion"/>
  </si>
  <si>
    <t>1. 시설비</t>
    <phoneticPr fontId="14" type="noConversion"/>
  </si>
  <si>
    <t>시설비 합계 :</t>
    <phoneticPr fontId="14" type="noConversion"/>
  </si>
  <si>
    <t xml:space="preserve"> * 배관관로 변경공사</t>
    <phoneticPr fontId="14" type="noConversion"/>
  </si>
  <si>
    <t xml:space="preserve"> * 주방공사</t>
    <phoneticPr fontId="14" type="noConversion"/>
  </si>
  <si>
    <t>2.직원 기타후생경비</t>
    <phoneticPr fontId="14" type="noConversion"/>
  </si>
  <si>
    <t>직원 기타후생경비 합계 :</t>
    <phoneticPr fontId="14" type="noConversion"/>
  </si>
  <si>
    <t>* 직원단체복지원</t>
    <phoneticPr fontId="14" type="noConversion"/>
  </si>
  <si>
    <t>* 직원 축일/생일 축하 문화상품권</t>
    <phoneticPr fontId="14" type="noConversion"/>
  </si>
  <si>
    <t>* 10년 장기근속자(3명)</t>
    <phoneticPr fontId="14" type="noConversion"/>
  </si>
  <si>
    <t>* 스승의날/가정의달 직원선물</t>
    <phoneticPr fontId="14" type="noConversion"/>
  </si>
  <si>
    <t>* 명절선물구입</t>
    <phoneticPr fontId="14" type="noConversion"/>
  </si>
  <si>
    <t>* 우수직원 포상금(12월)</t>
    <phoneticPr fontId="14" type="noConversion"/>
  </si>
  <si>
    <t>* 기타후생경비</t>
    <phoneticPr fontId="14" type="noConversion"/>
  </si>
  <si>
    <t>3.직원 연수 및 교육훈련비</t>
    <phoneticPr fontId="14" type="noConversion"/>
  </si>
  <si>
    <t>직원 교육훈련비 합계 :</t>
    <phoneticPr fontId="14" type="noConversion"/>
  </si>
  <si>
    <t>* 예산심의 및 사업계획수립</t>
    <phoneticPr fontId="14" type="noConversion"/>
  </si>
  <si>
    <t>* 사업운영평가</t>
    <phoneticPr fontId="14" type="noConversion"/>
  </si>
  <si>
    <t>* 팀별/층별 워크숍</t>
    <phoneticPr fontId="14" type="noConversion"/>
  </si>
  <si>
    <t>* 산하시설견학</t>
    <phoneticPr fontId="14" type="noConversion"/>
  </si>
  <si>
    <t>* 직원하계수련회</t>
    <phoneticPr fontId="14" type="noConversion"/>
  </si>
  <si>
    <t>* 직원윤리경영교육</t>
    <phoneticPr fontId="14" type="noConversion"/>
  </si>
  <si>
    <t>* 하계직원교육</t>
    <phoneticPr fontId="14" type="noConversion"/>
  </si>
  <si>
    <t>* 역량강화교육</t>
    <phoneticPr fontId="14" type="noConversion"/>
  </si>
  <si>
    <t>* 직원외부교육(직무교육,보수교육,연찬회,피정)</t>
    <phoneticPr fontId="14" type="noConversion"/>
  </si>
  <si>
    <t xml:space="preserve">4.기타 운영비 </t>
    <phoneticPr fontId="14" type="noConversion"/>
  </si>
  <si>
    <t>기타 운영비 지원금 :</t>
    <phoneticPr fontId="14" type="noConversion"/>
  </si>
  <si>
    <t>* 운영위원 참석수당</t>
    <phoneticPr fontId="14" type="noConversion"/>
  </si>
  <si>
    <t>* 회의비</t>
    <phoneticPr fontId="14" type="noConversion"/>
  </si>
  <si>
    <t>5.기관운영비</t>
    <phoneticPr fontId="14" type="noConversion"/>
  </si>
  <si>
    <t>기관운영비 :</t>
    <phoneticPr fontId="14" type="noConversion"/>
  </si>
  <si>
    <t>* 기관운영비</t>
    <phoneticPr fontId="14" type="noConversion"/>
  </si>
  <si>
    <t>6.시설장여비</t>
    <phoneticPr fontId="14" type="noConversion"/>
  </si>
  <si>
    <t>* 여비</t>
    <phoneticPr fontId="14" type="noConversion"/>
  </si>
  <si>
    <t>7. 해외여행지원금</t>
    <phoneticPr fontId="14" type="noConversion"/>
  </si>
  <si>
    <t>기타법인 지원금 :</t>
    <phoneticPr fontId="14" type="noConversion"/>
  </si>
  <si>
    <t>* 해외여행지원금</t>
    <phoneticPr fontId="14" type="noConversion"/>
  </si>
  <si>
    <t>법인</t>
    <phoneticPr fontId="14" type="noConversion"/>
  </si>
  <si>
    <t xml:space="preserve"> &lt;법인 전입금(후원금)&gt;</t>
    <phoneticPr fontId="14" type="noConversion"/>
  </si>
  <si>
    <t>(후원)</t>
    <phoneticPr fontId="14" type="noConversion"/>
  </si>
  <si>
    <t>(후원금)</t>
    <phoneticPr fontId="14" type="noConversion"/>
  </si>
  <si>
    <t>※이 월 금</t>
    <phoneticPr fontId="14" type="noConversion"/>
  </si>
  <si>
    <t>전년도</t>
    <phoneticPr fontId="14" type="noConversion"/>
  </si>
  <si>
    <t>계</t>
    <phoneticPr fontId="14" type="noConversion"/>
  </si>
  <si>
    <t xml:space="preserve"> &lt;전년도 이월금&gt;</t>
    <phoneticPr fontId="14" type="noConversion"/>
  </si>
  <si>
    <t>소계 :</t>
    <phoneticPr fontId="14" type="noConversion"/>
  </si>
  <si>
    <t>원</t>
    <phoneticPr fontId="14" type="noConversion"/>
  </si>
  <si>
    <t>보조금이월금</t>
    <phoneticPr fontId="14" type="noConversion"/>
  </si>
  <si>
    <t xml:space="preserve"> &lt;보조금이월금&gt;</t>
    <phoneticPr fontId="14" type="noConversion"/>
  </si>
  <si>
    <t>이월금</t>
    <phoneticPr fontId="14" type="noConversion"/>
  </si>
  <si>
    <t>입소비용이월금</t>
    <phoneticPr fontId="14" type="noConversion"/>
  </si>
  <si>
    <t xml:space="preserve"> &lt;입소비용이월금&gt;</t>
    <phoneticPr fontId="14" type="noConversion"/>
  </si>
  <si>
    <t xml:space="preserve"> * 입소비용이월액</t>
    <phoneticPr fontId="14" type="noConversion"/>
  </si>
  <si>
    <t xml:space="preserve"> * 예금이자(입소비용)</t>
    <phoneticPr fontId="14" type="noConversion"/>
  </si>
  <si>
    <t>전입금이월금</t>
    <phoneticPr fontId="14" type="noConversion"/>
  </si>
  <si>
    <t xml:space="preserve"> &lt;법인전입금이월금&gt;</t>
    <phoneticPr fontId="14" type="noConversion"/>
  </si>
  <si>
    <t xml:space="preserve"> * 법인전입금이월액</t>
    <phoneticPr fontId="14" type="noConversion"/>
  </si>
  <si>
    <t xml:space="preserve"> * 법인전입금이월액(후원금)</t>
    <phoneticPr fontId="14" type="noConversion"/>
  </si>
  <si>
    <t>잡수입이월금</t>
    <phoneticPr fontId="14" type="noConversion"/>
  </si>
  <si>
    <t xml:space="preserve"> * 잡수입이월액(기타잡수입)</t>
    <phoneticPr fontId="14" type="noConversion"/>
  </si>
  <si>
    <t>(기타잡수입)</t>
    <phoneticPr fontId="14" type="noConversion"/>
  </si>
  <si>
    <t xml:space="preserve"> * 사업수입이월액(행복공장판매수입)</t>
    <phoneticPr fontId="14" type="noConversion"/>
  </si>
  <si>
    <t xml:space="preserve"> * 사업수입이월액(사랑빚은판매수입)</t>
    <phoneticPr fontId="14" type="noConversion"/>
  </si>
  <si>
    <t>전년도</t>
    <phoneticPr fontId="14" type="noConversion"/>
  </si>
  <si>
    <t xml:space="preserve"> &lt;전년도이월금(후원금)&gt;</t>
    <phoneticPr fontId="14" type="noConversion"/>
  </si>
  <si>
    <t>이월금</t>
    <phoneticPr fontId="14" type="noConversion"/>
  </si>
  <si>
    <t>전년도이월금</t>
    <phoneticPr fontId="14" type="noConversion"/>
  </si>
  <si>
    <t xml:space="preserve"> * 지정후원금이월액</t>
    <phoneticPr fontId="14" type="noConversion"/>
  </si>
  <si>
    <t>(지정후원금)</t>
    <phoneticPr fontId="14" type="noConversion"/>
  </si>
  <si>
    <t xml:space="preserve"> * 비지정후원금이월액</t>
    <phoneticPr fontId="14" type="noConversion"/>
  </si>
  <si>
    <t>(비지정후원금)</t>
    <phoneticPr fontId="14" type="noConversion"/>
  </si>
  <si>
    <t>잡수입</t>
    <phoneticPr fontId="14" type="noConversion"/>
  </si>
  <si>
    <t>※ 잡 수 입</t>
    <phoneticPr fontId="14" type="noConversion"/>
  </si>
  <si>
    <t>불용품</t>
    <phoneticPr fontId="14" type="noConversion"/>
  </si>
  <si>
    <t xml:space="preserve"> &lt;불용품매각대&gt;</t>
    <phoneticPr fontId="14" type="noConversion"/>
  </si>
  <si>
    <t>매각대</t>
    <phoneticPr fontId="14" type="noConversion"/>
  </si>
  <si>
    <t>불용품매각대</t>
    <phoneticPr fontId="14" type="noConversion"/>
  </si>
  <si>
    <t>기타예</t>
    <phoneticPr fontId="14" type="noConversion"/>
  </si>
  <si>
    <t xml:space="preserve"> &lt;기타예금이자수입&gt;</t>
    <phoneticPr fontId="14" type="noConversion"/>
  </si>
  <si>
    <t>금이자</t>
    <phoneticPr fontId="14" type="noConversion"/>
  </si>
  <si>
    <t>기타예금이자</t>
    <phoneticPr fontId="14" type="noConversion"/>
  </si>
  <si>
    <t xml:space="preserve"> &lt;기타예금이자 수입&gt;</t>
    <phoneticPr fontId="14" type="noConversion"/>
  </si>
  <si>
    <t>수     입</t>
    <phoneticPr fontId="14" type="noConversion"/>
  </si>
  <si>
    <t xml:space="preserve"> * 예금이자(운영비)</t>
    <phoneticPr fontId="14" type="noConversion"/>
  </si>
  <si>
    <t xml:space="preserve"> * 예금이자(생계비)</t>
    <phoneticPr fontId="14" type="noConversion"/>
  </si>
  <si>
    <t xml:space="preserve"> * 예금이자(4종)</t>
    <phoneticPr fontId="14" type="noConversion"/>
  </si>
  <si>
    <t xml:space="preserve"> * 예금이자(수원시복지기금)</t>
    <phoneticPr fontId="14" type="noConversion"/>
  </si>
  <si>
    <t xml:space="preserve"> * 예금이자(재활PG)</t>
    <phoneticPr fontId="14" type="noConversion"/>
  </si>
  <si>
    <t xml:space="preserve"> * 예금이자(스페셜올림픽코리아)</t>
    <phoneticPr fontId="14" type="noConversion"/>
  </si>
  <si>
    <t xml:space="preserve"> * 예금이자(입소비용)</t>
    <phoneticPr fontId="14" type="noConversion"/>
  </si>
  <si>
    <t xml:space="preserve"> * 예금이자(후원금)</t>
    <phoneticPr fontId="14" type="noConversion"/>
  </si>
  <si>
    <t xml:space="preserve"> * 예금이자(법인전입금)</t>
    <phoneticPr fontId="14" type="noConversion"/>
  </si>
  <si>
    <t xml:space="preserve"> * 예금이자(잡수입)</t>
    <phoneticPr fontId="14" type="noConversion"/>
  </si>
  <si>
    <t xml:space="preserve"> &lt;기타잡수입&gt;</t>
    <phoneticPr fontId="14" type="noConversion"/>
  </si>
  <si>
    <t>식대수입</t>
    <phoneticPr fontId="14" type="noConversion"/>
  </si>
  <si>
    <t>* 거주시설 직원급식비</t>
    <phoneticPr fontId="14" type="noConversion"/>
  </si>
  <si>
    <t>* 직업재활 급식비</t>
    <phoneticPr fontId="14" type="noConversion"/>
  </si>
  <si>
    <t>기타잡수입</t>
    <phoneticPr fontId="14" type="noConversion"/>
  </si>
  <si>
    <t>* 사회복지 실습비</t>
    <phoneticPr fontId="14" type="noConversion"/>
  </si>
  <si>
    <t>* 기타 잡수입</t>
    <phoneticPr fontId="14" type="noConversion"/>
  </si>
  <si>
    <t xml:space="preserve"> D.선임지도원</t>
    <phoneticPr fontId="14" type="noConversion"/>
  </si>
  <si>
    <t xml:space="preserve"> E.인건비지원(추가 연장야간근로수당 5h)</t>
    <phoneticPr fontId="14" type="noConversion"/>
  </si>
  <si>
    <t xml:space="preserve">  - 슈퍼블루마라톤</t>
    <phoneticPr fontId="14" type="noConversion"/>
  </si>
  <si>
    <t xml:space="preserve">  - 소근육교구활동</t>
    <phoneticPr fontId="14" type="noConversion"/>
  </si>
  <si>
    <t xml:space="preserve"> - 인지치료</t>
    <phoneticPr fontId="14" type="noConversion"/>
  </si>
  <si>
    <t xml:space="preserve"> - 연하치료</t>
    <phoneticPr fontId="14" type="noConversion"/>
  </si>
  <si>
    <t xml:space="preserve"> - 감각통합</t>
    <phoneticPr fontId="14" type="noConversion"/>
  </si>
  <si>
    <t>4. 거주시설 직원급식비</t>
    <phoneticPr fontId="14" type="noConversion"/>
  </si>
  <si>
    <t xml:space="preserve"> - 놀이체육"터링"</t>
    <phoneticPr fontId="14" type="noConversion"/>
  </si>
  <si>
    <t>*기능보강사업비(외벽및창소/데크교체공사)</t>
    <phoneticPr fontId="14" type="noConversion"/>
  </si>
  <si>
    <t>2. 사무실 책상 및 기타비품구입</t>
    <phoneticPr fontId="14" type="noConversion"/>
  </si>
  <si>
    <t>3. 물리치료실 러닝머신(기부어클락 지정)</t>
    <phoneticPr fontId="14" type="noConversion"/>
  </si>
  <si>
    <t>* 직원포상(10년/우수직원)</t>
    <phoneticPr fontId="14" type="noConversion"/>
  </si>
  <si>
    <t>* 직원복리후생비</t>
    <phoneticPr fontId="14" type="noConversion"/>
  </si>
  <si>
    <t xml:space="preserve">  - 푸드트럭(로타리클럽지정후원)</t>
    <phoneticPr fontId="14" type="noConversion"/>
  </si>
  <si>
    <t>원</t>
    <phoneticPr fontId="14" type="noConversion"/>
  </si>
  <si>
    <t xml:space="preserve">  - 시설개보수</t>
    <phoneticPr fontId="14" type="noConversion"/>
  </si>
  <si>
    <t xml:space="preserve">  - 아름다운가게(찾아가는 푸드트럭 사업)</t>
    <phoneticPr fontId="14" type="noConversion"/>
  </si>
  <si>
    <t xml:space="preserve">  - 직원복리후생비 및 교육비</t>
    <phoneticPr fontId="14" type="noConversion"/>
  </si>
  <si>
    <t xml:space="preserve">  - 직원복리후생비 - 직원회식비</t>
    <phoneticPr fontId="14" type="noConversion"/>
  </si>
  <si>
    <t xml:space="preserve">  - 수원시장애인체육회(태권도)</t>
    <phoneticPr fontId="14" type="noConversion"/>
  </si>
  <si>
    <t>* 기본급(주방보조인력)</t>
    <phoneticPr fontId="14" type="noConversion"/>
  </si>
  <si>
    <t>1. 법인지원인력 기본급</t>
    <phoneticPr fontId="14" type="noConversion"/>
  </si>
  <si>
    <t xml:space="preserve">    - 주방보조인력</t>
    <phoneticPr fontId="14" type="noConversion"/>
  </si>
  <si>
    <t>* 연장야간퇴직적립금</t>
    <phoneticPr fontId="14" type="noConversion"/>
  </si>
  <si>
    <t>제수당 지원금 :</t>
    <phoneticPr fontId="14" type="noConversion"/>
  </si>
  <si>
    <t>기본급 지원금 :</t>
    <phoneticPr fontId="14" type="noConversion"/>
  </si>
  <si>
    <t>4. 사회보험부담금</t>
    <phoneticPr fontId="14" type="noConversion"/>
  </si>
  <si>
    <t>3. 예산심의 사업계획수립(실무자워크숍)</t>
    <phoneticPr fontId="14" type="noConversion"/>
  </si>
  <si>
    <t xml:space="preserve"> &lt;잡수입이월금(기타잡수입 등&gt;</t>
    <phoneticPr fontId="14" type="noConversion"/>
  </si>
  <si>
    <t>(식대수입)</t>
    <phoneticPr fontId="14" type="noConversion"/>
  </si>
  <si>
    <t xml:space="preserve"> * 잡수입이월액(식대수입)</t>
    <phoneticPr fontId="14" type="noConversion"/>
  </si>
  <si>
    <t xml:space="preserve"> &lt;잡수입이월금(식대수입&gt;</t>
    <phoneticPr fontId="14" type="noConversion"/>
  </si>
  <si>
    <t>4.법인지원인력(2명:법인전입금)</t>
    <phoneticPr fontId="14" type="noConversion"/>
  </si>
  <si>
    <t xml:space="preserve"> A.직책보조비</t>
    <phoneticPr fontId="14" type="noConversion"/>
  </si>
  <si>
    <t xml:space="preserve">  - 경상보조인력</t>
    <phoneticPr fontId="14" type="noConversion"/>
  </si>
  <si>
    <t xml:space="preserve"> D.법인지원인력</t>
    <phoneticPr fontId="14" type="noConversion"/>
  </si>
  <si>
    <t>사회보험부담 법인 지원금 :</t>
    <phoneticPr fontId="14" type="noConversion"/>
  </si>
  <si>
    <t>(지후)</t>
    <phoneticPr fontId="14" type="noConversion"/>
  </si>
  <si>
    <t>* 직원회식비</t>
    <phoneticPr fontId="14" type="noConversion"/>
  </si>
  <si>
    <t>원</t>
    <phoneticPr fontId="14" type="noConversion"/>
  </si>
  <si>
    <t>×</t>
    <phoneticPr fontId="14" type="noConversion"/>
  </si>
  <si>
    <t>월</t>
    <phoneticPr fontId="14" type="noConversion"/>
  </si>
  <si>
    <t>=</t>
    <phoneticPr fontId="14" type="noConversion"/>
  </si>
  <si>
    <t>3. 퇴직적립금</t>
    <phoneticPr fontId="14" type="noConversion"/>
  </si>
  <si>
    <t>퇴직적립금 지원금 :</t>
    <phoneticPr fontId="14" type="noConversion"/>
  </si>
  <si>
    <t>* 법인지원인력 퇴직적립금</t>
    <phoneticPr fontId="14" type="noConversion"/>
  </si>
  <si>
    <t>* 경기도재활PG(푸드트럭)</t>
    <phoneticPr fontId="14" type="noConversion"/>
  </si>
  <si>
    <t xml:space="preserve"> * 경기도재활PG(푸드트럭)</t>
    <phoneticPr fontId="14" type="noConversion"/>
  </si>
  <si>
    <t xml:space="preserve">  - 직원복리후생비(직원교육)</t>
    <phoneticPr fontId="14" type="noConversion"/>
  </si>
  <si>
    <t xml:space="preserve">  - 직원복리후생비(회식비)</t>
    <phoneticPr fontId="14" type="noConversion"/>
  </si>
  <si>
    <t>법인</t>
    <phoneticPr fontId="14" type="noConversion"/>
  </si>
  <si>
    <t>보조</t>
    <phoneticPr fontId="14" type="noConversion"/>
  </si>
  <si>
    <t>후원</t>
    <phoneticPr fontId="14" type="noConversion"/>
  </si>
  <si>
    <t xml:space="preserve"> F.주방보조인력</t>
    <phoneticPr fontId="14" type="noConversion"/>
  </si>
  <si>
    <t>1. 국비기능보강(외벽및창호/데크교체공사)</t>
    <phoneticPr fontId="14" type="noConversion"/>
  </si>
  <si>
    <t>2. 불용공간 리모델링공사(지정후원금)</t>
    <phoneticPr fontId="14" type="noConversion"/>
  </si>
  <si>
    <t>4. 기타비품구입</t>
    <phoneticPr fontId="14" type="noConversion"/>
  </si>
  <si>
    <t>1. TV구입</t>
    <phoneticPr fontId="14" type="noConversion"/>
  </si>
  <si>
    <t xml:space="preserve">  - 재활치료용품(통증치료 겔, 온열팩, 초음파 겔 등)</t>
    <phoneticPr fontId="14" type="noConversion"/>
  </si>
  <si>
    <t xml:space="preserve">  - 육상필드(유니폼, 측정기, 단합대회 등)</t>
    <phoneticPr fontId="14" type="noConversion"/>
  </si>
  <si>
    <t xml:space="preserve">  - 정규활동(몸짱 선정 문구, 체련단련 단합대회 등)</t>
    <phoneticPr fontId="14" type="noConversion"/>
  </si>
  <si>
    <t xml:space="preserve">  - BMW-EX(교통카드 충전, 식사 등)</t>
    <phoneticPr fontId="14" type="noConversion"/>
  </si>
  <si>
    <t>생활지원2팀(사랑)</t>
    <phoneticPr fontId="14" type="noConversion"/>
  </si>
  <si>
    <t>2. 동아리활동(여가누리)</t>
    <phoneticPr fontId="14" type="noConversion"/>
  </si>
  <si>
    <t>생활지원3팀(아름)</t>
    <phoneticPr fontId="14" type="noConversion"/>
  </si>
  <si>
    <t>생활지원1팀(하늘)</t>
    <phoneticPr fontId="14" type="noConversion"/>
  </si>
  <si>
    <t>4. 푸드트럭 "바다의 별다방"</t>
    <phoneticPr fontId="14" type="noConversion"/>
  </si>
  <si>
    <t>2. 직업훈련(이루다임가동)</t>
    <phoneticPr fontId="14" type="noConversion"/>
  </si>
  <si>
    <t>원</t>
    <phoneticPr fontId="14" type="noConversion"/>
  </si>
  <si>
    <t>4. 봉사동아리 사랑담아</t>
    <phoneticPr fontId="14" type="noConversion"/>
  </si>
  <si>
    <t>5. 태권도 이단옆차기(수원시장애인체육회 지원)</t>
    <phoneticPr fontId="14" type="noConversion"/>
  </si>
  <si>
    <t>6. 불금포차</t>
    <phoneticPr fontId="14" type="noConversion"/>
  </si>
  <si>
    <t>7. 뮤직복싱</t>
    <phoneticPr fontId="14" type="noConversion"/>
  </si>
  <si>
    <t>8. 기도모임</t>
    <phoneticPr fontId="14" type="noConversion"/>
  </si>
  <si>
    <t>9. 스마트팜</t>
    <phoneticPr fontId="14" type="noConversion"/>
  </si>
  <si>
    <t>1. 부모모임(부모간담회, 어버이날, 부모여행 등)</t>
    <phoneticPr fontId="14" type="noConversion"/>
  </si>
  <si>
    <t>2. 명절행사(설날, 추석)</t>
    <phoneticPr fontId="14" type="noConversion"/>
  </si>
  <si>
    <t>1. 지역사회연계사업비(비둘기캠프/장애인체육대회/작품전시/경로잔치 등)</t>
    <phoneticPr fontId="14" type="noConversion"/>
  </si>
  <si>
    <t>1. 계절여행(봄,가음,겨울)</t>
    <phoneticPr fontId="14" type="noConversion"/>
  </si>
  <si>
    <t>* 주방직원 건강진단서(진단비)</t>
    <phoneticPr fontId="14" type="noConversion"/>
  </si>
  <si>
    <t>3. 복사기 임대료(5대)</t>
    <phoneticPr fontId="14" type="noConversion"/>
  </si>
  <si>
    <t>후원</t>
    <phoneticPr fontId="14" type="noConversion"/>
  </si>
  <si>
    <t>후원</t>
    <phoneticPr fontId="14" type="noConversion"/>
  </si>
  <si>
    <t>원</t>
    <phoneticPr fontId="14" type="noConversion"/>
  </si>
  <si>
    <t>* 식권 수입(공익 등)</t>
    <phoneticPr fontId="14" type="noConversion"/>
  </si>
  <si>
    <t>8. 기타 생계비(간식 등)</t>
    <phoneticPr fontId="14" type="noConversion"/>
  </si>
  <si>
    <t>법인</t>
    <phoneticPr fontId="14" type="noConversion"/>
  </si>
  <si>
    <t xml:space="preserve"> B.미사용 연차수당</t>
    <phoneticPr fontId="14" type="noConversion"/>
  </si>
  <si>
    <t>6.4대보험정산</t>
    <phoneticPr fontId="14" type="noConversion"/>
  </si>
  <si>
    <t xml:space="preserve">   - 주방보조인력 1명</t>
    <phoneticPr fontId="14" type="noConversion"/>
  </si>
  <si>
    <t>원</t>
    <phoneticPr fontId="14" type="noConversion"/>
  </si>
  <si>
    <t>×</t>
    <phoneticPr fontId="14" type="noConversion"/>
  </si>
  <si>
    <t>월</t>
    <phoneticPr fontId="14" type="noConversion"/>
  </si>
  <si>
    <t>=</t>
    <phoneticPr fontId="14" type="noConversion"/>
  </si>
  <si>
    <t>법인</t>
    <phoneticPr fontId="14" type="noConversion"/>
  </si>
  <si>
    <t xml:space="preserve">   - 선임지도원 기본급 차액</t>
    <phoneticPr fontId="14" type="noConversion"/>
  </si>
  <si>
    <r>
      <t xml:space="preserve">보조금  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>반환금</t>
    </r>
    <phoneticPr fontId="31" type="noConversion"/>
  </si>
  <si>
    <t>(지후)</t>
    <phoneticPr fontId="14" type="noConversion"/>
  </si>
  <si>
    <t>후원</t>
    <phoneticPr fontId="14" type="noConversion"/>
  </si>
  <si>
    <t>원</t>
    <phoneticPr fontId="14" type="noConversion"/>
  </si>
  <si>
    <t xml:space="preserve">  - 푸드트럭(수익운영비지정후원)</t>
    <phoneticPr fontId="14" type="noConversion"/>
  </si>
  <si>
    <t xml:space="preserve">  - 자산취득비(생활실TV 및 사무실PC 구입비)</t>
    <phoneticPr fontId="14" type="noConversion"/>
  </si>
  <si>
    <t xml:space="preserve">  - 자산취득비(희망나눔사업)</t>
    <phoneticPr fontId="14" type="noConversion"/>
  </si>
  <si>
    <t>* 불금포차PG 수입</t>
    <phoneticPr fontId="14" type="noConversion"/>
  </si>
  <si>
    <t xml:space="preserve"> 라.휴일근로수당</t>
    <phoneticPr fontId="14" type="noConversion"/>
  </si>
  <si>
    <t>*특별급식비(설날,장애인의날, 추석,연말)</t>
    <phoneticPr fontId="14" type="noConversion"/>
  </si>
  <si>
    <t>* 추가 연장야간근로수당(5h)</t>
    <phoneticPr fontId="14" type="noConversion"/>
  </si>
  <si>
    <t>* 직원 건강진단비</t>
    <phoneticPr fontId="14" type="noConversion"/>
  </si>
  <si>
    <t xml:space="preserve"> &lt;식대수입&gt;</t>
    <phoneticPr fontId="14" type="noConversion"/>
  </si>
  <si>
    <t xml:space="preserve"> 가.명절휴가비</t>
    <phoneticPr fontId="14" type="noConversion"/>
  </si>
  <si>
    <t>&lt;시설운영지원금 : 6종&gt;</t>
  </si>
  <si>
    <t>(6종)</t>
  </si>
  <si>
    <t xml:space="preserve"> * 예금이자(6종)</t>
  </si>
  <si>
    <t>* 직원복리후생</t>
  </si>
  <si>
    <t>1. 우수직원표창</t>
  </si>
  <si>
    <t>2. 직원복리후생사업</t>
  </si>
  <si>
    <t>3. 종사자능력개발지원사업</t>
  </si>
  <si>
    <t>4. 장기근속직원포상</t>
  </si>
  <si>
    <t>5. 동아리활동지원</t>
  </si>
  <si>
    <t>6. 직원야유회</t>
  </si>
  <si>
    <t>* 직원교육훈련비</t>
  </si>
  <si>
    <t>1. 직원외부교육비</t>
  </si>
  <si>
    <t>2. 직원하계연수비</t>
  </si>
  <si>
    <t>* 기타운영비(윤리위원회활동비,개원기념행사비)</t>
  </si>
  <si>
    <t>6. 업무추진비</t>
  </si>
  <si>
    <t xml:space="preserve"> 업무추진비 지원금</t>
  </si>
  <si>
    <t>* 회의비</t>
  </si>
  <si>
    <t xml:space="preserve">   - 우수직원포상 및 축하 꽃다발</t>
  </si>
  <si>
    <t xml:space="preserve">   - 직원축일 및 생일축하 도서상품권</t>
  </si>
  <si>
    <t xml:space="preserve">   - 야간근로자 특수건강검진비</t>
  </si>
  <si>
    <t xml:space="preserve">   - 독감예방접종</t>
  </si>
  <si>
    <t xml:space="preserve">   - 직원야유회</t>
  </si>
  <si>
    <t xml:space="preserve">   - 직원연찬회</t>
  </si>
  <si>
    <t xml:space="preserve">   - 퇴직자 선물 및 기타비용</t>
  </si>
  <si>
    <t xml:space="preserve">   - 종사자 능력개별 지원사업(자격증 취득)</t>
  </si>
  <si>
    <t xml:space="preserve">   - 장기근속직원 포상(외식상품권/케익)</t>
  </si>
  <si>
    <t xml:space="preserve">   - 직원 동아리활동 지원</t>
  </si>
  <si>
    <t xml:space="preserve">   - 열정직원(외식상품권)</t>
  </si>
  <si>
    <t>일용잡급</t>
  </si>
  <si>
    <t>1. 회의관련 다과비 등</t>
  </si>
  <si>
    <t>2. 운영위원회 참석수당</t>
  </si>
  <si>
    <t>* 기관운영비</t>
    <phoneticPr fontId="14" type="noConversion"/>
  </si>
  <si>
    <t>1. 기관방문 손님접대용 다과 및 운영위원 선물 구입</t>
    <phoneticPr fontId="14" type="noConversion"/>
  </si>
  <si>
    <t>명</t>
    <phoneticPr fontId="14" type="noConversion"/>
  </si>
  <si>
    <t>회</t>
    <phoneticPr fontId="14" type="noConversion"/>
  </si>
  <si>
    <t>5. 기타운영비</t>
    <phoneticPr fontId="14" type="noConversion"/>
  </si>
  <si>
    <t>기타운영비 지원금 :</t>
    <phoneticPr fontId="14" type="noConversion"/>
  </si>
  <si>
    <t>2. 직원내부교육비</t>
    <phoneticPr fontId="14" type="noConversion"/>
  </si>
  <si>
    <t>4. 사업운영평가</t>
    <phoneticPr fontId="14" type="noConversion"/>
  </si>
  <si>
    <t>5. 신입직원교육(산하시설견학)</t>
    <phoneticPr fontId="14" type="noConversion"/>
  </si>
  <si>
    <t>6. 팀별/층별 워크숍</t>
    <phoneticPr fontId="14" type="noConversion"/>
  </si>
  <si>
    <t>7. 윤리위원회 활동비</t>
    <phoneticPr fontId="14" type="noConversion"/>
  </si>
  <si>
    <t>8. 개원기념행사비</t>
    <phoneticPr fontId="14" type="noConversion"/>
  </si>
  <si>
    <t>5.제수당</t>
    <phoneticPr fontId="14" type="noConversion"/>
  </si>
  <si>
    <t>4.휴일근로수당</t>
    <phoneticPr fontId="14" type="noConversion"/>
  </si>
  <si>
    <t>2. 제수당</t>
    <phoneticPr fontId="14" type="noConversion"/>
  </si>
  <si>
    <t>시간</t>
    <phoneticPr fontId="14" type="noConversion"/>
  </si>
  <si>
    <t>7. 운영비</t>
    <phoneticPr fontId="14" type="noConversion"/>
  </si>
  <si>
    <t>1. 여비</t>
    <phoneticPr fontId="14" type="noConversion"/>
  </si>
  <si>
    <t>운영비</t>
    <phoneticPr fontId="14" type="noConversion"/>
  </si>
  <si>
    <t xml:space="preserve">  - 경기마라톤</t>
    <phoneticPr fontId="14" type="noConversion"/>
  </si>
  <si>
    <t>3. 행복공방</t>
    <phoneticPr fontId="14" type="noConversion"/>
  </si>
  <si>
    <t>2. 가정방문(가정통신문)</t>
    <phoneticPr fontId="14" type="noConversion"/>
  </si>
  <si>
    <t>(비지정)</t>
    <phoneticPr fontId="14" type="noConversion"/>
  </si>
  <si>
    <t>명</t>
    <phoneticPr fontId="14" type="noConversion"/>
  </si>
  <si>
    <t>5. 차량구입비(바자회 수익금)</t>
    <phoneticPr fontId="14" type="noConversion"/>
  </si>
  <si>
    <t>보조</t>
    <phoneticPr fontId="14" type="noConversion"/>
  </si>
  <si>
    <t>4. 연료비 자부담 보충액</t>
    <phoneticPr fontId="14" type="noConversion"/>
  </si>
  <si>
    <t>후원</t>
    <phoneticPr fontId="14" type="noConversion"/>
  </si>
  <si>
    <t>입소</t>
    <phoneticPr fontId="14" type="noConversion"/>
  </si>
  <si>
    <t>1. 사회적응/여가활동</t>
    <phoneticPr fontId="14" type="noConversion"/>
  </si>
  <si>
    <t>2. 계절별여행</t>
    <phoneticPr fontId="14" type="noConversion"/>
  </si>
  <si>
    <t>3. 자립가정체험(요리활동)</t>
    <phoneticPr fontId="14" type="noConversion"/>
  </si>
  <si>
    <t>4. 자치회의</t>
    <phoneticPr fontId="14" type="noConversion"/>
  </si>
  <si>
    <t>5. 송년회</t>
    <phoneticPr fontId="14" type="noConversion"/>
  </si>
  <si>
    <t>6. 생일프로그램</t>
    <phoneticPr fontId="14" type="noConversion"/>
  </si>
  <si>
    <t>7. 건강관리(경기마라톤, 트레킹, 등산 등)</t>
    <phoneticPr fontId="14" type="noConversion"/>
  </si>
  <si>
    <t>7.보조금(6종) 잔액</t>
    <phoneticPr fontId="14" type="noConversion"/>
  </si>
  <si>
    <t>8.보조금(6종) 예금이자</t>
    <phoneticPr fontId="14" type="noConversion"/>
  </si>
  <si>
    <t>9.재활프로그램 보조금 예금이자</t>
    <phoneticPr fontId="14" type="noConversion"/>
  </si>
  <si>
    <t>회</t>
    <phoneticPr fontId="14" type="noConversion"/>
  </si>
  <si>
    <t>후원</t>
    <phoneticPr fontId="14" type="noConversion"/>
  </si>
  <si>
    <t>산              출              기              초</t>
    <phoneticPr fontId="14" type="noConversion"/>
  </si>
  <si>
    <t>5.증축 구조 안전진단용역대금(지정후원금 이월금)</t>
    <phoneticPr fontId="14" type="noConversion"/>
  </si>
  <si>
    <t xml:space="preserve">  - 예금이자 수입</t>
    <phoneticPr fontId="14" type="noConversion"/>
  </si>
  <si>
    <t xml:space="preserve">  *예금이자 수입</t>
    <phoneticPr fontId="14" type="noConversion"/>
  </si>
  <si>
    <t>7. 식권 수입(공익 등)</t>
    <phoneticPr fontId="14" type="noConversion"/>
  </si>
  <si>
    <t>법인</t>
  </si>
  <si>
    <t>11. 직원야유회</t>
    <phoneticPr fontId="14" type="noConversion"/>
  </si>
  <si>
    <t>1. 외부교육</t>
    <phoneticPr fontId="14" type="noConversion"/>
  </si>
  <si>
    <t xml:space="preserve"> 1) 직무교육</t>
    <phoneticPr fontId="14" type="noConversion"/>
  </si>
  <si>
    <t xml:space="preserve"> 2) 보수교육</t>
    <phoneticPr fontId="14" type="noConversion"/>
  </si>
  <si>
    <t>2. 내부교육</t>
    <phoneticPr fontId="14" type="noConversion"/>
  </si>
  <si>
    <t xml:space="preserve"> 1) 직원내부교육</t>
    <phoneticPr fontId="14" type="noConversion"/>
  </si>
  <si>
    <t xml:space="preserve"> 2) 직원하계연수비</t>
    <phoneticPr fontId="14" type="noConversion"/>
  </si>
  <si>
    <t>9. 자기개발비</t>
    <phoneticPr fontId="14" type="noConversion"/>
  </si>
  <si>
    <t>10 동아리활동지원</t>
    <phoneticPr fontId="14" type="noConversion"/>
  </si>
  <si>
    <t>2. 직원포상(10년/우수직원)</t>
    <phoneticPr fontId="14" type="noConversion"/>
  </si>
  <si>
    <t>3 직원복리후생비</t>
    <phoneticPr fontId="14" type="noConversion"/>
  </si>
  <si>
    <t>4. 직원축일 및 생일축하 도서상품권</t>
    <phoneticPr fontId="14" type="noConversion"/>
  </si>
  <si>
    <t>12.아름다운가게 사업비 반납금</t>
    <phoneticPr fontId="14" type="noConversion"/>
  </si>
  <si>
    <t>7.환경개선사업비 - 프로그램실 개보수</t>
    <phoneticPr fontId="14" type="noConversion"/>
  </si>
  <si>
    <t xml:space="preserve">  - 마사회 치료기구 구입비</t>
    <phoneticPr fontId="14" type="noConversion"/>
  </si>
  <si>
    <t>원</t>
    <phoneticPr fontId="14" type="noConversion"/>
  </si>
  <si>
    <t>6. 마사회 치료기구(견인치료기/로잉머신기)</t>
    <phoneticPr fontId="14" type="noConversion"/>
  </si>
  <si>
    <t>지정</t>
    <phoneticPr fontId="14" type="noConversion"/>
  </si>
  <si>
    <t>원</t>
    <phoneticPr fontId="14" type="noConversion"/>
  </si>
  <si>
    <t>* 푸드트력 운영 수입</t>
    <phoneticPr fontId="14" type="noConversion"/>
  </si>
  <si>
    <t>잡수</t>
    <phoneticPr fontId="14" type="noConversion"/>
  </si>
  <si>
    <t>3. 퇴소 후 사후관리</t>
    <phoneticPr fontId="14" type="noConversion"/>
  </si>
  <si>
    <t>회</t>
    <phoneticPr fontId="14" type="noConversion"/>
  </si>
  <si>
    <t>11. 정수기 임대료 / 공기청정기 / 기타 수용비및 수수료</t>
    <phoneticPr fontId="14" type="noConversion"/>
  </si>
  <si>
    <t>2. 운영위원회 참석수당</t>
    <phoneticPr fontId="14" type="noConversion"/>
  </si>
  <si>
    <t>보조금
(6종/재활)</t>
    <phoneticPr fontId="14" type="noConversion"/>
  </si>
  <si>
    <t>*입소자 구료비(특별피복비)</t>
    <phoneticPr fontId="14" type="noConversion"/>
  </si>
  <si>
    <t>7. 자기개발비</t>
    <phoneticPr fontId="14" type="noConversion"/>
  </si>
  <si>
    <t>8. 동아리활동지원</t>
    <phoneticPr fontId="14" type="noConversion"/>
  </si>
  <si>
    <t>9. 직원야유회</t>
    <phoneticPr fontId="14" type="noConversion"/>
  </si>
  <si>
    <t>8. 윤리위원회 활동비</t>
    <phoneticPr fontId="14" type="noConversion"/>
  </si>
  <si>
    <t>9. 개원기념행사비(바자회)</t>
    <phoneticPr fontId="14" type="noConversion"/>
  </si>
  <si>
    <t>7. 기타자산취득비</t>
    <phoneticPr fontId="14" type="noConversion"/>
  </si>
  <si>
    <t>6종</t>
  </si>
  <si>
    <t>2. 자치회의</t>
    <phoneticPr fontId="14" type="noConversion"/>
  </si>
  <si>
    <t>3. 인권지킴이단</t>
    <phoneticPr fontId="14" type="noConversion"/>
  </si>
  <si>
    <t>* 입소자 제작 물품판매 수입(행복공방 등)</t>
    <phoneticPr fontId="14" type="noConversion"/>
  </si>
  <si>
    <t>8. 일용잡급</t>
    <phoneticPr fontId="14" type="noConversion"/>
  </si>
  <si>
    <t xml:space="preserve"> B.인건비지원(6종 : 운전원, 생활지도원, 조리보조원 3명)</t>
    <phoneticPr fontId="14" type="noConversion"/>
  </si>
  <si>
    <t>2.인건비지원(6종)</t>
    <phoneticPr fontId="14" type="noConversion"/>
  </si>
  <si>
    <t xml:space="preserve"> 나. 법인지원인력 퇴직금</t>
    <phoneticPr fontId="14" type="noConversion"/>
  </si>
  <si>
    <t xml:space="preserve"> B.인건비지원(6종)</t>
    <phoneticPr fontId="14" type="noConversion"/>
  </si>
  <si>
    <t>7. 주방 소모품비, 주방식기세척기 린스, 세제, 유지방분해제 등</t>
    <phoneticPr fontId="14" type="noConversion"/>
  </si>
  <si>
    <t>1. 사무용품비(문구류)</t>
    <phoneticPr fontId="14" type="noConversion"/>
  </si>
  <si>
    <t>1.차량유류대/정비(운영비)</t>
    <phoneticPr fontId="14" type="noConversion"/>
  </si>
  <si>
    <t xml:space="preserve">  차량유류대/정비(6종)</t>
    <phoneticPr fontId="14" type="noConversion"/>
  </si>
  <si>
    <t>2.간병인비 지원(6종)</t>
    <phoneticPr fontId="14" type="noConversion"/>
  </si>
  <si>
    <t>※ 의료재활사업비</t>
    <phoneticPr fontId="14" type="noConversion"/>
  </si>
  <si>
    <t>(푸드트럭운영비 지정후원 이월금)</t>
    <phoneticPr fontId="14" type="noConversion"/>
  </si>
  <si>
    <t>(로타리클럽 지정후원 이월금)</t>
    <phoneticPr fontId="14" type="noConversion"/>
  </si>
  <si>
    <t>(재활PG 사업비)</t>
    <phoneticPr fontId="14" type="noConversion"/>
  </si>
  <si>
    <t>(푸드트럭 사업수입 수익금)</t>
    <phoneticPr fontId="14" type="noConversion"/>
  </si>
  <si>
    <t>입소</t>
    <phoneticPr fontId="14" type="noConversion"/>
  </si>
  <si>
    <t>* 직원축일 및 생일축하 도서상품권</t>
    <phoneticPr fontId="14" type="noConversion"/>
  </si>
  <si>
    <t>후원</t>
    <phoneticPr fontId="14" type="noConversion"/>
  </si>
  <si>
    <t>(지정)</t>
    <phoneticPr fontId="14" type="noConversion"/>
  </si>
  <si>
    <t>10. 직원복리후생비(직원교육)</t>
    <phoneticPr fontId="14" type="noConversion"/>
  </si>
  <si>
    <r>
      <t>⑤</t>
    </r>
    <r>
      <rPr>
        <sz val="9"/>
        <rFont val="맑은 고딕"/>
        <family val="3"/>
        <charset val="129"/>
      </rPr>
      <t xml:space="preserve"> 기타세금</t>
    </r>
    <phoneticPr fontId="14" type="noConversion"/>
  </si>
  <si>
    <t>* 입소비용수입</t>
    <phoneticPr fontId="14" type="noConversion"/>
  </si>
  <si>
    <t>*특별위로금(설, 추석)</t>
    <phoneticPr fontId="14" type="noConversion"/>
  </si>
  <si>
    <t>*생계비</t>
    <phoneticPr fontId="14" type="noConversion"/>
  </si>
  <si>
    <t>&lt;2024년도 본예산 세입내역&gt;</t>
    <phoneticPr fontId="14" type="noConversion"/>
  </si>
  <si>
    <t>2023년
2차추경예산
(B)
(단위:천원)</t>
    <phoneticPr fontId="14" type="noConversion"/>
  </si>
  <si>
    <t>2024년
본예산
(B)
(단위:천원)</t>
    <phoneticPr fontId="14" type="noConversion"/>
  </si>
  <si>
    <t>* 기본급(법인지원 4호봉 생활지도원)</t>
    <phoneticPr fontId="14" type="noConversion"/>
  </si>
  <si>
    <t xml:space="preserve">    - 법인지원 4호봉 생활지도원</t>
    <phoneticPr fontId="14" type="noConversion"/>
  </si>
  <si>
    <t>원</t>
    <phoneticPr fontId="14" type="noConversion"/>
  </si>
  <si>
    <t>×</t>
    <phoneticPr fontId="14" type="noConversion"/>
  </si>
  <si>
    <t>=</t>
    <phoneticPr fontId="14" type="noConversion"/>
  </si>
  <si>
    <t>2.인건비지원(6종) : 운전원, 생활지도원, 조리보조원 3명</t>
    <phoneticPr fontId="14" type="noConversion"/>
  </si>
  <si>
    <t xml:space="preserve">   - 신규지원인력(생재 4호봉)</t>
    <phoneticPr fontId="14" type="noConversion"/>
  </si>
  <si>
    <t>1. 주방인력보조</t>
    <phoneticPr fontId="14" type="noConversion"/>
  </si>
  <si>
    <t xml:space="preserve"> E.법인지원 4호봉 생활지도원</t>
    <phoneticPr fontId="14" type="noConversion"/>
  </si>
  <si>
    <t>명</t>
    <phoneticPr fontId="14" type="noConversion"/>
  </si>
  <si>
    <t xml:space="preserve">    - 기타수당(생재, 운전원)</t>
    <phoneticPr fontId="14" type="noConversion"/>
  </si>
  <si>
    <t>1.경상보조금 (종사자40명)</t>
  </si>
  <si>
    <t xml:space="preserve"> A.경상보조금 40명</t>
  </si>
  <si>
    <t>1.경상보조금 40명</t>
  </si>
  <si>
    <t>&lt;인건비 : 40명&gt;</t>
  </si>
  <si>
    <t xml:space="preserve"> *경상보조금 40명</t>
  </si>
  <si>
    <t>명</t>
    <phoneticPr fontId="14" type="noConversion"/>
  </si>
  <si>
    <t>월</t>
    <phoneticPr fontId="14" type="noConversion"/>
  </si>
  <si>
    <t>2023년
2차추경예산
(A)
(단위:천원)</t>
    <phoneticPr fontId="14" type="noConversion"/>
  </si>
  <si>
    <t>2024년 본예산액(B)         (단위:천원)</t>
    <phoneticPr fontId="14" type="noConversion"/>
  </si>
  <si>
    <t>법인</t>
    <phoneticPr fontId="14" type="noConversion"/>
  </si>
  <si>
    <t>원</t>
    <phoneticPr fontId="14" type="noConversion"/>
  </si>
  <si>
    <t>후원</t>
    <phoneticPr fontId="14" type="noConversion"/>
  </si>
  <si>
    <t>후원</t>
  </si>
  <si>
    <t>후원</t>
    <phoneticPr fontId="14" type="noConversion"/>
  </si>
  <si>
    <t>8. 홈페이지 유지관리(도메인/호스트/ 보안서버/유지보수비)</t>
    <phoneticPr fontId="14" type="noConversion"/>
  </si>
  <si>
    <t>3. 사회복무요원 송별선물</t>
    <phoneticPr fontId="14" type="noConversion"/>
  </si>
  <si>
    <t>10. 별베이커리</t>
    <phoneticPr fontId="14" type="noConversion"/>
  </si>
  <si>
    <t>생활지원2팀(사랑)(건강해짐)</t>
    <phoneticPr fontId="14" type="noConversion"/>
  </si>
  <si>
    <t>3. 건강관리</t>
    <phoneticPr fontId="14" type="noConversion"/>
  </si>
  <si>
    <t>생활지원3팀(아름)(아로마테라피, 심리운동, 스누젤렌)</t>
    <phoneticPr fontId="14" type="noConversion"/>
  </si>
  <si>
    <t>생활지원1팀(하늘)(심리운동, 신체활동)</t>
    <phoneticPr fontId="14" type="noConversion"/>
  </si>
  <si>
    <t>13. 파크골프 '홀인원'</t>
    <phoneticPr fontId="14" type="noConversion"/>
  </si>
  <si>
    <t>원</t>
    <phoneticPr fontId="14" type="noConversion"/>
  </si>
  <si>
    <t>8. 가족연계프로그램</t>
  </si>
  <si>
    <t>9. 직장생활지원</t>
    <phoneticPr fontId="14" type="noConversion"/>
  </si>
  <si>
    <t xml:space="preserve">  - 자산취득비:차량구입비(바자회 수익)</t>
    <phoneticPr fontId="14" type="noConversion"/>
  </si>
  <si>
    <t>지정/이월</t>
    <phoneticPr fontId="14" type="noConversion"/>
  </si>
  <si>
    <t>지정/이월</t>
    <phoneticPr fontId="14" type="noConversion"/>
  </si>
  <si>
    <t>4. 이용인 인권강사 양성프로젝트 "행복한 인(권강)사"</t>
    <phoneticPr fontId="14" type="noConversion"/>
  </si>
  <si>
    <t>5. 맛집원정대</t>
    <phoneticPr fontId="14" type="noConversion"/>
  </si>
  <si>
    <t>6. 생일프로그램</t>
    <phoneticPr fontId="14" type="noConversion"/>
  </si>
  <si>
    <t>7. 이용인상담</t>
    <phoneticPr fontId="14" type="noConversion"/>
  </si>
  <si>
    <t>8. 미귀가생프로그램</t>
    <phoneticPr fontId="14" type="noConversion"/>
  </si>
  <si>
    <t>(박*재ct 환갑)</t>
    <phoneticPr fontId="14" type="noConversion"/>
  </si>
  <si>
    <t>2023년
2차 추경예산</t>
    <phoneticPr fontId="31" type="noConversion"/>
  </si>
  <si>
    <t>□ 2024년도 본예산 세 입 · 세 출 총  괄  표</t>
    <phoneticPr fontId="31" type="noConversion"/>
  </si>
  <si>
    <t>(행복공방 몬띠 판매수익금 이월금)</t>
    <phoneticPr fontId="14" type="noConversion"/>
  </si>
  <si>
    <t>(행복공방,사랑빚은 판매수익금 이월금)</t>
    <phoneticPr fontId="14" type="noConversion"/>
  </si>
  <si>
    <t>법인</t>
    <phoneticPr fontId="14" type="noConversion"/>
  </si>
  <si>
    <t>2. 이용인캠프</t>
    <phoneticPr fontId="14" type="noConversion"/>
  </si>
  <si>
    <t>2024년
본예산</t>
    <phoneticPr fontId="31" type="noConversion"/>
  </si>
  <si>
    <t>&lt;2024년도 본예산 세출내역&gt;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</si>
</sst>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0%&quot;÷&quot;"/>
    <numFmt numFmtId="184" formatCode="0.00%&quot;÷&quot;"/>
    <numFmt numFmtId="185" formatCode="#,##0&quot;명&quot;;[Red]#,##0\ &quot;명&quot;"/>
    <numFmt numFmtId="186" formatCode="&quot;×&quot;General"/>
    <numFmt numFmtId="187" formatCode="&quot;×&quot;0%"/>
    <numFmt numFmtId="188" formatCode="0.000%"/>
    <numFmt numFmtId="189" formatCode="0.0%"/>
    <numFmt numFmtId="190" formatCode="#,##0_ ;[Red]\-#,##0\ "/>
    <numFmt numFmtId="191" formatCode="&quot;×&quot;0.0%"/>
  </numFmts>
  <fonts count="60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indexed="3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ajor"/>
    </font>
    <font>
      <b/>
      <sz val="10"/>
      <color rgb="FF1212F6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0"/>
      <color theme="5"/>
      <name val="맑은 고딕"/>
      <family val="3"/>
      <charset val="129"/>
      <scheme val="major"/>
    </font>
    <font>
      <b/>
      <sz val="10"/>
      <color theme="5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000099"/>
      <name val="돋움"/>
      <family val="3"/>
      <charset val="129"/>
    </font>
    <font>
      <sz val="10"/>
      <color indexed="30"/>
      <name val="맑은 고딕"/>
      <family val="3"/>
      <charset val="129"/>
      <scheme val="major"/>
    </font>
    <font>
      <sz val="10"/>
      <color theme="3" tint="0.39997558519241921"/>
      <name val="맑은 고딕"/>
      <family val="3"/>
      <charset val="129"/>
      <scheme val="major"/>
    </font>
    <font>
      <sz val="10"/>
      <name val="바탕체"/>
      <family val="1"/>
      <charset val="129"/>
    </font>
    <font>
      <sz val="10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IBK iDream M"/>
      <family val="3"/>
      <charset val="129"/>
    </font>
    <font>
      <sz val="11"/>
      <color rgb="FFFF0000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9"/>
      <name val="맑은 고딕"/>
      <family val="3"/>
      <charset val="129"/>
    </font>
    <font>
      <b/>
      <sz val="11"/>
      <color theme="4"/>
      <name val="바탕체"/>
      <family val="1"/>
      <charset val="129"/>
    </font>
    <font>
      <b/>
      <sz val="10"/>
      <color indexed="8"/>
      <name val="바탕체"/>
      <family val="1"/>
      <charset val="129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53">
    <xf numFmtId="0" fontId="0" fillId="0" borderId="0" applyFill="0" applyAlignment="0">
      <alignment vertical="center"/>
    </xf>
    <xf numFmtId="9" fontId="13" fillId="0" borderId="0" applyFont="0" applyFill="0" applyAlignment="0" applyProtection="0">
      <alignment vertical="center"/>
    </xf>
    <xf numFmtId="41" fontId="13" fillId="0" borderId="0" applyFont="0" applyFill="0" applyAlignment="0" applyProtection="0">
      <alignment vertical="center"/>
    </xf>
    <xf numFmtId="0" fontId="13" fillId="0" borderId="0" applyFill="0" applyAlignment="0"/>
    <xf numFmtId="0" fontId="16" fillId="0" borderId="0"/>
    <xf numFmtId="0" fontId="12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42" fontId="53" fillId="0" borderId="0" applyFont="0" applyFill="0" applyBorder="0" applyAlignment="0" applyProtection="0">
      <alignment vertical="center"/>
    </xf>
    <xf numFmtId="0" fontId="51" fillId="0" borderId="0"/>
    <xf numFmtId="0" fontId="1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16" fillId="0" borderId="0">
      <alignment vertical="center"/>
    </xf>
    <xf numFmtId="0" fontId="54" fillId="0" borderId="0">
      <alignment vertical="center"/>
    </xf>
    <xf numFmtId="0" fontId="53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5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61">
    <xf numFmtId="0" fontId="0" fillId="0" borderId="0" xfId="0" applyFill="1" applyAlignment="1">
      <alignment vertical="center"/>
    </xf>
    <xf numFmtId="0" fontId="15" fillId="0" borderId="0" xfId="3" applyFont="1" applyFill="1" applyAlignment="1">
      <alignment vertical="center"/>
    </xf>
    <xf numFmtId="176" fontId="15" fillId="0" borderId="0" xfId="3" applyNumberFormat="1" applyFont="1" applyFill="1" applyAlignment="1">
      <alignment vertical="center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Fill="1" applyAlignment="1">
      <alignment horizontal="center" vertical="center" wrapText="1"/>
    </xf>
    <xf numFmtId="178" fontId="15" fillId="0" borderId="0" xfId="3" applyNumberFormat="1" applyFont="1" applyFill="1" applyAlignment="1">
      <alignment vertical="center"/>
    </xf>
    <xf numFmtId="177" fontId="15" fillId="0" borderId="0" xfId="3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9" fontId="15" fillId="0" borderId="0" xfId="3" applyNumberFormat="1" applyFont="1" applyFill="1" applyAlignment="1">
      <alignment horizontal="center" vertical="center"/>
    </xf>
    <xf numFmtId="0" fontId="15" fillId="0" borderId="0" xfId="0" applyFont="1" applyFill="1">
      <alignment vertical="center"/>
    </xf>
    <xf numFmtId="38" fontId="15" fillId="0" borderId="0" xfId="3" applyNumberFormat="1" applyFont="1" applyFill="1" applyAlignment="1">
      <alignment vertical="center"/>
    </xf>
    <xf numFmtId="0" fontId="17" fillId="0" borderId="16" xfId="3" applyFont="1" applyFill="1" applyBorder="1" applyAlignment="1">
      <alignment horizontal="center" vertical="center" wrapText="1"/>
    </xf>
    <xf numFmtId="0" fontId="17" fillId="0" borderId="3" xfId="3" applyFont="1" applyFill="1" applyBorder="1" applyAlignment="1">
      <alignment horizontal="center" vertical="center" wrapText="1"/>
    </xf>
    <xf numFmtId="9" fontId="18" fillId="0" borderId="3" xfId="3" applyNumberFormat="1" applyFont="1" applyFill="1" applyBorder="1" applyAlignment="1">
      <alignment horizontal="center" vertical="center"/>
    </xf>
    <xf numFmtId="0" fontId="20" fillId="0" borderId="22" xfId="3" applyFont="1" applyFill="1" applyBorder="1" applyAlignment="1">
      <alignment vertical="center"/>
    </xf>
    <xf numFmtId="176" fontId="20" fillId="0" borderId="22" xfId="3" applyNumberFormat="1" applyFont="1" applyFill="1" applyBorder="1" applyAlignment="1">
      <alignment horizontal="center" vertical="center"/>
    </xf>
    <xf numFmtId="9" fontId="17" fillId="0" borderId="26" xfId="3" applyNumberFormat="1" applyFont="1" applyFill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 wrapText="1"/>
    </xf>
    <xf numFmtId="0" fontId="17" fillId="0" borderId="1" xfId="3" applyFont="1" applyFill="1" applyBorder="1" applyAlignment="1">
      <alignment horizontal="center" vertical="center" wrapText="1"/>
    </xf>
    <xf numFmtId="178" fontId="17" fillId="0" borderId="1" xfId="3" applyNumberFormat="1" applyFont="1" applyFill="1" applyBorder="1" applyAlignment="1">
      <alignment vertical="center"/>
    </xf>
    <xf numFmtId="177" fontId="17" fillId="0" borderId="1" xfId="3" applyNumberFormat="1" applyFont="1" applyFill="1" applyBorder="1" applyAlignment="1">
      <alignment vertical="center"/>
    </xf>
    <xf numFmtId="9" fontId="17" fillId="0" borderId="1" xfId="3" applyNumberFormat="1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vertical="center"/>
    </xf>
    <xf numFmtId="176" fontId="22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vertical="center"/>
    </xf>
    <xf numFmtId="176" fontId="20" fillId="0" borderId="29" xfId="3" applyNumberFormat="1" applyFont="1" applyFill="1" applyBorder="1" applyAlignment="1">
      <alignment horizontal="right" vertical="center"/>
    </xf>
    <xf numFmtId="0" fontId="17" fillId="0" borderId="31" xfId="3" applyFont="1" applyFill="1" applyBorder="1" applyAlignment="1">
      <alignment horizontal="center" vertical="center" wrapText="1"/>
    </xf>
    <xf numFmtId="0" fontId="17" fillId="0" borderId="26" xfId="3" applyFont="1" applyFill="1" applyBorder="1" applyAlignment="1">
      <alignment horizontal="center" vertical="center" wrapText="1"/>
    </xf>
    <xf numFmtId="0" fontId="17" fillId="0" borderId="25" xfId="3" applyFont="1" applyFill="1" applyBorder="1" applyAlignment="1">
      <alignment horizontal="center" vertical="center" wrapText="1"/>
    </xf>
    <xf numFmtId="178" fontId="17" fillId="0" borderId="26" xfId="3" applyNumberFormat="1" applyFont="1" applyFill="1" applyBorder="1" applyAlignment="1">
      <alignment vertical="center"/>
    </xf>
    <xf numFmtId="177" fontId="17" fillId="0" borderId="26" xfId="3" applyNumberFormat="1" applyFont="1" applyFill="1" applyBorder="1" applyAlignment="1">
      <alignment vertical="center"/>
    </xf>
    <xf numFmtId="176" fontId="17" fillId="0" borderId="0" xfId="3" applyNumberFormat="1" applyFont="1" applyFill="1" applyAlignment="1">
      <alignment horizontal="left" vertical="center"/>
    </xf>
    <xf numFmtId="0" fontId="17" fillId="0" borderId="0" xfId="3" applyFont="1" applyFill="1" applyAlignment="1">
      <alignment horizontal="center" vertical="center"/>
    </xf>
    <xf numFmtId="41" fontId="17" fillId="0" borderId="0" xfId="2" applyFont="1" applyFill="1" applyAlignment="1">
      <alignment vertical="center"/>
    </xf>
    <xf numFmtId="0" fontId="17" fillId="0" borderId="17" xfId="3" applyFont="1" applyFill="1" applyBorder="1" applyAlignment="1">
      <alignment horizontal="center" vertical="center" wrapText="1"/>
    </xf>
    <xf numFmtId="0" fontId="17" fillId="0" borderId="11" xfId="3" applyFont="1" applyFill="1" applyBorder="1" applyAlignment="1">
      <alignment horizontal="center" vertical="center" wrapText="1"/>
    </xf>
    <xf numFmtId="178" fontId="17" fillId="0" borderId="11" xfId="3" applyNumberFormat="1" applyFont="1" applyFill="1" applyBorder="1" applyAlignment="1">
      <alignment vertical="center"/>
    </xf>
    <xf numFmtId="177" fontId="17" fillId="0" borderId="11" xfId="3" applyNumberFormat="1" applyFont="1" applyFill="1" applyBorder="1" applyAlignment="1">
      <alignment vertical="center"/>
    </xf>
    <xf numFmtId="0" fontId="17" fillId="0" borderId="13" xfId="3" applyFont="1" applyFill="1" applyBorder="1" applyAlignment="1">
      <alignment vertical="center"/>
    </xf>
    <xf numFmtId="176" fontId="17" fillId="0" borderId="13" xfId="3" applyNumberFormat="1" applyFont="1" applyFill="1" applyBorder="1" applyAlignment="1">
      <alignment vertical="center"/>
    </xf>
    <xf numFmtId="0" fontId="17" fillId="0" borderId="32" xfId="3" applyFont="1" applyFill="1" applyBorder="1" applyAlignment="1">
      <alignment vertical="center"/>
    </xf>
    <xf numFmtId="176" fontId="17" fillId="0" borderId="0" xfId="3" applyNumberFormat="1" applyFont="1" applyFill="1" applyAlignment="1">
      <alignment horizontal="right" vertical="center"/>
    </xf>
    <xf numFmtId="178" fontId="17" fillId="0" borderId="0" xfId="3" applyNumberFormat="1" applyFont="1" applyFill="1" applyAlignment="1">
      <alignment horizontal="center" vertical="center"/>
    </xf>
    <xf numFmtId="9" fontId="17" fillId="0" borderId="26" xfId="1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vertical="center"/>
    </xf>
    <xf numFmtId="176" fontId="17" fillId="0" borderId="14" xfId="3" applyNumberFormat="1" applyFont="1" applyFill="1" applyBorder="1" applyAlignment="1">
      <alignment horizontal="right" vertical="center"/>
    </xf>
    <xf numFmtId="42" fontId="17" fillId="0" borderId="0" xfId="3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9" fontId="17" fillId="0" borderId="0" xfId="1" applyFont="1" applyFill="1" applyAlignment="1">
      <alignment horizontal="center" vertical="center"/>
    </xf>
    <xf numFmtId="180" fontId="17" fillId="0" borderId="0" xfId="2" applyNumberFormat="1" applyFont="1" applyFill="1" applyAlignment="1">
      <alignment horizontal="center" vertical="center"/>
    </xf>
    <xf numFmtId="0" fontId="17" fillId="0" borderId="26" xfId="3" applyFont="1" applyFill="1" applyBorder="1" applyAlignment="1">
      <alignment vertical="center" wrapText="1"/>
    </xf>
    <xf numFmtId="0" fontId="17" fillId="0" borderId="11" xfId="3" applyFont="1" applyFill="1" applyBorder="1" applyAlignment="1">
      <alignment vertical="center" wrapText="1"/>
    </xf>
    <xf numFmtId="9" fontId="17" fillId="0" borderId="11" xfId="1" applyFont="1" applyFill="1" applyBorder="1" applyAlignment="1">
      <alignment horizontal="center" vertical="center"/>
    </xf>
    <xf numFmtId="0" fontId="17" fillId="0" borderId="14" xfId="3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/>
    </xf>
    <xf numFmtId="0" fontId="17" fillId="0" borderId="1" xfId="3" applyFont="1" applyFill="1" applyBorder="1" applyAlignment="1">
      <alignment horizontal="center" vertical="center"/>
    </xf>
    <xf numFmtId="176" fontId="17" fillId="0" borderId="29" xfId="3" applyNumberFormat="1" applyFont="1" applyFill="1" applyBorder="1" applyAlignment="1">
      <alignment vertical="center"/>
    </xf>
    <xf numFmtId="0" fontId="17" fillId="0" borderId="26" xfId="3" applyFont="1" applyFill="1" applyBorder="1" applyAlignment="1">
      <alignment horizontal="center" vertical="center"/>
    </xf>
    <xf numFmtId="0" fontId="17" fillId="0" borderId="25" xfId="3" applyFont="1" applyFill="1" applyBorder="1" applyAlignment="1">
      <alignment horizontal="center" vertical="center"/>
    </xf>
    <xf numFmtId="0" fontId="17" fillId="0" borderId="25" xfId="3" applyFont="1" applyFill="1" applyBorder="1" applyAlignment="1">
      <alignment vertical="center"/>
    </xf>
    <xf numFmtId="0" fontId="17" fillId="0" borderId="7" xfId="3" applyFont="1" applyFill="1" applyBorder="1" applyAlignment="1">
      <alignment horizontal="center" vertical="center"/>
    </xf>
    <xf numFmtId="0" fontId="17" fillId="0" borderId="7" xfId="3" applyFont="1" applyFill="1" applyBorder="1" applyAlignment="1">
      <alignment horizontal="center" vertical="center" wrapText="1"/>
    </xf>
    <xf numFmtId="38" fontId="17" fillId="0" borderId="13" xfId="3" applyNumberFormat="1" applyFont="1" applyFill="1" applyBorder="1" applyAlignment="1">
      <alignment vertical="center"/>
    </xf>
    <xf numFmtId="9" fontId="17" fillId="0" borderId="3" xfId="1" applyFont="1" applyFill="1" applyBorder="1" applyAlignment="1">
      <alignment horizontal="center" vertical="center"/>
    </xf>
    <xf numFmtId="38" fontId="17" fillId="0" borderId="26" xfId="3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vertical="center"/>
    </xf>
    <xf numFmtId="38" fontId="17" fillId="0" borderId="11" xfId="3" applyNumberFormat="1" applyFont="1" applyFill="1" applyBorder="1" applyAlignment="1">
      <alignment vertical="center"/>
    </xf>
    <xf numFmtId="0" fontId="19" fillId="0" borderId="2" xfId="3" applyFont="1" applyFill="1" applyBorder="1" applyAlignment="1">
      <alignment horizontal="center" vertical="center" wrapText="1"/>
    </xf>
    <xf numFmtId="38" fontId="17" fillId="0" borderId="1" xfId="3" applyNumberFormat="1" applyFont="1" applyFill="1" applyBorder="1" applyAlignment="1">
      <alignment vertical="center"/>
    </xf>
    <xf numFmtId="176" fontId="17" fillId="0" borderId="1" xfId="0" applyNumberFormat="1" applyFont="1" applyFill="1" applyBorder="1" applyAlignment="1">
      <alignment vertical="center"/>
    </xf>
    <xf numFmtId="38" fontId="21" fillId="0" borderId="26" xfId="3" applyNumberFormat="1" applyFont="1" applyFill="1" applyBorder="1" applyAlignment="1">
      <alignment vertical="center"/>
    </xf>
    <xf numFmtId="0" fontId="19" fillId="0" borderId="14" xfId="3" applyFont="1" applyFill="1" applyBorder="1" applyAlignment="1">
      <alignment vertical="center"/>
    </xf>
    <xf numFmtId="176" fontId="19" fillId="0" borderId="14" xfId="3" applyNumberFormat="1" applyFont="1" applyFill="1" applyBorder="1" applyAlignment="1">
      <alignment horizontal="right" vertical="center"/>
    </xf>
    <xf numFmtId="9" fontId="17" fillId="0" borderId="1" xfId="1" applyFont="1" applyFill="1" applyBorder="1" applyAlignment="1">
      <alignment horizontal="center" vertical="center"/>
    </xf>
    <xf numFmtId="0" fontId="29" fillId="0" borderId="1" xfId="3" applyFont="1" applyFill="1" applyBorder="1" applyAlignment="1">
      <alignment horizontal="center" vertical="center" wrapText="1"/>
    </xf>
    <xf numFmtId="38" fontId="29" fillId="0" borderId="1" xfId="3" applyNumberFormat="1" applyFont="1" applyFill="1" applyBorder="1" applyAlignment="1">
      <alignment vertical="center"/>
    </xf>
    <xf numFmtId="38" fontId="17" fillId="0" borderId="14" xfId="3" applyNumberFormat="1" applyFont="1" applyFill="1" applyBorder="1" applyAlignment="1">
      <alignment vertical="center"/>
    </xf>
    <xf numFmtId="38" fontId="17" fillId="0" borderId="29" xfId="3" applyNumberFormat="1" applyFont="1" applyFill="1" applyBorder="1" applyAlignment="1">
      <alignment vertical="center"/>
    </xf>
    <xf numFmtId="38" fontId="17" fillId="0" borderId="0" xfId="3" applyNumberFormat="1" applyFont="1" applyFill="1" applyAlignment="1">
      <alignment vertical="center"/>
    </xf>
    <xf numFmtId="0" fontId="17" fillId="0" borderId="6" xfId="3" applyFont="1" applyFill="1" applyBorder="1" applyAlignment="1">
      <alignment horizontal="center" vertical="center" wrapText="1"/>
    </xf>
    <xf numFmtId="38" fontId="17" fillId="0" borderId="7" xfId="3" applyNumberFormat="1" applyFont="1" applyFill="1" applyBorder="1" applyAlignment="1">
      <alignment vertical="center"/>
    </xf>
    <xf numFmtId="0" fontId="22" fillId="0" borderId="29" xfId="3" applyFont="1" applyFill="1" applyBorder="1" applyAlignment="1">
      <alignment vertical="center"/>
    </xf>
    <xf numFmtId="0" fontId="17" fillId="0" borderId="40" xfId="3" applyFont="1" applyFill="1" applyBorder="1" applyAlignment="1">
      <alignment vertical="center"/>
    </xf>
    <xf numFmtId="176" fontId="17" fillId="0" borderId="51" xfId="3" applyNumberFormat="1" applyFont="1" applyFill="1" applyBorder="1" applyAlignment="1">
      <alignment vertical="center"/>
    </xf>
    <xf numFmtId="177" fontId="17" fillId="0" borderId="3" xfId="3" applyNumberFormat="1" applyFont="1" applyFill="1" applyBorder="1" applyAlignment="1">
      <alignment horizontal="center" vertical="center" wrapText="1"/>
    </xf>
    <xf numFmtId="176" fontId="19" fillId="0" borderId="0" xfId="3" applyNumberFormat="1" applyFont="1" applyFill="1" applyAlignment="1">
      <alignment vertical="center"/>
    </xf>
    <xf numFmtId="38" fontId="17" fillId="0" borderId="32" xfId="3" applyNumberFormat="1" applyFont="1" applyFill="1" applyBorder="1" applyAlignment="1">
      <alignment vertical="center"/>
    </xf>
    <xf numFmtId="38" fontId="17" fillId="0" borderId="35" xfId="3" applyNumberFormat="1" applyFont="1" applyFill="1" applyBorder="1" applyAlignment="1">
      <alignment vertical="center"/>
    </xf>
    <xf numFmtId="38" fontId="17" fillId="0" borderId="33" xfId="3" applyNumberFormat="1" applyFont="1" applyFill="1" applyBorder="1" applyAlignment="1">
      <alignment vertical="center"/>
    </xf>
    <xf numFmtId="3" fontId="28" fillId="0" borderId="32" xfId="0" applyNumberFormat="1" applyFont="1" applyFill="1" applyBorder="1" applyAlignment="1">
      <alignment vertical="center"/>
    </xf>
    <xf numFmtId="3" fontId="28" fillId="0" borderId="35" xfId="0" applyNumberFormat="1" applyFont="1" applyFill="1" applyBorder="1" applyAlignment="1">
      <alignment vertical="center"/>
    </xf>
    <xf numFmtId="38" fontId="17" fillId="0" borderId="37" xfId="3" applyNumberFormat="1" applyFont="1" applyFill="1" applyBorder="1" applyAlignment="1">
      <alignment vertical="center"/>
    </xf>
    <xf numFmtId="0" fontId="17" fillId="0" borderId="29" xfId="3" applyFont="1" applyFill="1" applyBorder="1" applyAlignment="1">
      <alignment vertical="center"/>
    </xf>
    <xf numFmtId="9" fontId="19" fillId="0" borderId="20" xfId="1" applyFont="1" applyFill="1" applyBorder="1" applyAlignment="1">
      <alignment horizontal="center" vertical="center"/>
    </xf>
    <xf numFmtId="9" fontId="17" fillId="0" borderId="13" xfId="1" applyFont="1" applyFill="1" applyBorder="1" applyAlignment="1">
      <alignment horizontal="center" vertical="center"/>
    </xf>
    <xf numFmtId="0" fontId="17" fillId="0" borderId="20" xfId="3" applyFont="1" applyFill="1" applyBorder="1" applyAlignment="1">
      <alignment horizontal="center" vertical="center" wrapText="1"/>
    </xf>
    <xf numFmtId="38" fontId="17" fillId="0" borderId="20" xfId="3" applyNumberFormat="1" applyFont="1" applyFill="1" applyBorder="1" applyAlignment="1">
      <alignment vertical="center"/>
    </xf>
    <xf numFmtId="9" fontId="17" fillId="0" borderId="20" xfId="1" applyFont="1" applyFill="1" applyBorder="1" applyAlignment="1">
      <alignment horizontal="center" vertical="center"/>
    </xf>
    <xf numFmtId="9" fontId="15" fillId="0" borderId="0" xfId="1" applyFont="1" applyFill="1" applyAlignment="1">
      <alignment horizontal="center" vertical="center"/>
    </xf>
    <xf numFmtId="178" fontId="18" fillId="0" borderId="3" xfId="3" applyNumberFormat="1" applyFont="1" applyFill="1" applyBorder="1" applyAlignment="1">
      <alignment horizontal="center" vertical="center" wrapText="1"/>
    </xf>
    <xf numFmtId="0" fontId="19" fillId="0" borderId="0" xfId="3" applyFont="1" applyFill="1" applyAlignment="1">
      <alignment vertical="center"/>
    </xf>
    <xf numFmtId="38" fontId="27" fillId="0" borderId="1" xfId="3" applyNumberFormat="1" applyFont="1" applyFill="1" applyBorder="1" applyAlignment="1">
      <alignment vertical="center"/>
    </xf>
    <xf numFmtId="9" fontId="27" fillId="0" borderId="1" xfId="1" applyFont="1" applyFill="1" applyBorder="1" applyAlignment="1">
      <alignment horizontal="center" vertical="center"/>
    </xf>
    <xf numFmtId="0" fontId="19" fillId="0" borderId="31" xfId="3" applyFont="1" applyFill="1" applyBorder="1" applyAlignment="1">
      <alignment horizontal="center" vertical="center" wrapText="1"/>
    </xf>
    <xf numFmtId="38" fontId="19" fillId="0" borderId="20" xfId="3" applyNumberFormat="1" applyFont="1" applyFill="1" applyBorder="1" applyAlignment="1">
      <alignment vertical="center"/>
    </xf>
    <xf numFmtId="38" fontId="19" fillId="0" borderId="1" xfId="3" applyNumberFormat="1" applyFont="1" applyFill="1" applyBorder="1" applyAlignment="1">
      <alignment vertical="center"/>
    </xf>
    <xf numFmtId="9" fontId="19" fillId="0" borderId="1" xfId="1" applyFont="1" applyFill="1" applyBorder="1" applyAlignment="1">
      <alignment horizontal="center" vertical="center"/>
    </xf>
    <xf numFmtId="0" fontId="11" fillId="0" borderId="0" xfId="7">
      <alignment vertical="center"/>
    </xf>
    <xf numFmtId="0" fontId="30" fillId="0" borderId="0" xfId="7" applyFont="1">
      <alignment vertical="center"/>
    </xf>
    <xf numFmtId="0" fontId="32" fillId="0" borderId="0" xfId="7" applyFont="1" applyAlignment="1">
      <alignment horizontal="right"/>
    </xf>
    <xf numFmtId="0" fontId="11" fillId="0" borderId="20" xfId="7" applyBorder="1" applyAlignment="1">
      <alignment horizontal="center" vertical="center"/>
    </xf>
    <xf numFmtId="41" fontId="0" fillId="0" borderId="20" xfId="8" applyFont="1" applyBorder="1">
      <alignment vertical="center"/>
    </xf>
    <xf numFmtId="182" fontId="0" fillId="0" borderId="40" xfId="8" applyNumberFormat="1" applyFont="1" applyBorder="1">
      <alignment vertical="center"/>
    </xf>
    <xf numFmtId="182" fontId="0" fillId="0" borderId="18" xfId="8" applyNumberFormat="1" applyFont="1" applyBorder="1">
      <alignment vertical="center"/>
    </xf>
    <xf numFmtId="41" fontId="0" fillId="0" borderId="3" xfId="8" applyFont="1" applyBorder="1">
      <alignment vertical="center"/>
    </xf>
    <xf numFmtId="182" fontId="0" fillId="0" borderId="4" xfId="8" applyNumberFormat="1" applyFont="1" applyBorder="1">
      <alignment vertical="center"/>
    </xf>
    <xf numFmtId="176" fontId="17" fillId="0" borderId="14" xfId="3" applyNumberFormat="1" applyFont="1" applyFill="1" applyBorder="1" applyAlignment="1">
      <alignment horizontal="center" vertical="center"/>
    </xf>
    <xf numFmtId="0" fontId="17" fillId="0" borderId="27" xfId="3" applyFont="1" applyFill="1" applyBorder="1" applyAlignment="1">
      <alignment horizontal="center" vertical="center" wrapText="1"/>
    </xf>
    <xf numFmtId="9" fontId="17" fillId="0" borderId="11" xfId="3" applyNumberFormat="1" applyFont="1" applyFill="1" applyBorder="1" applyAlignment="1">
      <alignment horizontal="center" vertical="center"/>
    </xf>
    <xf numFmtId="0" fontId="23" fillId="0" borderId="40" xfId="3" applyFont="1" applyFill="1" applyBorder="1" applyAlignment="1">
      <alignment vertical="center"/>
    </xf>
    <xf numFmtId="0" fontId="24" fillId="0" borderId="51" xfId="3" applyFont="1" applyFill="1" applyBorder="1" applyAlignment="1">
      <alignment vertical="center"/>
    </xf>
    <xf numFmtId="176" fontId="24" fillId="0" borderId="51" xfId="3" applyNumberFormat="1" applyFont="1" applyFill="1" applyBorder="1" applyAlignment="1">
      <alignment vertical="center"/>
    </xf>
    <xf numFmtId="176" fontId="23" fillId="0" borderId="51" xfId="3" applyNumberFormat="1" applyFont="1" applyFill="1" applyBorder="1" applyAlignment="1">
      <alignment vertical="center"/>
    </xf>
    <xf numFmtId="177" fontId="17" fillId="0" borderId="0" xfId="3" applyNumberFormat="1" applyFont="1" applyFill="1" applyAlignment="1">
      <alignment vertical="center"/>
    </xf>
    <xf numFmtId="42" fontId="17" fillId="0" borderId="14" xfId="3" applyNumberFormat="1" applyFont="1" applyFill="1" applyBorder="1" applyAlignment="1">
      <alignment horizontal="center" vertical="center"/>
    </xf>
    <xf numFmtId="180" fontId="17" fillId="0" borderId="14" xfId="2" applyNumberFormat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8" fontId="34" fillId="0" borderId="20" xfId="3" applyNumberFormat="1" applyFont="1" applyFill="1" applyBorder="1" applyAlignment="1">
      <alignment vertical="center"/>
    </xf>
    <xf numFmtId="177" fontId="34" fillId="0" borderId="20" xfId="3" applyNumberFormat="1" applyFont="1" applyFill="1" applyBorder="1" applyAlignment="1">
      <alignment vertical="center"/>
    </xf>
    <xf numFmtId="9" fontId="34" fillId="0" borderId="20" xfId="1" applyFont="1" applyFill="1" applyBorder="1" applyAlignment="1">
      <alignment horizontal="center" vertical="center"/>
    </xf>
    <xf numFmtId="178" fontId="20" fillId="0" borderId="23" xfId="3" applyNumberFormat="1" applyFont="1" applyFill="1" applyBorder="1" applyAlignment="1">
      <alignment vertical="center"/>
    </xf>
    <xf numFmtId="9" fontId="20" fillId="0" borderId="23" xfId="3" applyNumberFormat="1" applyFont="1" applyFill="1" applyBorder="1" applyAlignment="1">
      <alignment horizontal="center" vertical="center"/>
    </xf>
    <xf numFmtId="176" fontId="17" fillId="0" borderId="14" xfId="3" applyNumberFormat="1" applyFont="1" applyFill="1" applyBorder="1" applyAlignment="1">
      <alignment vertical="center"/>
    </xf>
    <xf numFmtId="178" fontId="22" fillId="0" borderId="11" xfId="3" applyNumberFormat="1" applyFont="1" applyFill="1" applyBorder="1" applyAlignment="1">
      <alignment vertical="center"/>
    </xf>
    <xf numFmtId="178" fontId="27" fillId="0" borderId="11" xfId="3" applyNumberFormat="1" applyFont="1" applyFill="1" applyBorder="1" applyAlignment="1">
      <alignment vertical="center"/>
    </xf>
    <xf numFmtId="177" fontId="22" fillId="0" borderId="11" xfId="3" applyNumberFormat="1" applyFont="1" applyFill="1" applyBorder="1" applyAlignment="1">
      <alignment vertical="center"/>
    </xf>
    <xf numFmtId="9" fontId="22" fillId="0" borderId="11" xfId="3" applyNumberFormat="1" applyFont="1" applyFill="1" applyBorder="1" applyAlignment="1">
      <alignment horizontal="center" vertical="center"/>
    </xf>
    <xf numFmtId="0" fontId="20" fillId="0" borderId="35" xfId="3" applyFont="1" applyFill="1" applyBorder="1" applyAlignment="1">
      <alignment vertical="center"/>
    </xf>
    <xf numFmtId="0" fontId="22" fillId="0" borderId="14" xfId="3" applyFont="1" applyFill="1" applyBorder="1" applyAlignment="1">
      <alignment vertical="center"/>
    </xf>
    <xf numFmtId="176" fontId="22" fillId="0" borderId="14" xfId="3" applyNumberFormat="1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vertical="center"/>
    </xf>
    <xf numFmtId="176" fontId="20" fillId="0" borderId="14" xfId="3" applyNumberFormat="1" applyFont="1" applyFill="1" applyBorder="1" applyAlignment="1">
      <alignment horizontal="right" vertical="center"/>
    </xf>
    <xf numFmtId="176" fontId="35" fillId="0" borderId="51" xfId="3" applyNumberFormat="1" applyFont="1" applyFill="1" applyBorder="1" applyAlignment="1">
      <alignment vertical="center"/>
    </xf>
    <xf numFmtId="178" fontId="27" fillId="0" borderId="1" xfId="3" applyNumberFormat="1" applyFont="1" applyFill="1" applyBorder="1" applyAlignment="1">
      <alignment vertical="center"/>
    </xf>
    <xf numFmtId="41" fontId="17" fillId="0" borderId="29" xfId="2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0" fontId="17" fillId="0" borderId="28" xfId="3" applyFont="1" applyFill="1" applyBorder="1" applyAlignment="1">
      <alignment vertical="center"/>
    </xf>
    <xf numFmtId="9" fontId="17" fillId="0" borderId="53" xfId="1" applyFont="1" applyFill="1" applyBorder="1" applyAlignment="1">
      <alignment vertical="center"/>
    </xf>
    <xf numFmtId="177" fontId="17" fillId="0" borderId="29" xfId="3" applyNumberFormat="1" applyFont="1" applyFill="1" applyBorder="1" applyAlignment="1">
      <alignment vertical="center"/>
    </xf>
    <xf numFmtId="178" fontId="36" fillId="0" borderId="20" xfId="3" applyNumberFormat="1" applyFont="1" applyFill="1" applyBorder="1" applyAlignment="1">
      <alignment vertical="center"/>
    </xf>
    <xf numFmtId="177" fontId="36" fillId="0" borderId="20" xfId="3" applyNumberFormat="1" applyFont="1" applyFill="1" applyBorder="1" applyAlignment="1">
      <alignment vertical="center"/>
    </xf>
    <xf numFmtId="9" fontId="36" fillId="0" borderId="20" xfId="1" applyFont="1" applyFill="1" applyBorder="1" applyAlignment="1">
      <alignment horizontal="center" vertical="center"/>
    </xf>
    <xf numFmtId="0" fontId="37" fillId="0" borderId="40" xfId="3" applyFont="1" applyFill="1" applyBorder="1" applyAlignment="1">
      <alignment vertical="center"/>
    </xf>
    <xf numFmtId="176" fontId="37" fillId="0" borderId="51" xfId="3" applyNumberFormat="1" applyFont="1" applyFill="1" applyBorder="1" applyAlignment="1">
      <alignment vertical="center"/>
    </xf>
    <xf numFmtId="0" fontId="37" fillId="0" borderId="51" xfId="3" applyFont="1" applyFill="1" applyBorder="1" applyAlignment="1">
      <alignment horizontal="center" vertical="center"/>
    </xf>
    <xf numFmtId="0" fontId="37" fillId="0" borderId="51" xfId="3" applyFont="1" applyFill="1" applyBorder="1" applyAlignment="1">
      <alignment vertical="center"/>
    </xf>
    <xf numFmtId="0" fontId="37" fillId="0" borderId="0" xfId="3" applyFont="1" applyFill="1" applyAlignment="1">
      <alignment vertical="center"/>
    </xf>
    <xf numFmtId="176" fontId="37" fillId="0" borderId="0" xfId="3" applyNumberFormat="1" applyFont="1" applyFill="1" applyAlignment="1">
      <alignment vertical="center"/>
    </xf>
    <xf numFmtId="176" fontId="37" fillId="0" borderId="0" xfId="3" applyNumberFormat="1" applyFont="1" applyFill="1" applyAlignment="1">
      <alignment horizontal="right" vertical="center"/>
    </xf>
    <xf numFmtId="176" fontId="37" fillId="0" borderId="51" xfId="3" applyNumberFormat="1" applyFont="1" applyFill="1" applyBorder="1" applyAlignment="1">
      <alignment horizontal="right" vertical="center"/>
    </xf>
    <xf numFmtId="177" fontId="27" fillId="0" borderId="26" xfId="3" applyNumberFormat="1" applyFont="1" applyFill="1" applyBorder="1" applyAlignment="1">
      <alignment vertical="center"/>
    </xf>
    <xf numFmtId="9" fontId="27" fillId="0" borderId="26" xfId="1" applyFont="1" applyFill="1" applyBorder="1" applyAlignment="1">
      <alignment horizontal="center" vertical="center"/>
    </xf>
    <xf numFmtId="177" fontId="27" fillId="0" borderId="1" xfId="3" applyNumberFormat="1" applyFont="1" applyFill="1" applyBorder="1" applyAlignment="1">
      <alignment vertical="center"/>
    </xf>
    <xf numFmtId="0" fontId="9" fillId="0" borderId="20" xfId="7" applyFont="1" applyBorder="1" applyAlignment="1">
      <alignment horizontal="center" vertical="center"/>
    </xf>
    <xf numFmtId="176" fontId="27" fillId="0" borderId="0" xfId="3" applyNumberFormat="1" applyFont="1" applyFill="1" applyAlignment="1">
      <alignment vertical="center"/>
    </xf>
    <xf numFmtId="9" fontId="17" fillId="0" borderId="32" xfId="1" applyFont="1" applyFill="1" applyBorder="1" applyAlignment="1">
      <alignment horizontal="center" vertical="center"/>
    </xf>
    <xf numFmtId="0" fontId="27" fillId="0" borderId="0" xfId="3" applyFont="1" applyFill="1" applyAlignment="1">
      <alignment vertical="center"/>
    </xf>
    <xf numFmtId="176" fontId="27" fillId="0" borderId="0" xfId="3" applyNumberFormat="1" applyFont="1" applyFill="1" applyAlignment="1">
      <alignment horizontal="right" vertical="center"/>
    </xf>
    <xf numFmtId="0" fontId="27" fillId="0" borderId="32" xfId="3" applyFont="1" applyFill="1" applyBorder="1" applyAlignment="1">
      <alignment vertical="center"/>
    </xf>
    <xf numFmtId="0" fontId="36" fillId="0" borderId="0" xfId="3" applyFont="1" applyFill="1" applyAlignment="1">
      <alignment horizontal="center" vertical="center"/>
    </xf>
    <xf numFmtId="0" fontId="29" fillId="0" borderId="32" xfId="3" applyFont="1" applyFill="1" applyBorder="1" applyAlignment="1">
      <alignment vertical="center"/>
    </xf>
    <xf numFmtId="0" fontId="29" fillId="0" borderId="35" xfId="3" applyFont="1" applyFill="1" applyBorder="1" applyAlignment="1">
      <alignment vertical="center"/>
    </xf>
    <xf numFmtId="0" fontId="29" fillId="0" borderId="40" xfId="3" applyFont="1" applyFill="1" applyBorder="1" applyAlignment="1">
      <alignment vertical="center"/>
    </xf>
    <xf numFmtId="0" fontId="29" fillId="0" borderId="33" xfId="3" applyFont="1" applyFill="1" applyBorder="1" applyAlignment="1">
      <alignment vertical="center"/>
    </xf>
    <xf numFmtId="190" fontId="20" fillId="0" borderId="23" xfId="3" applyNumberFormat="1" applyFont="1" applyFill="1" applyBorder="1" applyAlignment="1">
      <alignment vertical="center"/>
    </xf>
    <xf numFmtId="0" fontId="38" fillId="0" borderId="14" xfId="3" applyFont="1" applyFill="1" applyBorder="1" applyAlignment="1">
      <alignment vertical="center"/>
    </xf>
    <xf numFmtId="176" fontId="29" fillId="0" borderId="29" xfId="3" applyNumberFormat="1" applyFont="1" applyFill="1" applyBorder="1" applyAlignment="1">
      <alignment vertical="center"/>
    </xf>
    <xf numFmtId="176" fontId="17" fillId="0" borderId="0" xfId="3" applyNumberFormat="1" applyFont="1" applyFill="1" applyAlignment="1">
      <alignment vertical="center"/>
    </xf>
    <xf numFmtId="0" fontId="17" fillId="0" borderId="0" xfId="3" applyFont="1" applyFill="1" applyAlignment="1">
      <alignment vertical="center"/>
    </xf>
    <xf numFmtId="41" fontId="29" fillId="0" borderId="0" xfId="2" applyFont="1" applyFill="1" applyAlignment="1">
      <alignment vertical="center"/>
    </xf>
    <xf numFmtId="0" fontId="38" fillId="0" borderId="40" xfId="3" applyFont="1" applyFill="1" applyBorder="1" applyAlignment="1">
      <alignment vertical="center"/>
    </xf>
    <xf numFmtId="0" fontId="38" fillId="0" borderId="29" xfId="3" applyFont="1" applyFill="1" applyBorder="1" applyAlignment="1">
      <alignment vertical="center"/>
    </xf>
    <xf numFmtId="176" fontId="38" fillId="0" borderId="29" xfId="3" applyNumberFormat="1" applyFont="1" applyFill="1" applyBorder="1" applyAlignment="1">
      <alignment vertical="center"/>
    </xf>
    <xf numFmtId="176" fontId="38" fillId="0" borderId="51" xfId="3" applyNumberFormat="1" applyFont="1" applyFill="1" applyBorder="1" applyAlignment="1">
      <alignment horizontal="right" vertical="center"/>
    </xf>
    <xf numFmtId="0" fontId="29" fillId="0" borderId="29" xfId="3" applyFont="1" applyFill="1" applyBorder="1" applyAlignment="1">
      <alignment vertical="center"/>
    </xf>
    <xf numFmtId="176" fontId="39" fillId="0" borderId="0" xfId="3" applyNumberFormat="1" applyFont="1" applyFill="1" applyAlignment="1">
      <alignment vertical="center"/>
    </xf>
    <xf numFmtId="0" fontId="39" fillId="0" borderId="0" xfId="3" applyFont="1" applyFill="1" applyAlignment="1">
      <alignment vertical="center"/>
    </xf>
    <xf numFmtId="41" fontId="37" fillId="0" borderId="8" xfId="0" applyNumberFormat="1" applyFont="1" applyFill="1" applyBorder="1" applyAlignment="1">
      <alignment vertical="center"/>
    </xf>
    <xf numFmtId="38" fontId="37" fillId="0" borderId="8" xfId="3" applyNumberFormat="1" applyFont="1" applyFill="1" applyBorder="1" applyAlignment="1">
      <alignment vertical="center"/>
    </xf>
    <xf numFmtId="9" fontId="37" fillId="0" borderId="8" xfId="3" applyNumberFormat="1" applyFont="1" applyFill="1" applyBorder="1" applyAlignment="1">
      <alignment horizontal="center" vertical="center"/>
    </xf>
    <xf numFmtId="0" fontId="37" fillId="0" borderId="10" xfId="3" applyFont="1" applyFill="1" applyBorder="1" applyAlignment="1">
      <alignment vertical="center"/>
    </xf>
    <xf numFmtId="0" fontId="37" fillId="0" borderId="43" xfId="3" applyFont="1" applyFill="1" applyBorder="1" applyAlignment="1">
      <alignment vertical="center"/>
    </xf>
    <xf numFmtId="176" fontId="37" fillId="0" borderId="43" xfId="3" applyNumberFormat="1" applyFont="1" applyFill="1" applyBorder="1" applyAlignment="1">
      <alignment vertical="center"/>
    </xf>
    <xf numFmtId="41" fontId="35" fillId="0" borderId="26" xfId="0" applyNumberFormat="1" applyFont="1" applyFill="1" applyBorder="1" applyAlignment="1">
      <alignment vertical="center"/>
    </xf>
    <xf numFmtId="38" fontId="35" fillId="0" borderId="26" xfId="3" applyNumberFormat="1" applyFont="1" applyFill="1" applyBorder="1" applyAlignment="1">
      <alignment vertical="center"/>
    </xf>
    <xf numFmtId="9" fontId="35" fillId="0" borderId="20" xfId="1" applyFont="1" applyFill="1" applyBorder="1" applyAlignment="1">
      <alignment horizontal="center" vertical="center"/>
    </xf>
    <xf numFmtId="0" fontId="35" fillId="0" borderId="0" xfId="3" applyFont="1" applyFill="1" applyAlignment="1">
      <alignment vertical="center"/>
    </xf>
    <xf numFmtId="176" fontId="35" fillId="0" borderId="0" xfId="3" applyNumberFormat="1" applyFont="1" applyFill="1" applyAlignment="1">
      <alignment vertical="center"/>
    </xf>
    <xf numFmtId="0" fontId="40" fillId="0" borderId="20" xfId="3" applyFont="1" applyFill="1" applyBorder="1" applyAlignment="1">
      <alignment horizontal="center" vertical="center" wrapText="1"/>
    </xf>
    <xf numFmtId="176" fontId="40" fillId="0" borderId="20" xfId="0" applyNumberFormat="1" applyFont="1" applyFill="1" applyBorder="1" applyAlignment="1">
      <alignment vertical="center"/>
    </xf>
    <xf numFmtId="38" fontId="40" fillId="0" borderId="20" xfId="3" applyNumberFormat="1" applyFont="1" applyFill="1" applyBorder="1" applyAlignment="1">
      <alignment vertical="center"/>
    </xf>
    <xf numFmtId="9" fontId="40" fillId="0" borderId="20" xfId="1" applyFont="1" applyFill="1" applyBorder="1" applyAlignment="1">
      <alignment horizontal="center" vertical="center"/>
    </xf>
    <xf numFmtId="0" fontId="41" fillId="0" borderId="51" xfId="3" applyFont="1" applyFill="1" applyBorder="1" applyAlignment="1">
      <alignment vertical="center"/>
    </xf>
    <xf numFmtId="176" fontId="41" fillId="0" borderId="51" xfId="3" applyNumberFormat="1" applyFont="1" applyFill="1" applyBorder="1" applyAlignment="1">
      <alignment vertical="center"/>
    </xf>
    <xf numFmtId="176" fontId="27" fillId="0" borderId="0" xfId="3" applyNumberFormat="1" applyFont="1" applyFill="1" applyAlignment="1">
      <alignment horizontal="center" vertical="center"/>
    </xf>
    <xf numFmtId="180" fontId="27" fillId="0" borderId="0" xfId="2" applyNumberFormat="1" applyFont="1" applyFill="1" applyAlignment="1">
      <alignment horizontal="center" vertical="center"/>
    </xf>
    <xf numFmtId="0" fontId="27" fillId="0" borderId="0" xfId="3" applyFont="1" applyFill="1" applyAlignment="1">
      <alignment horizontal="center" vertical="center"/>
    </xf>
    <xf numFmtId="0" fontId="27" fillId="0" borderId="35" xfId="3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horizontal="right" vertical="center"/>
    </xf>
    <xf numFmtId="0" fontId="17" fillId="0" borderId="14" xfId="3" applyFont="1" applyFill="1" applyBorder="1" applyAlignment="1">
      <alignment vertical="center"/>
    </xf>
    <xf numFmtId="179" fontId="27" fillId="0" borderId="0" xfId="1" applyNumberFormat="1" applyFont="1" applyFill="1" applyAlignment="1">
      <alignment horizontal="right" vertical="center"/>
    </xf>
    <xf numFmtId="189" fontId="27" fillId="0" borderId="0" xfId="1" applyNumberFormat="1" applyFont="1" applyFill="1" applyAlignment="1">
      <alignment horizontal="center" vertical="center"/>
    </xf>
    <xf numFmtId="41" fontId="27" fillId="0" borderId="0" xfId="2" applyFont="1" applyFill="1" applyAlignment="1">
      <alignment vertical="center"/>
    </xf>
    <xf numFmtId="177" fontId="27" fillId="0" borderId="14" xfId="3" applyNumberFormat="1" applyFont="1" applyFill="1" applyBorder="1" applyAlignment="1">
      <alignment vertical="center"/>
    </xf>
    <xf numFmtId="41" fontId="27" fillId="0" borderId="14" xfId="2" applyFont="1" applyFill="1" applyBorder="1" applyAlignment="1">
      <alignment vertical="center"/>
    </xf>
    <xf numFmtId="176" fontId="27" fillId="0" borderId="14" xfId="3" applyNumberFormat="1" applyFont="1" applyFill="1" applyBorder="1" applyAlignment="1">
      <alignment horizontal="center" vertical="center"/>
    </xf>
    <xf numFmtId="9" fontId="27" fillId="0" borderId="14" xfId="1" applyFont="1" applyFill="1" applyBorder="1" applyAlignment="1">
      <alignment horizontal="left" vertical="center"/>
    </xf>
    <xf numFmtId="176" fontId="36" fillId="0" borderId="0" xfId="3" applyNumberFormat="1" applyFont="1" applyFill="1" applyAlignment="1">
      <alignment vertical="center"/>
    </xf>
    <xf numFmtId="42" fontId="29" fillId="0" borderId="0" xfId="3" applyNumberFormat="1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78" fontId="29" fillId="0" borderId="0" xfId="3" applyNumberFormat="1" applyFont="1" applyFill="1" applyAlignment="1">
      <alignment horizontal="center" vertical="center"/>
    </xf>
    <xf numFmtId="180" fontId="29" fillId="0" borderId="0" xfId="2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29" fillId="0" borderId="0" xfId="3" applyFont="1" applyFill="1" applyAlignment="1">
      <alignment vertical="center" wrapText="1"/>
    </xf>
    <xf numFmtId="0" fontId="29" fillId="0" borderId="0" xfId="0" applyFont="1" applyFill="1" applyAlignment="1">
      <alignment horizontal="right" vertical="center"/>
    </xf>
    <xf numFmtId="0" fontId="29" fillId="0" borderId="14" xfId="3" applyFont="1" applyFill="1" applyBorder="1" applyAlignment="1">
      <alignment horizontal="center" vertical="center"/>
    </xf>
    <xf numFmtId="0" fontId="38" fillId="0" borderId="0" xfId="3" applyFont="1" applyFill="1" applyAlignment="1">
      <alignment vertical="center"/>
    </xf>
    <xf numFmtId="0" fontId="29" fillId="0" borderId="0" xfId="0" applyFont="1" applyFill="1">
      <alignment vertical="center"/>
    </xf>
    <xf numFmtId="176" fontId="29" fillId="0" borderId="14" xfId="3" applyNumberFormat="1" applyFont="1" applyFill="1" applyBorder="1" applyAlignment="1">
      <alignment horizontal="right" vertical="center"/>
    </xf>
    <xf numFmtId="0" fontId="29" fillId="0" borderId="13" xfId="3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41" fontId="45" fillId="0" borderId="11" xfId="8" applyFont="1" applyBorder="1" applyAlignment="1">
      <alignment vertical="center"/>
    </xf>
    <xf numFmtId="182" fontId="45" fillId="0" borderId="12" xfId="8" applyNumberFormat="1" applyFont="1" applyBorder="1" applyAlignment="1">
      <alignment vertical="center"/>
    </xf>
    <xf numFmtId="0" fontId="46" fillId="0" borderId="11" xfId="7" applyFont="1" applyBorder="1" applyAlignment="1">
      <alignment horizontal="center" vertical="center"/>
    </xf>
    <xf numFmtId="41" fontId="47" fillId="0" borderId="11" xfId="8" applyFont="1" applyBorder="1" applyAlignment="1">
      <alignment vertical="center"/>
    </xf>
    <xf numFmtId="0" fontId="46" fillId="0" borderId="20" xfId="7" applyFont="1" applyBorder="1" applyAlignment="1">
      <alignment horizontal="center" vertical="center"/>
    </xf>
    <xf numFmtId="41" fontId="47" fillId="0" borderId="20" xfId="8" applyFont="1" applyBorder="1">
      <alignment vertical="center"/>
    </xf>
    <xf numFmtId="182" fontId="47" fillId="0" borderId="12" xfId="8" applyNumberFormat="1" applyFont="1" applyBorder="1" applyAlignment="1">
      <alignment vertical="center"/>
    </xf>
    <xf numFmtId="0" fontId="36" fillId="0" borderId="0" xfId="3" applyFont="1" applyFill="1" applyAlignment="1">
      <alignment vertical="center"/>
    </xf>
    <xf numFmtId="0" fontId="29" fillId="0" borderId="14" xfId="0" applyFont="1" applyFill="1" applyBorder="1">
      <alignment vertical="center"/>
    </xf>
    <xf numFmtId="0" fontId="29" fillId="0" borderId="29" xfId="3" applyFont="1" applyFill="1" applyBorder="1" applyAlignment="1">
      <alignment vertical="center" wrapText="1"/>
    </xf>
    <xf numFmtId="176" fontId="29" fillId="0" borderId="51" xfId="3" applyNumberFormat="1" applyFont="1" applyFill="1" applyBorder="1" applyAlignment="1">
      <alignment horizontal="right" vertical="center"/>
    </xf>
    <xf numFmtId="3" fontId="17" fillId="0" borderId="33" xfId="0" applyNumberFormat="1" applyFont="1" applyFill="1" applyBorder="1" applyAlignment="1">
      <alignment vertical="center"/>
    </xf>
    <xf numFmtId="178" fontId="34" fillId="0" borderId="20" xfId="3" applyNumberFormat="1" applyFont="1" applyFill="1" applyBorder="1" applyAlignment="1">
      <alignment horizontal="center" vertical="center"/>
    </xf>
    <xf numFmtId="0" fontId="19" fillId="0" borderId="13" xfId="3" applyFont="1" applyFill="1" applyBorder="1" applyAlignment="1">
      <alignment vertical="center"/>
    </xf>
    <xf numFmtId="0" fontId="19" fillId="0" borderId="37" xfId="3" applyFont="1" applyFill="1" applyBorder="1" applyAlignment="1">
      <alignment vertical="center"/>
    </xf>
    <xf numFmtId="176" fontId="19" fillId="0" borderId="13" xfId="3" applyNumberFormat="1" applyFont="1" applyFill="1" applyBorder="1" applyAlignment="1">
      <alignment vertical="center"/>
    </xf>
    <xf numFmtId="42" fontId="48" fillId="0" borderId="0" xfId="3" applyNumberFormat="1" applyFont="1" applyFill="1" applyAlignment="1">
      <alignment horizontal="center" vertical="center"/>
    </xf>
    <xf numFmtId="187" fontId="17" fillId="0" borderId="0" xfId="1" applyNumberFormat="1" applyFont="1" applyFill="1" applyAlignment="1">
      <alignment horizontal="center" vertical="center"/>
    </xf>
    <xf numFmtId="178" fontId="17" fillId="0" borderId="0" xfId="3" applyNumberFormat="1" applyFont="1" applyFill="1" applyAlignment="1">
      <alignment vertical="center"/>
    </xf>
    <xf numFmtId="9" fontId="17" fillId="0" borderId="14" xfId="1" applyFont="1" applyFill="1" applyBorder="1" applyAlignment="1">
      <alignment horizontal="center" vertical="center"/>
    </xf>
    <xf numFmtId="177" fontId="17" fillId="0" borderId="14" xfId="3" applyNumberFormat="1" applyFont="1" applyFill="1" applyBorder="1" applyAlignment="1">
      <alignment vertical="center"/>
    </xf>
    <xf numFmtId="0" fontId="17" fillId="0" borderId="10" xfId="3" applyFont="1" applyFill="1" applyBorder="1" applyAlignment="1">
      <alignment vertical="center"/>
    </xf>
    <xf numFmtId="41" fontId="17" fillId="0" borderId="14" xfId="2" applyFont="1" applyFill="1" applyBorder="1" applyAlignment="1">
      <alignment vertical="center"/>
    </xf>
    <xf numFmtId="191" fontId="17" fillId="0" borderId="0" xfId="1" applyNumberFormat="1" applyFont="1" applyFill="1" applyAlignment="1">
      <alignment horizontal="center" vertical="center"/>
    </xf>
    <xf numFmtId="189" fontId="17" fillId="0" borderId="0" xfId="1" applyNumberFormat="1" applyFont="1" applyFill="1" applyAlignment="1">
      <alignment horizontal="center" vertical="center"/>
    </xf>
    <xf numFmtId="9" fontId="17" fillId="0" borderId="0" xfId="1" applyFont="1" applyFill="1" applyAlignment="1">
      <alignment horizontal="left" vertical="center"/>
    </xf>
    <xf numFmtId="9" fontId="17" fillId="0" borderId="51" xfId="1" applyFont="1" applyFill="1" applyBorder="1" applyAlignment="1">
      <alignment vertical="center"/>
    </xf>
    <xf numFmtId="9" fontId="27" fillId="0" borderId="0" xfId="1" applyFont="1" applyFill="1" applyAlignment="1">
      <alignment horizontal="left" vertical="center"/>
    </xf>
    <xf numFmtId="9" fontId="27" fillId="0" borderId="0" xfId="1" applyFont="1" applyFill="1" applyAlignment="1">
      <alignment horizontal="right" vertical="center"/>
    </xf>
    <xf numFmtId="177" fontId="27" fillId="0" borderId="0" xfId="3" applyNumberFormat="1" applyFont="1" applyFill="1" applyAlignment="1">
      <alignment vertical="center"/>
    </xf>
    <xf numFmtId="9" fontId="27" fillId="0" borderId="14" xfId="1" applyFont="1" applyFill="1" applyBorder="1" applyAlignment="1">
      <alignment vertical="center"/>
    </xf>
    <xf numFmtId="9" fontId="27" fillId="0" borderId="51" xfId="1" applyFont="1" applyFill="1" applyBorder="1" applyAlignment="1">
      <alignment vertical="center"/>
    </xf>
    <xf numFmtId="176" fontId="27" fillId="0" borderId="29" xfId="3" applyNumberFormat="1" applyFont="1" applyFill="1" applyBorder="1" applyAlignment="1">
      <alignment horizontal="center" vertical="center"/>
    </xf>
    <xf numFmtId="41" fontId="27" fillId="0" borderId="29" xfId="2" applyFont="1" applyFill="1" applyBorder="1" applyAlignment="1">
      <alignment vertical="center"/>
    </xf>
    <xf numFmtId="176" fontId="27" fillId="0" borderId="29" xfId="3" applyNumberFormat="1" applyFont="1" applyFill="1" applyBorder="1" applyAlignment="1">
      <alignment vertical="center"/>
    </xf>
    <xf numFmtId="177" fontId="27" fillId="0" borderId="29" xfId="3" applyNumberFormat="1" applyFont="1" applyFill="1" applyBorder="1" applyAlignment="1">
      <alignment vertical="center"/>
    </xf>
    <xf numFmtId="176" fontId="27" fillId="0" borderId="29" xfId="3" applyNumberFormat="1" applyFont="1" applyFill="1" applyBorder="1" applyAlignment="1">
      <alignment horizontal="right" vertical="center"/>
    </xf>
    <xf numFmtId="0" fontId="27" fillId="0" borderId="40" xfId="3" applyFont="1" applyFill="1" applyBorder="1" applyAlignment="1">
      <alignment vertical="center"/>
    </xf>
    <xf numFmtId="178" fontId="29" fillId="0" borderId="26" xfId="3" applyNumberFormat="1" applyFont="1" applyFill="1" applyBorder="1" applyAlignment="1">
      <alignment vertical="center"/>
    </xf>
    <xf numFmtId="178" fontId="27" fillId="0" borderId="26" xfId="3" applyNumberFormat="1" applyFont="1" applyFill="1" applyBorder="1" applyAlignment="1">
      <alignment vertical="center"/>
    </xf>
    <xf numFmtId="178" fontId="29" fillId="0" borderId="0" xfId="3" applyNumberFormat="1" applyFont="1" applyFill="1" applyAlignment="1">
      <alignment vertical="center"/>
    </xf>
    <xf numFmtId="187" fontId="29" fillId="0" borderId="0" xfId="1" applyNumberFormat="1" applyFont="1" applyFill="1" applyAlignment="1">
      <alignment horizontal="center" vertical="center"/>
    </xf>
    <xf numFmtId="0" fontId="8" fillId="0" borderId="20" xfId="7" applyFont="1" applyBorder="1" applyAlignment="1">
      <alignment horizontal="center" vertical="center"/>
    </xf>
    <xf numFmtId="0" fontId="11" fillId="0" borderId="45" xfId="7" applyBorder="1">
      <alignment vertical="center"/>
    </xf>
    <xf numFmtId="0" fontId="11" fillId="0" borderId="13" xfId="7" applyBorder="1">
      <alignment vertical="center"/>
    </xf>
    <xf numFmtId="176" fontId="19" fillId="0" borderId="13" xfId="3" applyNumberFormat="1" applyFont="1" applyFill="1" applyBorder="1" applyAlignment="1">
      <alignment horizontal="right" vertical="center"/>
    </xf>
    <xf numFmtId="176" fontId="36" fillId="0" borderId="0" xfId="3" applyNumberFormat="1" applyFont="1" applyFill="1" applyAlignment="1">
      <alignment horizontal="center" vertical="center"/>
    </xf>
    <xf numFmtId="176" fontId="36" fillId="0" borderId="0" xfId="3" applyNumberFormat="1" applyFont="1" applyFill="1" applyAlignment="1">
      <alignment horizontal="right" vertical="center"/>
    </xf>
    <xf numFmtId="178" fontId="34" fillId="0" borderId="11" xfId="3" applyNumberFormat="1" applyFont="1" applyFill="1" applyBorder="1" applyAlignment="1">
      <alignment horizontal="center" vertical="center"/>
    </xf>
    <xf numFmtId="178" fontId="34" fillId="0" borderId="11" xfId="3" applyNumberFormat="1" applyFont="1" applyFill="1" applyBorder="1" applyAlignment="1">
      <alignment vertical="center"/>
    </xf>
    <xf numFmtId="177" fontId="34" fillId="0" borderId="11" xfId="3" applyNumberFormat="1" applyFont="1" applyFill="1" applyBorder="1" applyAlignment="1">
      <alignment vertical="center"/>
    </xf>
    <xf numFmtId="9" fontId="34" fillId="0" borderId="11" xfId="1" applyFont="1" applyFill="1" applyBorder="1" applyAlignment="1">
      <alignment horizontal="center" vertical="center"/>
    </xf>
    <xf numFmtId="178" fontId="27" fillId="0" borderId="1" xfId="3" applyNumberFormat="1" applyFont="1" applyFill="1" applyBorder="1" applyAlignment="1">
      <alignment horizontal="center" vertical="center"/>
    </xf>
    <xf numFmtId="178" fontId="27" fillId="0" borderId="26" xfId="3" applyNumberFormat="1" applyFont="1" applyFill="1" applyBorder="1" applyAlignment="1">
      <alignment horizontal="center" vertical="center"/>
    </xf>
    <xf numFmtId="0" fontId="29" fillId="0" borderId="0" xfId="3" applyFont="1" applyFill="1" applyAlignment="1">
      <alignment horizontal="center" vertical="center"/>
    </xf>
    <xf numFmtId="178" fontId="22" fillId="0" borderId="26" xfId="3" applyNumberFormat="1" applyFont="1" applyFill="1" applyBorder="1" applyAlignment="1">
      <alignment vertical="center"/>
    </xf>
    <xf numFmtId="177" fontId="22" fillId="0" borderId="26" xfId="3" applyNumberFormat="1" applyFont="1" applyFill="1" applyBorder="1" applyAlignment="1">
      <alignment vertical="center"/>
    </xf>
    <xf numFmtId="9" fontId="22" fillId="0" borderId="26" xfId="3" applyNumberFormat="1" applyFont="1" applyFill="1" applyBorder="1" applyAlignment="1">
      <alignment horizontal="center" vertical="center"/>
    </xf>
    <xf numFmtId="0" fontId="39" fillId="0" borderId="14" xfId="0" applyFont="1" applyFill="1" applyBorder="1" applyAlignment="1">
      <alignment vertical="center"/>
    </xf>
    <xf numFmtId="176" fontId="29" fillId="0" borderId="0" xfId="3" applyNumberFormat="1" applyFont="1" applyFill="1" applyAlignment="1">
      <alignment horizontal="left" vertical="center"/>
    </xf>
    <xf numFmtId="0" fontId="29" fillId="0" borderId="32" xfId="3" applyFont="1" applyFill="1" applyBorder="1" applyAlignment="1">
      <alignment horizontal="left" vertical="center"/>
    </xf>
    <xf numFmtId="181" fontId="29" fillId="0" borderId="0" xfId="1" applyNumberFormat="1" applyFont="1" applyFill="1" applyAlignment="1">
      <alignment vertical="center"/>
    </xf>
    <xf numFmtId="0" fontId="29" fillId="0" borderId="26" xfId="3" applyFont="1" applyFill="1" applyBorder="1" applyAlignment="1">
      <alignment horizontal="center" vertical="center" wrapText="1"/>
    </xf>
    <xf numFmtId="176" fontId="17" fillId="0" borderId="26" xfId="0" applyNumberFormat="1" applyFont="1" applyFill="1" applyBorder="1" applyAlignment="1">
      <alignment vertical="center"/>
    </xf>
    <xf numFmtId="176" fontId="29" fillId="0" borderId="29" xfId="3" applyNumberFormat="1" applyFont="1" applyFill="1" applyBorder="1" applyAlignment="1">
      <alignment horizontal="left" vertical="center"/>
    </xf>
    <xf numFmtId="176" fontId="29" fillId="0" borderId="29" xfId="3" applyNumberFormat="1" applyFont="1" applyFill="1" applyBorder="1" applyAlignment="1">
      <alignment horizontal="right" vertical="center"/>
    </xf>
    <xf numFmtId="176" fontId="29" fillId="0" borderId="14" xfId="3" applyNumberFormat="1" applyFont="1" applyFill="1" applyBorder="1" applyAlignment="1">
      <alignment horizontal="left" vertical="center"/>
    </xf>
    <xf numFmtId="177" fontId="29" fillId="0" borderId="26" xfId="3" applyNumberFormat="1" applyFont="1" applyFill="1" applyBorder="1" applyAlignment="1">
      <alignment vertical="center"/>
    </xf>
    <xf numFmtId="9" fontId="29" fillId="0" borderId="26" xfId="3" applyNumberFormat="1" applyFont="1" applyFill="1" applyBorder="1" applyAlignment="1">
      <alignment horizontal="center" vertical="center"/>
    </xf>
    <xf numFmtId="177" fontId="29" fillId="0" borderId="1" xfId="3" applyNumberFormat="1" applyFont="1" applyFill="1" applyBorder="1" applyAlignment="1">
      <alignment vertical="center"/>
    </xf>
    <xf numFmtId="9" fontId="29" fillId="0" borderId="1" xfId="3" applyNumberFormat="1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178" fontId="29" fillId="0" borderId="7" xfId="3" applyNumberFormat="1" applyFont="1" applyFill="1" applyBorder="1" applyAlignment="1">
      <alignment vertical="center"/>
    </xf>
    <xf numFmtId="177" fontId="29" fillId="0" borderId="7" xfId="3" applyNumberFormat="1" applyFont="1" applyFill="1" applyBorder="1" applyAlignment="1">
      <alignment vertical="center"/>
    </xf>
    <xf numFmtId="9" fontId="29" fillId="0" borderId="7" xfId="3" applyNumberFormat="1" applyFont="1" applyFill="1" applyBorder="1" applyAlignment="1">
      <alignment horizontal="center" vertical="center"/>
    </xf>
    <xf numFmtId="0" fontId="38" fillId="0" borderId="37" xfId="3" applyFont="1" applyFill="1" applyBorder="1" applyAlignment="1">
      <alignment vertical="center"/>
    </xf>
    <xf numFmtId="0" fontId="38" fillId="0" borderId="13" xfId="3" applyFont="1" applyFill="1" applyBorder="1" applyAlignment="1">
      <alignment vertical="center"/>
    </xf>
    <xf numFmtId="9" fontId="29" fillId="0" borderId="0" xfId="1" applyFont="1" applyFill="1" applyAlignment="1">
      <alignment horizontal="center" vertical="center"/>
    </xf>
    <xf numFmtId="0" fontId="38" fillId="0" borderId="22" xfId="3" applyFont="1" applyFill="1" applyBorder="1" applyAlignment="1">
      <alignment vertical="center"/>
    </xf>
    <xf numFmtId="0" fontId="29" fillId="0" borderId="37" xfId="3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horizontal="center" vertical="center"/>
    </xf>
    <xf numFmtId="176" fontId="36" fillId="0" borderId="0" xfId="3" applyNumberFormat="1" applyFont="1" applyFill="1" applyAlignment="1">
      <alignment horizontal="left" vertical="center"/>
    </xf>
    <xf numFmtId="38" fontId="36" fillId="0" borderId="1" xfId="3" applyNumberFormat="1" applyFont="1" applyFill="1" applyBorder="1" applyAlignment="1">
      <alignment vertical="center"/>
    </xf>
    <xf numFmtId="178" fontId="29" fillId="0" borderId="0" xfId="3" applyNumberFormat="1" applyFont="1" applyFill="1" applyAlignment="1">
      <alignment horizontal="right" vertical="center"/>
    </xf>
    <xf numFmtId="38" fontId="29" fillId="0" borderId="20" xfId="3" applyNumberFormat="1" applyFont="1" applyFill="1" applyBorder="1" applyAlignment="1">
      <alignment vertical="center"/>
    </xf>
    <xf numFmtId="38" fontId="27" fillId="0" borderId="26" xfId="3" applyNumberFormat="1" applyFont="1" applyFill="1" applyBorder="1" applyAlignment="1">
      <alignment vertical="center"/>
    </xf>
    <xf numFmtId="38" fontId="43" fillId="0" borderId="20" xfId="3" applyNumberFormat="1" applyFont="1" applyFill="1" applyBorder="1" applyAlignment="1">
      <alignment vertical="center"/>
    </xf>
    <xf numFmtId="38" fontId="27" fillId="0" borderId="0" xfId="3" applyNumberFormat="1" applyFont="1" applyFill="1" applyAlignment="1">
      <alignment vertical="center"/>
    </xf>
    <xf numFmtId="41" fontId="36" fillId="0" borderId="0" xfId="2" applyFont="1" applyFill="1" applyAlignment="1">
      <alignment vertical="center"/>
    </xf>
    <xf numFmtId="0" fontId="11" fillId="0" borderId="2" xfId="7" applyBorder="1">
      <alignment vertical="center"/>
    </xf>
    <xf numFmtId="0" fontId="11" fillId="0" borderId="31" xfId="7" applyBorder="1">
      <alignment vertical="center"/>
    </xf>
    <xf numFmtId="0" fontId="11" fillId="0" borderId="17" xfId="7" applyBorder="1">
      <alignment vertical="center"/>
    </xf>
    <xf numFmtId="0" fontId="7" fillId="0" borderId="2" xfId="7" applyFont="1" applyBorder="1">
      <alignment vertical="center"/>
    </xf>
    <xf numFmtId="0" fontId="7" fillId="0" borderId="20" xfId="7" applyFont="1" applyBorder="1" applyAlignment="1">
      <alignment horizontal="center" vertical="center"/>
    </xf>
    <xf numFmtId="0" fontId="29" fillId="0" borderId="0" xfId="3" applyFont="1" applyFill="1" applyAlignment="1">
      <alignment horizontal="left" vertical="center"/>
    </xf>
    <xf numFmtId="176" fontId="39" fillId="0" borderId="0" xfId="3" applyNumberFormat="1" applyFont="1" applyFill="1" applyAlignment="1">
      <alignment horizontal="center" vertical="center"/>
    </xf>
    <xf numFmtId="0" fontId="39" fillId="0" borderId="0" xfId="3" applyFont="1" applyFill="1" applyAlignment="1">
      <alignment horizontal="center" vertical="center"/>
    </xf>
    <xf numFmtId="176" fontId="38" fillId="0" borderId="29" xfId="3" applyNumberFormat="1" applyFont="1" applyFill="1" applyBorder="1" applyAlignment="1">
      <alignment horizontal="right" vertical="center"/>
    </xf>
    <xf numFmtId="176" fontId="29" fillId="0" borderId="0" xfId="3" applyNumberFormat="1" applyFont="1" applyFill="1" applyAlignment="1">
      <alignment vertical="center"/>
    </xf>
    <xf numFmtId="0" fontId="29" fillId="0" borderId="0" xfId="3" applyFont="1" applyFill="1" applyAlignment="1">
      <alignment vertical="center"/>
    </xf>
    <xf numFmtId="176" fontId="29" fillId="0" borderId="0" xfId="3" applyNumberFormat="1" applyFont="1" applyFill="1" applyAlignment="1">
      <alignment horizontal="center" vertical="center"/>
    </xf>
    <xf numFmtId="176" fontId="29" fillId="0" borderId="0" xfId="3" applyNumberFormat="1" applyFont="1" applyFill="1" applyAlignment="1">
      <alignment horizontal="right" vertical="center"/>
    </xf>
    <xf numFmtId="42" fontId="27" fillId="0" borderId="0" xfId="3" applyNumberFormat="1" applyFont="1" applyFill="1" applyAlignment="1">
      <alignment horizontal="center" vertical="center"/>
    </xf>
    <xf numFmtId="42" fontId="36" fillId="0" borderId="0" xfId="3" applyNumberFormat="1" applyFont="1" applyFill="1" applyAlignment="1">
      <alignment horizontal="center" vertical="center"/>
    </xf>
    <xf numFmtId="176" fontId="17" fillId="0" borderId="22" xfId="3" applyNumberFormat="1" applyFont="1" applyFill="1" applyBorder="1" applyAlignment="1">
      <alignment vertical="center"/>
    </xf>
    <xf numFmtId="176" fontId="20" fillId="0" borderId="53" xfId="3" applyNumberFormat="1" applyFont="1" applyFill="1" applyBorder="1" applyAlignment="1">
      <alignment vertical="center"/>
    </xf>
    <xf numFmtId="0" fontId="29" fillId="0" borderId="39" xfId="3" applyFont="1" applyFill="1" applyBorder="1" applyAlignment="1">
      <alignment vertical="center"/>
    </xf>
    <xf numFmtId="0" fontId="29" fillId="0" borderId="10" xfId="3" applyFont="1" applyFill="1" applyBorder="1" applyAlignment="1">
      <alignment vertical="center"/>
    </xf>
    <xf numFmtId="0" fontId="17" fillId="0" borderId="43" xfId="3" applyFont="1" applyFill="1" applyBorder="1" applyAlignment="1">
      <alignment vertical="center"/>
    </xf>
    <xf numFmtId="176" fontId="17" fillId="0" borderId="43" xfId="3" applyNumberFormat="1" applyFont="1" applyFill="1" applyBorder="1" applyAlignment="1">
      <alignment vertical="center"/>
    </xf>
    <xf numFmtId="0" fontId="38" fillId="0" borderId="43" xfId="3" applyFont="1" applyFill="1" applyBorder="1" applyAlignment="1">
      <alignment vertical="center"/>
    </xf>
    <xf numFmtId="38" fontId="36" fillId="0" borderId="26" xfId="3" applyNumberFormat="1" applyFont="1" applyFill="1" applyBorder="1" applyAlignment="1">
      <alignment vertical="center"/>
    </xf>
    <xf numFmtId="38" fontId="49" fillId="0" borderId="26" xfId="3" applyNumberFormat="1" applyFont="1" applyFill="1" applyBorder="1" applyAlignment="1">
      <alignment vertical="center"/>
    </xf>
    <xf numFmtId="38" fontId="36" fillId="0" borderId="32" xfId="3" applyNumberFormat="1" applyFont="1" applyFill="1" applyBorder="1" applyAlignment="1">
      <alignment horizontal="center" vertical="center"/>
    </xf>
    <xf numFmtId="38" fontId="49" fillId="0" borderId="32" xfId="3" applyNumberFormat="1" applyFont="1" applyFill="1" applyBorder="1" applyAlignment="1">
      <alignment horizontal="center" vertical="center"/>
    </xf>
    <xf numFmtId="38" fontId="49" fillId="0" borderId="0" xfId="3" applyNumberFormat="1" applyFont="1" applyFill="1" applyAlignment="1">
      <alignment horizontal="center" vertical="center"/>
    </xf>
    <xf numFmtId="0" fontId="36" fillId="0" borderId="26" xfId="3" applyFont="1" applyFill="1" applyBorder="1" applyAlignment="1">
      <alignment horizontal="center" vertical="center"/>
    </xf>
    <xf numFmtId="38" fontId="36" fillId="0" borderId="35" xfId="3" applyNumberFormat="1" applyFont="1" applyFill="1" applyBorder="1" applyAlignment="1">
      <alignment vertical="center"/>
    </xf>
    <xf numFmtId="9" fontId="29" fillId="0" borderId="0" xfId="1" applyFont="1" applyFill="1" applyAlignment="1">
      <alignment horizontal="left" vertical="center"/>
    </xf>
    <xf numFmtId="178" fontId="25" fillId="0" borderId="0" xfId="0" applyNumberFormat="1" applyFont="1" applyFill="1">
      <alignment vertical="center"/>
    </xf>
    <xf numFmtId="178" fontId="29" fillId="0" borderId="0" xfId="0" applyNumberFormat="1" applyFont="1" applyFill="1">
      <alignment vertical="center"/>
    </xf>
    <xf numFmtId="178" fontId="29" fillId="0" borderId="29" xfId="0" applyNumberFormat="1" applyFont="1" applyFill="1" applyBorder="1">
      <alignment vertical="center"/>
    </xf>
    <xf numFmtId="9" fontId="29" fillId="0" borderId="26" xfId="1" applyFont="1" applyFill="1" applyBorder="1" applyAlignment="1">
      <alignment horizontal="center" vertical="center"/>
    </xf>
    <xf numFmtId="41" fontId="45" fillId="0" borderId="11" xfId="8" applyFont="1" applyFill="1" applyBorder="1" applyAlignment="1">
      <alignment vertical="center"/>
    </xf>
    <xf numFmtId="41" fontId="47" fillId="0" borderId="11" xfId="8" applyFont="1" applyFill="1" applyBorder="1" applyAlignment="1">
      <alignment vertical="center"/>
    </xf>
    <xf numFmtId="41" fontId="0" fillId="0" borderId="20" xfId="8" applyFont="1" applyFill="1" applyBorder="1">
      <alignment vertical="center"/>
    </xf>
    <xf numFmtId="41" fontId="47" fillId="0" borderId="20" xfId="8" applyFont="1" applyFill="1" applyBorder="1">
      <alignment vertical="center"/>
    </xf>
    <xf numFmtId="9" fontId="29" fillId="0" borderId="1" xfId="1" applyFont="1" applyFill="1" applyBorder="1" applyAlignment="1">
      <alignment horizontal="center" vertical="center"/>
    </xf>
    <xf numFmtId="9" fontId="29" fillId="0" borderId="7" xfId="1" applyFont="1" applyFill="1" applyBorder="1" applyAlignment="1">
      <alignment horizontal="center" vertical="center"/>
    </xf>
    <xf numFmtId="176" fontId="38" fillId="0" borderId="0" xfId="3" applyNumberFormat="1" applyFont="1" applyFill="1" applyAlignment="1">
      <alignment vertical="center"/>
    </xf>
    <xf numFmtId="176" fontId="38" fillId="0" borderId="14" xfId="3" applyNumberFormat="1" applyFont="1" applyFill="1" applyBorder="1" applyAlignment="1">
      <alignment vertical="center"/>
    </xf>
    <xf numFmtId="176" fontId="38" fillId="0" borderId="14" xfId="3" applyNumberFormat="1" applyFont="1" applyFill="1" applyBorder="1" applyAlignment="1">
      <alignment horizontal="right" vertical="center"/>
    </xf>
    <xf numFmtId="0" fontId="38" fillId="0" borderId="35" xfId="3" applyFont="1" applyFill="1" applyBorder="1" applyAlignment="1">
      <alignment vertical="center"/>
    </xf>
    <xf numFmtId="0" fontId="11" fillId="0" borderId="2" xfId="7" applyBorder="1" applyAlignment="1">
      <alignment horizontal="center" vertical="center"/>
    </xf>
    <xf numFmtId="0" fontId="11" fillId="0" borderId="17" xfId="7" applyBorder="1" applyAlignment="1">
      <alignment horizontal="center" vertical="center"/>
    </xf>
    <xf numFmtId="0" fontId="11" fillId="0" borderId="31" xfId="7" applyBorder="1" applyAlignment="1">
      <alignment horizontal="center" vertical="center"/>
    </xf>
    <xf numFmtId="41" fontId="11" fillId="0" borderId="0" xfId="7" applyNumberFormat="1">
      <alignment vertical="center"/>
    </xf>
    <xf numFmtId="0" fontId="4" fillId="0" borderId="3" xfId="7" applyFont="1" applyBorder="1" applyAlignment="1">
      <alignment horizontal="center" vertical="center"/>
    </xf>
    <xf numFmtId="0" fontId="36" fillId="0" borderId="14" xfId="3" applyFont="1" applyFill="1" applyBorder="1" applyAlignment="1">
      <alignment vertical="center"/>
    </xf>
    <xf numFmtId="0" fontId="37" fillId="0" borderId="14" xfId="3" applyFont="1" applyFill="1" applyBorder="1" applyAlignment="1">
      <alignment vertical="center"/>
    </xf>
    <xf numFmtId="41" fontId="29" fillId="0" borderId="0" xfId="2" applyFont="1" applyFill="1">
      <alignment vertical="center"/>
    </xf>
    <xf numFmtId="0" fontId="36" fillId="0" borderId="32" xfId="3" applyFont="1" applyFill="1" applyBorder="1" applyAlignment="1">
      <alignment horizontal="center" vertical="center" wrapText="1"/>
    </xf>
    <xf numFmtId="41" fontId="29" fillId="0" borderId="0" xfId="2" applyFont="1" applyFill="1" applyAlignment="1">
      <alignment horizontal="center" vertical="center"/>
    </xf>
    <xf numFmtId="41" fontId="17" fillId="0" borderId="0" xfId="2" applyFont="1" applyFill="1" applyAlignment="1">
      <alignment horizontal="center" vertical="center"/>
    </xf>
    <xf numFmtId="186" fontId="17" fillId="0" borderId="0" xfId="3" applyNumberFormat="1" applyFont="1" applyFill="1" applyAlignment="1">
      <alignment horizontal="center" vertical="center"/>
    </xf>
    <xf numFmtId="186" fontId="29" fillId="0" borderId="0" xfId="3" applyNumberFormat="1" applyFont="1" applyFill="1" applyAlignment="1">
      <alignment horizontal="center" vertical="center"/>
    </xf>
    <xf numFmtId="0" fontId="38" fillId="0" borderId="32" xfId="3" applyFont="1" applyFill="1" applyBorder="1" applyAlignment="1">
      <alignment vertical="center"/>
    </xf>
    <xf numFmtId="186" fontId="36" fillId="0" borderId="0" xfId="3" applyNumberFormat="1" applyFont="1" applyFill="1" applyAlignment="1">
      <alignment horizontal="center" vertical="center"/>
    </xf>
    <xf numFmtId="176" fontId="15" fillId="0" borderId="0" xfId="3" applyNumberFormat="1" applyFont="1" applyFill="1" applyAlignment="1">
      <alignment horizontal="center" vertical="center"/>
    </xf>
    <xf numFmtId="176" fontId="20" fillId="0" borderId="24" xfId="3" applyNumberFormat="1" applyFont="1" applyFill="1" applyBorder="1" applyAlignment="1">
      <alignment horizontal="center" vertical="center"/>
    </xf>
    <xf numFmtId="176" fontId="20" fillId="0" borderId="34" xfId="3" applyNumberFormat="1" applyFont="1" applyFill="1" applyBorder="1" applyAlignment="1">
      <alignment horizontal="center" vertical="center"/>
    </xf>
    <xf numFmtId="176" fontId="29" fillId="0" borderId="5" xfId="3" applyNumberFormat="1" applyFont="1" applyFill="1" applyBorder="1" applyAlignment="1">
      <alignment horizontal="center" vertical="center"/>
    </xf>
    <xf numFmtId="176" fontId="20" fillId="0" borderId="30" xfId="3" applyNumberFormat="1" applyFont="1" applyFill="1" applyBorder="1" applyAlignment="1">
      <alignment horizontal="center" vertical="center"/>
    </xf>
    <xf numFmtId="176" fontId="20" fillId="0" borderId="36" xfId="3" applyNumberFormat="1" applyFont="1" applyFill="1" applyBorder="1" applyAlignment="1">
      <alignment horizontal="center" vertical="center"/>
    </xf>
    <xf numFmtId="176" fontId="37" fillId="0" borderId="52" xfId="3" applyNumberFormat="1" applyFont="1" applyFill="1" applyBorder="1" applyAlignment="1">
      <alignment horizontal="center" vertical="center"/>
    </xf>
    <xf numFmtId="176" fontId="35" fillId="0" borderId="52" xfId="3" applyNumberFormat="1" applyFont="1" applyFill="1" applyBorder="1" applyAlignment="1">
      <alignment horizontal="center" vertical="center"/>
    </xf>
    <xf numFmtId="176" fontId="17" fillId="0" borderId="52" xfId="3" applyNumberFormat="1" applyFont="1" applyFill="1" applyBorder="1" applyAlignment="1">
      <alignment horizontal="center" vertical="center"/>
    </xf>
    <xf numFmtId="176" fontId="17" fillId="0" borderId="5" xfId="3" applyNumberFormat="1" applyFont="1" applyFill="1" applyBorder="1" applyAlignment="1">
      <alignment horizontal="center" vertical="center"/>
    </xf>
    <xf numFmtId="176" fontId="17" fillId="0" borderId="34" xfId="3" applyNumberFormat="1" applyFont="1" applyFill="1" applyBorder="1" applyAlignment="1">
      <alignment horizontal="center" vertical="center"/>
    </xf>
    <xf numFmtId="176" fontId="17" fillId="0" borderId="36" xfId="3" applyNumberFormat="1" applyFont="1" applyFill="1" applyBorder="1" applyAlignment="1">
      <alignment horizontal="center" vertical="center"/>
    </xf>
    <xf numFmtId="176" fontId="17" fillId="0" borderId="30" xfId="3" applyNumberFormat="1" applyFont="1" applyFill="1" applyBorder="1" applyAlignment="1">
      <alignment horizontal="center" vertical="center"/>
    </xf>
    <xf numFmtId="176" fontId="36" fillId="0" borderId="5" xfId="3" applyNumberFormat="1" applyFont="1" applyFill="1" applyBorder="1" applyAlignment="1">
      <alignment horizontal="center" vertical="center"/>
    </xf>
    <xf numFmtId="176" fontId="27" fillId="0" borderId="52" xfId="3" applyNumberFormat="1" applyFont="1" applyFill="1" applyBorder="1" applyAlignment="1">
      <alignment horizontal="center" vertical="center"/>
    </xf>
    <xf numFmtId="176" fontId="27" fillId="0" borderId="5" xfId="3" applyNumberFormat="1" applyFont="1" applyFill="1" applyBorder="1" applyAlignment="1">
      <alignment horizontal="center" vertical="center"/>
    </xf>
    <xf numFmtId="176" fontId="27" fillId="0" borderId="36" xfId="3" applyNumberFormat="1" applyFont="1" applyFill="1" applyBorder="1" applyAlignment="1">
      <alignment horizontal="center" vertical="center"/>
    </xf>
    <xf numFmtId="176" fontId="19" fillId="0" borderId="38" xfId="3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17" fillId="0" borderId="5" xfId="3" applyFont="1" applyFill="1" applyBorder="1" applyAlignment="1">
      <alignment horizontal="center" vertical="center"/>
    </xf>
    <xf numFmtId="176" fontId="38" fillId="0" borderId="38" xfId="3" applyNumberFormat="1" applyFont="1" applyFill="1" applyBorder="1" applyAlignment="1">
      <alignment horizontal="center" vertical="center"/>
    </xf>
    <xf numFmtId="176" fontId="19" fillId="0" borderId="36" xfId="3" applyNumberFormat="1" applyFont="1" applyFill="1" applyBorder="1" applyAlignment="1">
      <alignment horizontal="center" vertical="center"/>
    </xf>
    <xf numFmtId="176" fontId="17" fillId="0" borderId="44" xfId="3" applyNumberFormat="1" applyFont="1" applyFill="1" applyBorder="1" applyAlignment="1">
      <alignment horizontal="center" vertical="center"/>
    </xf>
    <xf numFmtId="176" fontId="29" fillId="0" borderId="36" xfId="3" applyNumberFormat="1" applyFont="1" applyFill="1" applyBorder="1" applyAlignment="1">
      <alignment horizontal="center" vertical="center"/>
    </xf>
    <xf numFmtId="176" fontId="38" fillId="0" borderId="5" xfId="3" applyNumberFormat="1" applyFont="1" applyFill="1" applyBorder="1" applyAlignment="1">
      <alignment horizontal="center" vertical="center"/>
    </xf>
    <xf numFmtId="176" fontId="29" fillId="0" borderId="30" xfId="3" applyNumberFormat="1" applyFont="1" applyFill="1" applyBorder="1" applyAlignment="1">
      <alignment horizontal="center" vertical="center"/>
    </xf>
    <xf numFmtId="176" fontId="38" fillId="0" borderId="44" xfId="3" applyNumberFormat="1" applyFont="1" applyFill="1" applyBorder="1" applyAlignment="1">
      <alignment horizontal="center" vertical="center"/>
    </xf>
    <xf numFmtId="0" fontId="36" fillId="0" borderId="52" xfId="3" applyFont="1" applyFill="1" applyBorder="1" applyAlignment="1">
      <alignment horizontal="center" vertical="center" wrapText="1"/>
    </xf>
    <xf numFmtId="176" fontId="29" fillId="0" borderId="52" xfId="3" applyNumberFormat="1" applyFont="1" applyFill="1" applyBorder="1" applyAlignment="1">
      <alignment horizontal="center" vertical="center"/>
    </xf>
    <xf numFmtId="176" fontId="29" fillId="0" borderId="38" xfId="3" applyNumberFormat="1" applyFont="1" applyFill="1" applyBorder="1" applyAlignment="1">
      <alignment horizontal="center" vertical="center"/>
    </xf>
    <xf numFmtId="9" fontId="36" fillId="0" borderId="0" xfId="1" applyFont="1" applyFill="1" applyAlignment="1">
      <alignment horizontal="center" vertical="center"/>
    </xf>
    <xf numFmtId="176" fontId="20" fillId="0" borderId="53" xfId="3" applyNumberFormat="1" applyFont="1" applyFill="1" applyBorder="1" applyAlignment="1">
      <alignment horizontal="center" vertical="center"/>
    </xf>
    <xf numFmtId="176" fontId="20" fillId="0" borderId="29" xfId="3" applyNumberFormat="1" applyFont="1" applyFill="1" applyBorder="1" applyAlignment="1">
      <alignment horizontal="center" vertical="center"/>
    </xf>
    <xf numFmtId="176" fontId="20" fillId="0" borderId="14" xfId="3" applyNumberFormat="1" applyFont="1" applyFill="1" applyBorder="1" applyAlignment="1">
      <alignment horizontal="center" vertical="center"/>
    </xf>
    <xf numFmtId="176" fontId="37" fillId="0" borderId="51" xfId="3" applyNumberFormat="1" applyFont="1" applyFill="1" applyBorder="1" applyAlignment="1">
      <alignment horizontal="center" vertical="center"/>
    </xf>
    <xf numFmtId="176" fontId="23" fillId="0" borderId="51" xfId="3" applyNumberFormat="1" applyFont="1" applyFill="1" applyBorder="1" applyAlignment="1">
      <alignment horizontal="center" vertical="center"/>
    </xf>
    <xf numFmtId="176" fontId="19" fillId="0" borderId="13" xfId="3" applyNumberFormat="1" applyFont="1" applyFill="1" applyBorder="1" applyAlignment="1">
      <alignment horizontal="center" vertical="center"/>
    </xf>
    <xf numFmtId="0" fontId="19" fillId="0" borderId="0" xfId="3" applyFont="1" applyFill="1" applyAlignment="1">
      <alignment horizontal="center" vertical="center"/>
    </xf>
    <xf numFmtId="176" fontId="29" fillId="0" borderId="14" xfId="3" applyNumberFormat="1" applyFont="1" applyFill="1" applyBorder="1" applyAlignment="1">
      <alignment horizontal="center" vertical="center"/>
    </xf>
    <xf numFmtId="176" fontId="29" fillId="0" borderId="29" xfId="3" applyNumberFormat="1" applyFont="1" applyFill="1" applyBorder="1" applyAlignment="1">
      <alignment horizontal="center" vertical="center"/>
    </xf>
    <xf numFmtId="0" fontId="29" fillId="0" borderId="13" xfId="3" applyFont="1" applyFill="1" applyBorder="1" applyAlignment="1">
      <alignment horizontal="center" vertical="center"/>
    </xf>
    <xf numFmtId="180" fontId="17" fillId="0" borderId="29" xfId="2" applyNumberFormat="1" applyFont="1" applyFill="1" applyBorder="1" applyAlignment="1">
      <alignment horizontal="center" vertical="center"/>
    </xf>
    <xf numFmtId="180" fontId="27" fillId="0" borderId="29" xfId="2" applyNumberFormat="1" applyFont="1" applyFill="1" applyBorder="1" applyAlignment="1">
      <alignment horizontal="center" vertical="center"/>
    </xf>
    <xf numFmtId="180" fontId="27" fillId="0" borderId="14" xfId="2" applyNumberFormat="1" applyFont="1" applyFill="1" applyBorder="1" applyAlignment="1">
      <alignment horizontal="center" vertical="center"/>
    </xf>
    <xf numFmtId="41" fontId="17" fillId="0" borderId="29" xfId="2" applyFont="1" applyFill="1" applyBorder="1" applyAlignment="1">
      <alignment horizontal="center" vertical="center"/>
    </xf>
    <xf numFmtId="176" fontId="36" fillId="0" borderId="36" xfId="3" applyNumberFormat="1" applyFont="1" applyFill="1" applyBorder="1" applyAlignment="1">
      <alignment horizontal="center" vertical="center"/>
    </xf>
    <xf numFmtId="0" fontId="36" fillId="0" borderId="35" xfId="3" applyFont="1" applyFill="1" applyBorder="1" applyAlignment="1">
      <alignment vertical="center"/>
    </xf>
    <xf numFmtId="176" fontId="19" fillId="0" borderId="0" xfId="3" applyNumberFormat="1" applyFont="1" applyFill="1" applyAlignment="1">
      <alignment horizontal="center" vertical="center"/>
    </xf>
    <xf numFmtId="38" fontId="36" fillId="0" borderId="0" xfId="3" applyNumberFormat="1" applyFont="1" applyFill="1" applyAlignment="1">
      <alignment horizontal="center" vertical="center"/>
    </xf>
    <xf numFmtId="0" fontId="39" fillId="0" borderId="14" xfId="0" applyFont="1" applyFill="1" applyBorder="1" applyAlignment="1">
      <alignment horizontal="center" vertical="center"/>
    </xf>
    <xf numFmtId="176" fontId="17" fillId="0" borderId="13" xfId="3" applyNumberFormat="1" applyFont="1" applyFill="1" applyBorder="1" applyAlignment="1">
      <alignment horizontal="center" vertical="center"/>
    </xf>
    <xf numFmtId="176" fontId="37" fillId="0" borderId="43" xfId="3" applyNumberFormat="1" applyFont="1" applyFill="1" applyBorder="1" applyAlignment="1">
      <alignment horizontal="center" vertical="center"/>
    </xf>
    <xf numFmtId="176" fontId="35" fillId="0" borderId="0" xfId="3" applyNumberFormat="1" applyFont="1" applyFill="1" applyAlignment="1">
      <alignment horizontal="center" vertical="center"/>
    </xf>
    <xf numFmtId="176" fontId="41" fillId="0" borderId="51" xfId="3" applyNumberFormat="1" applyFont="1" applyFill="1" applyBorder="1" applyAlignment="1">
      <alignment horizontal="center" vertical="center"/>
    </xf>
    <xf numFmtId="176" fontId="19" fillId="0" borderId="14" xfId="3" applyNumberFormat="1" applyFont="1" applyFill="1" applyBorder="1" applyAlignment="1">
      <alignment horizontal="center" vertical="center"/>
    </xf>
    <xf numFmtId="176" fontId="38" fillId="0" borderId="29" xfId="3" applyNumberFormat="1" applyFont="1" applyFill="1" applyBorder="1" applyAlignment="1">
      <alignment horizontal="center" vertical="center"/>
    </xf>
    <xf numFmtId="176" fontId="38" fillId="0" borderId="0" xfId="3" applyNumberFormat="1" applyFont="1" applyFill="1" applyAlignment="1">
      <alignment horizontal="center" vertical="center"/>
    </xf>
    <xf numFmtId="0" fontId="29" fillId="0" borderId="0" xfId="3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176" fontId="38" fillId="0" borderId="51" xfId="3" applyNumberFormat="1" applyFont="1" applyFill="1" applyBorder="1" applyAlignment="1">
      <alignment horizontal="center" vertical="center"/>
    </xf>
    <xf numFmtId="176" fontId="38" fillId="0" borderId="14" xfId="3" applyNumberFormat="1" applyFont="1" applyFill="1" applyBorder="1" applyAlignment="1">
      <alignment horizontal="center" vertical="center"/>
    </xf>
    <xf numFmtId="178" fontId="42" fillId="0" borderId="0" xfId="0" applyNumberFormat="1" applyFont="1" applyFill="1" applyAlignment="1">
      <alignment horizontal="center" vertical="center"/>
    </xf>
    <xf numFmtId="0" fontId="29" fillId="0" borderId="14" xfId="0" applyFont="1" applyFill="1" applyBorder="1" applyAlignment="1">
      <alignment horizontal="center" vertical="center"/>
    </xf>
    <xf numFmtId="176" fontId="29" fillId="0" borderId="0" xfId="0" applyNumberFormat="1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29" fillId="0" borderId="29" xfId="3" applyFont="1" applyFill="1" applyBorder="1" applyAlignment="1">
      <alignment horizontal="center" vertical="center" wrapText="1"/>
    </xf>
    <xf numFmtId="0" fontId="29" fillId="0" borderId="14" xfId="3" applyFont="1" applyFill="1" applyBorder="1" applyAlignment="1">
      <alignment vertical="center" wrapText="1"/>
    </xf>
    <xf numFmtId="0" fontId="29" fillId="0" borderId="14" xfId="3" applyFont="1" applyFill="1" applyBorder="1" applyAlignment="1">
      <alignment horizontal="center" vertical="center" wrapText="1"/>
    </xf>
    <xf numFmtId="176" fontId="22" fillId="0" borderId="29" xfId="3" applyNumberFormat="1" applyFont="1" applyFill="1" applyBorder="1" applyAlignment="1">
      <alignment horizontal="center" vertical="center"/>
    </xf>
    <xf numFmtId="176" fontId="22" fillId="0" borderId="14" xfId="3" applyNumberFormat="1" applyFont="1" applyFill="1" applyBorder="1" applyAlignment="1">
      <alignment horizontal="center" vertical="center"/>
    </xf>
    <xf numFmtId="176" fontId="24" fillId="0" borderId="51" xfId="3" applyNumberFormat="1" applyFont="1" applyFill="1" applyBorder="1" applyAlignment="1">
      <alignment horizontal="center" vertical="center"/>
    </xf>
    <xf numFmtId="42" fontId="17" fillId="0" borderId="29" xfId="3" applyNumberFormat="1" applyFont="1" applyFill="1" applyBorder="1" applyAlignment="1">
      <alignment horizontal="center" vertical="center"/>
    </xf>
    <xf numFmtId="42" fontId="27" fillId="0" borderId="29" xfId="3" applyNumberFormat="1" applyFont="1" applyFill="1" applyBorder="1" applyAlignment="1">
      <alignment horizontal="center" vertical="center"/>
    </xf>
    <xf numFmtId="42" fontId="27" fillId="0" borderId="14" xfId="3" applyNumberFormat="1" applyFont="1" applyFill="1" applyBorder="1" applyAlignment="1">
      <alignment horizontal="center" vertical="center"/>
    </xf>
    <xf numFmtId="178" fontId="29" fillId="0" borderId="0" xfId="0" applyNumberFormat="1" applyFont="1" applyFill="1" applyAlignment="1">
      <alignment horizontal="center" vertical="center"/>
    </xf>
    <xf numFmtId="178" fontId="25" fillId="0" borderId="0" xfId="0" applyNumberFormat="1" applyFont="1" applyFill="1" applyAlignment="1">
      <alignment horizontal="center" vertical="center"/>
    </xf>
    <xf numFmtId="178" fontId="26" fillId="0" borderId="0" xfId="0" applyNumberFormat="1" applyFont="1" applyFill="1" applyAlignment="1">
      <alignment horizontal="center" vertical="center"/>
    </xf>
    <xf numFmtId="178" fontId="29" fillId="0" borderId="29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 applyAlignment="1">
      <alignment horizontal="center" vertical="center"/>
    </xf>
    <xf numFmtId="0" fontId="19" fillId="0" borderId="13" xfId="3" applyFont="1" applyFill="1" applyBorder="1" applyAlignment="1">
      <alignment horizontal="center" vertical="center"/>
    </xf>
    <xf numFmtId="0" fontId="19" fillId="0" borderId="14" xfId="3" applyFont="1" applyFill="1" applyBorder="1" applyAlignment="1">
      <alignment horizontal="center" vertical="center"/>
    </xf>
    <xf numFmtId="176" fontId="17" fillId="0" borderId="43" xfId="3" applyNumberFormat="1" applyFont="1" applyFill="1" applyBorder="1" applyAlignment="1">
      <alignment horizontal="center" vertical="center"/>
    </xf>
    <xf numFmtId="0" fontId="38" fillId="0" borderId="0" xfId="3" applyFont="1" applyFill="1" applyAlignment="1">
      <alignment horizontal="center" vertical="center"/>
    </xf>
    <xf numFmtId="0" fontId="38" fillId="0" borderId="13" xfId="3" applyFont="1" applyFill="1" applyBorder="1" applyAlignment="1">
      <alignment horizontal="center" vertical="center"/>
    </xf>
    <xf numFmtId="176" fontId="35" fillId="0" borderId="51" xfId="3" applyNumberFormat="1" applyFont="1" applyFill="1" applyBorder="1" applyAlignment="1">
      <alignment horizontal="center" vertical="center"/>
    </xf>
    <xf numFmtId="176" fontId="17" fillId="0" borderId="53" xfId="3" applyNumberFormat="1" applyFont="1" applyFill="1" applyBorder="1" applyAlignment="1">
      <alignment horizontal="center" vertical="center"/>
    </xf>
    <xf numFmtId="176" fontId="27" fillId="0" borderId="51" xfId="3" applyNumberFormat="1" applyFont="1" applyFill="1" applyBorder="1" applyAlignment="1">
      <alignment horizontal="center" vertical="center"/>
    </xf>
    <xf numFmtId="0" fontId="27" fillId="0" borderId="14" xfId="3" applyFont="1" applyFill="1" applyBorder="1" applyAlignment="1">
      <alignment horizontal="center" vertical="center"/>
    </xf>
    <xf numFmtId="0" fontId="36" fillId="0" borderId="14" xfId="3" applyFont="1" applyFill="1" applyBorder="1" applyAlignment="1">
      <alignment horizontal="center" vertical="center"/>
    </xf>
    <xf numFmtId="0" fontId="38" fillId="0" borderId="43" xfId="3" applyFont="1" applyFill="1" applyBorder="1" applyAlignment="1">
      <alignment horizontal="center" vertical="center"/>
    </xf>
    <xf numFmtId="176" fontId="15" fillId="0" borderId="0" xfId="3" applyNumberFormat="1" applyFont="1" applyFill="1" applyAlignment="1">
      <alignment horizontal="right" vertical="center"/>
    </xf>
    <xf numFmtId="176" fontId="37" fillId="0" borderId="44" xfId="3" applyNumberFormat="1" applyFont="1" applyFill="1" applyBorder="1" applyAlignment="1">
      <alignment horizontal="center" vertical="center"/>
    </xf>
    <xf numFmtId="176" fontId="35" fillId="0" borderId="5" xfId="3" applyNumberFormat="1" applyFont="1" applyFill="1" applyBorder="1" applyAlignment="1">
      <alignment horizontal="center" vertical="center"/>
    </xf>
    <xf numFmtId="176" fontId="41" fillId="0" borderId="52" xfId="3" applyNumberFormat="1" applyFont="1" applyFill="1" applyBorder="1" applyAlignment="1">
      <alignment horizontal="center" vertical="center"/>
    </xf>
    <xf numFmtId="176" fontId="19" fillId="0" borderId="5" xfId="3" applyNumberFormat="1" applyFont="1" applyFill="1" applyBorder="1" applyAlignment="1">
      <alignment horizontal="center" vertical="center"/>
    </xf>
    <xf numFmtId="176" fontId="19" fillId="0" borderId="52" xfId="3" applyNumberFormat="1" applyFont="1" applyFill="1" applyBorder="1" applyAlignment="1">
      <alignment horizontal="center" vertical="center"/>
    </xf>
    <xf numFmtId="176" fontId="38" fillId="0" borderId="30" xfId="3" applyNumberFormat="1" applyFont="1" applyFill="1" applyBorder="1" applyAlignment="1">
      <alignment horizontal="center" vertical="center"/>
    </xf>
    <xf numFmtId="176" fontId="38" fillId="0" borderId="52" xfId="3" applyNumberFormat="1" applyFont="1" applyFill="1" applyBorder="1" applyAlignment="1">
      <alignment horizontal="center" vertical="center"/>
    </xf>
    <xf numFmtId="176" fontId="38" fillId="0" borderId="36" xfId="3" applyNumberFormat="1" applyFont="1" applyFill="1" applyBorder="1" applyAlignment="1">
      <alignment horizontal="center" vertical="center"/>
    </xf>
    <xf numFmtId="176" fontId="19" fillId="0" borderId="30" xfId="3" applyNumberFormat="1" applyFont="1" applyFill="1" applyBorder="1" applyAlignment="1">
      <alignment horizontal="center" vertical="center"/>
    </xf>
    <xf numFmtId="176" fontId="17" fillId="0" borderId="13" xfId="3" applyNumberFormat="1" applyFont="1" applyFill="1" applyBorder="1" applyAlignment="1">
      <alignment horizontal="right" vertical="center"/>
    </xf>
    <xf numFmtId="176" fontId="37" fillId="0" borderId="43" xfId="3" applyNumberFormat="1" applyFont="1" applyFill="1" applyBorder="1" applyAlignment="1">
      <alignment horizontal="right" vertical="center"/>
    </xf>
    <xf numFmtId="176" fontId="35" fillId="0" borderId="0" xfId="3" applyNumberFormat="1" applyFont="1" applyFill="1" applyAlignment="1">
      <alignment horizontal="right" vertical="center"/>
    </xf>
    <xf numFmtId="176" fontId="41" fillId="0" borderId="51" xfId="3" applyNumberFormat="1" applyFont="1" applyFill="1" applyBorder="1" applyAlignment="1">
      <alignment horizontal="right" vertical="center"/>
    </xf>
    <xf numFmtId="0" fontId="29" fillId="0" borderId="14" xfId="3" applyFont="1" applyFill="1" applyBorder="1" applyAlignment="1">
      <alignment horizontal="right" vertical="center"/>
    </xf>
    <xf numFmtId="0" fontId="39" fillId="0" borderId="14" xfId="0" applyFont="1" applyFill="1" applyBorder="1" applyAlignment="1">
      <alignment horizontal="right" vertical="center"/>
    </xf>
    <xf numFmtId="0" fontId="29" fillId="0" borderId="13" xfId="3" applyFont="1" applyFill="1" applyBorder="1" applyAlignment="1">
      <alignment horizontal="right" vertical="center"/>
    </xf>
    <xf numFmtId="176" fontId="39" fillId="0" borderId="0" xfId="3" applyNumberFormat="1" applyFont="1" applyFill="1" applyAlignment="1">
      <alignment horizontal="right" vertical="center"/>
    </xf>
    <xf numFmtId="0" fontId="29" fillId="0" borderId="14" xfId="0" applyFont="1" applyFill="1" applyBorder="1" applyAlignment="1">
      <alignment horizontal="right" vertical="center"/>
    </xf>
    <xf numFmtId="41" fontId="29" fillId="0" borderId="0" xfId="2" applyFont="1" applyFill="1" applyAlignment="1">
      <alignment horizontal="right" vertical="center"/>
    </xf>
    <xf numFmtId="9" fontId="29" fillId="0" borderId="0" xfId="1" applyFont="1" applyFill="1" applyAlignment="1">
      <alignment horizontal="right" vertical="center"/>
    </xf>
    <xf numFmtId="41" fontId="29" fillId="0" borderId="14" xfId="2" applyFont="1" applyFill="1" applyBorder="1" applyAlignment="1">
      <alignment horizontal="right" vertical="center"/>
    </xf>
    <xf numFmtId="41" fontId="15" fillId="0" borderId="0" xfId="0" applyNumberFormat="1" applyFont="1" applyFill="1">
      <alignment vertical="center"/>
    </xf>
    <xf numFmtId="176" fontId="38" fillId="0" borderId="0" xfId="3" applyNumberFormat="1" applyFont="1" applyFill="1" applyAlignment="1">
      <alignment horizontal="right" vertical="center"/>
    </xf>
    <xf numFmtId="179" fontId="29" fillId="0" borderId="0" xfId="1" applyNumberFormat="1" applyFont="1" applyFill="1" applyAlignment="1">
      <alignment horizontal="right" vertical="center"/>
    </xf>
    <xf numFmtId="9" fontId="29" fillId="0" borderId="0" xfId="3" applyNumberFormat="1" applyFont="1" applyFill="1" applyAlignment="1">
      <alignment horizontal="center" vertical="center"/>
    </xf>
    <xf numFmtId="178" fontId="25" fillId="0" borderId="0" xfId="0" applyNumberFormat="1" applyFont="1" applyFill="1" applyAlignment="1">
      <alignment horizontal="right" vertical="center"/>
    </xf>
    <xf numFmtId="0" fontId="29" fillId="0" borderId="51" xfId="3" applyFont="1" applyFill="1" applyBorder="1" applyAlignment="1">
      <alignment vertical="center"/>
    </xf>
    <xf numFmtId="0" fontId="38" fillId="0" borderId="51" xfId="3" applyFont="1" applyFill="1" applyBorder="1" applyAlignment="1">
      <alignment horizontal="center" vertical="center"/>
    </xf>
    <xf numFmtId="0" fontId="56" fillId="0" borderId="0" xfId="3" applyFont="1" applyFill="1" applyAlignment="1">
      <alignment vertical="center"/>
    </xf>
    <xf numFmtId="0" fontId="50" fillId="0" borderId="0" xfId="0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/>
    </xf>
    <xf numFmtId="38" fontId="15" fillId="0" borderId="26" xfId="3" applyNumberFormat="1" applyFont="1" applyFill="1" applyBorder="1" applyAlignment="1">
      <alignment vertical="center"/>
    </xf>
    <xf numFmtId="0" fontId="58" fillId="0" borderId="0" xfId="0" applyFont="1" applyFill="1" applyAlignment="1">
      <alignment vertical="center"/>
    </xf>
    <xf numFmtId="0" fontId="58" fillId="0" borderId="0" xfId="3" applyFont="1" applyFill="1" applyAlignment="1">
      <alignment vertical="center"/>
    </xf>
    <xf numFmtId="0" fontId="58" fillId="0" borderId="0" xfId="0" applyFont="1" applyFill="1">
      <alignment vertical="center"/>
    </xf>
    <xf numFmtId="41" fontId="58" fillId="0" borderId="0" xfId="2" applyFont="1" applyFill="1">
      <alignment vertical="center"/>
    </xf>
    <xf numFmtId="3" fontId="58" fillId="0" borderId="0" xfId="0" applyNumberFormat="1" applyFont="1" applyFill="1">
      <alignment vertical="center"/>
    </xf>
    <xf numFmtId="176" fontId="20" fillId="0" borderId="22" xfId="3" applyNumberFormat="1" applyFont="1" applyFill="1" applyBorder="1" applyAlignment="1">
      <alignment horizontal="right" vertical="center"/>
    </xf>
    <xf numFmtId="176" fontId="23" fillId="0" borderId="51" xfId="3" applyNumberFormat="1" applyFont="1" applyFill="1" applyBorder="1" applyAlignment="1">
      <alignment horizontal="right" vertical="center"/>
    </xf>
    <xf numFmtId="189" fontId="17" fillId="0" borderId="0" xfId="1" applyNumberFormat="1" applyFont="1" applyFill="1" applyAlignment="1">
      <alignment horizontal="right" vertical="center"/>
    </xf>
    <xf numFmtId="181" fontId="17" fillId="0" borderId="0" xfId="1" applyNumberFormat="1" applyFont="1" applyFill="1" applyAlignment="1">
      <alignment horizontal="right" vertical="center"/>
    </xf>
    <xf numFmtId="183" fontId="17" fillId="0" borderId="0" xfId="1" applyNumberFormat="1" applyFont="1" applyFill="1" applyAlignment="1">
      <alignment horizontal="right" vertical="center"/>
    </xf>
    <xf numFmtId="184" fontId="17" fillId="0" borderId="0" xfId="1" applyNumberFormat="1" applyFont="1" applyFill="1" applyAlignment="1">
      <alignment horizontal="right" vertical="center"/>
    </xf>
    <xf numFmtId="10" fontId="17" fillId="0" borderId="0" xfId="1" applyNumberFormat="1" applyFont="1" applyFill="1" applyAlignment="1">
      <alignment horizontal="right" vertical="center"/>
    </xf>
    <xf numFmtId="188" fontId="17" fillId="0" borderId="0" xfId="1" applyNumberFormat="1" applyFont="1" applyFill="1" applyAlignment="1">
      <alignment horizontal="right" vertical="center"/>
    </xf>
    <xf numFmtId="185" fontId="17" fillId="0" borderId="0" xfId="3" applyNumberFormat="1" applyFont="1" applyFill="1" applyAlignment="1">
      <alignment horizontal="right" vertical="center"/>
    </xf>
    <xf numFmtId="9" fontId="17" fillId="0" borderId="0" xfId="1" applyFont="1" applyFill="1" applyAlignment="1">
      <alignment horizontal="right" vertical="center"/>
    </xf>
    <xf numFmtId="0" fontId="29" fillId="0" borderId="0" xfId="3" applyFont="1" applyFill="1" applyAlignment="1">
      <alignment horizontal="right" vertical="center"/>
    </xf>
    <xf numFmtId="185" fontId="29" fillId="0" borderId="0" xfId="3" applyNumberFormat="1" applyFont="1" applyFill="1" applyAlignment="1">
      <alignment horizontal="right" vertical="center"/>
    </xf>
    <xf numFmtId="10" fontId="29" fillId="0" borderId="0" xfId="1" applyNumberFormat="1" applyFont="1" applyFill="1" applyAlignment="1">
      <alignment horizontal="right" vertical="center"/>
    </xf>
    <xf numFmtId="178" fontId="17" fillId="0" borderId="0" xfId="3" applyNumberFormat="1" applyFont="1" applyFill="1" applyAlignment="1">
      <alignment horizontal="right" vertical="center"/>
    </xf>
    <xf numFmtId="178" fontId="17" fillId="0" borderId="14" xfId="3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0" xfId="3" applyFont="1" applyFill="1" applyAlignment="1">
      <alignment horizontal="right" vertical="center"/>
    </xf>
    <xf numFmtId="0" fontId="19" fillId="0" borderId="0" xfId="3" applyFont="1" applyFill="1" applyAlignment="1">
      <alignment horizontal="right" vertical="center"/>
    </xf>
    <xf numFmtId="0" fontId="36" fillId="0" borderId="0" xfId="3" applyFont="1" applyFill="1" applyAlignment="1">
      <alignment horizontal="right" vertical="center"/>
    </xf>
    <xf numFmtId="176" fontId="29" fillId="0" borderId="13" xfId="3" applyNumberFormat="1" applyFont="1" applyFill="1" applyBorder="1" applyAlignment="1">
      <alignment horizontal="right" vertical="center"/>
    </xf>
    <xf numFmtId="41" fontId="15" fillId="0" borderId="0" xfId="0" applyNumberFormat="1" applyFont="1" applyFill="1" applyAlignment="1">
      <alignment vertical="center"/>
    </xf>
    <xf numFmtId="9" fontId="29" fillId="0" borderId="0" xfId="1" applyFont="1" applyFill="1" applyAlignment="1">
      <alignment vertical="center"/>
    </xf>
    <xf numFmtId="184" fontId="29" fillId="0" borderId="0" xfId="1" applyNumberFormat="1" applyFont="1" applyFill="1" applyAlignment="1">
      <alignment vertical="center"/>
    </xf>
    <xf numFmtId="10" fontId="29" fillId="0" borderId="0" xfId="1" applyNumberFormat="1" applyFont="1" applyFill="1" applyAlignment="1">
      <alignment vertical="center"/>
    </xf>
    <xf numFmtId="188" fontId="29" fillId="0" borderId="0" xfId="1" applyNumberFormat="1" applyFont="1" applyFill="1" applyAlignment="1">
      <alignment vertical="center"/>
    </xf>
    <xf numFmtId="41" fontId="58" fillId="0" borderId="0" xfId="3" applyNumberFormat="1" applyFont="1" applyFill="1" applyAlignment="1">
      <alignment vertical="center"/>
    </xf>
    <xf numFmtId="0" fontId="36" fillId="0" borderId="32" xfId="3" applyFont="1" applyFill="1" applyBorder="1" applyAlignment="1">
      <alignment vertical="center"/>
    </xf>
    <xf numFmtId="176" fontId="17" fillId="0" borderId="51" xfId="3" applyNumberFormat="1" applyFont="1" applyFill="1" applyBorder="1" applyAlignment="1">
      <alignment horizontal="right" vertical="center"/>
    </xf>
    <xf numFmtId="176" fontId="35" fillId="0" borderId="51" xfId="3" applyNumberFormat="1" applyFont="1" applyFill="1" applyBorder="1" applyAlignment="1">
      <alignment horizontal="right"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17" fillId="0" borderId="53" xfId="3" applyNumberFormat="1" applyFont="1" applyFill="1" applyBorder="1" applyAlignment="1">
      <alignment horizontal="right" vertical="center"/>
    </xf>
    <xf numFmtId="176" fontId="37" fillId="0" borderId="14" xfId="3" applyNumberFormat="1" applyFont="1" applyFill="1" applyBorder="1" applyAlignment="1">
      <alignment horizontal="right" vertical="center"/>
    </xf>
    <xf numFmtId="178" fontId="20" fillId="0" borderId="43" xfId="3" applyNumberFormat="1" applyFont="1" applyFill="1" applyBorder="1" applyAlignment="1">
      <alignment vertical="center"/>
    </xf>
    <xf numFmtId="177" fontId="19" fillId="0" borderId="13" xfId="3" applyNumberFormat="1" applyFont="1" applyFill="1" applyBorder="1" applyAlignment="1">
      <alignment horizontal="right" vertical="center"/>
    </xf>
    <xf numFmtId="176" fontId="27" fillId="0" borderId="51" xfId="3" applyNumberFormat="1" applyFont="1" applyFill="1" applyBorder="1" applyAlignment="1">
      <alignment horizontal="right" vertical="center"/>
    </xf>
    <xf numFmtId="177" fontId="38" fillId="0" borderId="13" xfId="3" applyNumberFormat="1" applyFont="1" applyFill="1" applyBorder="1" applyAlignment="1">
      <alignment horizontal="right" vertical="center"/>
    </xf>
    <xf numFmtId="177" fontId="29" fillId="0" borderId="0" xfId="3" applyNumberFormat="1" applyFont="1" applyFill="1" applyAlignment="1">
      <alignment horizontal="right" vertical="center"/>
    </xf>
    <xf numFmtId="176" fontId="20" fillId="0" borderId="53" xfId="3" applyNumberFormat="1" applyFont="1" applyFill="1" applyBorder="1" applyAlignment="1">
      <alignment horizontal="right" vertical="center"/>
    </xf>
    <xf numFmtId="176" fontId="17" fillId="0" borderId="43" xfId="3" applyNumberFormat="1" applyFont="1" applyFill="1" applyBorder="1" applyAlignment="1">
      <alignment horizontal="right" vertical="center"/>
    </xf>
    <xf numFmtId="177" fontId="38" fillId="0" borderId="0" xfId="3" applyNumberFormat="1" applyFont="1" applyFill="1" applyAlignment="1">
      <alignment horizontal="right" vertical="center"/>
    </xf>
    <xf numFmtId="176" fontId="36" fillId="0" borderId="14" xfId="3" applyNumberFormat="1" applyFont="1" applyFill="1" applyBorder="1" applyAlignment="1">
      <alignment horizontal="right" vertical="center"/>
    </xf>
    <xf numFmtId="177" fontId="19" fillId="0" borderId="14" xfId="3" applyNumberFormat="1" applyFont="1" applyFill="1" applyBorder="1" applyAlignment="1">
      <alignment horizontal="right" vertical="center"/>
    </xf>
    <xf numFmtId="177" fontId="29" fillId="0" borderId="43" xfId="3" applyNumberFormat="1" applyFont="1" applyFill="1" applyBorder="1" applyAlignment="1">
      <alignment horizontal="right" vertical="center"/>
    </xf>
    <xf numFmtId="41" fontId="58" fillId="0" borderId="0" xfId="0" applyNumberFormat="1" applyFont="1" applyFill="1" applyAlignment="1">
      <alignment vertical="center"/>
    </xf>
    <xf numFmtId="178" fontId="29" fillId="0" borderId="0" xfId="0" applyNumberFormat="1" applyFont="1" applyFill="1" applyAlignment="1">
      <alignment horizontal="right" vertical="center"/>
    </xf>
    <xf numFmtId="3" fontId="29" fillId="0" borderId="14" xfId="0" applyNumberFormat="1" applyFont="1" applyFill="1" applyBorder="1" applyAlignment="1">
      <alignment vertical="center"/>
    </xf>
    <xf numFmtId="3" fontId="29" fillId="0" borderId="0" xfId="0" applyNumberFormat="1" applyFont="1" applyFill="1" applyAlignment="1">
      <alignment vertical="center"/>
    </xf>
    <xf numFmtId="178" fontId="29" fillId="0" borderId="14" xfId="3" applyNumberFormat="1" applyFont="1" applyFill="1" applyBorder="1" applyAlignment="1">
      <alignment horizontal="right" vertical="center"/>
    </xf>
    <xf numFmtId="178" fontId="29" fillId="0" borderId="14" xfId="0" applyNumberFormat="1" applyFont="1" applyFill="1" applyBorder="1" applyAlignment="1">
      <alignment horizontal="right" vertical="center"/>
    </xf>
    <xf numFmtId="176" fontId="27" fillId="0" borderId="30" xfId="3" applyNumberFormat="1" applyFont="1" applyFill="1" applyBorder="1" applyAlignment="1">
      <alignment horizontal="center" vertical="center"/>
    </xf>
    <xf numFmtId="176" fontId="39" fillId="0" borderId="5" xfId="3" applyNumberFormat="1" applyFont="1" applyFill="1" applyBorder="1" applyAlignment="1">
      <alignment horizontal="center" vertical="center"/>
    </xf>
    <xf numFmtId="176" fontId="39" fillId="0" borderId="36" xfId="3" applyNumberFormat="1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29" fillId="0" borderId="36" xfId="0" applyFont="1" applyFill="1" applyBorder="1" applyAlignment="1">
      <alignment horizontal="center" vertical="center"/>
    </xf>
    <xf numFmtId="0" fontId="17" fillId="0" borderId="36" xfId="3" applyFont="1" applyFill="1" applyBorder="1" applyAlignment="1">
      <alignment horizontal="center" vertical="center"/>
    </xf>
    <xf numFmtId="176" fontId="17" fillId="0" borderId="51" xfId="3" applyNumberFormat="1" applyFont="1" applyFill="1" applyBorder="1" applyAlignment="1">
      <alignment horizontal="center" vertical="center"/>
    </xf>
    <xf numFmtId="176" fontId="29" fillId="0" borderId="51" xfId="3" applyNumberFormat="1" applyFont="1" applyFill="1" applyBorder="1" applyAlignment="1">
      <alignment horizontal="center" vertical="center"/>
    </xf>
    <xf numFmtId="176" fontId="17" fillId="0" borderId="29" xfId="3" applyNumberFormat="1" applyFont="1" applyFill="1" applyBorder="1" applyAlignment="1">
      <alignment horizontal="center" vertical="center"/>
    </xf>
    <xf numFmtId="176" fontId="17" fillId="0" borderId="0" xfId="3" applyNumberFormat="1" applyFont="1" applyFill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176" fontId="17" fillId="0" borderId="22" xfId="3" applyNumberFormat="1" applyFont="1" applyFill="1" applyBorder="1" applyAlignment="1">
      <alignment horizontal="center" vertical="center"/>
    </xf>
    <xf numFmtId="176" fontId="38" fillId="0" borderId="51" xfId="3" applyNumberFormat="1" applyFont="1" applyFill="1" applyBorder="1" applyAlignment="1">
      <alignment vertical="center"/>
    </xf>
    <xf numFmtId="0" fontId="38" fillId="0" borderId="51" xfId="3" applyFont="1" applyFill="1" applyBorder="1" applyAlignment="1">
      <alignment vertical="center"/>
    </xf>
    <xf numFmtId="0" fontId="29" fillId="0" borderId="0" xfId="3" applyFont="1" applyFill="1" applyAlignment="1">
      <alignment horizontal="left" vertical="center" wrapText="1"/>
    </xf>
    <xf numFmtId="0" fontId="17" fillId="0" borderId="41" xfId="3" applyFont="1" applyFill="1" applyBorder="1" applyAlignment="1">
      <alignment horizontal="center" vertical="center" wrapText="1"/>
    </xf>
    <xf numFmtId="176" fontId="29" fillId="0" borderId="14" xfId="3" applyNumberFormat="1" applyFont="1" applyFill="1" applyBorder="1" applyAlignment="1">
      <alignment vertical="center"/>
    </xf>
    <xf numFmtId="0" fontId="29" fillId="0" borderId="14" xfId="3" applyFont="1" applyFill="1" applyBorder="1" applyAlignment="1">
      <alignment vertical="center"/>
    </xf>
    <xf numFmtId="0" fontId="17" fillId="0" borderId="31" xfId="3" applyFont="1" applyFill="1" applyBorder="1" applyAlignment="1">
      <alignment vertical="center" wrapText="1"/>
    </xf>
    <xf numFmtId="0" fontId="17" fillId="0" borderId="17" xfId="3" applyFont="1" applyFill="1" applyBorder="1" applyAlignment="1">
      <alignment vertical="center" wrapText="1"/>
    </xf>
    <xf numFmtId="178" fontId="25" fillId="0" borderId="14" xfId="0" applyNumberFormat="1" applyFont="1" applyFill="1" applyBorder="1">
      <alignment vertical="center"/>
    </xf>
    <xf numFmtId="178" fontId="25" fillId="0" borderId="14" xfId="0" applyNumberFormat="1" applyFont="1" applyFill="1" applyBorder="1" applyAlignment="1">
      <alignment horizontal="center" vertical="center"/>
    </xf>
    <xf numFmtId="178" fontId="55" fillId="0" borderId="0" xfId="0" applyNumberFormat="1" applyFont="1" applyFill="1" applyAlignment="1">
      <alignment horizontal="center" vertical="center"/>
    </xf>
    <xf numFmtId="0" fontId="17" fillId="0" borderId="6" xfId="3" applyFont="1" applyFill="1" applyBorder="1" applyAlignment="1">
      <alignment vertical="center" wrapText="1"/>
    </xf>
    <xf numFmtId="0" fontId="19" fillId="0" borderId="1" xfId="3" applyFont="1" applyFill="1" applyBorder="1" applyAlignment="1">
      <alignment horizontal="center" vertical="center" wrapText="1"/>
    </xf>
    <xf numFmtId="176" fontId="29" fillId="0" borderId="0" xfId="4" applyNumberFormat="1" applyFont="1" applyFill="1" applyAlignment="1">
      <alignment horizontal="right" vertical="center"/>
    </xf>
    <xf numFmtId="176" fontId="29" fillId="0" borderId="0" xfId="4" applyNumberFormat="1" applyFont="1" applyFill="1" applyAlignment="1">
      <alignment horizontal="center" vertical="center"/>
    </xf>
    <xf numFmtId="38" fontId="29" fillId="0" borderId="11" xfId="4" applyNumberFormat="1" applyFont="1" applyFill="1" applyBorder="1" applyAlignment="1">
      <alignment horizontal="center" vertical="center" wrapText="1"/>
    </xf>
    <xf numFmtId="38" fontId="29" fillId="0" borderId="11" xfId="4" applyNumberFormat="1" applyFont="1" applyFill="1" applyBorder="1" applyAlignment="1">
      <alignment vertical="center"/>
    </xf>
    <xf numFmtId="0" fontId="29" fillId="0" borderId="0" xfId="4" applyFont="1" applyFill="1" applyAlignment="1">
      <alignment horizontal="center" vertical="center"/>
    </xf>
    <xf numFmtId="0" fontId="50" fillId="0" borderId="0" xfId="0" applyFont="1" applyFill="1">
      <alignment vertical="center"/>
    </xf>
    <xf numFmtId="41" fontId="15" fillId="0" borderId="0" xfId="2" applyFont="1" applyFill="1" applyAlignment="1">
      <alignment vertical="center"/>
    </xf>
    <xf numFmtId="41" fontId="15" fillId="0" borderId="0" xfId="2" applyFont="1" applyFill="1" applyAlignment="1">
      <alignment horizontal="center" vertical="center"/>
    </xf>
    <xf numFmtId="41" fontId="37" fillId="0" borderId="0" xfId="2" applyFont="1" applyFill="1" applyAlignment="1">
      <alignment horizontal="center" vertical="center"/>
    </xf>
    <xf numFmtId="41" fontId="15" fillId="0" borderId="0" xfId="3" applyNumberFormat="1" applyFont="1" applyFill="1" applyAlignment="1">
      <alignment vertical="center"/>
    </xf>
    <xf numFmtId="41" fontId="59" fillId="0" borderId="0" xfId="2" applyFont="1" applyFill="1" applyAlignment="1">
      <alignment vertical="center"/>
    </xf>
    <xf numFmtId="176" fontId="29" fillId="0" borderId="51" xfId="3" applyNumberFormat="1" applyFont="1" applyFill="1" applyBorder="1" applyAlignment="1">
      <alignment horizontal="center" vertical="center"/>
    </xf>
    <xf numFmtId="176" fontId="38" fillId="0" borderId="51" xfId="3" applyNumberFormat="1" applyFont="1" applyFill="1" applyBorder="1" applyAlignment="1">
      <alignment vertical="center"/>
    </xf>
    <xf numFmtId="176" fontId="29" fillId="0" borderId="14" xfId="3" applyNumberFormat="1" applyFont="1" applyFill="1" applyBorder="1" applyAlignment="1">
      <alignment vertical="center"/>
    </xf>
    <xf numFmtId="0" fontId="29" fillId="0" borderId="14" xfId="3" applyFont="1" applyFill="1" applyBorder="1" applyAlignment="1">
      <alignment vertical="center"/>
    </xf>
    <xf numFmtId="0" fontId="33" fillId="0" borderId="42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/>
    </xf>
    <xf numFmtId="0" fontId="33" fillId="0" borderId="10" xfId="7" applyFont="1" applyBorder="1" applyAlignment="1">
      <alignment horizontal="center" vertical="center"/>
    </xf>
    <xf numFmtId="0" fontId="33" fillId="0" borderId="9" xfId="7" applyFont="1" applyBorder="1" applyAlignment="1">
      <alignment horizontal="center" vertical="center"/>
    </xf>
    <xf numFmtId="0" fontId="33" fillId="0" borderId="15" xfId="7" applyFont="1" applyBorder="1" applyAlignment="1">
      <alignment horizontal="center" vertical="center"/>
    </xf>
    <xf numFmtId="0" fontId="33" fillId="0" borderId="20" xfId="7" applyFont="1" applyBorder="1" applyAlignment="1">
      <alignment horizontal="center" vertical="center"/>
    </xf>
    <xf numFmtId="0" fontId="33" fillId="0" borderId="46" xfId="7" applyFont="1" applyBorder="1" applyAlignment="1">
      <alignment horizontal="center" vertical="center"/>
    </xf>
    <xf numFmtId="0" fontId="33" fillId="0" borderId="47" xfId="7" applyFont="1" applyBorder="1" applyAlignment="1">
      <alignment horizontal="center" vertical="center"/>
    </xf>
    <xf numFmtId="0" fontId="33" fillId="0" borderId="20" xfId="7" applyFont="1" applyBorder="1" applyAlignment="1">
      <alignment horizontal="center" vertical="center" wrapText="1"/>
    </xf>
    <xf numFmtId="0" fontId="33" fillId="0" borderId="47" xfId="7" applyFont="1" applyBorder="1" applyAlignment="1">
      <alignment horizontal="center" vertical="center" wrapText="1"/>
    </xf>
    <xf numFmtId="0" fontId="33" fillId="0" borderId="40" xfId="7" applyFont="1" applyBorder="1" applyAlignment="1">
      <alignment horizontal="center" vertical="center"/>
    </xf>
    <xf numFmtId="0" fontId="33" fillId="0" borderId="48" xfId="7" applyFont="1" applyBorder="1" applyAlignment="1">
      <alignment horizontal="center" vertical="center"/>
    </xf>
    <xf numFmtId="0" fontId="33" fillId="0" borderId="18" xfId="7" applyFont="1" applyBorder="1" applyAlignment="1">
      <alignment horizontal="center" vertical="center"/>
    </xf>
    <xf numFmtId="0" fontId="33" fillId="0" borderId="49" xfId="7" applyFont="1" applyBorder="1" applyAlignment="1">
      <alignment horizontal="center" vertical="center"/>
    </xf>
    <xf numFmtId="0" fontId="44" fillId="0" borderId="17" xfId="7" applyFont="1" applyBorder="1" applyAlignment="1">
      <alignment horizontal="center" vertical="center"/>
    </xf>
    <xf numFmtId="0" fontId="44" fillId="0" borderId="11" xfId="7" applyFont="1" applyBorder="1" applyAlignment="1">
      <alignment horizontal="center" vertical="center"/>
    </xf>
    <xf numFmtId="0" fontId="11" fillId="0" borderId="2" xfId="7" applyBorder="1" applyAlignment="1">
      <alignment horizontal="center" vertical="center"/>
    </xf>
    <xf numFmtId="0" fontId="11" fillId="0" borderId="17" xfId="7" applyBorder="1" applyAlignment="1">
      <alignment horizontal="center" vertical="center"/>
    </xf>
    <xf numFmtId="0" fontId="11" fillId="0" borderId="31" xfId="7" applyBorder="1" applyAlignment="1">
      <alignment horizontal="center" vertical="center"/>
    </xf>
    <xf numFmtId="0" fontId="11" fillId="0" borderId="6" xfId="7" applyBorder="1" applyAlignment="1">
      <alignment horizontal="center" vertical="center"/>
    </xf>
    <xf numFmtId="0" fontId="36" fillId="0" borderId="40" xfId="3" applyFont="1" applyFill="1" applyBorder="1" applyAlignment="1">
      <alignment horizontal="center" vertical="center" wrapText="1"/>
    </xf>
    <xf numFmtId="0" fontId="36" fillId="0" borderId="19" xfId="3" applyFont="1" applyFill="1" applyBorder="1" applyAlignment="1">
      <alignment horizontal="center" vertical="center" wrapText="1"/>
    </xf>
    <xf numFmtId="176" fontId="17" fillId="0" borderId="51" xfId="3" applyNumberFormat="1" applyFont="1" applyFill="1" applyBorder="1" applyAlignment="1">
      <alignment horizontal="center" vertical="center"/>
    </xf>
    <xf numFmtId="176" fontId="29" fillId="0" borderId="51" xfId="3" applyNumberFormat="1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left" vertical="center" wrapText="1"/>
    </xf>
    <xf numFmtId="0" fontId="17" fillId="0" borderId="42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178" fontId="18" fillId="0" borderId="23" xfId="3" applyNumberFormat="1" applyFont="1" applyFill="1" applyBorder="1" applyAlignment="1">
      <alignment horizontal="center" vertical="center" wrapText="1"/>
    </xf>
    <xf numFmtId="178" fontId="18" fillId="0" borderId="7" xfId="3" applyNumberFormat="1" applyFont="1" applyFill="1" applyBorder="1" applyAlignment="1">
      <alignment horizontal="center" vertical="center" wrapText="1"/>
    </xf>
    <xf numFmtId="0" fontId="20" fillId="0" borderId="21" xfId="3" applyFont="1" applyFill="1" applyBorder="1" applyAlignment="1">
      <alignment horizontal="center" vertical="center" wrapText="1"/>
    </xf>
    <xf numFmtId="0" fontId="20" fillId="0" borderId="22" xfId="3" applyFont="1" applyFill="1" applyBorder="1" applyAlignment="1">
      <alignment horizontal="center" vertical="center" wrapText="1"/>
    </xf>
    <xf numFmtId="0" fontId="20" fillId="0" borderId="54" xfId="3" applyFont="1" applyFill="1" applyBorder="1" applyAlignment="1">
      <alignment horizontal="center" vertical="center" wrapText="1"/>
    </xf>
    <xf numFmtId="176" fontId="17" fillId="0" borderId="29" xfId="3" applyNumberFormat="1" applyFont="1" applyFill="1" applyBorder="1" applyAlignment="1">
      <alignment horizontal="center" vertical="center"/>
    </xf>
    <xf numFmtId="176" fontId="17" fillId="0" borderId="0" xfId="3" applyNumberFormat="1" applyFont="1" applyFill="1" applyAlignment="1">
      <alignment horizontal="center" vertical="center"/>
    </xf>
    <xf numFmtId="0" fontId="17" fillId="0" borderId="8" xfId="3" applyFont="1" applyFill="1" applyBorder="1" applyAlignment="1">
      <alignment horizontal="center" vertical="center"/>
    </xf>
    <xf numFmtId="0" fontId="17" fillId="0" borderId="39" xfId="3" applyFont="1" applyFill="1" applyBorder="1" applyAlignment="1">
      <alignment horizontal="center" vertical="center"/>
    </xf>
    <xf numFmtId="0" fontId="17" fillId="0" borderId="22" xfId="3" applyFont="1" applyFill="1" applyBorder="1" applyAlignment="1">
      <alignment horizontal="center" vertical="center"/>
    </xf>
    <xf numFmtId="0" fontId="17" fillId="0" borderId="24" xfId="3" applyFont="1" applyFill="1" applyBorder="1" applyAlignment="1">
      <alignment horizontal="center" vertical="center"/>
    </xf>
    <xf numFmtId="0" fontId="17" fillId="0" borderId="37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0" fontId="17" fillId="0" borderId="38" xfId="3" applyFont="1" applyFill="1" applyBorder="1" applyAlignment="1">
      <alignment horizontal="center" vertical="center"/>
    </xf>
    <xf numFmtId="176" fontId="17" fillId="0" borderId="22" xfId="3" applyNumberFormat="1" applyFont="1" applyFill="1" applyBorder="1" applyAlignment="1">
      <alignment horizontal="center" vertical="center"/>
    </xf>
    <xf numFmtId="0" fontId="37" fillId="0" borderId="42" xfId="3" applyFont="1" applyFill="1" applyBorder="1" applyAlignment="1">
      <alignment horizontal="center" vertical="center" wrapText="1"/>
    </xf>
    <xf numFmtId="0" fontId="37" fillId="0" borderId="8" xfId="3" applyFont="1" applyFill="1" applyBorder="1" applyAlignment="1">
      <alignment horizontal="center" vertical="center" wrapText="1"/>
    </xf>
    <xf numFmtId="0" fontId="35" fillId="0" borderId="32" xfId="3" applyFont="1" applyFill="1" applyBorder="1" applyAlignment="1">
      <alignment horizontal="center" vertical="center" wrapText="1"/>
    </xf>
    <xf numFmtId="0" fontId="35" fillId="0" borderId="25" xfId="3" applyFont="1" applyFill="1" applyBorder="1" applyAlignment="1">
      <alignment horizontal="center" vertical="center" wrapText="1"/>
    </xf>
    <xf numFmtId="176" fontId="38" fillId="0" borderId="51" xfId="3" applyNumberFormat="1" applyFont="1" applyFill="1" applyBorder="1" applyAlignment="1">
      <alignment vertical="center"/>
    </xf>
    <xf numFmtId="0" fontId="38" fillId="0" borderId="51" xfId="3" applyFont="1" applyFill="1" applyBorder="1" applyAlignment="1">
      <alignment vertical="center"/>
    </xf>
    <xf numFmtId="0" fontId="29" fillId="0" borderId="0" xfId="3" applyFont="1" applyFill="1" applyAlignment="1">
      <alignment horizontal="left" vertical="center" wrapText="1"/>
    </xf>
    <xf numFmtId="0" fontId="29" fillId="0" borderId="13" xfId="3" applyFont="1" applyFill="1" applyBorder="1" applyAlignment="1">
      <alignment horizontal="left" vertical="center" wrapText="1"/>
    </xf>
    <xf numFmtId="178" fontId="18" fillId="0" borderId="10" xfId="3" applyNumberFormat="1" applyFont="1" applyFill="1" applyBorder="1" applyAlignment="1">
      <alignment horizontal="center" vertical="center" wrapText="1"/>
    </xf>
    <xf numFmtId="178" fontId="18" fillId="0" borderId="43" xfId="3" applyNumberFormat="1" applyFont="1" applyFill="1" applyBorder="1" applyAlignment="1">
      <alignment horizontal="center" vertical="center" wrapText="1"/>
    </xf>
    <xf numFmtId="178" fontId="18" fillId="0" borderId="50" xfId="3" applyNumberFormat="1" applyFont="1" applyFill="1" applyBorder="1" applyAlignment="1">
      <alignment horizontal="center" vertical="center" wrapText="1"/>
    </xf>
    <xf numFmtId="0" fontId="17" fillId="0" borderId="35" xfId="3" applyFont="1" applyFill="1" applyBorder="1" applyAlignment="1">
      <alignment horizontal="center" vertical="center" wrapText="1"/>
    </xf>
    <xf numFmtId="0" fontId="17" fillId="0" borderId="41" xfId="3" applyFont="1" applyFill="1" applyBorder="1" applyAlignment="1">
      <alignment horizontal="center" vertical="center" wrapText="1"/>
    </xf>
    <xf numFmtId="0" fontId="19" fillId="0" borderId="20" xfId="3" applyFont="1" applyFill="1" applyBorder="1" applyAlignment="1">
      <alignment horizontal="center" vertical="center" wrapText="1"/>
    </xf>
    <xf numFmtId="0" fontId="19" fillId="0" borderId="33" xfId="3" applyFont="1" applyFill="1" applyBorder="1" applyAlignment="1">
      <alignment horizontal="center" vertical="center" wrapText="1"/>
    </xf>
    <xf numFmtId="0" fontId="19" fillId="0" borderId="27" xfId="3" applyFont="1" applyFill="1" applyBorder="1" applyAlignment="1">
      <alignment horizontal="center" vertical="center" wrapText="1"/>
    </xf>
    <xf numFmtId="0" fontId="17" fillId="0" borderId="40" xfId="3" applyFont="1" applyFill="1" applyBorder="1" applyAlignment="1">
      <alignment horizontal="center" vertical="center" wrapText="1"/>
    </xf>
    <xf numFmtId="0" fontId="17" fillId="0" borderId="19" xfId="3" applyFont="1" applyFill="1" applyBorder="1" applyAlignment="1">
      <alignment horizontal="center" vertical="center" wrapText="1"/>
    </xf>
    <xf numFmtId="176" fontId="29" fillId="0" borderId="14" xfId="3" applyNumberFormat="1" applyFont="1" applyFill="1" applyBorder="1" applyAlignment="1">
      <alignment vertical="center"/>
    </xf>
    <xf numFmtId="0" fontId="29" fillId="0" borderId="14" xfId="3" applyFont="1" applyFill="1" applyBorder="1" applyAlignment="1">
      <alignment vertical="center"/>
    </xf>
  </cellXfs>
  <cellStyles count="153">
    <cellStyle name="백분율" xfId="1" builtinId="5"/>
    <cellStyle name="쉼표 [0]" xfId="2" builtinId="6"/>
    <cellStyle name="쉼표 [0] 2" xfId="6"/>
    <cellStyle name="쉼표 [0] 2 10" xfId="54"/>
    <cellStyle name="쉼표 [0] 2 2" xfId="8"/>
    <cellStyle name="쉼표 [0] 2 2 2" xfId="16"/>
    <cellStyle name="쉼표 [0] 2 2 2 2" xfId="28"/>
    <cellStyle name="쉼표 [0] 2 2 2 2 2" xfId="99"/>
    <cellStyle name="쉼표 [0] 2 2 2 2 3" xfId="124"/>
    <cellStyle name="쉼표 [0] 2 2 2 2 4" xfId="149"/>
    <cellStyle name="쉼표 [0] 2 2 2 2 5" xfId="74"/>
    <cellStyle name="쉼표 [0] 2 2 2 3" xfId="87"/>
    <cellStyle name="쉼표 [0] 2 2 2 4" xfId="112"/>
    <cellStyle name="쉼표 [0] 2 2 2 5" xfId="137"/>
    <cellStyle name="쉼표 [0] 2 2 2 6" xfId="62"/>
    <cellStyle name="쉼표 [0] 2 2 3" xfId="22"/>
    <cellStyle name="쉼표 [0] 2 2 3 2" xfId="93"/>
    <cellStyle name="쉼표 [0] 2 2 3 3" xfId="118"/>
    <cellStyle name="쉼표 [0] 2 2 3 4" xfId="143"/>
    <cellStyle name="쉼표 [0] 2 2 3 5" xfId="68"/>
    <cellStyle name="쉼표 [0] 2 2 4" xfId="33"/>
    <cellStyle name="쉼표 [0] 2 2 5" xfId="81"/>
    <cellStyle name="쉼표 [0] 2 2 6" xfId="106"/>
    <cellStyle name="쉼표 [0] 2 2 7" xfId="131"/>
    <cellStyle name="쉼표 [0] 2 2 8" xfId="56"/>
    <cellStyle name="쉼표 [0] 2 3" xfId="10"/>
    <cellStyle name="쉼표 [0] 2 3 2" xfId="18"/>
    <cellStyle name="쉼표 [0] 2 3 2 2" xfId="30"/>
    <cellStyle name="쉼표 [0] 2 3 2 2 2" xfId="101"/>
    <cellStyle name="쉼표 [0] 2 3 2 2 3" xfId="126"/>
    <cellStyle name="쉼표 [0] 2 3 2 2 4" xfId="151"/>
    <cellStyle name="쉼표 [0] 2 3 2 2 5" xfId="76"/>
    <cellStyle name="쉼표 [0] 2 3 2 3" xfId="89"/>
    <cellStyle name="쉼표 [0] 2 3 2 4" xfId="114"/>
    <cellStyle name="쉼표 [0] 2 3 2 5" xfId="139"/>
    <cellStyle name="쉼표 [0] 2 3 2 6" xfId="64"/>
    <cellStyle name="쉼표 [0] 2 3 3" xfId="24"/>
    <cellStyle name="쉼표 [0] 2 3 3 2" xfId="95"/>
    <cellStyle name="쉼표 [0] 2 3 3 3" xfId="120"/>
    <cellStyle name="쉼표 [0] 2 3 3 4" xfId="145"/>
    <cellStyle name="쉼표 [0] 2 3 3 5" xfId="70"/>
    <cellStyle name="쉼표 [0] 2 3 4" xfId="34"/>
    <cellStyle name="쉼표 [0] 2 3 5" xfId="83"/>
    <cellStyle name="쉼표 [0] 2 3 6" xfId="108"/>
    <cellStyle name="쉼표 [0] 2 3 7" xfId="133"/>
    <cellStyle name="쉼표 [0] 2 3 8" xfId="58"/>
    <cellStyle name="쉼표 [0] 2 4" xfId="14"/>
    <cellStyle name="쉼표 [0] 2 4 2" xfId="26"/>
    <cellStyle name="쉼표 [0] 2 4 2 2" xfId="97"/>
    <cellStyle name="쉼표 [0] 2 4 2 3" xfId="122"/>
    <cellStyle name="쉼표 [0] 2 4 2 4" xfId="147"/>
    <cellStyle name="쉼표 [0] 2 4 2 5" xfId="72"/>
    <cellStyle name="쉼표 [0] 2 4 3" xfId="85"/>
    <cellStyle name="쉼표 [0] 2 4 4" xfId="110"/>
    <cellStyle name="쉼표 [0] 2 4 5" xfId="135"/>
    <cellStyle name="쉼표 [0] 2 4 6" xfId="60"/>
    <cellStyle name="쉼표 [0] 2 5" xfId="20"/>
    <cellStyle name="쉼표 [0] 2 5 2" xfId="91"/>
    <cellStyle name="쉼표 [0] 2 5 3" xfId="116"/>
    <cellStyle name="쉼표 [0] 2 5 4" xfId="141"/>
    <cellStyle name="쉼표 [0] 2 5 5" xfId="66"/>
    <cellStyle name="쉼표 [0] 2 6" xfId="32"/>
    <cellStyle name="쉼표 [0] 2 7" xfId="79"/>
    <cellStyle name="쉼표 [0] 2 8" xfId="104"/>
    <cellStyle name="쉼표 [0] 2 9" xfId="129"/>
    <cellStyle name="쉼표 [0] 3" xfId="35"/>
    <cellStyle name="쉼표 [0] 4" xfId="36"/>
    <cellStyle name="쉼표 [0] 5" xfId="37"/>
    <cellStyle name="쉼표 [0] 6" xfId="38"/>
    <cellStyle name="쉼표 [0] 7" xfId="31"/>
    <cellStyle name="통화 [0]" xfId="3" builtinId="7"/>
    <cellStyle name="통화 [0] 2" xfId="39"/>
    <cellStyle name="표준" xfId="0" builtinId="0"/>
    <cellStyle name="표준 2" xfId="5"/>
    <cellStyle name="표준 2 2" xfId="7"/>
    <cellStyle name="표준 2 2 2" xfId="15"/>
    <cellStyle name="표준 2 2 2 2" xfId="27"/>
    <cellStyle name="표준 2 2 2 2 2" xfId="98"/>
    <cellStyle name="표준 2 2 2 2 3" xfId="123"/>
    <cellStyle name="표준 2 2 2 2 4" xfId="148"/>
    <cellStyle name="표준 2 2 2 2 5" xfId="73"/>
    <cellStyle name="표준 2 2 2 3" xfId="86"/>
    <cellStyle name="표준 2 2 2 4" xfId="111"/>
    <cellStyle name="표준 2 2 2 5" xfId="136"/>
    <cellStyle name="표준 2 2 2 6" xfId="61"/>
    <cellStyle name="표준 2 2 3" xfId="21"/>
    <cellStyle name="표준 2 2 3 2" xfId="92"/>
    <cellStyle name="표준 2 2 3 3" xfId="117"/>
    <cellStyle name="표준 2 2 3 4" xfId="142"/>
    <cellStyle name="표준 2 2 3 5" xfId="67"/>
    <cellStyle name="표준 2 2 4" xfId="40"/>
    <cellStyle name="표준 2 2 5" xfId="80"/>
    <cellStyle name="표준 2 2 6" xfId="105"/>
    <cellStyle name="표준 2 2 7" xfId="130"/>
    <cellStyle name="표준 2 2 8" xfId="55"/>
    <cellStyle name="표준 2 3" xfId="9"/>
    <cellStyle name="표준 2 3 2" xfId="17"/>
    <cellStyle name="표준 2 3 2 2" xfId="29"/>
    <cellStyle name="표준 2 3 2 2 2" xfId="100"/>
    <cellStyle name="표준 2 3 2 2 3" xfId="125"/>
    <cellStyle name="표준 2 3 2 2 4" xfId="150"/>
    <cellStyle name="표준 2 3 2 2 5" xfId="75"/>
    <cellStyle name="표준 2 3 2 3" xfId="88"/>
    <cellStyle name="표준 2 3 2 4" xfId="113"/>
    <cellStyle name="표준 2 3 2 5" xfId="138"/>
    <cellStyle name="표준 2 3 2 6" xfId="63"/>
    <cellStyle name="표준 2 3 3" xfId="23"/>
    <cellStyle name="표준 2 3 3 2" xfId="94"/>
    <cellStyle name="표준 2 3 3 3" xfId="119"/>
    <cellStyle name="표준 2 3 3 4" xfId="144"/>
    <cellStyle name="표준 2 3 3 5" xfId="69"/>
    <cellStyle name="표준 2 3 4" xfId="41"/>
    <cellStyle name="표준 2 3 5" xfId="82"/>
    <cellStyle name="표준 2 3 6" xfId="107"/>
    <cellStyle name="표준 2 3 7" xfId="132"/>
    <cellStyle name="표준 2 3 8" xfId="57"/>
    <cellStyle name="표준 2 4" xfId="13"/>
    <cellStyle name="표준 2 4 2" xfId="25"/>
    <cellStyle name="표준 2 4 2 2" xfId="96"/>
    <cellStyle name="표준 2 4 2 3" xfId="121"/>
    <cellStyle name="표준 2 4 2 4" xfId="146"/>
    <cellStyle name="표준 2 4 2 5" xfId="71"/>
    <cellStyle name="표준 2 4 3" xfId="84"/>
    <cellStyle name="표준 2 4 4" xfId="109"/>
    <cellStyle name="표준 2 4 5" xfId="134"/>
    <cellStyle name="표준 2 4 6" xfId="59"/>
    <cellStyle name="표준 2 5" xfId="19"/>
    <cellStyle name="표준 2 5 2" xfId="90"/>
    <cellStyle name="표준 2 5 3" xfId="115"/>
    <cellStyle name="표준 2 5 4" xfId="140"/>
    <cellStyle name="표준 2 5 5" xfId="65"/>
    <cellStyle name="표준 2 6" xfId="78"/>
    <cellStyle name="표준 2 7" xfId="103"/>
    <cellStyle name="표준 2 8" xfId="128"/>
    <cellStyle name="표준 2 9" xfId="53"/>
    <cellStyle name="표준 3" xfId="12"/>
    <cellStyle name="표준 3 2" xfId="43"/>
    <cellStyle name="표준 3 2 2" xfId="44"/>
    <cellStyle name="표준 3 3" xfId="45"/>
    <cellStyle name="표준 3 4" xfId="42"/>
    <cellStyle name="표준 4" xfId="11"/>
    <cellStyle name="표준 4 2" xfId="46"/>
    <cellStyle name="표준 5" xfId="47"/>
    <cellStyle name="표준 5 2" xfId="48"/>
    <cellStyle name="표준 5 3" xfId="49"/>
    <cellStyle name="표준 5 4" xfId="50"/>
    <cellStyle name="표준 6" xfId="51"/>
    <cellStyle name="표준 7" xfId="52"/>
    <cellStyle name="표준 7 2" xfId="102"/>
    <cellStyle name="표준 7 3" xfId="127"/>
    <cellStyle name="표준 7 4" xfId="152"/>
    <cellStyle name="표준 7 5" xfId="77"/>
    <cellStyle name="표준_2003경기장복예산안" xfId="4"/>
  </cellStyles>
  <dxfs count="0"/>
  <tableStyles count="0" defaultTableStyle="TableStyleMedium9" defaultPivotStyle="PivotStyleLight16"/>
  <colors>
    <mruColors>
      <color rgb="FFFFFF00"/>
      <color rgb="FFFF5353"/>
      <color rgb="FFFFCCCC"/>
      <color rgb="FF1212F6"/>
      <color rgb="FF00FFFF"/>
      <color rgb="FF000099"/>
      <color rgb="FF392DDB"/>
      <color rgb="FF534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8148;&#45796;&#51032;~1/DOCUME~1/&#52852;&#52852;&#50724;~1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B1:M29"/>
  <sheetViews>
    <sheetView tabSelected="1" zoomScale="80" zoomScaleNormal="80" workbookViewId="0">
      <selection activeCell="F2" sqref="F2"/>
    </sheetView>
  </sheetViews>
  <sheetFormatPr defaultRowHeight="16.5"/>
  <cols>
    <col min="1" max="1" width="1.44140625" style="107" customWidth="1"/>
    <col min="2" max="2" width="11.5546875" style="107" bestFit="1" customWidth="1"/>
    <col min="3" max="3" width="13.33203125" style="107" bestFit="1" customWidth="1"/>
    <col min="4" max="5" width="18" style="107" bestFit="1" customWidth="1"/>
    <col min="6" max="6" width="16" style="107" bestFit="1" customWidth="1"/>
    <col min="7" max="7" width="9.6640625" style="107" bestFit="1" customWidth="1"/>
    <col min="8" max="8" width="13.33203125" style="107" bestFit="1" customWidth="1"/>
    <col min="9" max="10" width="18" style="107" bestFit="1" customWidth="1"/>
    <col min="11" max="11" width="16" style="107" bestFit="1" customWidth="1"/>
    <col min="12" max="16384" width="8.88671875" style="107"/>
  </cols>
  <sheetData>
    <row r="1" spans="2:13" ht="9.9499999999999993" customHeight="1"/>
    <row r="2" spans="2:13" ht="26.25">
      <c r="B2" s="108" t="s">
        <v>850</v>
      </c>
      <c r="K2" s="109" t="s">
        <v>227</v>
      </c>
    </row>
    <row r="3" spans="2:13" ht="9.9499999999999993" customHeight="1" thickBot="1"/>
    <row r="4" spans="2:13" ht="30" customHeight="1">
      <c r="B4" s="599" t="s">
        <v>140</v>
      </c>
      <c r="C4" s="600"/>
      <c r="D4" s="600"/>
      <c r="E4" s="600"/>
      <c r="F4" s="601"/>
      <c r="G4" s="599" t="s">
        <v>141</v>
      </c>
      <c r="H4" s="600"/>
      <c r="I4" s="600"/>
      <c r="J4" s="600"/>
      <c r="K4" s="602"/>
    </row>
    <row r="5" spans="2:13" ht="16.5" customHeight="1">
      <c r="B5" s="603" t="s">
        <v>142</v>
      </c>
      <c r="C5" s="604"/>
      <c r="D5" s="607" t="s">
        <v>849</v>
      </c>
      <c r="E5" s="607" t="s">
        <v>855</v>
      </c>
      <c r="F5" s="609" t="s">
        <v>143</v>
      </c>
      <c r="G5" s="603" t="s">
        <v>142</v>
      </c>
      <c r="H5" s="604"/>
      <c r="I5" s="607" t="str">
        <f>D5</f>
        <v>2023년
2차 추경예산</v>
      </c>
      <c r="J5" s="607" t="str">
        <f>E5</f>
        <v>2024년
본예산</v>
      </c>
      <c r="K5" s="611" t="s">
        <v>143</v>
      </c>
    </row>
    <row r="6" spans="2:13" ht="22.5" customHeight="1" thickBot="1">
      <c r="B6" s="605"/>
      <c r="C6" s="606"/>
      <c r="D6" s="608"/>
      <c r="E6" s="608"/>
      <c r="F6" s="610"/>
      <c r="G6" s="605"/>
      <c r="H6" s="606"/>
      <c r="I6" s="608"/>
      <c r="J6" s="608"/>
      <c r="K6" s="612"/>
    </row>
    <row r="7" spans="2:13" ht="24.95" customHeight="1" thickTop="1">
      <c r="B7" s="613" t="s">
        <v>144</v>
      </c>
      <c r="C7" s="614"/>
      <c r="D7" s="234">
        <f>D8+D10+D12+D17+D20+D22+D24</f>
        <v>3135263</v>
      </c>
      <c r="E7" s="234">
        <f>E8+E10+E12+E17+E20+E22+E24</f>
        <v>3000548</v>
      </c>
      <c r="F7" s="235">
        <f>F8+F10+F12+F17+F20+F22+F24</f>
        <v>-134715</v>
      </c>
      <c r="G7" s="613" t="s">
        <v>144</v>
      </c>
      <c r="H7" s="614"/>
      <c r="I7" s="234">
        <f>SUM(I8:I26)/2</f>
        <v>3135263</v>
      </c>
      <c r="J7" s="357">
        <f>SUM(J8:J26)/2</f>
        <v>3000548</v>
      </c>
      <c r="K7" s="235">
        <f>SUM(K8:K26)/2</f>
        <v>-134715</v>
      </c>
      <c r="M7" s="370"/>
    </row>
    <row r="8" spans="2:13" ht="24.95" customHeight="1">
      <c r="B8" s="615" t="s">
        <v>145</v>
      </c>
      <c r="C8" s="236" t="s">
        <v>191</v>
      </c>
      <c r="D8" s="237">
        <f>D9</f>
        <v>95380</v>
      </c>
      <c r="E8" s="237">
        <f>E9</f>
        <v>91200</v>
      </c>
      <c r="F8" s="112">
        <f t="shared" ref="F8:F25" si="0">E8-D8</f>
        <v>-4180</v>
      </c>
      <c r="G8" s="615" t="s">
        <v>147</v>
      </c>
      <c r="H8" s="236" t="s">
        <v>191</v>
      </c>
      <c r="I8" s="237">
        <f>SUM(I9:I11)</f>
        <v>2584174</v>
      </c>
      <c r="J8" s="358">
        <f>SUM(J9:J11)</f>
        <v>2594446</v>
      </c>
      <c r="K8" s="240">
        <f>SUM(K9:K11)</f>
        <v>10272</v>
      </c>
    </row>
    <row r="9" spans="2:13" ht="24.95" customHeight="1">
      <c r="B9" s="616"/>
      <c r="C9" s="110" t="s">
        <v>146</v>
      </c>
      <c r="D9" s="111">
        <f>세입!E5</f>
        <v>95380</v>
      </c>
      <c r="E9" s="111">
        <f>세입!F5</f>
        <v>91200</v>
      </c>
      <c r="F9" s="112">
        <f t="shared" si="0"/>
        <v>-4180</v>
      </c>
      <c r="G9" s="617"/>
      <c r="H9" s="110" t="s">
        <v>148</v>
      </c>
      <c r="I9" s="111">
        <f>세출!D6</f>
        <v>2330247</v>
      </c>
      <c r="J9" s="359">
        <f>세출!E6</f>
        <v>2368447</v>
      </c>
      <c r="K9" s="113">
        <f>J9-I9</f>
        <v>38200</v>
      </c>
    </row>
    <row r="10" spans="2:13" ht="24.95" customHeight="1">
      <c r="B10" s="326" t="s">
        <v>239</v>
      </c>
      <c r="C10" s="238" t="s">
        <v>191</v>
      </c>
      <c r="D10" s="239">
        <f>D11</f>
        <v>3052</v>
      </c>
      <c r="E10" s="239">
        <f>E11</f>
        <v>7700</v>
      </c>
      <c r="F10" s="112">
        <f t="shared" si="0"/>
        <v>4648</v>
      </c>
      <c r="G10" s="617"/>
      <c r="H10" s="110" t="s">
        <v>150</v>
      </c>
      <c r="I10" s="111">
        <f>세출!D108</f>
        <v>16586</v>
      </c>
      <c r="J10" s="359">
        <f>세출!E108</f>
        <v>20003</v>
      </c>
      <c r="K10" s="113">
        <f t="shared" ref="K10:K26" si="1">J10-I10</f>
        <v>3417</v>
      </c>
    </row>
    <row r="11" spans="2:13" ht="24.95" customHeight="1">
      <c r="B11" s="324"/>
      <c r="C11" s="327" t="s">
        <v>239</v>
      </c>
      <c r="D11" s="111">
        <f>세입!E8</f>
        <v>3052</v>
      </c>
      <c r="E11" s="111">
        <f>세입!F8</f>
        <v>7700</v>
      </c>
      <c r="F11" s="112">
        <f t="shared" si="0"/>
        <v>4648</v>
      </c>
      <c r="G11" s="616"/>
      <c r="H11" s="110" t="s">
        <v>86</v>
      </c>
      <c r="I11" s="111">
        <f>세출!D121</f>
        <v>237341</v>
      </c>
      <c r="J11" s="359">
        <f>세출!E121</f>
        <v>205996</v>
      </c>
      <c r="K11" s="113">
        <f t="shared" si="1"/>
        <v>-31345</v>
      </c>
    </row>
    <row r="12" spans="2:13" ht="24.95" customHeight="1">
      <c r="B12" s="323" t="s">
        <v>149</v>
      </c>
      <c r="C12" s="238" t="s">
        <v>191</v>
      </c>
      <c r="D12" s="239">
        <f>SUM(D13:D16)</f>
        <v>2509154</v>
      </c>
      <c r="E12" s="239">
        <f>SUM(E13:E16)</f>
        <v>2554448</v>
      </c>
      <c r="F12" s="112">
        <f t="shared" si="0"/>
        <v>45294</v>
      </c>
      <c r="G12" s="615" t="s">
        <v>87</v>
      </c>
      <c r="H12" s="238" t="s">
        <v>191</v>
      </c>
      <c r="I12" s="239">
        <f>SUM(I13:I15)</f>
        <v>191300</v>
      </c>
      <c r="J12" s="360">
        <f>SUM(J13:J15)</f>
        <v>28576</v>
      </c>
      <c r="K12" s="113">
        <f t="shared" si="1"/>
        <v>-162724</v>
      </c>
    </row>
    <row r="13" spans="2:13" ht="24.95" customHeight="1">
      <c r="B13" s="324"/>
      <c r="C13" s="165" t="s">
        <v>154</v>
      </c>
      <c r="D13" s="111">
        <f>세입!E15</f>
        <v>1657961</v>
      </c>
      <c r="E13" s="111">
        <f>세입!F15</f>
        <v>1671330</v>
      </c>
      <c r="F13" s="112">
        <f t="shared" si="0"/>
        <v>13369</v>
      </c>
      <c r="G13" s="617"/>
      <c r="H13" s="110" t="s">
        <v>88</v>
      </c>
      <c r="I13" s="111">
        <f>세출!D205</f>
        <v>0</v>
      </c>
      <c r="J13" s="359">
        <f>세출!E205</f>
        <v>0</v>
      </c>
      <c r="K13" s="113">
        <f t="shared" si="1"/>
        <v>0</v>
      </c>
    </row>
    <row r="14" spans="2:13" ht="24.95" customHeight="1">
      <c r="B14" s="324"/>
      <c r="C14" s="165" t="s">
        <v>155</v>
      </c>
      <c r="D14" s="111">
        <f>세입!E43</f>
        <v>137261</v>
      </c>
      <c r="E14" s="111">
        <f>세입!F43</f>
        <v>141423</v>
      </c>
      <c r="F14" s="112">
        <f t="shared" si="0"/>
        <v>4162</v>
      </c>
      <c r="G14" s="617"/>
      <c r="H14" s="110" t="s">
        <v>91</v>
      </c>
      <c r="I14" s="111">
        <f>세출!D212</f>
        <v>168691</v>
      </c>
      <c r="J14" s="359">
        <f>세출!E212</f>
        <v>6792</v>
      </c>
      <c r="K14" s="113">
        <f t="shared" si="1"/>
        <v>-161899</v>
      </c>
    </row>
    <row r="15" spans="2:13" ht="24.95" customHeight="1">
      <c r="B15" s="324"/>
      <c r="C15" s="165" t="s">
        <v>156</v>
      </c>
      <c r="D15" s="111">
        <f>세입!E107</f>
        <v>713932</v>
      </c>
      <c r="E15" s="111">
        <f>세입!F107</f>
        <v>741695</v>
      </c>
      <c r="F15" s="112">
        <f t="shared" si="0"/>
        <v>27763</v>
      </c>
      <c r="G15" s="616"/>
      <c r="H15" s="110" t="s">
        <v>93</v>
      </c>
      <c r="I15" s="111">
        <f>세출!D229</f>
        <v>22609</v>
      </c>
      <c r="J15" s="359">
        <f>세출!E229</f>
        <v>21784</v>
      </c>
      <c r="K15" s="113">
        <f t="shared" si="1"/>
        <v>-825</v>
      </c>
    </row>
    <row r="16" spans="2:13" ht="24.95" customHeight="1">
      <c r="B16" s="325"/>
      <c r="C16" s="276" t="s">
        <v>213</v>
      </c>
      <c r="D16" s="111">
        <f>세입!E168</f>
        <v>0</v>
      </c>
      <c r="E16" s="111">
        <f>세입!F168</f>
        <v>0</v>
      </c>
      <c r="F16" s="112">
        <f t="shared" si="0"/>
        <v>0</v>
      </c>
      <c r="G16" s="615" t="s">
        <v>96</v>
      </c>
      <c r="H16" s="238" t="s">
        <v>191</v>
      </c>
      <c r="I16" s="239">
        <f>SUM(I17:I22)</f>
        <v>349877</v>
      </c>
      <c r="J16" s="360">
        <f>SUM(J17:J22)</f>
        <v>377236</v>
      </c>
      <c r="K16" s="113">
        <f t="shared" si="1"/>
        <v>27359</v>
      </c>
    </row>
    <row r="17" spans="2:11" ht="24.95" customHeight="1">
      <c r="B17" s="367" t="s">
        <v>89</v>
      </c>
      <c r="C17" s="238" t="s">
        <v>191</v>
      </c>
      <c r="D17" s="239">
        <f>SUM(D18:D19)</f>
        <v>242359</v>
      </c>
      <c r="E17" s="239">
        <f>SUM(E18:E19)</f>
        <v>101250</v>
      </c>
      <c r="F17" s="112">
        <f t="shared" si="0"/>
        <v>-141109</v>
      </c>
      <c r="G17" s="617"/>
      <c r="H17" s="110" t="s">
        <v>97</v>
      </c>
      <c r="I17" s="111">
        <f>세출!D247</f>
        <v>196567</v>
      </c>
      <c r="J17" s="359">
        <f>세출!E247</f>
        <v>185922</v>
      </c>
      <c r="K17" s="113">
        <f t="shared" si="1"/>
        <v>-10645</v>
      </c>
    </row>
    <row r="18" spans="2:11" ht="24.95" customHeight="1">
      <c r="B18" s="369"/>
      <c r="C18" s="110" t="s">
        <v>90</v>
      </c>
      <c r="D18" s="111">
        <f>세입!E172</f>
        <v>163849</v>
      </c>
      <c r="E18" s="111">
        <f>세입!F172</f>
        <v>17220</v>
      </c>
      <c r="F18" s="112">
        <f t="shared" si="0"/>
        <v>-146629</v>
      </c>
      <c r="G18" s="617"/>
      <c r="H18" s="110" t="s">
        <v>100</v>
      </c>
      <c r="I18" s="111">
        <f>세출!D267</f>
        <v>6530</v>
      </c>
      <c r="J18" s="359">
        <f>세출!E267</f>
        <v>6600</v>
      </c>
      <c r="K18" s="113">
        <f t="shared" si="1"/>
        <v>70</v>
      </c>
    </row>
    <row r="19" spans="2:11" ht="24.95" customHeight="1">
      <c r="B19" s="368"/>
      <c r="C19" s="110" t="s">
        <v>92</v>
      </c>
      <c r="D19" s="111">
        <f>세입!E186</f>
        <v>78510</v>
      </c>
      <c r="E19" s="111">
        <f>세입!F186</f>
        <v>84030</v>
      </c>
      <c r="F19" s="112">
        <f t="shared" si="0"/>
        <v>5520</v>
      </c>
      <c r="G19" s="617"/>
      <c r="H19" s="110" t="s">
        <v>103</v>
      </c>
      <c r="I19" s="111">
        <f>세출!D271</f>
        <v>4080</v>
      </c>
      <c r="J19" s="359">
        <f>세출!E271</f>
        <v>4000</v>
      </c>
      <c r="K19" s="113">
        <f t="shared" si="1"/>
        <v>-80</v>
      </c>
    </row>
    <row r="20" spans="2:11" ht="24.95" customHeight="1">
      <c r="B20" s="367" t="s">
        <v>94</v>
      </c>
      <c r="C20" s="238" t="s">
        <v>191</v>
      </c>
      <c r="D20" s="239">
        <f>D21</f>
        <v>85571</v>
      </c>
      <c r="E20" s="239">
        <f>E21</f>
        <v>77740</v>
      </c>
      <c r="F20" s="112">
        <f t="shared" si="0"/>
        <v>-7831</v>
      </c>
      <c r="G20" s="617"/>
      <c r="H20" s="110" t="s">
        <v>104</v>
      </c>
      <c r="I20" s="111">
        <f>세출!D274</f>
        <v>5840</v>
      </c>
      <c r="J20" s="359">
        <f>세출!E274</f>
        <v>17800</v>
      </c>
      <c r="K20" s="113">
        <f t="shared" si="1"/>
        <v>11960</v>
      </c>
    </row>
    <row r="21" spans="2:11" ht="24.95" customHeight="1">
      <c r="B21" s="368"/>
      <c r="C21" s="110" t="s">
        <v>95</v>
      </c>
      <c r="D21" s="111">
        <f>세입!E198</f>
        <v>85571</v>
      </c>
      <c r="E21" s="111">
        <f>세입!F198</f>
        <v>77740</v>
      </c>
      <c r="F21" s="112">
        <f t="shared" si="0"/>
        <v>-7831</v>
      </c>
      <c r="G21" s="617"/>
      <c r="H21" s="110" t="s">
        <v>105</v>
      </c>
      <c r="I21" s="111">
        <f>세출!D282</f>
        <v>29800</v>
      </c>
      <c r="J21" s="359">
        <f>세출!E282</f>
        <v>32000</v>
      </c>
      <c r="K21" s="113">
        <f t="shared" si="1"/>
        <v>2200</v>
      </c>
    </row>
    <row r="22" spans="2:11" ht="24.95" customHeight="1">
      <c r="B22" s="367" t="s">
        <v>98</v>
      </c>
      <c r="C22" s="238" t="s">
        <v>191</v>
      </c>
      <c r="D22" s="239">
        <f>D23</f>
        <v>128376</v>
      </c>
      <c r="E22" s="239">
        <f>E23</f>
        <v>102330</v>
      </c>
      <c r="F22" s="112">
        <f t="shared" si="0"/>
        <v>-26046</v>
      </c>
      <c r="G22" s="616"/>
      <c r="H22" s="110" t="s">
        <v>106</v>
      </c>
      <c r="I22" s="111">
        <f>세출!D287</f>
        <v>107060</v>
      </c>
      <c r="J22" s="359">
        <f>세출!E287</f>
        <v>130914</v>
      </c>
      <c r="K22" s="113">
        <f t="shared" si="1"/>
        <v>23854</v>
      </c>
    </row>
    <row r="23" spans="2:11" ht="24.95" customHeight="1">
      <c r="B23" s="368"/>
      <c r="C23" s="110" t="s">
        <v>99</v>
      </c>
      <c r="D23" s="111">
        <f>세입!E319</f>
        <v>128376</v>
      </c>
      <c r="E23" s="111">
        <f>세입!F319</f>
        <v>102330</v>
      </c>
      <c r="F23" s="112">
        <f t="shared" si="0"/>
        <v>-26046</v>
      </c>
      <c r="G23" s="615" t="s">
        <v>107</v>
      </c>
      <c r="H23" s="238" t="s">
        <v>191</v>
      </c>
      <c r="I23" s="239">
        <v>0</v>
      </c>
      <c r="J23" s="239">
        <f>J24</f>
        <v>0</v>
      </c>
      <c r="K23" s="113">
        <f t="shared" si="1"/>
        <v>0</v>
      </c>
    </row>
    <row r="24" spans="2:11" ht="24.95" customHeight="1">
      <c r="B24" s="367" t="s">
        <v>101</v>
      </c>
      <c r="C24" s="238" t="s">
        <v>191</v>
      </c>
      <c r="D24" s="239">
        <f>D25</f>
        <v>71371</v>
      </c>
      <c r="E24" s="239">
        <f>E25</f>
        <v>65880</v>
      </c>
      <c r="F24" s="112">
        <f t="shared" si="0"/>
        <v>-5491</v>
      </c>
      <c r="G24" s="616"/>
      <c r="H24" s="110" t="s">
        <v>108</v>
      </c>
      <c r="I24" s="111">
        <v>0</v>
      </c>
      <c r="J24" s="111">
        <v>0</v>
      </c>
      <c r="K24" s="113">
        <f t="shared" si="1"/>
        <v>0</v>
      </c>
    </row>
    <row r="25" spans="2:11" ht="24.95" customHeight="1">
      <c r="B25" s="368"/>
      <c r="C25" s="110" t="s">
        <v>102</v>
      </c>
      <c r="D25" s="111">
        <f>세입!E352</f>
        <v>71371</v>
      </c>
      <c r="E25" s="111">
        <f>세입!F352</f>
        <v>65880</v>
      </c>
      <c r="F25" s="112">
        <f t="shared" si="0"/>
        <v>-5491</v>
      </c>
      <c r="G25" s="615" t="s">
        <v>109</v>
      </c>
      <c r="H25" s="238" t="s">
        <v>191</v>
      </c>
      <c r="I25" s="239">
        <f>I26</f>
        <v>9912</v>
      </c>
      <c r="J25" s="239">
        <f>J26</f>
        <v>290</v>
      </c>
      <c r="K25" s="113">
        <f t="shared" si="1"/>
        <v>-9622</v>
      </c>
    </row>
    <row r="26" spans="2:11" ht="24.95" customHeight="1" thickBot="1">
      <c r="B26" s="277"/>
      <c r="C26" s="278"/>
      <c r="D26" s="278"/>
      <c r="E26" s="278"/>
      <c r="F26" s="278"/>
      <c r="G26" s="618"/>
      <c r="H26" s="371" t="s">
        <v>648</v>
      </c>
      <c r="I26" s="114">
        <f>세출!D413</f>
        <v>9912</v>
      </c>
      <c r="J26" s="114">
        <f>세출!E406</f>
        <v>290</v>
      </c>
      <c r="K26" s="115">
        <f t="shared" si="1"/>
        <v>-9622</v>
      </c>
    </row>
    <row r="27" spans="2:11" ht="24.95" customHeight="1"/>
    <row r="28" spans="2:11" ht="24.95" customHeight="1"/>
    <row r="29" spans="2:11" ht="24.95" customHeight="1"/>
  </sheetData>
  <mergeCells count="18">
    <mergeCell ref="B7:C7"/>
    <mergeCell ref="G7:H7"/>
    <mergeCell ref="B8:B9"/>
    <mergeCell ref="G8:G11"/>
    <mergeCell ref="G25:G26"/>
    <mergeCell ref="G16:G22"/>
    <mergeCell ref="G23:G24"/>
    <mergeCell ref="G12:G15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14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&amp;R장애인거주시설 바다의별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</sheetPr>
  <dimension ref="A1:AK380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1" sqref="E1"/>
    </sheetView>
  </sheetViews>
  <sheetFormatPr defaultColWidth="13.77734375" defaultRowHeight="19.5" customHeight="1"/>
  <cols>
    <col min="1" max="3" width="8.33203125" style="4" customWidth="1"/>
    <col min="4" max="4" width="12.88671875" style="4" bestFit="1" customWidth="1"/>
    <col min="5" max="5" width="8.77734375" style="5" customWidth="1"/>
    <col min="6" max="6" width="9.44140625" style="5" customWidth="1"/>
    <col min="7" max="7" width="9.44140625" style="6" bestFit="1" customWidth="1"/>
    <col min="8" max="8" width="6.6640625" style="8" bestFit="1" customWidth="1"/>
    <col min="9" max="9" width="20.21875" style="1" customWidth="1"/>
    <col min="10" max="10" width="4.77734375" style="2" customWidth="1"/>
    <col min="11" max="11" width="2.21875" style="2" customWidth="1"/>
    <col min="12" max="12" width="2.5546875" style="2" customWidth="1"/>
    <col min="13" max="13" width="11.109375" style="2" bestFit="1" customWidth="1"/>
    <col min="14" max="14" width="3.109375" style="382" customWidth="1"/>
    <col min="15" max="15" width="3.88671875" style="382" bestFit="1" customWidth="1"/>
    <col min="16" max="16" width="7.6640625" style="472" bestFit="1" customWidth="1"/>
    <col min="17" max="17" width="4.88671875" style="382" customWidth="1"/>
    <col min="18" max="18" width="5.33203125" style="382" bestFit="1" customWidth="1"/>
    <col min="19" max="19" width="6.77734375" style="2" bestFit="1" customWidth="1"/>
    <col min="20" max="20" width="2.77734375" style="382" bestFit="1" customWidth="1"/>
    <col min="21" max="21" width="2.109375" style="382" bestFit="1" customWidth="1"/>
    <col min="22" max="22" width="5.77734375" style="2" bestFit="1" customWidth="1"/>
    <col min="23" max="23" width="2.5546875" style="382" customWidth="1"/>
    <col min="24" max="24" width="12.44140625" style="2" bestFit="1" customWidth="1"/>
    <col min="25" max="25" width="2.77734375" style="382" customWidth="1"/>
    <col min="26" max="26" width="13.77734375" style="590"/>
    <col min="27" max="27" width="13.77734375" style="1"/>
    <col min="28" max="28" width="2.77734375" style="1" bestFit="1" customWidth="1"/>
    <col min="29" max="29" width="7.88671875" style="1" bestFit="1" customWidth="1"/>
    <col min="30" max="30" width="3.33203125" style="1" bestFit="1" customWidth="1"/>
    <col min="31" max="31" width="2.77734375" style="1" bestFit="1" customWidth="1"/>
    <col min="32" max="32" width="2.6640625" style="1" bestFit="1" customWidth="1"/>
    <col min="33" max="33" width="3.33203125" style="1" bestFit="1" customWidth="1"/>
    <col min="34" max="34" width="2.77734375" style="1" bestFit="1" customWidth="1"/>
    <col min="35" max="35" width="3.5546875" style="1" bestFit="1" customWidth="1"/>
    <col min="36" max="36" width="3.33203125" style="1" bestFit="1" customWidth="1"/>
    <col min="37" max="16384" width="13.77734375" style="1"/>
  </cols>
  <sheetData>
    <row r="1" spans="1:26" s="7" customFormat="1" ht="19.5" customHeight="1" thickBot="1">
      <c r="A1" s="623" t="s">
        <v>801</v>
      </c>
      <c r="B1" s="623"/>
      <c r="C1" s="623"/>
      <c r="D1" s="623"/>
      <c r="E1" s="5"/>
      <c r="F1" s="5"/>
      <c r="G1" s="6"/>
      <c r="H1" s="8"/>
      <c r="I1" s="1"/>
      <c r="J1" s="2"/>
      <c r="K1" s="2"/>
      <c r="L1" s="2"/>
      <c r="M1" s="2"/>
      <c r="N1" s="382"/>
      <c r="O1" s="382"/>
      <c r="P1" s="472"/>
      <c r="Q1" s="382"/>
      <c r="R1" s="382"/>
      <c r="S1" s="2"/>
      <c r="T1" s="382"/>
      <c r="U1" s="382"/>
      <c r="V1" s="2"/>
      <c r="W1" s="382"/>
      <c r="X1" s="2"/>
      <c r="Y1" s="382"/>
      <c r="Z1" s="590"/>
    </row>
    <row r="2" spans="1:26" s="3" customFormat="1" ht="27" customHeight="1">
      <c r="A2" s="624" t="s">
        <v>307</v>
      </c>
      <c r="B2" s="625"/>
      <c r="C2" s="625"/>
      <c r="D2" s="625"/>
      <c r="E2" s="626" t="s">
        <v>802</v>
      </c>
      <c r="F2" s="626" t="s">
        <v>803</v>
      </c>
      <c r="G2" s="633" t="s">
        <v>23</v>
      </c>
      <c r="H2" s="633"/>
      <c r="I2" s="634" t="s">
        <v>308</v>
      </c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6"/>
      <c r="Z2" s="591"/>
    </row>
    <row r="3" spans="1:26" s="3" customFormat="1" ht="32.25" customHeight="1" thickBot="1">
      <c r="A3" s="11" t="s">
        <v>1</v>
      </c>
      <c r="B3" s="12" t="s">
        <v>2</v>
      </c>
      <c r="C3" s="12" t="s">
        <v>309</v>
      </c>
      <c r="D3" s="12" t="s">
        <v>310</v>
      </c>
      <c r="E3" s="627"/>
      <c r="F3" s="627"/>
      <c r="G3" s="84" t="s">
        <v>311</v>
      </c>
      <c r="H3" s="13" t="s">
        <v>4</v>
      </c>
      <c r="I3" s="637"/>
      <c r="J3" s="638"/>
      <c r="K3" s="638"/>
      <c r="L3" s="638"/>
      <c r="M3" s="638"/>
      <c r="N3" s="638"/>
      <c r="O3" s="638"/>
      <c r="P3" s="638"/>
      <c r="Q3" s="638"/>
      <c r="R3" s="638"/>
      <c r="S3" s="638"/>
      <c r="T3" s="638"/>
      <c r="U3" s="638"/>
      <c r="V3" s="638"/>
      <c r="W3" s="638"/>
      <c r="X3" s="638"/>
      <c r="Y3" s="639"/>
      <c r="Z3" s="591"/>
    </row>
    <row r="4" spans="1:26" s="3" customFormat="1" ht="19.5" customHeight="1">
      <c r="A4" s="628" t="s">
        <v>24</v>
      </c>
      <c r="B4" s="629"/>
      <c r="C4" s="629"/>
      <c r="D4" s="630"/>
      <c r="E4" s="132">
        <f>SUM(E5,E8,E12,E14,E171,E191,E198,E319,E352)</f>
        <v>3135263</v>
      </c>
      <c r="F4" s="132">
        <f>SUM(F5,F8,F12,F14,F171,F191,F198,F319,F352)</f>
        <v>3000548</v>
      </c>
      <c r="G4" s="176">
        <f>SUM(G5,G8,G12,G14,G171,G191,G198,G319,G352)</f>
        <v>-134715</v>
      </c>
      <c r="H4" s="133">
        <f>IF(E4=0,0,G4/E4)</f>
        <v>-4.2967687240272986E-2</v>
      </c>
      <c r="I4" s="14" t="s">
        <v>312</v>
      </c>
      <c r="J4" s="15"/>
      <c r="K4" s="15"/>
      <c r="L4" s="15"/>
      <c r="M4" s="15"/>
      <c r="N4" s="15"/>
      <c r="O4" s="15"/>
      <c r="P4" s="510"/>
      <c r="Q4" s="15"/>
      <c r="R4" s="15"/>
      <c r="S4" s="15"/>
      <c r="T4" s="15"/>
      <c r="U4" s="15"/>
      <c r="V4" s="15"/>
      <c r="W4" s="15"/>
      <c r="X4" s="542">
        <f>SUM(X5,X8,X12,X14,X171,X191,X198,X319,X352)</f>
        <v>3000548000</v>
      </c>
      <c r="Y4" s="383" t="s">
        <v>313</v>
      </c>
      <c r="Z4" s="591"/>
    </row>
    <row r="5" spans="1:26" ht="21" customHeight="1" thickBot="1">
      <c r="A5" s="17" t="s">
        <v>314</v>
      </c>
      <c r="B5" s="18" t="s">
        <v>314</v>
      </c>
      <c r="C5" s="117" t="s">
        <v>315</v>
      </c>
      <c r="D5" s="117" t="s">
        <v>315</v>
      </c>
      <c r="E5" s="126">
        <v>95380</v>
      </c>
      <c r="F5" s="126">
        <f>ROUND(X5/1000,0)</f>
        <v>91200</v>
      </c>
      <c r="G5" s="127">
        <f>F5-E5</f>
        <v>-4180</v>
      </c>
      <c r="H5" s="128">
        <f>IF(E5=0,0,G5/E5)</f>
        <v>-4.3824701195219126E-2</v>
      </c>
      <c r="I5" s="22" t="s">
        <v>316</v>
      </c>
      <c r="J5" s="81"/>
      <c r="K5" s="23"/>
      <c r="L5" s="23"/>
      <c r="M5" s="23"/>
      <c r="N5" s="450"/>
      <c r="O5" s="450"/>
      <c r="P5" s="25"/>
      <c r="Q5" s="413" t="s">
        <v>317</v>
      </c>
      <c r="R5" s="413"/>
      <c r="S5" s="339"/>
      <c r="T5" s="413"/>
      <c r="U5" s="413"/>
      <c r="V5" s="339"/>
      <c r="W5" s="413"/>
      <c r="X5" s="547">
        <f>SUM(X6:X7)</f>
        <v>91200000</v>
      </c>
      <c r="Y5" s="384" t="s">
        <v>25</v>
      </c>
    </row>
    <row r="6" spans="1:26" ht="21" customHeight="1">
      <c r="A6" s="26" t="s">
        <v>318</v>
      </c>
      <c r="B6" s="27" t="s">
        <v>111</v>
      </c>
      <c r="C6" s="28" t="s">
        <v>111</v>
      </c>
      <c r="D6" s="28" t="s">
        <v>111</v>
      </c>
      <c r="E6" s="289"/>
      <c r="F6" s="289"/>
      <c r="G6" s="290"/>
      <c r="H6" s="291"/>
      <c r="I6" s="294" t="s">
        <v>798</v>
      </c>
      <c r="J6" s="293"/>
      <c r="K6" s="288"/>
      <c r="L6" s="288"/>
      <c r="M6" s="332">
        <v>380000</v>
      </c>
      <c r="N6" s="334" t="s">
        <v>313</v>
      </c>
      <c r="O6" s="288" t="s">
        <v>319</v>
      </c>
      <c r="P6" s="335">
        <v>20</v>
      </c>
      <c r="Q6" s="334" t="s">
        <v>320</v>
      </c>
      <c r="R6" s="288" t="s">
        <v>319</v>
      </c>
      <c r="S6" s="181">
        <v>12</v>
      </c>
      <c r="T6" s="334" t="s">
        <v>321</v>
      </c>
      <c r="U6" s="334" t="s">
        <v>322</v>
      </c>
      <c r="V6" s="334"/>
      <c r="W6" s="334"/>
      <c r="X6" s="332">
        <f>M6*P6*S6</f>
        <v>91200000</v>
      </c>
      <c r="Y6" s="385" t="s">
        <v>313</v>
      </c>
    </row>
    <row r="7" spans="1:26" ht="21" customHeight="1">
      <c r="A7" s="26"/>
      <c r="B7" s="27"/>
      <c r="C7" s="28"/>
      <c r="D7" s="28"/>
      <c r="E7" s="29"/>
      <c r="F7" s="29"/>
      <c r="G7" s="30"/>
      <c r="H7" s="16"/>
      <c r="I7" s="294"/>
      <c r="J7" s="293"/>
      <c r="K7" s="288"/>
      <c r="L7" s="288"/>
      <c r="M7" s="332"/>
      <c r="N7" s="334"/>
      <c r="O7" s="288"/>
      <c r="P7" s="335"/>
      <c r="Q7" s="334"/>
      <c r="R7" s="288"/>
      <c r="S7" s="181"/>
      <c r="T7" s="334"/>
      <c r="U7" s="334"/>
      <c r="V7" s="334"/>
      <c r="W7" s="334"/>
      <c r="X7" s="332">
        <f>M7*P7*S7</f>
        <v>0</v>
      </c>
      <c r="Y7" s="385" t="s">
        <v>313</v>
      </c>
    </row>
    <row r="8" spans="1:26" s="7" customFormat="1" ht="19.5" customHeight="1" thickBot="1">
      <c r="A8" s="17" t="s">
        <v>323</v>
      </c>
      <c r="B8" s="18" t="s">
        <v>323</v>
      </c>
      <c r="C8" s="18" t="s">
        <v>323</v>
      </c>
      <c r="D8" s="18" t="s">
        <v>323</v>
      </c>
      <c r="E8" s="126">
        <v>3052</v>
      </c>
      <c r="F8" s="126">
        <f>ROUND(X8/1000,0)</f>
        <v>7700</v>
      </c>
      <c r="G8" s="127">
        <f>F8-E8</f>
        <v>4648</v>
      </c>
      <c r="H8" s="128">
        <f>IF(E8=0,0,G8/E8)</f>
        <v>1.5229357798165137</v>
      </c>
      <c r="I8" s="22" t="s">
        <v>324</v>
      </c>
      <c r="J8" s="81"/>
      <c r="K8" s="23"/>
      <c r="L8" s="23"/>
      <c r="M8" s="23"/>
      <c r="N8" s="450"/>
      <c r="O8" s="450"/>
      <c r="P8" s="25"/>
      <c r="Q8" s="414" t="s">
        <v>317</v>
      </c>
      <c r="R8" s="414"/>
      <c r="S8" s="24"/>
      <c r="T8" s="414"/>
      <c r="U8" s="414"/>
      <c r="V8" s="24"/>
      <c r="W8" s="414"/>
      <c r="X8" s="547">
        <f>SUM(X9:X11)</f>
        <v>7700000</v>
      </c>
      <c r="Y8" s="386" t="s">
        <v>25</v>
      </c>
      <c r="Z8" s="590"/>
    </row>
    <row r="9" spans="1:26" s="7" customFormat="1" ht="19.5" customHeight="1">
      <c r="A9" s="26" t="s">
        <v>325</v>
      </c>
      <c r="B9" s="27" t="s">
        <v>325</v>
      </c>
      <c r="C9" s="27" t="s">
        <v>325</v>
      </c>
      <c r="D9" s="27" t="s">
        <v>325</v>
      </c>
      <c r="E9" s="289"/>
      <c r="F9" s="289"/>
      <c r="G9" s="290"/>
      <c r="H9" s="291"/>
      <c r="I9" s="294" t="s">
        <v>776</v>
      </c>
      <c r="J9" s="315"/>
      <c r="K9" s="171"/>
      <c r="L9" s="171"/>
      <c r="M9" s="220"/>
      <c r="N9" s="280"/>
      <c r="O9" s="171"/>
      <c r="P9" s="281"/>
      <c r="Q9" s="280"/>
      <c r="R9" s="171"/>
      <c r="S9" s="322"/>
      <c r="T9" s="280"/>
      <c r="U9" s="280"/>
      <c r="V9" s="280"/>
      <c r="W9" s="280"/>
      <c r="X9" s="332">
        <v>300000</v>
      </c>
      <c r="Y9" s="385" t="s">
        <v>352</v>
      </c>
      <c r="Z9" s="590"/>
    </row>
    <row r="10" spans="1:26" s="7" customFormat="1" ht="19.5" customHeight="1">
      <c r="A10" s="26"/>
      <c r="B10" s="27"/>
      <c r="C10" s="27"/>
      <c r="D10" s="27"/>
      <c r="E10" s="289"/>
      <c r="F10" s="289"/>
      <c r="G10" s="290"/>
      <c r="H10" s="291"/>
      <c r="I10" s="294" t="s">
        <v>759</v>
      </c>
      <c r="J10" s="315"/>
      <c r="K10" s="171"/>
      <c r="L10" s="171"/>
      <c r="M10" s="220"/>
      <c r="N10" s="280"/>
      <c r="O10" s="171"/>
      <c r="P10" s="281"/>
      <c r="Q10" s="280"/>
      <c r="R10" s="171"/>
      <c r="S10" s="322"/>
      <c r="T10" s="280"/>
      <c r="U10" s="280"/>
      <c r="V10" s="280"/>
      <c r="W10" s="280"/>
      <c r="X10" s="332">
        <v>5000000</v>
      </c>
      <c r="Y10" s="385" t="s">
        <v>755</v>
      </c>
      <c r="Z10" s="590"/>
    </row>
    <row r="11" spans="1:26" ht="21" customHeight="1">
      <c r="A11" s="34"/>
      <c r="B11" s="35"/>
      <c r="C11" s="35"/>
      <c r="D11" s="35"/>
      <c r="E11" s="29"/>
      <c r="F11" s="29"/>
      <c r="G11" s="30"/>
      <c r="H11" s="16"/>
      <c r="I11" s="294" t="s">
        <v>655</v>
      </c>
      <c r="J11" s="315"/>
      <c r="K11" s="171"/>
      <c r="L11" s="171"/>
      <c r="M11" s="220"/>
      <c r="N11" s="280"/>
      <c r="O11" s="171"/>
      <c r="P11" s="281"/>
      <c r="Q11" s="280"/>
      <c r="R11" s="171"/>
      <c r="S11" s="322"/>
      <c r="T11" s="280"/>
      <c r="U11" s="280"/>
      <c r="V11" s="280"/>
      <c r="W11" s="280"/>
      <c r="X11" s="332">
        <v>2400000</v>
      </c>
      <c r="Y11" s="385" t="s">
        <v>642</v>
      </c>
    </row>
    <row r="12" spans="1:26" ht="21" customHeight="1" thickBot="1">
      <c r="A12" s="17" t="s">
        <v>326</v>
      </c>
      <c r="B12" s="18" t="s">
        <v>326</v>
      </c>
      <c r="C12" s="18" t="s">
        <v>326</v>
      </c>
      <c r="D12" s="18" t="s">
        <v>326</v>
      </c>
      <c r="E12" s="126">
        <v>0</v>
      </c>
      <c r="F12" s="126">
        <f>ROUND(X12/1000,0)</f>
        <v>0</v>
      </c>
      <c r="G12" s="127">
        <f>F12-E12</f>
        <v>0</v>
      </c>
      <c r="H12" s="128">
        <f>IF(E12=0,0,G12/E12)</f>
        <v>0</v>
      </c>
      <c r="I12" s="22" t="s">
        <v>327</v>
      </c>
      <c r="J12" s="81"/>
      <c r="K12" s="23"/>
      <c r="L12" s="23"/>
      <c r="M12" s="23"/>
      <c r="N12" s="450"/>
      <c r="O12" s="450"/>
      <c r="P12" s="25"/>
      <c r="Q12" s="414" t="s">
        <v>317</v>
      </c>
      <c r="R12" s="414"/>
      <c r="S12" s="24"/>
      <c r="T12" s="414"/>
      <c r="U12" s="414"/>
      <c r="V12" s="24"/>
      <c r="W12" s="414"/>
      <c r="X12" s="25">
        <f>X13</f>
        <v>0</v>
      </c>
      <c r="Y12" s="386" t="s">
        <v>25</v>
      </c>
    </row>
    <row r="13" spans="1:26" ht="21" customHeight="1">
      <c r="A13" s="34" t="s">
        <v>325</v>
      </c>
      <c r="B13" s="35" t="s">
        <v>325</v>
      </c>
      <c r="C13" s="35" t="s">
        <v>325</v>
      </c>
      <c r="D13" s="574" t="s">
        <v>325</v>
      </c>
      <c r="E13" s="135"/>
      <c r="F13" s="136">
        <v>0</v>
      </c>
      <c r="G13" s="137"/>
      <c r="H13" s="138"/>
      <c r="I13" s="139"/>
      <c r="J13" s="140"/>
      <c r="K13" s="141"/>
      <c r="L13" s="141"/>
      <c r="M13" s="141"/>
      <c r="N13" s="451"/>
      <c r="O13" s="451"/>
      <c r="P13" s="143"/>
      <c r="Q13" s="415"/>
      <c r="R13" s="415"/>
      <c r="S13" s="142"/>
      <c r="T13" s="415"/>
      <c r="U13" s="415"/>
      <c r="V13" s="142"/>
      <c r="W13" s="415"/>
      <c r="X13" s="143">
        <v>0</v>
      </c>
      <c r="Y13" s="387" t="s">
        <v>313</v>
      </c>
    </row>
    <row r="14" spans="1:26" s="7" customFormat="1" ht="19.5" customHeight="1">
      <c r="A14" s="17" t="s">
        <v>328</v>
      </c>
      <c r="B14" s="18" t="s">
        <v>328</v>
      </c>
      <c r="C14" s="619" t="s">
        <v>329</v>
      </c>
      <c r="D14" s="620"/>
      <c r="E14" s="151">
        <f>SUM(E15,E43,E107,E168)</f>
        <v>2509154</v>
      </c>
      <c r="F14" s="151">
        <f>SUM(F15,F43,F107,F168)</f>
        <v>2554448</v>
      </c>
      <c r="G14" s="152">
        <f>F14-E14</f>
        <v>45294</v>
      </c>
      <c r="H14" s="153">
        <f>IF(E14=0,0,G14/E14)</f>
        <v>1.805150261801388E-2</v>
      </c>
      <c r="I14" s="154" t="s">
        <v>330</v>
      </c>
      <c r="J14" s="155"/>
      <c r="K14" s="156"/>
      <c r="L14" s="156"/>
      <c r="M14" s="155"/>
      <c r="N14" s="416"/>
      <c r="O14" s="416"/>
      <c r="P14" s="161"/>
      <c r="Q14" s="416"/>
      <c r="R14" s="156"/>
      <c r="S14" s="157"/>
      <c r="T14" s="156"/>
      <c r="U14" s="156"/>
      <c r="V14" s="157"/>
      <c r="W14" s="156"/>
      <c r="X14" s="541">
        <f>SUM(X15,X43,X107,X168)</f>
        <v>2554448000</v>
      </c>
      <c r="Y14" s="388" t="s">
        <v>25</v>
      </c>
      <c r="Z14" s="590"/>
    </row>
    <row r="15" spans="1:26" s="7" customFormat="1" ht="19.5" customHeight="1">
      <c r="A15" s="26" t="s">
        <v>331</v>
      </c>
      <c r="B15" s="27" t="s">
        <v>325</v>
      </c>
      <c r="C15" s="18" t="s">
        <v>332</v>
      </c>
      <c r="D15" s="246" t="s">
        <v>333</v>
      </c>
      <c r="E15" s="129">
        <f>SUM(E16:E36)</f>
        <v>1657961</v>
      </c>
      <c r="F15" s="129">
        <f>SUM(F16:F36)</f>
        <v>1671330</v>
      </c>
      <c r="G15" s="130">
        <f>F15-E15</f>
        <v>13369</v>
      </c>
      <c r="H15" s="131">
        <f>IF(E15=0,0,G15/E15)</f>
        <v>8.0635189850665964E-3</v>
      </c>
      <c r="I15" s="119" t="s">
        <v>334</v>
      </c>
      <c r="J15" s="120"/>
      <c r="K15" s="121"/>
      <c r="L15" s="121"/>
      <c r="M15" s="121"/>
      <c r="N15" s="452"/>
      <c r="O15" s="452"/>
      <c r="P15" s="511"/>
      <c r="Q15" s="417"/>
      <c r="R15" s="417"/>
      <c r="S15" s="122"/>
      <c r="T15" s="417"/>
      <c r="U15" s="417"/>
      <c r="V15" s="144" t="s">
        <v>335</v>
      </c>
      <c r="W15" s="466"/>
      <c r="X15" s="539">
        <f>SUM(X16,X20,X36)</f>
        <v>1671330000</v>
      </c>
      <c r="Y15" s="389" t="s">
        <v>313</v>
      </c>
      <c r="Z15" s="590"/>
    </row>
    <row r="16" spans="1:26" s="7" customFormat="1" ht="19.5" customHeight="1">
      <c r="A16" s="26"/>
      <c r="B16" s="27"/>
      <c r="C16" s="27" t="s">
        <v>328</v>
      </c>
      <c r="D16" s="27" t="s">
        <v>336</v>
      </c>
      <c r="E16" s="273">
        <v>93169</v>
      </c>
      <c r="F16" s="273">
        <f>ROUND(X16/1000,0)</f>
        <v>92212</v>
      </c>
      <c r="G16" s="162">
        <f>F16-E16</f>
        <v>-957</v>
      </c>
      <c r="H16" s="163">
        <f>IF(E16=0,0,G16/E16)</f>
        <v>-1.0271656881580783E-2</v>
      </c>
      <c r="I16" s="82" t="s">
        <v>337</v>
      </c>
      <c r="J16" s="180"/>
      <c r="K16" s="179"/>
      <c r="L16" s="179"/>
      <c r="M16" s="220"/>
      <c r="N16" s="568"/>
      <c r="O16" s="46"/>
      <c r="P16" s="41"/>
      <c r="Q16" s="568"/>
      <c r="R16" s="377"/>
      <c r="S16" s="354"/>
      <c r="T16" s="456"/>
      <c r="U16" s="568"/>
      <c r="V16" s="260" t="s">
        <v>338</v>
      </c>
      <c r="W16" s="565"/>
      <c r="X16" s="537">
        <f>SUM(X17:X19)</f>
        <v>92212000</v>
      </c>
      <c r="Y16" s="390" t="s">
        <v>313</v>
      </c>
      <c r="Z16" s="590"/>
    </row>
    <row r="17" spans="1:26" s="7" customFormat="1" ht="19.5" customHeight="1">
      <c r="A17" s="577"/>
      <c r="B17" s="27"/>
      <c r="C17" s="27"/>
      <c r="D17" s="27"/>
      <c r="E17" s="29"/>
      <c r="F17" s="272"/>
      <c r="G17" s="30"/>
      <c r="H17" s="43"/>
      <c r="I17" s="172" t="s">
        <v>800</v>
      </c>
      <c r="J17" s="180"/>
      <c r="K17" s="179"/>
      <c r="L17" s="179"/>
      <c r="M17" s="179">
        <v>272937</v>
      </c>
      <c r="N17" s="568" t="s">
        <v>25</v>
      </c>
      <c r="O17" s="46" t="s">
        <v>26</v>
      </c>
      <c r="P17" s="335">
        <v>30</v>
      </c>
      <c r="Q17" s="568" t="s">
        <v>128</v>
      </c>
      <c r="R17" s="377" t="s">
        <v>26</v>
      </c>
      <c r="S17" s="374">
        <v>12</v>
      </c>
      <c r="T17" s="456" t="s">
        <v>29</v>
      </c>
      <c r="U17" s="568" t="s">
        <v>26</v>
      </c>
      <c r="V17" s="259">
        <v>0.9</v>
      </c>
      <c r="W17" s="568" t="s">
        <v>27</v>
      </c>
      <c r="X17" s="335">
        <f>ROUND(M17*P17*S17*V17,-3)</f>
        <v>88432000</v>
      </c>
      <c r="Y17" s="391" t="s">
        <v>313</v>
      </c>
      <c r="Z17" s="590"/>
    </row>
    <row r="18" spans="1:26" s="7" customFormat="1" ht="19.5" customHeight="1">
      <c r="A18" s="577"/>
      <c r="B18" s="27"/>
      <c r="C18" s="27"/>
      <c r="D18" s="27"/>
      <c r="E18" s="29"/>
      <c r="F18" s="272"/>
      <c r="G18" s="30"/>
      <c r="H18" s="43"/>
      <c r="I18" s="172" t="s">
        <v>212</v>
      </c>
      <c r="J18" s="180"/>
      <c r="K18" s="179"/>
      <c r="L18" s="179"/>
      <c r="M18" s="179">
        <v>40000</v>
      </c>
      <c r="N18" s="568" t="s">
        <v>25</v>
      </c>
      <c r="O18" s="46" t="s">
        <v>26</v>
      </c>
      <c r="P18" s="335">
        <v>30</v>
      </c>
      <c r="Q18" s="568" t="s">
        <v>128</v>
      </c>
      <c r="R18" s="49" t="s">
        <v>26</v>
      </c>
      <c r="S18" s="374">
        <v>1</v>
      </c>
      <c r="T18" s="456" t="s">
        <v>211</v>
      </c>
      <c r="U18" s="568" t="s">
        <v>26</v>
      </c>
      <c r="V18" s="259">
        <v>0.9</v>
      </c>
      <c r="W18" s="568" t="s">
        <v>27</v>
      </c>
      <c r="X18" s="335">
        <f>ROUNDUP(M18*P18*S18*V18,-3)</f>
        <v>1080000</v>
      </c>
      <c r="Y18" s="391" t="s">
        <v>313</v>
      </c>
      <c r="Z18" s="590"/>
    </row>
    <row r="19" spans="1:26" s="7" customFormat="1" ht="19.5" customHeight="1">
      <c r="A19" s="577"/>
      <c r="B19" s="27"/>
      <c r="C19" s="27"/>
      <c r="D19" s="27"/>
      <c r="E19" s="29"/>
      <c r="F19" s="29"/>
      <c r="G19" s="30"/>
      <c r="H19" s="43"/>
      <c r="I19" s="172" t="s">
        <v>799</v>
      </c>
      <c r="J19" s="41"/>
      <c r="K19" s="123"/>
      <c r="L19" s="123"/>
      <c r="M19" s="179">
        <v>50000</v>
      </c>
      <c r="N19" s="568" t="s">
        <v>25</v>
      </c>
      <c r="O19" s="46" t="s">
        <v>26</v>
      </c>
      <c r="P19" s="335">
        <v>30</v>
      </c>
      <c r="Q19" s="568" t="s">
        <v>128</v>
      </c>
      <c r="R19" s="49" t="s">
        <v>26</v>
      </c>
      <c r="S19" s="33">
        <v>2</v>
      </c>
      <c r="T19" s="568" t="s">
        <v>211</v>
      </c>
      <c r="U19" s="568" t="s">
        <v>26</v>
      </c>
      <c r="V19" s="259">
        <v>0.9</v>
      </c>
      <c r="W19" s="32" t="s">
        <v>27</v>
      </c>
      <c r="X19" s="335">
        <f>ROUNDUP(M19*P19*S19*V19,-3)</f>
        <v>2700000</v>
      </c>
      <c r="Y19" s="391" t="s">
        <v>313</v>
      </c>
      <c r="Z19" s="590"/>
    </row>
    <row r="20" spans="1:26" s="7" customFormat="1" ht="19.5" customHeight="1" thickBot="1">
      <c r="A20" s="577"/>
      <c r="B20" s="27"/>
      <c r="C20" s="27"/>
      <c r="D20" s="18" t="s">
        <v>339</v>
      </c>
      <c r="E20" s="19">
        <v>1494524</v>
      </c>
      <c r="F20" s="145">
        <f>ROUND(X20/1000,0)</f>
        <v>1510595</v>
      </c>
      <c r="G20" s="20">
        <f>F20-E20</f>
        <v>16071</v>
      </c>
      <c r="H20" s="73">
        <f>IF(E20=0,0,G20/E20)</f>
        <v>1.0753256555264419E-2</v>
      </c>
      <c r="I20" s="148" t="s">
        <v>818</v>
      </c>
      <c r="J20" s="147"/>
      <c r="K20" s="150"/>
      <c r="L20" s="150"/>
      <c r="M20" s="178"/>
      <c r="N20" s="567"/>
      <c r="O20" s="453"/>
      <c r="P20" s="147"/>
      <c r="Q20" s="567"/>
      <c r="R20" s="423"/>
      <c r="S20" s="146"/>
      <c r="T20" s="567"/>
      <c r="U20" s="567"/>
      <c r="V20" s="149" t="s">
        <v>340</v>
      </c>
      <c r="W20" s="467"/>
      <c r="X20" s="540">
        <f>SUM(X21,X22,X27,X29)</f>
        <v>1510595000</v>
      </c>
      <c r="Y20" s="392" t="s">
        <v>341</v>
      </c>
      <c r="Z20" s="590"/>
    </row>
    <row r="21" spans="1:26" s="7" customFormat="1" ht="19.5" customHeight="1">
      <c r="A21" s="577"/>
      <c r="B21" s="27"/>
      <c r="C21" s="27"/>
      <c r="D21" s="27"/>
      <c r="E21" s="29"/>
      <c r="F21" s="29"/>
      <c r="G21" s="30"/>
      <c r="H21" s="43"/>
      <c r="I21" s="173" t="s">
        <v>342</v>
      </c>
      <c r="J21" s="180"/>
      <c r="K21" s="179"/>
      <c r="L21" s="179"/>
      <c r="M21" s="332">
        <v>1351684000</v>
      </c>
      <c r="N21" s="568" t="s">
        <v>341</v>
      </c>
      <c r="O21" s="46" t="s">
        <v>343</v>
      </c>
      <c r="P21" s="512">
        <v>0.7</v>
      </c>
      <c r="Q21" s="568"/>
      <c r="R21" s="568"/>
      <c r="S21" s="179"/>
      <c r="T21" s="568"/>
      <c r="U21" s="568" t="s">
        <v>344</v>
      </c>
      <c r="V21" s="134" t="s">
        <v>345</v>
      </c>
      <c r="W21" s="116"/>
      <c r="X21" s="597">
        <f>ROUND(M21*P21,-3)</f>
        <v>946179000</v>
      </c>
      <c r="Y21" s="393" t="s">
        <v>25</v>
      </c>
      <c r="Z21" s="590"/>
    </row>
    <row r="22" spans="1:26" s="7" customFormat="1" ht="19.5" customHeight="1">
      <c r="A22" s="577"/>
      <c r="B22" s="27"/>
      <c r="C22" s="27"/>
      <c r="D22" s="27"/>
      <c r="E22" s="29"/>
      <c r="F22" s="29"/>
      <c r="G22" s="30"/>
      <c r="H22" s="43"/>
      <c r="I22" s="173" t="s">
        <v>346</v>
      </c>
      <c r="J22" s="180"/>
      <c r="K22" s="179"/>
      <c r="L22" s="179"/>
      <c r="M22" s="179"/>
      <c r="N22" s="568"/>
      <c r="O22" s="568"/>
      <c r="P22" s="41"/>
      <c r="Q22" s="568"/>
      <c r="R22" s="568"/>
      <c r="S22" s="179"/>
      <c r="T22" s="568"/>
      <c r="U22" s="568"/>
      <c r="V22" s="83" t="s">
        <v>345</v>
      </c>
      <c r="W22" s="565"/>
      <c r="X22" s="83">
        <f>SUM(X23:X26)</f>
        <v>326978000</v>
      </c>
      <c r="Y22" s="390" t="s">
        <v>25</v>
      </c>
      <c r="Z22" s="590"/>
    </row>
    <row r="23" spans="1:26" s="7" customFormat="1" ht="19.5" customHeight="1">
      <c r="A23" s="577"/>
      <c r="B23" s="27"/>
      <c r="C23" s="27"/>
      <c r="D23" s="27"/>
      <c r="E23" s="29"/>
      <c r="F23" s="29"/>
      <c r="G23" s="30"/>
      <c r="H23" s="43"/>
      <c r="I23" s="172" t="s">
        <v>347</v>
      </c>
      <c r="J23" s="180"/>
      <c r="K23" s="179"/>
      <c r="L23" s="179"/>
      <c r="M23" s="179">
        <v>134982600</v>
      </c>
      <c r="N23" s="568" t="s">
        <v>341</v>
      </c>
      <c r="O23" s="46" t="s">
        <v>343</v>
      </c>
      <c r="P23" s="512">
        <v>0.7</v>
      </c>
      <c r="Q23" s="568"/>
      <c r="R23" s="568"/>
      <c r="S23" s="179"/>
      <c r="T23" s="568"/>
      <c r="U23" s="568" t="s">
        <v>344</v>
      </c>
      <c r="V23" s="631"/>
      <c r="W23" s="631"/>
      <c r="X23" s="147">
        <f>ROUND(M23*P23,-3)</f>
        <v>94488000</v>
      </c>
      <c r="Y23" s="394" t="s">
        <v>341</v>
      </c>
      <c r="Z23" s="590"/>
    </row>
    <row r="24" spans="1:26" s="7" customFormat="1" ht="19.5" customHeight="1">
      <c r="A24" s="577"/>
      <c r="B24" s="27"/>
      <c r="C24" s="27"/>
      <c r="D24" s="27"/>
      <c r="E24" s="29"/>
      <c r="F24" s="29"/>
      <c r="G24" s="30"/>
      <c r="H24" s="43"/>
      <c r="I24" s="172" t="s">
        <v>348</v>
      </c>
      <c r="J24" s="180"/>
      <c r="K24" s="179"/>
      <c r="L24" s="179"/>
      <c r="M24" s="179">
        <v>24000000</v>
      </c>
      <c r="N24" s="568" t="s">
        <v>341</v>
      </c>
      <c r="O24" s="46" t="s">
        <v>343</v>
      </c>
      <c r="P24" s="512">
        <v>0.7</v>
      </c>
      <c r="Q24" s="568"/>
      <c r="R24" s="568"/>
      <c r="S24" s="179"/>
      <c r="T24" s="568"/>
      <c r="U24" s="568" t="s">
        <v>344</v>
      </c>
      <c r="V24" s="632"/>
      <c r="W24" s="632"/>
      <c r="X24" s="41">
        <f>ROUNDUP(M24*P24,-3)</f>
        <v>16800000</v>
      </c>
      <c r="Y24" s="391" t="s">
        <v>341</v>
      </c>
      <c r="Z24" s="590"/>
    </row>
    <row r="25" spans="1:26" s="7" customFormat="1" ht="19.5" customHeight="1">
      <c r="A25" s="577"/>
      <c r="B25" s="27"/>
      <c r="C25" s="27"/>
      <c r="D25" s="27"/>
      <c r="E25" s="29"/>
      <c r="F25" s="29"/>
      <c r="G25" s="30"/>
      <c r="H25" s="43"/>
      <c r="I25" s="172" t="s">
        <v>349</v>
      </c>
      <c r="J25" s="180"/>
      <c r="K25" s="179"/>
      <c r="L25" s="179"/>
      <c r="M25" s="179">
        <v>303128050</v>
      </c>
      <c r="N25" s="568" t="s">
        <v>341</v>
      </c>
      <c r="O25" s="46" t="s">
        <v>343</v>
      </c>
      <c r="P25" s="512">
        <v>0.7</v>
      </c>
      <c r="Q25" s="568"/>
      <c r="R25" s="568"/>
      <c r="S25" s="179"/>
      <c r="T25" s="568"/>
      <c r="U25" s="568" t="s">
        <v>344</v>
      </c>
      <c r="V25" s="632"/>
      <c r="W25" s="632"/>
      <c r="X25" s="41">
        <f>ROUNDUP(M25*P25,-3)</f>
        <v>212190000</v>
      </c>
      <c r="Y25" s="391" t="s">
        <v>341</v>
      </c>
      <c r="Z25" s="590"/>
    </row>
    <row r="26" spans="1:26" s="7" customFormat="1" ht="19.5" customHeight="1">
      <c r="A26" s="577"/>
      <c r="B26" s="27"/>
      <c r="C26" s="27"/>
      <c r="D26" s="27"/>
      <c r="E26" s="29"/>
      <c r="F26" s="29"/>
      <c r="G26" s="30"/>
      <c r="H26" s="43"/>
      <c r="I26" s="172" t="s">
        <v>656</v>
      </c>
      <c r="J26" s="180"/>
      <c r="K26" s="179"/>
      <c r="L26" s="179"/>
      <c r="M26" s="179">
        <v>5000000</v>
      </c>
      <c r="N26" s="568" t="s">
        <v>289</v>
      </c>
      <c r="O26" s="46" t="s">
        <v>291</v>
      </c>
      <c r="P26" s="512">
        <v>0.7</v>
      </c>
      <c r="Q26" s="568"/>
      <c r="R26" s="568"/>
      <c r="S26" s="179"/>
      <c r="T26" s="568"/>
      <c r="U26" s="568" t="s">
        <v>53</v>
      </c>
      <c r="V26" s="632"/>
      <c r="W26" s="632"/>
      <c r="X26" s="41">
        <f>ROUNDUP(M26*P26,-3)</f>
        <v>3500000</v>
      </c>
      <c r="Y26" s="391" t="s">
        <v>289</v>
      </c>
      <c r="Z26" s="590"/>
    </row>
    <row r="27" spans="1:26" s="7" customFormat="1" ht="19.5" customHeight="1">
      <c r="A27" s="577"/>
      <c r="B27" s="27"/>
      <c r="C27" s="27"/>
      <c r="D27" s="27"/>
      <c r="E27" s="29"/>
      <c r="F27" s="29"/>
      <c r="G27" s="30"/>
      <c r="H27" s="43"/>
      <c r="I27" s="173" t="s">
        <v>350</v>
      </c>
      <c r="J27" s="180"/>
      <c r="K27" s="179"/>
      <c r="L27" s="179"/>
      <c r="M27" s="179"/>
      <c r="N27" s="568"/>
      <c r="O27" s="568"/>
      <c r="P27" s="41"/>
      <c r="Q27" s="568"/>
      <c r="R27" s="568"/>
      <c r="S27" s="179"/>
      <c r="T27" s="568"/>
      <c r="U27" s="568"/>
      <c r="V27" s="134" t="s">
        <v>351</v>
      </c>
      <c r="W27" s="116"/>
      <c r="X27" s="134">
        <f>SUM(X28:X28)</f>
        <v>106096000</v>
      </c>
      <c r="Y27" s="393" t="s">
        <v>25</v>
      </c>
      <c r="Z27" s="590"/>
    </row>
    <row r="28" spans="1:26" s="7" customFormat="1" ht="19.5" customHeight="1">
      <c r="A28" s="577"/>
      <c r="B28" s="27"/>
      <c r="C28" s="27"/>
      <c r="D28" s="27"/>
      <c r="E28" s="29"/>
      <c r="F28" s="29"/>
      <c r="G28" s="30"/>
      <c r="H28" s="43"/>
      <c r="I28" s="172" t="s">
        <v>819</v>
      </c>
      <c r="J28" s="180"/>
      <c r="K28" s="179"/>
      <c r="L28" s="179"/>
      <c r="M28" s="179">
        <v>1818794650</v>
      </c>
      <c r="N28" s="568" t="s">
        <v>352</v>
      </c>
      <c r="O28" s="568" t="s">
        <v>353</v>
      </c>
      <c r="P28" s="513">
        <v>12</v>
      </c>
      <c r="Q28" s="46" t="s">
        <v>354</v>
      </c>
      <c r="R28" s="46" t="s">
        <v>355</v>
      </c>
      <c r="S28" s="258">
        <v>0.7</v>
      </c>
      <c r="T28" s="568"/>
      <c r="U28" s="568" t="s">
        <v>356</v>
      </c>
      <c r="V28" s="56"/>
      <c r="W28" s="567"/>
      <c r="X28" s="147">
        <f>ROUND(M28/P28*S28,-3)</f>
        <v>106096000</v>
      </c>
      <c r="Y28" s="394" t="s">
        <v>352</v>
      </c>
      <c r="Z28" s="590"/>
    </row>
    <row r="29" spans="1:26" s="7" customFormat="1" ht="19.5" customHeight="1">
      <c r="A29" s="577"/>
      <c r="B29" s="27"/>
      <c r="C29" s="27"/>
      <c r="D29" s="27"/>
      <c r="E29" s="29"/>
      <c r="F29" s="29"/>
      <c r="G29" s="30"/>
      <c r="H29" s="43"/>
      <c r="I29" s="173" t="s">
        <v>357</v>
      </c>
      <c r="J29" s="180"/>
      <c r="K29" s="179"/>
      <c r="L29" s="179"/>
      <c r="M29" s="179"/>
      <c r="N29" s="568"/>
      <c r="O29" s="568"/>
      <c r="P29" s="41"/>
      <c r="Q29" s="568"/>
      <c r="R29" s="568"/>
      <c r="S29" s="179"/>
      <c r="T29" s="568"/>
      <c r="U29" s="568"/>
      <c r="V29" s="134" t="s">
        <v>351</v>
      </c>
      <c r="W29" s="116"/>
      <c r="X29" s="134">
        <f>SUM(X30:X34)</f>
        <v>131342000</v>
      </c>
      <c r="Y29" s="393" t="s">
        <v>25</v>
      </c>
      <c r="Z29" s="590"/>
    </row>
    <row r="30" spans="1:26" s="7" customFormat="1" ht="19.5" customHeight="1">
      <c r="A30" s="577"/>
      <c r="B30" s="27"/>
      <c r="C30" s="27"/>
      <c r="E30" s="29"/>
      <c r="F30" s="29"/>
      <c r="G30" s="30"/>
      <c r="H30" s="43"/>
      <c r="I30" s="172" t="s">
        <v>358</v>
      </c>
      <c r="J30" s="180"/>
      <c r="K30" s="179"/>
      <c r="L30" s="179"/>
      <c r="M30" s="179">
        <v>1818794650</v>
      </c>
      <c r="N30" s="568" t="s">
        <v>352</v>
      </c>
      <c r="O30" s="46" t="s">
        <v>355</v>
      </c>
      <c r="P30" s="514">
        <v>0.09</v>
      </c>
      <c r="Q30" s="568">
        <v>2</v>
      </c>
      <c r="R30" s="46" t="s">
        <v>355</v>
      </c>
      <c r="S30" s="258">
        <v>0.7</v>
      </c>
      <c r="T30" s="457"/>
      <c r="U30" s="568" t="s">
        <v>356</v>
      </c>
      <c r="V30" s="179"/>
      <c r="W30" s="568"/>
      <c r="X30" s="335">
        <f>ROUND(M30*P30/Q30*S30,-3)</f>
        <v>57292000</v>
      </c>
      <c r="Y30" s="391" t="s">
        <v>352</v>
      </c>
      <c r="Z30" s="590"/>
    </row>
    <row r="31" spans="1:26" s="7" customFormat="1" ht="19.5" customHeight="1">
      <c r="A31" s="577"/>
      <c r="B31" s="27"/>
      <c r="C31" s="27"/>
      <c r="D31" s="27"/>
      <c r="E31" s="29"/>
      <c r="F31" s="29"/>
      <c r="G31" s="30"/>
      <c r="H31" s="43"/>
      <c r="I31" s="172" t="s">
        <v>359</v>
      </c>
      <c r="J31" s="180"/>
      <c r="K31" s="179"/>
      <c r="L31" s="179"/>
      <c r="M31" s="179">
        <v>1818794650</v>
      </c>
      <c r="N31" s="568" t="s">
        <v>352</v>
      </c>
      <c r="O31" s="46" t="s">
        <v>355</v>
      </c>
      <c r="P31" s="515">
        <v>7.0900000000000005E-2</v>
      </c>
      <c r="Q31" s="568">
        <v>2</v>
      </c>
      <c r="R31" s="46" t="s">
        <v>355</v>
      </c>
      <c r="S31" s="258">
        <v>0.7</v>
      </c>
      <c r="T31" s="457"/>
      <c r="U31" s="568" t="s">
        <v>356</v>
      </c>
      <c r="V31" s="179"/>
      <c r="W31" s="568"/>
      <c r="X31" s="335">
        <f>ROUNDUP(M31*P31/Q31*S31,-3)</f>
        <v>45134000</v>
      </c>
      <c r="Y31" s="391" t="s">
        <v>352</v>
      </c>
      <c r="Z31" s="590"/>
    </row>
    <row r="32" spans="1:26" s="7" customFormat="1" ht="19.5" customHeight="1">
      <c r="A32" s="577"/>
      <c r="B32" s="27"/>
      <c r="C32" s="27"/>
      <c r="D32" s="27"/>
      <c r="E32" s="29"/>
      <c r="F32" s="29"/>
      <c r="G32" s="30"/>
      <c r="H32" s="43"/>
      <c r="I32" s="172" t="s">
        <v>360</v>
      </c>
      <c r="J32" s="180"/>
      <c r="K32" s="179"/>
      <c r="L32" s="179"/>
      <c r="M32" s="179">
        <v>45134000</v>
      </c>
      <c r="N32" s="568" t="s">
        <v>352</v>
      </c>
      <c r="O32" s="46" t="s">
        <v>355</v>
      </c>
      <c r="P32" s="516">
        <v>0.12809999999999999</v>
      </c>
      <c r="Q32" s="250"/>
      <c r="R32" s="46"/>
      <c r="S32" s="48"/>
      <c r="T32" s="458"/>
      <c r="U32" s="568" t="s">
        <v>356</v>
      </c>
      <c r="V32" s="179"/>
      <c r="W32" s="568"/>
      <c r="X32" s="335">
        <f>ROUND(M32*P32,-3)</f>
        <v>5782000</v>
      </c>
      <c r="Y32" s="391" t="s">
        <v>352</v>
      </c>
      <c r="Z32" s="590"/>
    </row>
    <row r="33" spans="1:26" s="7" customFormat="1" ht="19.5" customHeight="1">
      <c r="A33" s="577"/>
      <c r="B33" s="27"/>
      <c r="C33" s="27"/>
      <c r="D33" s="27"/>
      <c r="E33" s="29"/>
      <c r="F33" s="29"/>
      <c r="G33" s="30"/>
      <c r="H33" s="43"/>
      <c r="I33" s="172" t="s">
        <v>361</v>
      </c>
      <c r="J33" s="180"/>
      <c r="K33" s="179"/>
      <c r="L33" s="179"/>
      <c r="M33" s="179">
        <v>1818794650</v>
      </c>
      <c r="N33" s="568" t="s">
        <v>352</v>
      </c>
      <c r="O33" s="46" t="s">
        <v>355</v>
      </c>
      <c r="P33" s="516">
        <v>1.15E-2</v>
      </c>
      <c r="Q33" s="46"/>
      <c r="R33" s="46" t="s">
        <v>355</v>
      </c>
      <c r="S33" s="258">
        <v>0.7</v>
      </c>
      <c r="T33" s="457"/>
      <c r="U33" s="568" t="s">
        <v>356</v>
      </c>
      <c r="V33" s="179"/>
      <c r="W33" s="568"/>
      <c r="X33" s="335">
        <f>ROUNDUP(M33*P33*S33,-3)</f>
        <v>14642000</v>
      </c>
      <c r="Y33" s="391" t="s">
        <v>352</v>
      </c>
      <c r="Z33" s="590"/>
    </row>
    <row r="34" spans="1:26" s="7" customFormat="1" ht="19.5" customHeight="1">
      <c r="A34" s="577"/>
      <c r="B34" s="27"/>
      <c r="C34" s="27"/>
      <c r="D34" s="27"/>
      <c r="E34" s="29"/>
      <c r="F34" s="29"/>
      <c r="G34" s="30"/>
      <c r="H34" s="43"/>
      <c r="I34" s="172" t="s">
        <v>362</v>
      </c>
      <c r="J34" s="180"/>
      <c r="K34" s="179"/>
      <c r="L34" s="179"/>
      <c r="M34" s="179">
        <v>1818794650</v>
      </c>
      <c r="N34" s="568" t="s">
        <v>352</v>
      </c>
      <c r="O34" s="46" t="s">
        <v>355</v>
      </c>
      <c r="P34" s="517">
        <v>6.6699999999999997E-3</v>
      </c>
      <c r="Q34" s="46"/>
      <c r="R34" s="46" t="s">
        <v>355</v>
      </c>
      <c r="S34" s="258">
        <v>0.7</v>
      </c>
      <c r="T34" s="457"/>
      <c r="U34" s="568" t="s">
        <v>356</v>
      </c>
      <c r="V34" s="179"/>
      <c r="W34" s="568"/>
      <c r="X34" s="335">
        <f>ROUND(M34*P34*S34,-3)</f>
        <v>8492000</v>
      </c>
      <c r="Y34" s="391" t="s">
        <v>352</v>
      </c>
      <c r="Z34" s="590"/>
    </row>
    <row r="35" spans="1:26" s="7" customFormat="1" ht="19.5" customHeight="1">
      <c r="A35" s="577"/>
      <c r="B35" s="27"/>
      <c r="C35" s="27"/>
      <c r="D35" s="27"/>
      <c r="E35" s="29"/>
      <c r="F35" s="29"/>
      <c r="G35" s="30"/>
      <c r="H35" s="43"/>
      <c r="I35" s="375"/>
      <c r="J35" s="212"/>
      <c r="K35" s="179"/>
      <c r="L35" s="179"/>
      <c r="M35" s="179"/>
      <c r="N35" s="568"/>
      <c r="O35" s="46"/>
      <c r="P35" s="517"/>
      <c r="Q35" s="46"/>
      <c r="R35" s="46"/>
      <c r="S35" s="258"/>
      <c r="T35" s="457"/>
      <c r="U35" s="568"/>
      <c r="V35" s="179"/>
      <c r="W35" s="568"/>
      <c r="X35" s="41"/>
      <c r="Y35" s="391"/>
      <c r="Z35" s="590"/>
    </row>
    <row r="36" spans="1:26" s="7" customFormat="1" ht="19.5" customHeight="1">
      <c r="A36" s="577"/>
      <c r="B36" s="27"/>
      <c r="C36" s="27"/>
      <c r="D36" s="18" t="s">
        <v>369</v>
      </c>
      <c r="E36" s="145">
        <v>70268</v>
      </c>
      <c r="F36" s="145">
        <f>ROUND(X36/1000,0)</f>
        <v>68523</v>
      </c>
      <c r="G36" s="164">
        <f>F36-E36</f>
        <v>-1745</v>
      </c>
      <c r="H36" s="73">
        <f>IF(E36=0,0,G36/E36)</f>
        <v>-2.4833494620595434E-2</v>
      </c>
      <c r="I36" s="271" t="s">
        <v>370</v>
      </c>
      <c r="J36" s="270"/>
      <c r="K36" s="269"/>
      <c r="L36" s="269"/>
      <c r="M36" s="268"/>
      <c r="N36" s="266"/>
      <c r="O36" s="454"/>
      <c r="P36" s="270"/>
      <c r="Q36" s="266"/>
      <c r="R36" s="424"/>
      <c r="S36" s="267"/>
      <c r="T36" s="266"/>
      <c r="U36" s="266"/>
      <c r="V36" s="265" t="s">
        <v>363</v>
      </c>
      <c r="W36" s="468"/>
      <c r="X36" s="544">
        <f>SUM(X37:X40)</f>
        <v>68523000</v>
      </c>
      <c r="Y36" s="396" t="s">
        <v>352</v>
      </c>
      <c r="Z36" s="590"/>
    </row>
    <row r="37" spans="1:26" s="7" customFormat="1" ht="19.5" customHeight="1">
      <c r="A37" s="577"/>
      <c r="B37" s="27"/>
      <c r="C37" s="27"/>
      <c r="D37" s="27"/>
      <c r="E37" s="29"/>
      <c r="F37" s="29"/>
      <c r="G37" s="30"/>
      <c r="H37" s="43"/>
      <c r="I37" s="170" t="s">
        <v>371</v>
      </c>
      <c r="J37" s="169"/>
      <c r="K37" s="263"/>
      <c r="L37" s="263"/>
      <c r="M37" s="166">
        <v>2549000</v>
      </c>
      <c r="N37" s="206" t="s">
        <v>25</v>
      </c>
      <c r="O37" s="336" t="s">
        <v>26</v>
      </c>
      <c r="P37" s="213">
        <v>30</v>
      </c>
      <c r="Q37" s="206" t="s">
        <v>372</v>
      </c>
      <c r="R37" s="336" t="s">
        <v>355</v>
      </c>
      <c r="S37" s="214">
        <v>0.7</v>
      </c>
      <c r="T37" s="443"/>
      <c r="U37" s="206" t="s">
        <v>356</v>
      </c>
      <c r="V37" s="261"/>
      <c r="W37" s="208"/>
      <c r="X37" s="169">
        <f>M37*P37*S37</f>
        <v>53529000</v>
      </c>
      <c r="Y37" s="397" t="s">
        <v>352</v>
      </c>
      <c r="Z37" s="590"/>
    </row>
    <row r="38" spans="1:26" s="7" customFormat="1" ht="19.5" customHeight="1">
      <c r="A38" s="577"/>
      <c r="B38" s="27"/>
      <c r="C38" s="27"/>
      <c r="D38" s="27"/>
      <c r="E38" s="29"/>
      <c r="F38" s="29"/>
      <c r="G38" s="30"/>
      <c r="H38" s="43"/>
      <c r="I38" s="170" t="s">
        <v>373</v>
      </c>
      <c r="J38" s="169"/>
      <c r="K38" s="263"/>
      <c r="L38" s="263"/>
      <c r="M38" s="166">
        <v>1071000</v>
      </c>
      <c r="N38" s="206" t="s">
        <v>25</v>
      </c>
      <c r="O38" s="336" t="s">
        <v>26</v>
      </c>
      <c r="P38" s="213">
        <v>20</v>
      </c>
      <c r="Q38" s="206" t="s">
        <v>372</v>
      </c>
      <c r="R38" s="336" t="s">
        <v>355</v>
      </c>
      <c r="S38" s="214">
        <v>0.7</v>
      </c>
      <c r="T38" s="443"/>
      <c r="U38" s="206" t="s">
        <v>356</v>
      </c>
      <c r="V38" s="261"/>
      <c r="W38" s="208"/>
      <c r="X38" s="169">
        <f>ROUND(M38*P38*S38,-3)</f>
        <v>14994000</v>
      </c>
      <c r="Y38" s="397" t="s">
        <v>352</v>
      </c>
      <c r="Z38" s="590"/>
    </row>
    <row r="39" spans="1:26" s="7" customFormat="1" ht="19.5" customHeight="1">
      <c r="A39" s="577"/>
      <c r="B39" s="27"/>
      <c r="C39" s="27"/>
      <c r="D39" s="27"/>
      <c r="E39" s="29"/>
      <c r="F39" s="29"/>
      <c r="G39" s="30"/>
      <c r="H39" s="43"/>
      <c r="I39" s="170"/>
      <c r="J39" s="169"/>
      <c r="K39" s="263"/>
      <c r="L39" s="263"/>
      <c r="M39" s="166"/>
      <c r="N39" s="206"/>
      <c r="O39" s="336"/>
      <c r="P39" s="262"/>
      <c r="Q39" s="206"/>
      <c r="R39" s="207"/>
      <c r="S39" s="215"/>
      <c r="T39" s="206"/>
      <c r="U39" s="206"/>
      <c r="V39" s="261"/>
      <c r="W39" s="208"/>
      <c r="X39" s="169"/>
      <c r="Y39" s="397"/>
      <c r="Z39" s="590"/>
    </row>
    <row r="40" spans="1:26" s="7" customFormat="1" ht="19.5" customHeight="1">
      <c r="A40" s="577"/>
      <c r="B40" s="27"/>
      <c r="C40" s="27"/>
      <c r="D40" s="27"/>
      <c r="E40" s="29"/>
      <c r="F40" s="29"/>
      <c r="G40" s="30"/>
      <c r="H40" s="43"/>
      <c r="I40" s="209" t="s">
        <v>374</v>
      </c>
      <c r="J40" s="169"/>
      <c r="K40" s="263"/>
      <c r="L40" s="263"/>
      <c r="M40" s="166"/>
      <c r="N40" s="206"/>
      <c r="O40" s="336"/>
      <c r="P40" s="169"/>
      <c r="Q40" s="206"/>
      <c r="R40" s="207"/>
      <c r="S40" s="215"/>
      <c r="T40" s="206"/>
      <c r="U40" s="206"/>
      <c r="V40" s="264" t="s">
        <v>363</v>
      </c>
      <c r="W40" s="218"/>
      <c r="X40" s="211">
        <f>X41</f>
        <v>0</v>
      </c>
      <c r="Y40" s="398" t="s">
        <v>352</v>
      </c>
      <c r="Z40" s="590"/>
    </row>
    <row r="41" spans="1:26" s="7" customFormat="1" ht="19.5" customHeight="1">
      <c r="A41" s="577"/>
      <c r="B41" s="27"/>
      <c r="C41" s="27"/>
      <c r="D41" s="27"/>
      <c r="E41" s="29"/>
      <c r="F41" s="29"/>
      <c r="G41" s="30"/>
      <c r="H41" s="43"/>
      <c r="I41" s="170" t="s">
        <v>560</v>
      </c>
      <c r="J41" s="169"/>
      <c r="K41" s="263"/>
      <c r="L41" s="263"/>
      <c r="M41" s="166"/>
      <c r="N41" s="206" t="s">
        <v>25</v>
      </c>
      <c r="O41" s="336" t="s">
        <v>26</v>
      </c>
      <c r="P41" s="262">
        <v>0.5</v>
      </c>
      <c r="Q41" s="206"/>
      <c r="R41" s="207"/>
      <c r="S41" s="215"/>
      <c r="T41" s="206"/>
      <c r="U41" s="206"/>
      <c r="V41" s="261"/>
      <c r="W41" s="208" t="s">
        <v>27</v>
      </c>
      <c r="X41" s="169">
        <f>M41*P41</f>
        <v>0</v>
      </c>
      <c r="Y41" s="397" t="s">
        <v>341</v>
      </c>
      <c r="Z41" s="590"/>
    </row>
    <row r="42" spans="1:26" s="7" customFormat="1" ht="19.5" customHeight="1">
      <c r="A42" s="577"/>
      <c r="B42" s="27"/>
      <c r="C42" s="27"/>
      <c r="D42" s="35"/>
      <c r="E42" s="36"/>
      <c r="F42" s="36"/>
      <c r="G42" s="37"/>
      <c r="H42" s="52"/>
      <c r="I42" s="209"/>
      <c r="J42" s="211"/>
      <c r="K42" s="216"/>
      <c r="L42" s="216"/>
      <c r="M42" s="210"/>
      <c r="N42" s="218"/>
      <c r="O42" s="455"/>
      <c r="P42" s="211"/>
      <c r="Q42" s="218"/>
      <c r="R42" s="425"/>
      <c r="S42" s="217"/>
      <c r="T42" s="218"/>
      <c r="U42" s="218"/>
      <c r="V42" s="219"/>
      <c r="W42" s="469"/>
      <c r="X42" s="211"/>
      <c r="Y42" s="398"/>
      <c r="Z42" s="590"/>
    </row>
    <row r="43" spans="1:26" s="7" customFormat="1" ht="19.5" customHeight="1">
      <c r="A43" s="577"/>
      <c r="B43" s="27"/>
      <c r="C43" s="18" t="s">
        <v>375</v>
      </c>
      <c r="D43" s="246" t="s">
        <v>376</v>
      </c>
      <c r="E43" s="129">
        <f>SUM(E44:E106)</f>
        <v>137261</v>
      </c>
      <c r="F43" s="129">
        <f>SUM(F44:F106)</f>
        <v>141423</v>
      </c>
      <c r="G43" s="130">
        <f>F43-E43</f>
        <v>4162</v>
      </c>
      <c r="H43" s="131">
        <f>IF(E43=0,0,G43/E43)</f>
        <v>3.032179570307662E-2</v>
      </c>
      <c r="I43" s="119" t="s">
        <v>377</v>
      </c>
      <c r="J43" s="120"/>
      <c r="K43" s="121"/>
      <c r="L43" s="121"/>
      <c r="M43" s="121"/>
      <c r="N43" s="452"/>
      <c r="O43" s="452"/>
      <c r="P43" s="511"/>
      <c r="Q43" s="417"/>
      <c r="R43" s="417"/>
      <c r="S43" s="122"/>
      <c r="T43" s="417"/>
      <c r="U43" s="417"/>
      <c r="V43" s="144" t="s">
        <v>351</v>
      </c>
      <c r="W43" s="466"/>
      <c r="X43" s="538">
        <f>SUM(X44,X48,X64,X71,X78,X101)</f>
        <v>141423000</v>
      </c>
      <c r="Y43" s="389" t="s">
        <v>352</v>
      </c>
      <c r="Z43" s="590"/>
    </row>
    <row r="44" spans="1:26" s="7" customFormat="1" ht="19.5" customHeight="1">
      <c r="A44" s="577"/>
      <c r="B44" s="27"/>
      <c r="C44" s="27" t="s">
        <v>378</v>
      </c>
      <c r="D44" s="18" t="s">
        <v>379</v>
      </c>
      <c r="E44" s="19">
        <v>7246</v>
      </c>
      <c r="F44" s="145">
        <f>ROUND(X44/1000,0)</f>
        <v>7172</v>
      </c>
      <c r="G44" s="20">
        <f>F44-E44</f>
        <v>-74</v>
      </c>
      <c r="H44" s="73">
        <f>IF(E44=0,0,G44/E44)</f>
        <v>-1.0212531051614683E-2</v>
      </c>
      <c r="I44" s="82" t="s">
        <v>380</v>
      </c>
      <c r="J44" s="92"/>
      <c r="K44" s="56"/>
      <c r="L44" s="56"/>
      <c r="M44" s="56"/>
      <c r="N44" s="567"/>
      <c r="O44" s="453"/>
      <c r="P44" s="147"/>
      <c r="Q44" s="567"/>
      <c r="R44" s="426"/>
      <c r="S44" s="355"/>
      <c r="T44" s="459"/>
      <c r="U44" s="567"/>
      <c r="V44" s="260" t="s">
        <v>363</v>
      </c>
      <c r="W44" s="565"/>
      <c r="X44" s="537">
        <f>SUM(X45:X47)</f>
        <v>7172000</v>
      </c>
      <c r="Y44" s="390" t="s">
        <v>352</v>
      </c>
      <c r="Z44" s="590"/>
    </row>
    <row r="45" spans="1:26" s="7" customFormat="1" ht="19.5" customHeight="1">
      <c r="A45" s="577"/>
      <c r="B45" s="27"/>
      <c r="C45" s="27"/>
      <c r="D45" s="27"/>
      <c r="E45" s="29"/>
      <c r="F45" s="29"/>
      <c r="G45" s="30"/>
      <c r="H45" s="43"/>
      <c r="I45" s="172" t="s">
        <v>800</v>
      </c>
      <c r="J45" s="180"/>
      <c r="K45" s="179"/>
      <c r="L45" s="179"/>
      <c r="M45" s="179">
        <v>272937</v>
      </c>
      <c r="N45" s="568" t="s">
        <v>25</v>
      </c>
      <c r="O45" s="46" t="s">
        <v>26</v>
      </c>
      <c r="P45" s="335">
        <v>30</v>
      </c>
      <c r="Q45" s="568" t="s">
        <v>128</v>
      </c>
      <c r="R45" s="377" t="s">
        <v>26</v>
      </c>
      <c r="S45" s="374">
        <v>12</v>
      </c>
      <c r="T45" s="456" t="s">
        <v>29</v>
      </c>
      <c r="U45" s="568" t="s">
        <v>26</v>
      </c>
      <c r="V45" s="352">
        <v>7.0000000000000007E-2</v>
      </c>
      <c r="W45" s="568" t="s">
        <v>27</v>
      </c>
      <c r="X45" s="335">
        <f>ROUND(M45*P45*S45*V45,-3)</f>
        <v>6878000</v>
      </c>
      <c r="Y45" s="391" t="s">
        <v>313</v>
      </c>
      <c r="Z45" s="590"/>
    </row>
    <row r="46" spans="1:26" s="7" customFormat="1" ht="19.5" customHeight="1">
      <c r="A46" s="577"/>
      <c r="B46" s="27"/>
      <c r="C46" s="27"/>
      <c r="D46" s="27"/>
      <c r="E46" s="29"/>
      <c r="F46" s="29"/>
      <c r="G46" s="30"/>
      <c r="H46" s="43"/>
      <c r="I46" s="172" t="s">
        <v>212</v>
      </c>
      <c r="J46" s="180"/>
      <c r="K46" s="179"/>
      <c r="L46" s="179"/>
      <c r="M46" s="179">
        <v>40000</v>
      </c>
      <c r="N46" s="568" t="s">
        <v>25</v>
      </c>
      <c r="O46" s="46" t="s">
        <v>26</v>
      </c>
      <c r="P46" s="335">
        <v>30</v>
      </c>
      <c r="Q46" s="568" t="s">
        <v>128</v>
      </c>
      <c r="R46" s="49" t="s">
        <v>26</v>
      </c>
      <c r="S46" s="374">
        <v>1</v>
      </c>
      <c r="T46" s="456" t="s">
        <v>211</v>
      </c>
      <c r="U46" s="568" t="s">
        <v>26</v>
      </c>
      <c r="V46" s="352">
        <v>7.0000000000000007E-2</v>
      </c>
      <c r="W46" s="568" t="s">
        <v>27</v>
      </c>
      <c r="X46" s="335">
        <f>ROUNDUP(M46*P46*S46*V46,-3)</f>
        <v>84000</v>
      </c>
      <c r="Y46" s="391" t="s">
        <v>313</v>
      </c>
      <c r="Z46" s="590"/>
    </row>
    <row r="47" spans="1:26" s="7" customFormat="1" ht="19.5" customHeight="1">
      <c r="A47" s="577"/>
      <c r="B47" s="27"/>
      <c r="C47" s="27"/>
      <c r="D47" s="35"/>
      <c r="E47" s="36"/>
      <c r="F47" s="36"/>
      <c r="G47" s="37"/>
      <c r="H47" s="52"/>
      <c r="I47" s="172" t="s">
        <v>799</v>
      </c>
      <c r="J47" s="41"/>
      <c r="K47" s="123"/>
      <c r="L47" s="123"/>
      <c r="M47" s="179">
        <v>50000</v>
      </c>
      <c r="N47" s="568" t="s">
        <v>25</v>
      </c>
      <c r="O47" s="46" t="s">
        <v>26</v>
      </c>
      <c r="P47" s="335">
        <v>30</v>
      </c>
      <c r="Q47" s="568" t="s">
        <v>128</v>
      </c>
      <c r="R47" s="49" t="s">
        <v>26</v>
      </c>
      <c r="S47" s="33">
        <v>2</v>
      </c>
      <c r="T47" s="568" t="s">
        <v>211</v>
      </c>
      <c r="U47" s="568" t="s">
        <v>26</v>
      </c>
      <c r="V47" s="352">
        <v>7.0000000000000007E-2</v>
      </c>
      <c r="W47" s="32" t="s">
        <v>27</v>
      </c>
      <c r="X47" s="335">
        <f>ROUNDUP(M47*P47*S47*V47,-3)</f>
        <v>210000</v>
      </c>
      <c r="Y47" s="391" t="s">
        <v>313</v>
      </c>
      <c r="Z47" s="590"/>
    </row>
    <row r="48" spans="1:26" s="7" customFormat="1" ht="19.5" customHeight="1" thickBot="1">
      <c r="A48" s="577"/>
      <c r="B48" s="27"/>
      <c r="C48" s="27"/>
      <c r="D48" s="18" t="s">
        <v>381</v>
      </c>
      <c r="E48" s="19">
        <v>96077</v>
      </c>
      <c r="F48" s="145">
        <f>ROUND(X48/1000,0)</f>
        <v>97110</v>
      </c>
      <c r="G48" s="20">
        <f>F48-E48</f>
        <v>1033</v>
      </c>
      <c r="H48" s="73">
        <f>IF(E48=0,0,G48/E48)</f>
        <v>1.0751792832831999E-2</v>
      </c>
      <c r="I48" s="148" t="s">
        <v>818</v>
      </c>
      <c r="J48" s="147"/>
      <c r="K48" s="150"/>
      <c r="L48" s="150"/>
      <c r="M48" s="56"/>
      <c r="N48" s="567"/>
      <c r="O48" s="453"/>
      <c r="P48" s="147"/>
      <c r="Q48" s="567"/>
      <c r="R48" s="423"/>
      <c r="S48" s="146"/>
      <c r="T48" s="567"/>
      <c r="U48" s="567"/>
      <c r="V48" s="149" t="s">
        <v>363</v>
      </c>
      <c r="W48" s="467"/>
      <c r="X48" s="540">
        <f>SUM(X49,X50,X55,X57)</f>
        <v>97110000</v>
      </c>
      <c r="Y48" s="392" t="s">
        <v>352</v>
      </c>
      <c r="Z48" s="590"/>
    </row>
    <row r="49" spans="1:26" s="7" customFormat="1" ht="19.5" customHeight="1">
      <c r="A49" s="577"/>
      <c r="B49" s="27"/>
      <c r="C49" s="27"/>
      <c r="D49" s="27"/>
      <c r="E49" s="29"/>
      <c r="F49" s="29"/>
      <c r="G49" s="30"/>
      <c r="H49" s="43"/>
      <c r="I49" s="173" t="s">
        <v>364</v>
      </c>
      <c r="J49" s="180"/>
      <c r="K49" s="179"/>
      <c r="L49" s="179"/>
      <c r="M49" s="179">
        <v>1351684000</v>
      </c>
      <c r="N49" s="568" t="s">
        <v>352</v>
      </c>
      <c r="O49" s="46" t="s">
        <v>355</v>
      </c>
      <c r="P49" s="512">
        <v>4.4999999999999998E-2</v>
      </c>
      <c r="Q49" s="568"/>
      <c r="R49" s="568"/>
      <c r="S49" s="179"/>
      <c r="T49" s="568"/>
      <c r="U49" s="568" t="s">
        <v>356</v>
      </c>
      <c r="V49" s="134" t="s">
        <v>351</v>
      </c>
      <c r="W49" s="116"/>
      <c r="X49" s="134">
        <f>ROUND(M49*P49,-3)</f>
        <v>60826000</v>
      </c>
      <c r="Y49" s="393" t="s">
        <v>25</v>
      </c>
      <c r="Z49" s="590"/>
    </row>
    <row r="50" spans="1:26" s="7" customFormat="1" ht="19.5" customHeight="1">
      <c r="A50" s="577"/>
      <c r="B50" s="27"/>
      <c r="C50" s="27"/>
      <c r="D50" s="27"/>
      <c r="E50" s="29"/>
      <c r="F50" s="29"/>
      <c r="G50" s="30"/>
      <c r="H50" s="43"/>
      <c r="I50" s="174" t="s">
        <v>365</v>
      </c>
      <c r="J50" s="180"/>
      <c r="K50" s="179"/>
      <c r="L50" s="179"/>
      <c r="M50" s="179"/>
      <c r="N50" s="568"/>
      <c r="O50" s="568"/>
      <c r="P50" s="41"/>
      <c r="Q50" s="568"/>
      <c r="R50" s="568"/>
      <c r="S50" s="179"/>
      <c r="T50" s="568"/>
      <c r="U50" s="568"/>
      <c r="V50" s="83" t="s">
        <v>351</v>
      </c>
      <c r="W50" s="565"/>
      <c r="X50" s="83">
        <f>SUM(X51:X54)</f>
        <v>21020000</v>
      </c>
      <c r="Y50" s="390" t="s">
        <v>25</v>
      </c>
      <c r="Z50" s="590"/>
    </row>
    <row r="51" spans="1:26" s="7" customFormat="1" ht="19.5" customHeight="1">
      <c r="A51" s="577"/>
      <c r="B51" s="27"/>
      <c r="C51" s="27"/>
      <c r="D51" s="27"/>
      <c r="E51" s="29"/>
      <c r="F51" s="29"/>
      <c r="G51" s="30"/>
      <c r="H51" s="43"/>
      <c r="I51" s="172" t="s">
        <v>366</v>
      </c>
      <c r="J51" s="180"/>
      <c r="K51" s="179"/>
      <c r="L51" s="179"/>
      <c r="M51" s="179">
        <v>134982600</v>
      </c>
      <c r="N51" s="568" t="s">
        <v>352</v>
      </c>
      <c r="O51" s="46" t="s">
        <v>355</v>
      </c>
      <c r="P51" s="512">
        <v>4.4999999999999998E-2</v>
      </c>
      <c r="Q51" s="568"/>
      <c r="R51" s="568"/>
      <c r="S51" s="179"/>
      <c r="T51" s="568"/>
      <c r="U51" s="568" t="s">
        <v>356</v>
      </c>
      <c r="V51" s="631"/>
      <c r="W51" s="631"/>
      <c r="X51" s="147">
        <f>ROUND(M51*P51,-3)</f>
        <v>6074000</v>
      </c>
      <c r="Y51" s="394" t="s">
        <v>352</v>
      </c>
      <c r="Z51" s="590"/>
    </row>
    <row r="52" spans="1:26" s="7" customFormat="1" ht="19.5" customHeight="1">
      <c r="A52" s="577"/>
      <c r="B52" s="27"/>
      <c r="C52" s="27"/>
      <c r="D52" s="27"/>
      <c r="E52" s="29"/>
      <c r="F52" s="29"/>
      <c r="G52" s="30"/>
      <c r="H52" s="43"/>
      <c r="I52" s="172" t="s">
        <v>367</v>
      </c>
      <c r="J52" s="180"/>
      <c r="K52" s="179"/>
      <c r="L52" s="179"/>
      <c r="M52" s="179">
        <v>24000000</v>
      </c>
      <c r="N52" s="568" t="s">
        <v>352</v>
      </c>
      <c r="O52" s="46" t="s">
        <v>355</v>
      </c>
      <c r="P52" s="512">
        <v>4.4999999999999998E-2</v>
      </c>
      <c r="Q52" s="568"/>
      <c r="R52" s="568"/>
      <c r="S52" s="179"/>
      <c r="T52" s="568"/>
      <c r="U52" s="568" t="s">
        <v>356</v>
      </c>
      <c r="V52" s="632"/>
      <c r="W52" s="632"/>
      <c r="X52" s="41">
        <f>ROUND(M52*P52,-3)</f>
        <v>1080000</v>
      </c>
      <c r="Y52" s="391" t="s">
        <v>352</v>
      </c>
      <c r="Z52" s="590"/>
    </row>
    <row r="53" spans="1:26" s="7" customFormat="1" ht="19.5" customHeight="1">
      <c r="A53" s="577"/>
      <c r="B53" s="27"/>
      <c r="C53" s="27"/>
      <c r="D53" s="27"/>
      <c r="E53" s="29"/>
      <c r="F53" s="29"/>
      <c r="G53" s="30"/>
      <c r="H53" s="43"/>
      <c r="I53" s="172" t="s">
        <v>368</v>
      </c>
      <c r="J53" s="180"/>
      <c r="K53" s="179"/>
      <c r="L53" s="179"/>
      <c r="M53" s="179">
        <v>303128050</v>
      </c>
      <c r="N53" s="568" t="s">
        <v>352</v>
      </c>
      <c r="O53" s="46" t="s">
        <v>355</v>
      </c>
      <c r="P53" s="512">
        <v>4.4999999999999998E-2</v>
      </c>
      <c r="Q53" s="568"/>
      <c r="R53" s="568"/>
      <c r="S53" s="179"/>
      <c r="T53" s="568"/>
      <c r="U53" s="568" t="s">
        <v>356</v>
      </c>
      <c r="V53" s="632"/>
      <c r="W53" s="632"/>
      <c r="X53" s="41">
        <f>ROUND(M53*P53,-3)</f>
        <v>13641000</v>
      </c>
      <c r="Y53" s="391" t="s">
        <v>352</v>
      </c>
      <c r="Z53" s="590"/>
    </row>
    <row r="54" spans="1:26" s="7" customFormat="1" ht="19.5" customHeight="1">
      <c r="A54" s="577"/>
      <c r="B54" s="27"/>
      <c r="C54" s="27"/>
      <c r="D54" s="27"/>
      <c r="E54" s="29"/>
      <c r="F54" s="29"/>
      <c r="G54" s="30"/>
      <c r="H54" s="43"/>
      <c r="I54" s="172" t="s">
        <v>656</v>
      </c>
      <c r="J54" s="180"/>
      <c r="K54" s="179"/>
      <c r="L54" s="179"/>
      <c r="M54" s="179">
        <v>5000000</v>
      </c>
      <c r="N54" s="568" t="s">
        <v>289</v>
      </c>
      <c r="O54" s="46" t="s">
        <v>291</v>
      </c>
      <c r="P54" s="512">
        <v>4.4999999999999998E-2</v>
      </c>
      <c r="Q54" s="568"/>
      <c r="R54" s="568"/>
      <c r="S54" s="179"/>
      <c r="T54" s="568"/>
      <c r="U54" s="568" t="s">
        <v>53</v>
      </c>
      <c r="V54" s="632"/>
      <c r="W54" s="632"/>
      <c r="X54" s="41">
        <f>ROUND(M54*P54,-3)</f>
        <v>225000</v>
      </c>
      <c r="Y54" s="391" t="s">
        <v>352</v>
      </c>
      <c r="Z54" s="590"/>
    </row>
    <row r="55" spans="1:26" s="7" customFormat="1" ht="19.5" customHeight="1">
      <c r="A55" s="577"/>
      <c r="B55" s="27"/>
      <c r="C55" s="27"/>
      <c r="D55" s="27"/>
      <c r="E55" s="29"/>
      <c r="F55" s="29"/>
      <c r="G55" s="30"/>
      <c r="H55" s="43"/>
      <c r="I55" s="173" t="s">
        <v>350</v>
      </c>
      <c r="J55" s="180"/>
      <c r="K55" s="179"/>
      <c r="L55" s="179"/>
      <c r="M55" s="179"/>
      <c r="N55" s="568"/>
      <c r="O55" s="568"/>
      <c r="P55" s="41"/>
      <c r="Q55" s="568"/>
      <c r="R55" s="568"/>
      <c r="S55" s="179"/>
      <c r="T55" s="568"/>
      <c r="U55" s="568"/>
      <c r="V55" s="134" t="s">
        <v>351</v>
      </c>
      <c r="W55" s="116"/>
      <c r="X55" s="134">
        <f>SUM(X56:X56)</f>
        <v>6821000</v>
      </c>
      <c r="Y55" s="393" t="s">
        <v>25</v>
      </c>
      <c r="Z55" s="590"/>
    </row>
    <row r="56" spans="1:26" s="7" customFormat="1" ht="19.5" customHeight="1">
      <c r="A56" s="577"/>
      <c r="B56" s="27"/>
      <c r="C56" s="27"/>
      <c r="D56" s="27"/>
      <c r="E56" s="29"/>
      <c r="F56" s="29"/>
      <c r="G56" s="30"/>
      <c r="H56" s="43"/>
      <c r="I56" s="172" t="s">
        <v>819</v>
      </c>
      <c r="J56" s="180"/>
      <c r="K56" s="179"/>
      <c r="L56" s="179"/>
      <c r="M56" s="179">
        <v>1818794650</v>
      </c>
      <c r="N56" s="568" t="s">
        <v>352</v>
      </c>
      <c r="O56" s="568" t="s">
        <v>353</v>
      </c>
      <c r="P56" s="513">
        <v>12</v>
      </c>
      <c r="Q56" s="46" t="s">
        <v>354</v>
      </c>
      <c r="R56" s="46" t="s">
        <v>355</v>
      </c>
      <c r="S56" s="258">
        <v>4.4999999999999998E-2</v>
      </c>
      <c r="T56" s="568"/>
      <c r="U56" s="568" t="s">
        <v>356</v>
      </c>
      <c r="V56" s="56"/>
      <c r="W56" s="567"/>
      <c r="X56" s="147">
        <f>ROUNDUP(M56/P56*S56,-3)</f>
        <v>6821000</v>
      </c>
      <c r="Y56" s="394" t="s">
        <v>352</v>
      </c>
      <c r="Z56" s="590"/>
    </row>
    <row r="57" spans="1:26" s="7" customFormat="1" ht="19.5" customHeight="1">
      <c r="A57" s="577"/>
      <c r="B57" s="27"/>
      <c r="C57" s="27"/>
      <c r="D57" s="27"/>
      <c r="E57" s="29"/>
      <c r="F57" s="29"/>
      <c r="G57" s="30"/>
      <c r="H57" s="43"/>
      <c r="I57" s="173" t="s">
        <v>357</v>
      </c>
      <c r="J57" s="180"/>
      <c r="K57" s="179"/>
      <c r="L57" s="179"/>
      <c r="M57" s="179"/>
      <c r="N57" s="568"/>
      <c r="O57" s="568"/>
      <c r="P57" s="41"/>
      <c r="Q57" s="568"/>
      <c r="R57" s="568"/>
      <c r="S57" s="179"/>
      <c r="T57" s="568"/>
      <c r="U57" s="568"/>
      <c r="V57" s="134" t="s">
        <v>351</v>
      </c>
      <c r="W57" s="116"/>
      <c r="X57" s="134">
        <f>SUM(X58:X62)</f>
        <v>8443000</v>
      </c>
      <c r="Y57" s="393" t="s">
        <v>25</v>
      </c>
      <c r="Z57" s="590"/>
    </row>
    <row r="58" spans="1:26" s="7" customFormat="1" ht="19.5" customHeight="1">
      <c r="A58" s="577"/>
      <c r="B58" s="27"/>
      <c r="C58" s="27"/>
      <c r="D58" s="27"/>
      <c r="E58" s="29"/>
      <c r="F58" s="29"/>
      <c r="G58" s="30"/>
      <c r="H58" s="43"/>
      <c r="I58" s="172" t="s">
        <v>358</v>
      </c>
      <c r="J58" s="180"/>
      <c r="K58" s="179"/>
      <c r="L58" s="179"/>
      <c r="M58" s="179">
        <v>1818794650</v>
      </c>
      <c r="N58" s="568" t="s">
        <v>352</v>
      </c>
      <c r="O58" s="46" t="s">
        <v>355</v>
      </c>
      <c r="P58" s="514">
        <v>0.09</v>
      </c>
      <c r="Q58" s="568">
        <v>2</v>
      </c>
      <c r="R58" s="46" t="s">
        <v>355</v>
      </c>
      <c r="S58" s="258">
        <v>4.4999999999999998E-2</v>
      </c>
      <c r="T58" s="457"/>
      <c r="U58" s="568" t="s">
        <v>356</v>
      </c>
      <c r="V58" s="179"/>
      <c r="W58" s="568"/>
      <c r="X58" s="41">
        <f>ROUND(M58*P58/Q58*S58,-3)</f>
        <v>3683000</v>
      </c>
      <c r="Y58" s="391" t="s">
        <v>352</v>
      </c>
      <c r="Z58" s="590"/>
    </row>
    <row r="59" spans="1:26" s="7" customFormat="1" ht="19.5" customHeight="1">
      <c r="A59" s="577"/>
      <c r="B59" s="27"/>
      <c r="C59" s="27"/>
      <c r="D59" s="27"/>
      <c r="E59" s="29"/>
      <c r="F59" s="29"/>
      <c r="G59" s="30"/>
      <c r="H59" s="43"/>
      <c r="I59" s="172" t="s">
        <v>359</v>
      </c>
      <c r="J59" s="180"/>
      <c r="K59" s="179"/>
      <c r="L59" s="179"/>
      <c r="M59" s="179">
        <v>1818794650</v>
      </c>
      <c r="N59" s="568" t="s">
        <v>352</v>
      </c>
      <c r="O59" s="46" t="s">
        <v>355</v>
      </c>
      <c r="P59" s="515">
        <v>7.0900000000000005E-2</v>
      </c>
      <c r="Q59" s="568">
        <v>2</v>
      </c>
      <c r="R59" s="46" t="s">
        <v>355</v>
      </c>
      <c r="S59" s="258">
        <v>4.4999999999999998E-2</v>
      </c>
      <c r="T59" s="457"/>
      <c r="U59" s="568" t="s">
        <v>356</v>
      </c>
      <c r="V59" s="179"/>
      <c r="W59" s="568"/>
      <c r="X59" s="41">
        <f>ROUND(M59*P59/Q59*S59,-3)</f>
        <v>2901000</v>
      </c>
      <c r="Y59" s="391" t="s">
        <v>352</v>
      </c>
      <c r="Z59" s="590"/>
    </row>
    <row r="60" spans="1:26" s="7" customFormat="1" ht="19.5" customHeight="1">
      <c r="A60" s="577"/>
      <c r="B60" s="27"/>
      <c r="C60" s="27"/>
      <c r="D60" s="27"/>
      <c r="E60" s="29"/>
      <c r="F60" s="29"/>
      <c r="G60" s="30"/>
      <c r="H60" s="43"/>
      <c r="I60" s="172" t="s">
        <v>360</v>
      </c>
      <c r="J60" s="180"/>
      <c r="K60" s="179"/>
      <c r="L60" s="179"/>
      <c r="M60" s="179">
        <v>2901000</v>
      </c>
      <c r="N60" s="568" t="s">
        <v>352</v>
      </c>
      <c r="O60" s="46" t="s">
        <v>355</v>
      </c>
      <c r="P60" s="516">
        <v>0.12809999999999999</v>
      </c>
      <c r="Q60" s="250"/>
      <c r="R60" s="46"/>
      <c r="S60" s="48"/>
      <c r="T60" s="458"/>
      <c r="U60" s="568" t="s">
        <v>356</v>
      </c>
      <c r="V60" s="179"/>
      <c r="W60" s="568"/>
      <c r="X60" s="41">
        <f>ROUND(M60*P60,-3)</f>
        <v>372000</v>
      </c>
      <c r="Y60" s="391" t="s">
        <v>352</v>
      </c>
      <c r="Z60" s="590"/>
    </row>
    <row r="61" spans="1:26" s="7" customFormat="1" ht="19.5" customHeight="1">
      <c r="A61" s="577"/>
      <c r="B61" s="27"/>
      <c r="C61" s="27"/>
      <c r="D61" s="27"/>
      <c r="E61" s="29"/>
      <c r="F61" s="29"/>
      <c r="G61" s="30"/>
      <c r="H61" s="43"/>
      <c r="I61" s="172" t="s">
        <v>361</v>
      </c>
      <c r="J61" s="180"/>
      <c r="K61" s="179"/>
      <c r="L61" s="179"/>
      <c r="M61" s="179">
        <v>1818794650</v>
      </c>
      <c r="N61" s="568" t="s">
        <v>352</v>
      </c>
      <c r="O61" s="46" t="s">
        <v>355</v>
      </c>
      <c r="P61" s="516">
        <v>1.15E-2</v>
      </c>
      <c r="Q61" s="46"/>
      <c r="R61" s="46" t="s">
        <v>355</v>
      </c>
      <c r="S61" s="258">
        <v>4.4999999999999998E-2</v>
      </c>
      <c r="T61" s="457"/>
      <c r="U61" s="568" t="s">
        <v>356</v>
      </c>
      <c r="V61" s="179"/>
      <c r="W61" s="568"/>
      <c r="X61" s="41">
        <f>ROUNDDOWN(M61*P61*S61,-3)</f>
        <v>941000</v>
      </c>
      <c r="Y61" s="391" t="s">
        <v>352</v>
      </c>
      <c r="Z61" s="590"/>
    </row>
    <row r="62" spans="1:26" s="7" customFormat="1" ht="19.5" customHeight="1">
      <c r="A62" s="577"/>
      <c r="B62" s="27"/>
      <c r="C62" s="27"/>
      <c r="D62" s="27"/>
      <c r="E62" s="29"/>
      <c r="F62" s="29"/>
      <c r="G62" s="30"/>
      <c r="H62" s="43"/>
      <c r="I62" s="172" t="s">
        <v>362</v>
      </c>
      <c r="J62" s="180"/>
      <c r="K62" s="179"/>
      <c r="L62" s="179"/>
      <c r="M62" s="179">
        <v>1818794650</v>
      </c>
      <c r="N62" s="568" t="s">
        <v>352</v>
      </c>
      <c r="O62" s="46" t="s">
        <v>355</v>
      </c>
      <c r="P62" s="517">
        <v>6.6699999999999997E-3</v>
      </c>
      <c r="Q62" s="46"/>
      <c r="R62" s="46" t="s">
        <v>355</v>
      </c>
      <c r="S62" s="258">
        <v>4.4999999999999998E-2</v>
      </c>
      <c r="T62" s="457"/>
      <c r="U62" s="568" t="s">
        <v>356</v>
      </c>
      <c r="V62" s="179"/>
      <c r="W62" s="568"/>
      <c r="X62" s="41">
        <f>ROUND(M62*P62*S62,-3)</f>
        <v>546000</v>
      </c>
      <c r="Y62" s="391" t="s">
        <v>352</v>
      </c>
      <c r="Z62" s="590"/>
    </row>
    <row r="63" spans="1:26" s="7" customFormat="1" ht="19.5" customHeight="1">
      <c r="A63" s="577"/>
      <c r="B63" s="27"/>
      <c r="C63" s="27"/>
      <c r="D63" s="27"/>
      <c r="E63" s="29"/>
      <c r="F63" s="29"/>
      <c r="G63" s="30"/>
      <c r="H63" s="43"/>
      <c r="I63" s="333"/>
      <c r="J63" s="180"/>
      <c r="K63" s="179"/>
      <c r="L63" s="179"/>
      <c r="M63" s="179"/>
      <c r="N63" s="568"/>
      <c r="O63" s="46"/>
      <c r="P63" s="517"/>
      <c r="Q63" s="46"/>
      <c r="R63" s="46"/>
      <c r="S63" s="258"/>
      <c r="T63" s="457"/>
      <c r="U63" s="568"/>
      <c r="V63" s="179"/>
      <c r="W63" s="568"/>
      <c r="X63" s="41"/>
      <c r="Y63" s="391"/>
      <c r="Z63" s="590"/>
    </row>
    <row r="64" spans="1:26" s="7" customFormat="1" ht="19.5" customHeight="1" thickBot="1">
      <c r="A64" s="577"/>
      <c r="B64" s="27"/>
      <c r="C64" s="27"/>
      <c r="D64" s="18" t="s">
        <v>369</v>
      </c>
      <c r="E64" s="19">
        <v>4517</v>
      </c>
      <c r="F64" s="145">
        <f>ROUND(X64/1000,0)</f>
        <v>4405</v>
      </c>
      <c r="G64" s="20">
        <f>F64-E64</f>
        <v>-112</v>
      </c>
      <c r="H64" s="73">
        <f>IF(E64=0,0,G64/E64)</f>
        <v>-2.4795218065087447E-2</v>
      </c>
      <c r="I64" s="148" t="s">
        <v>382</v>
      </c>
      <c r="J64" s="147"/>
      <c r="K64" s="150"/>
      <c r="L64" s="150"/>
      <c r="M64" s="56"/>
      <c r="N64" s="567"/>
      <c r="O64" s="453"/>
      <c r="P64" s="147"/>
      <c r="Q64" s="567"/>
      <c r="R64" s="423"/>
      <c r="S64" s="146"/>
      <c r="T64" s="567"/>
      <c r="U64" s="567"/>
      <c r="V64" s="149" t="s">
        <v>363</v>
      </c>
      <c r="W64" s="467"/>
      <c r="X64" s="540">
        <f>SUM(X65:X69)</f>
        <v>4405000</v>
      </c>
      <c r="Y64" s="392" t="s">
        <v>352</v>
      </c>
      <c r="Z64" s="590"/>
    </row>
    <row r="65" spans="1:26" s="7" customFormat="1" ht="19.5" customHeight="1">
      <c r="A65" s="577"/>
      <c r="B65" s="27"/>
      <c r="C65" s="27"/>
      <c r="D65" s="27"/>
      <c r="E65" s="29"/>
      <c r="F65" s="29"/>
      <c r="G65" s="30"/>
      <c r="H65" s="43"/>
      <c r="I65" s="180" t="s">
        <v>383</v>
      </c>
      <c r="J65" s="41"/>
      <c r="K65" s="123"/>
      <c r="L65" s="123"/>
      <c r="M65" s="166">
        <v>2549000</v>
      </c>
      <c r="N65" s="206" t="s">
        <v>25</v>
      </c>
      <c r="O65" s="336" t="s">
        <v>26</v>
      </c>
      <c r="P65" s="213">
        <v>30</v>
      </c>
      <c r="Q65" s="206" t="s">
        <v>290</v>
      </c>
      <c r="R65" s="336" t="s">
        <v>291</v>
      </c>
      <c r="S65" s="214">
        <v>4.4999999999999998E-2</v>
      </c>
      <c r="T65" s="443"/>
      <c r="U65" s="206" t="s">
        <v>356</v>
      </c>
      <c r="V65" s="338"/>
      <c r="W65" s="570"/>
      <c r="X65" s="41">
        <f>ROUND(M65*P65*S65,-3)</f>
        <v>3441000</v>
      </c>
      <c r="Y65" s="391" t="s">
        <v>352</v>
      </c>
      <c r="Z65" s="590"/>
    </row>
    <row r="66" spans="1:26" s="7" customFormat="1" ht="19.5" customHeight="1">
      <c r="A66" s="577"/>
      <c r="B66" s="27"/>
      <c r="C66" s="27"/>
      <c r="D66" s="27"/>
      <c r="E66" s="29"/>
      <c r="F66" s="29"/>
      <c r="G66" s="30"/>
      <c r="H66" s="43"/>
      <c r="I66" s="180" t="s">
        <v>384</v>
      </c>
      <c r="J66" s="41"/>
      <c r="K66" s="123"/>
      <c r="L66" s="123"/>
      <c r="M66" s="166">
        <v>1071000</v>
      </c>
      <c r="N66" s="206" t="s">
        <v>25</v>
      </c>
      <c r="O66" s="336" t="s">
        <v>26</v>
      </c>
      <c r="P66" s="213">
        <v>20</v>
      </c>
      <c r="Q66" s="206" t="s">
        <v>290</v>
      </c>
      <c r="R66" s="336" t="s">
        <v>291</v>
      </c>
      <c r="S66" s="214">
        <v>4.4999999999999998E-2</v>
      </c>
      <c r="T66" s="443"/>
      <c r="U66" s="206" t="s">
        <v>356</v>
      </c>
      <c r="V66" s="179"/>
      <c r="W66" s="568"/>
      <c r="X66" s="41">
        <f>ROUND(M66*P66*S66,-3)</f>
        <v>964000</v>
      </c>
      <c r="Y66" s="391" t="s">
        <v>352</v>
      </c>
      <c r="Z66" s="590"/>
    </row>
    <row r="67" spans="1:26" s="7" customFormat="1" ht="19.5" customHeight="1">
      <c r="A67" s="577"/>
      <c r="B67" s="27"/>
      <c r="C67" s="27"/>
      <c r="D67" s="27"/>
      <c r="E67" s="29"/>
      <c r="F67" s="29"/>
      <c r="G67" s="30"/>
      <c r="H67" s="43"/>
      <c r="I67" s="180"/>
      <c r="J67" s="41"/>
      <c r="K67" s="123"/>
      <c r="L67" s="123"/>
      <c r="M67" s="179"/>
      <c r="N67" s="568"/>
      <c r="O67" s="32"/>
      <c r="P67" s="41"/>
      <c r="Q67" s="568"/>
      <c r="R67" s="46"/>
      <c r="S67" s="258"/>
      <c r="T67" s="568"/>
      <c r="U67" s="568"/>
      <c r="V67" s="568"/>
      <c r="W67" s="568"/>
      <c r="X67" s="41"/>
      <c r="Y67" s="391"/>
      <c r="Z67" s="590"/>
    </row>
    <row r="68" spans="1:26" s="7" customFormat="1" ht="19.5" customHeight="1">
      <c r="A68" s="577"/>
      <c r="B68" s="27"/>
      <c r="C68" s="27"/>
      <c r="D68" s="27"/>
      <c r="E68" s="29"/>
      <c r="F68" s="29"/>
      <c r="G68" s="30"/>
      <c r="H68" s="43"/>
      <c r="I68" s="209" t="s">
        <v>374</v>
      </c>
      <c r="J68" s="169"/>
      <c r="K68" s="263"/>
      <c r="L68" s="263"/>
      <c r="M68" s="166"/>
      <c r="N68" s="206"/>
      <c r="O68" s="336"/>
      <c r="P68" s="169"/>
      <c r="Q68" s="206"/>
      <c r="R68" s="207"/>
      <c r="S68" s="215"/>
      <c r="T68" s="206"/>
      <c r="U68" s="206"/>
      <c r="V68" s="261"/>
      <c r="W68" s="208"/>
      <c r="X68" s="169"/>
      <c r="Y68" s="397"/>
      <c r="Z68" s="590"/>
    </row>
    <row r="69" spans="1:26" s="7" customFormat="1" ht="19.5" customHeight="1">
      <c r="A69" s="577"/>
      <c r="B69" s="27"/>
      <c r="C69" s="27"/>
      <c r="D69" s="27"/>
      <c r="E69" s="29"/>
      <c r="F69" s="29"/>
      <c r="G69" s="30"/>
      <c r="H69" s="43"/>
      <c r="I69" s="170" t="s">
        <v>560</v>
      </c>
      <c r="J69" s="169"/>
      <c r="K69" s="263"/>
      <c r="L69" s="263"/>
      <c r="M69" s="166">
        <v>0</v>
      </c>
      <c r="N69" s="206" t="s">
        <v>25</v>
      </c>
      <c r="O69" s="336" t="s">
        <v>26</v>
      </c>
      <c r="P69" s="262">
        <v>0.5</v>
      </c>
      <c r="Q69" s="206"/>
      <c r="R69" s="207"/>
      <c r="S69" s="215"/>
      <c r="T69" s="206"/>
      <c r="U69" s="206"/>
      <c r="V69" s="261"/>
      <c r="W69" s="208" t="s">
        <v>27</v>
      </c>
      <c r="X69" s="169">
        <f>M69*P69</f>
        <v>0</v>
      </c>
      <c r="Y69" s="397" t="s">
        <v>352</v>
      </c>
      <c r="Z69" s="590"/>
    </row>
    <row r="70" spans="1:26" s="7" customFormat="1" ht="19.5" customHeight="1">
      <c r="A70" s="577"/>
      <c r="B70" s="27"/>
      <c r="C70" s="27"/>
      <c r="D70" s="35"/>
      <c r="E70" s="36"/>
      <c r="F70" s="36"/>
      <c r="G70" s="37"/>
      <c r="H70" s="52"/>
      <c r="I70" s="212"/>
      <c r="J70" s="45"/>
      <c r="K70" s="254"/>
      <c r="L70" s="254"/>
      <c r="M70" s="134"/>
      <c r="N70" s="116"/>
      <c r="O70" s="124"/>
      <c r="P70" s="45"/>
      <c r="Q70" s="116"/>
      <c r="R70" s="125"/>
      <c r="S70" s="256"/>
      <c r="T70" s="116"/>
      <c r="U70" s="116"/>
      <c r="V70" s="253"/>
      <c r="W70" s="53"/>
      <c r="X70" s="45"/>
      <c r="Y70" s="393"/>
      <c r="Z70" s="590"/>
    </row>
    <row r="71" spans="1:26" s="7" customFormat="1" ht="19.5" customHeight="1" thickBot="1">
      <c r="A71" s="577"/>
      <c r="B71" s="27"/>
      <c r="C71" s="27"/>
      <c r="D71" s="18" t="s">
        <v>385</v>
      </c>
      <c r="E71" s="145">
        <v>6280</v>
      </c>
      <c r="F71" s="145">
        <f>ROUND(X71/1000,0)</f>
        <v>6158</v>
      </c>
      <c r="G71" s="20">
        <f>F71-E71</f>
        <v>-122</v>
      </c>
      <c r="H71" s="73">
        <f>IF(E71=0,0,G71/E71)</f>
        <v>-1.9426751592356687E-2</v>
      </c>
      <c r="I71" s="148" t="s">
        <v>386</v>
      </c>
      <c r="J71" s="147"/>
      <c r="K71" s="150"/>
      <c r="L71" s="150"/>
      <c r="M71" s="56"/>
      <c r="N71" s="567"/>
      <c r="O71" s="453"/>
      <c r="P71" s="147"/>
      <c r="Q71" s="567"/>
      <c r="R71" s="423"/>
      <c r="S71" s="146"/>
      <c r="T71" s="567"/>
      <c r="U71" s="567"/>
      <c r="V71" s="149" t="s">
        <v>363</v>
      </c>
      <c r="W71" s="467"/>
      <c r="X71" s="540">
        <f>SUM(X72:X76)</f>
        <v>6158000</v>
      </c>
      <c r="Y71" s="392" t="s">
        <v>352</v>
      </c>
      <c r="Z71" s="590"/>
    </row>
    <row r="72" spans="1:26" s="7" customFormat="1" ht="19.5" customHeight="1">
      <c r="A72" s="577"/>
      <c r="B72" s="27"/>
      <c r="C72" s="27"/>
      <c r="D72" s="27" t="s">
        <v>387</v>
      </c>
      <c r="E72" s="29"/>
      <c r="F72" s="29"/>
      <c r="G72" s="30"/>
      <c r="H72" s="43"/>
      <c r="I72" s="40" t="s">
        <v>388</v>
      </c>
      <c r="J72" s="180"/>
      <c r="K72" s="179"/>
      <c r="L72" s="179"/>
      <c r="M72" s="179">
        <v>500</v>
      </c>
      <c r="N72" s="568" t="s">
        <v>352</v>
      </c>
      <c r="O72" s="32" t="s">
        <v>355</v>
      </c>
      <c r="P72" s="518">
        <v>50</v>
      </c>
      <c r="Q72" s="379">
        <v>365</v>
      </c>
      <c r="R72" s="568" t="s">
        <v>389</v>
      </c>
      <c r="S72" s="257">
        <v>0.3</v>
      </c>
      <c r="T72" s="568"/>
      <c r="U72" s="568" t="s">
        <v>356</v>
      </c>
      <c r="V72" s="179"/>
      <c r="W72" s="568"/>
      <c r="X72" s="335">
        <f>ROUND(M72*P72*Q72*S72,-3)</f>
        <v>2738000</v>
      </c>
      <c r="Y72" s="391" t="s">
        <v>25</v>
      </c>
      <c r="Z72" s="590"/>
    </row>
    <row r="73" spans="1:26" s="7" customFormat="1" ht="19.5" customHeight="1">
      <c r="A73" s="577"/>
      <c r="B73" s="27"/>
      <c r="C73" s="27"/>
      <c r="D73" s="27"/>
      <c r="E73" s="29"/>
      <c r="F73" s="29"/>
      <c r="G73" s="30"/>
      <c r="H73" s="43"/>
      <c r="I73" s="40" t="s">
        <v>390</v>
      </c>
      <c r="J73" s="180"/>
      <c r="K73" s="179"/>
      <c r="L73" s="179"/>
      <c r="M73" s="179">
        <v>5000</v>
      </c>
      <c r="N73" s="568" t="s">
        <v>352</v>
      </c>
      <c r="O73" s="32" t="s">
        <v>355</v>
      </c>
      <c r="P73" s="518">
        <v>50</v>
      </c>
      <c r="Q73" s="378">
        <v>12</v>
      </c>
      <c r="R73" s="568" t="s">
        <v>354</v>
      </c>
      <c r="S73" s="257">
        <v>0.3</v>
      </c>
      <c r="T73" s="568"/>
      <c r="U73" s="568" t="s">
        <v>356</v>
      </c>
      <c r="V73" s="179"/>
      <c r="W73" s="568"/>
      <c r="X73" s="41">
        <f>ROUNDUP(M73*P73*Q73*S73,-3)</f>
        <v>900000</v>
      </c>
      <c r="Y73" s="391" t="s">
        <v>25</v>
      </c>
      <c r="Z73" s="590"/>
    </row>
    <row r="74" spans="1:26" s="7" customFormat="1" ht="19.5" customHeight="1">
      <c r="A74" s="577"/>
      <c r="B74" s="27"/>
      <c r="C74" s="27"/>
      <c r="D74" s="27"/>
      <c r="E74" s="29"/>
      <c r="F74" s="29"/>
      <c r="G74" s="30"/>
      <c r="H74" s="43"/>
      <c r="I74" s="40" t="s">
        <v>766</v>
      </c>
      <c r="J74" s="180"/>
      <c r="K74" s="179"/>
      <c r="L74" s="179"/>
      <c r="M74" s="179">
        <v>20000</v>
      </c>
      <c r="N74" s="568" t="s">
        <v>352</v>
      </c>
      <c r="O74" s="32" t="s">
        <v>355</v>
      </c>
      <c r="P74" s="518">
        <v>50</v>
      </c>
      <c r="Q74" s="378">
        <v>4</v>
      </c>
      <c r="R74" s="568" t="s">
        <v>392</v>
      </c>
      <c r="S74" s="257">
        <v>0.3</v>
      </c>
      <c r="T74" s="568"/>
      <c r="U74" s="568" t="s">
        <v>356</v>
      </c>
      <c r="V74" s="179"/>
      <c r="W74" s="568"/>
      <c r="X74" s="41">
        <f>ROUNDUP(M74*P74*Q74*S74,-3)</f>
        <v>1200000</v>
      </c>
      <c r="Y74" s="391" t="s">
        <v>25</v>
      </c>
      <c r="Z74" s="590"/>
    </row>
    <row r="75" spans="1:26" s="7" customFormat="1" ht="19.5" customHeight="1">
      <c r="A75" s="577"/>
      <c r="B75" s="27"/>
      <c r="C75" s="27"/>
      <c r="D75" s="27"/>
      <c r="E75" s="29"/>
      <c r="F75" s="29"/>
      <c r="G75" s="30"/>
      <c r="H75" s="43"/>
      <c r="I75" s="40" t="s">
        <v>657</v>
      </c>
      <c r="J75" s="180"/>
      <c r="K75" s="179"/>
      <c r="L75" s="179"/>
      <c r="M75" s="179">
        <v>12000</v>
      </c>
      <c r="N75" s="568" t="s">
        <v>352</v>
      </c>
      <c r="O75" s="32" t="s">
        <v>355</v>
      </c>
      <c r="P75" s="518">
        <v>50</v>
      </c>
      <c r="Q75" s="378">
        <v>4</v>
      </c>
      <c r="R75" s="568" t="s">
        <v>392</v>
      </c>
      <c r="S75" s="257">
        <v>0.3</v>
      </c>
      <c r="T75" s="568"/>
      <c r="U75" s="568" t="s">
        <v>356</v>
      </c>
      <c r="V75" s="179"/>
      <c r="W75" s="568"/>
      <c r="X75" s="41">
        <f>ROUND(M75*P75*Q75*S75,-3)</f>
        <v>720000</v>
      </c>
      <c r="Y75" s="391" t="s">
        <v>25</v>
      </c>
      <c r="Z75" s="590"/>
    </row>
    <row r="76" spans="1:26" s="7" customFormat="1" ht="19.5" customHeight="1">
      <c r="A76" s="577"/>
      <c r="B76" s="27"/>
      <c r="C76" s="27"/>
      <c r="D76" s="27"/>
      <c r="E76" s="29"/>
      <c r="F76" s="29"/>
      <c r="G76" s="30"/>
      <c r="H76" s="43"/>
      <c r="I76" s="40" t="s">
        <v>393</v>
      </c>
      <c r="J76" s="180"/>
      <c r="K76" s="179"/>
      <c r="L76" s="179"/>
      <c r="M76" s="179">
        <v>40000</v>
      </c>
      <c r="N76" s="568" t="s">
        <v>352</v>
      </c>
      <c r="O76" s="32" t="s">
        <v>355</v>
      </c>
      <c r="P76" s="518">
        <v>50</v>
      </c>
      <c r="Q76" s="378">
        <v>1</v>
      </c>
      <c r="R76" s="568" t="s">
        <v>392</v>
      </c>
      <c r="S76" s="257">
        <v>0.3</v>
      </c>
      <c r="T76" s="568"/>
      <c r="U76" s="568" t="s">
        <v>356</v>
      </c>
      <c r="V76" s="179"/>
      <c r="W76" s="568"/>
      <c r="X76" s="335">
        <f>ROUND(M76*P76*Q76*S76,-3)</f>
        <v>600000</v>
      </c>
      <c r="Y76" s="391" t="s">
        <v>25</v>
      </c>
      <c r="Z76" s="590"/>
    </row>
    <row r="77" spans="1:26" s="7" customFormat="1" ht="19.5" customHeight="1">
      <c r="A77" s="577"/>
      <c r="B77" s="27"/>
      <c r="C77" s="27"/>
      <c r="D77" s="35"/>
      <c r="E77" s="36"/>
      <c r="F77" s="36"/>
      <c r="G77" s="37"/>
      <c r="H77" s="52"/>
      <c r="I77" s="212"/>
      <c r="J77" s="45"/>
      <c r="K77" s="254"/>
      <c r="L77" s="254"/>
      <c r="M77" s="134"/>
      <c r="N77" s="116"/>
      <c r="O77" s="124"/>
      <c r="P77" s="45"/>
      <c r="Q77" s="116"/>
      <c r="R77" s="125"/>
      <c r="S77" s="256"/>
      <c r="T77" s="116"/>
      <c r="U77" s="116"/>
      <c r="V77" s="253"/>
      <c r="W77" s="53"/>
      <c r="X77" s="45"/>
      <c r="Y77" s="393"/>
      <c r="Z77" s="590"/>
    </row>
    <row r="78" spans="1:26" s="7" customFormat="1" ht="19.5" customHeight="1" thickBot="1">
      <c r="A78" s="577"/>
      <c r="B78" s="27"/>
      <c r="C78" s="27"/>
      <c r="D78" s="18" t="s">
        <v>394</v>
      </c>
      <c r="E78" s="19">
        <v>11907</v>
      </c>
      <c r="F78" s="145">
        <f>ROUND(X78/1000,0)</f>
        <v>14000</v>
      </c>
      <c r="G78" s="20">
        <f>F78-E78</f>
        <v>2093</v>
      </c>
      <c r="H78" s="73">
        <f>IF(E78=0,0,G78/E78)</f>
        <v>0.17577895355673134</v>
      </c>
      <c r="I78" s="148" t="s">
        <v>662</v>
      </c>
      <c r="J78" s="147"/>
      <c r="K78" s="150"/>
      <c r="L78" s="150"/>
      <c r="M78" s="56"/>
      <c r="N78" s="567"/>
      <c r="O78" s="453"/>
      <c r="P78" s="147"/>
      <c r="Q78" s="567"/>
      <c r="R78" s="423"/>
      <c r="S78" s="146"/>
      <c r="T78" s="567"/>
      <c r="U78" s="567"/>
      <c r="V78" s="149" t="s">
        <v>363</v>
      </c>
      <c r="W78" s="467"/>
      <c r="X78" s="540">
        <f>X79+X97</f>
        <v>14000000</v>
      </c>
      <c r="Y78" s="392" t="s">
        <v>352</v>
      </c>
      <c r="Z78" s="590"/>
    </row>
    <row r="79" spans="1:26" s="7" customFormat="1" ht="19.5" customHeight="1">
      <c r="A79" s="577"/>
      <c r="B79" s="27"/>
      <c r="C79" s="27"/>
      <c r="D79" s="27" t="s">
        <v>663</v>
      </c>
      <c r="E79" s="29"/>
      <c r="F79" s="29"/>
      <c r="G79" s="30"/>
      <c r="H79" s="43"/>
      <c r="I79" s="255" t="s">
        <v>395</v>
      </c>
      <c r="J79" s="41"/>
      <c r="K79" s="123"/>
      <c r="L79" s="123"/>
      <c r="M79" s="179"/>
      <c r="N79" s="568"/>
      <c r="O79" s="46"/>
      <c r="P79" s="41"/>
      <c r="Q79" s="568"/>
      <c r="R79" s="49"/>
      <c r="S79" s="33"/>
      <c r="T79" s="568"/>
      <c r="U79" s="568"/>
      <c r="V79" s="134" t="s">
        <v>396</v>
      </c>
      <c r="W79" s="116"/>
      <c r="X79" s="134">
        <f>SUM(X80,X84,X88,X90)</f>
        <v>12380000</v>
      </c>
      <c r="Y79" s="393" t="s">
        <v>25</v>
      </c>
      <c r="Z79" s="590"/>
    </row>
    <row r="80" spans="1:26" s="7" customFormat="1" ht="19.5" customHeight="1">
      <c r="A80" s="577"/>
      <c r="B80" s="27"/>
      <c r="C80" s="27"/>
      <c r="D80" s="27"/>
      <c r="E80" s="29"/>
      <c r="F80" s="29"/>
      <c r="G80" s="30"/>
      <c r="H80" s="43"/>
      <c r="I80" s="44" t="s">
        <v>397</v>
      </c>
      <c r="J80" s="180"/>
      <c r="K80" s="179"/>
      <c r="L80" s="179"/>
      <c r="M80" s="179"/>
      <c r="N80" s="568"/>
      <c r="O80" s="46"/>
      <c r="P80" s="519"/>
      <c r="Q80" s="568"/>
      <c r="R80" s="568"/>
      <c r="S80" s="179"/>
      <c r="T80" s="568"/>
      <c r="U80" s="568"/>
      <c r="V80" s="134" t="s">
        <v>351</v>
      </c>
      <c r="W80" s="116"/>
      <c r="X80" s="134">
        <f>SUM(X81:X83)</f>
        <v>7764000</v>
      </c>
      <c r="Y80" s="393" t="s">
        <v>25</v>
      </c>
      <c r="Z80" s="590"/>
    </row>
    <row r="81" spans="1:26" s="7" customFormat="1" ht="19.5" customHeight="1">
      <c r="A81" s="577"/>
      <c r="B81" s="27"/>
      <c r="C81" s="27"/>
      <c r="D81" s="27"/>
      <c r="E81" s="29"/>
      <c r="F81" s="29"/>
      <c r="G81" s="30"/>
      <c r="H81" s="43"/>
      <c r="I81" s="175" t="s">
        <v>398</v>
      </c>
      <c r="J81" s="180"/>
      <c r="K81" s="179"/>
      <c r="L81" s="179"/>
      <c r="M81" s="179">
        <v>25788000</v>
      </c>
      <c r="N81" s="568" t="s">
        <v>352</v>
      </c>
      <c r="O81" s="46" t="s">
        <v>355</v>
      </c>
      <c r="P81" s="519">
        <v>0.1</v>
      </c>
      <c r="Q81" s="568"/>
      <c r="R81" s="568"/>
      <c r="S81" s="179"/>
      <c r="T81" s="568"/>
      <c r="U81" s="568" t="s">
        <v>356</v>
      </c>
      <c r="V81" s="56"/>
      <c r="W81" s="567"/>
      <c r="X81" s="56">
        <f>ROUND(M81*P81,-3)</f>
        <v>2579000</v>
      </c>
      <c r="Y81" s="394" t="s">
        <v>352</v>
      </c>
      <c r="Z81" s="590"/>
    </row>
    <row r="82" spans="1:26" s="7" customFormat="1" ht="19.5" customHeight="1">
      <c r="A82" s="577"/>
      <c r="B82" s="27"/>
      <c r="C82" s="27"/>
      <c r="D82" s="27"/>
      <c r="E82" s="29"/>
      <c r="F82" s="29"/>
      <c r="G82" s="30"/>
      <c r="H82" s="43"/>
      <c r="I82" s="172" t="s">
        <v>399</v>
      </c>
      <c r="J82" s="180"/>
      <c r="K82" s="179"/>
      <c r="L82" s="179"/>
      <c r="M82" s="179">
        <v>26180000</v>
      </c>
      <c r="N82" s="568" t="s">
        <v>352</v>
      </c>
      <c r="O82" s="46" t="s">
        <v>355</v>
      </c>
      <c r="P82" s="519">
        <v>0.1</v>
      </c>
      <c r="Q82" s="568"/>
      <c r="R82" s="568"/>
      <c r="S82" s="179"/>
      <c r="T82" s="568"/>
      <c r="U82" s="568" t="s">
        <v>356</v>
      </c>
      <c r="V82" s="179"/>
      <c r="W82" s="568"/>
      <c r="X82" s="179">
        <f>ROUND(M82*P82,-3)</f>
        <v>2618000</v>
      </c>
      <c r="Y82" s="391" t="s">
        <v>352</v>
      </c>
      <c r="Z82" s="590"/>
    </row>
    <row r="83" spans="1:26" s="7" customFormat="1" ht="19.5" customHeight="1">
      <c r="A83" s="577"/>
      <c r="B83" s="27"/>
      <c r="C83" s="27"/>
      <c r="D83" s="27"/>
      <c r="E83" s="29"/>
      <c r="F83" s="29"/>
      <c r="G83" s="30"/>
      <c r="H83" s="43"/>
      <c r="I83" s="172" t="s">
        <v>400</v>
      </c>
      <c r="J83" s="180"/>
      <c r="K83" s="179"/>
      <c r="L83" s="179"/>
      <c r="M83" s="179">
        <v>25669000</v>
      </c>
      <c r="N83" s="568" t="s">
        <v>352</v>
      </c>
      <c r="O83" s="46" t="s">
        <v>355</v>
      </c>
      <c r="P83" s="519">
        <v>0.1</v>
      </c>
      <c r="Q83" s="568"/>
      <c r="R83" s="568"/>
      <c r="S83" s="179"/>
      <c r="T83" s="568"/>
      <c r="U83" s="568" t="s">
        <v>356</v>
      </c>
      <c r="V83" s="179"/>
      <c r="W83" s="568"/>
      <c r="X83" s="179">
        <f>ROUND(M83*P83,-3)</f>
        <v>2567000</v>
      </c>
      <c r="Y83" s="391" t="s">
        <v>352</v>
      </c>
      <c r="Z83" s="590"/>
    </row>
    <row r="84" spans="1:26" s="7" customFormat="1" ht="19.5" customHeight="1">
      <c r="A84" s="577"/>
      <c r="B84" s="27"/>
      <c r="C84" s="27"/>
      <c r="D84" s="27"/>
      <c r="E84" s="29"/>
      <c r="F84" s="29"/>
      <c r="G84" s="30"/>
      <c r="H84" s="43"/>
      <c r="I84" s="44" t="s">
        <v>401</v>
      </c>
      <c r="J84" s="180"/>
      <c r="K84" s="179"/>
      <c r="L84" s="179"/>
      <c r="M84" s="179"/>
      <c r="N84" s="568"/>
      <c r="O84" s="568"/>
      <c r="P84" s="41"/>
      <c r="Q84" s="568"/>
      <c r="R84" s="568"/>
      <c r="S84" s="179"/>
      <c r="T84" s="568"/>
      <c r="U84" s="568"/>
      <c r="V84" s="134" t="s">
        <v>351</v>
      </c>
      <c r="W84" s="116"/>
      <c r="X84" s="134">
        <f>SUM(X85:X87)</f>
        <v>2669000</v>
      </c>
      <c r="Y84" s="393" t="s">
        <v>25</v>
      </c>
      <c r="Z84" s="590"/>
    </row>
    <row r="85" spans="1:26" s="7" customFormat="1" ht="19.5" customHeight="1">
      <c r="A85" s="577"/>
      <c r="B85" s="27"/>
      <c r="C85" s="27"/>
      <c r="D85" s="27"/>
      <c r="E85" s="29"/>
      <c r="F85" s="29"/>
      <c r="G85" s="30"/>
      <c r="H85" s="43"/>
      <c r="I85" s="172" t="s">
        <v>366</v>
      </c>
      <c r="J85" s="180"/>
      <c r="K85" s="179"/>
      <c r="L85" s="179"/>
      <c r="M85" s="179">
        <v>7761600</v>
      </c>
      <c r="N85" s="568" t="s">
        <v>352</v>
      </c>
      <c r="O85" s="46" t="s">
        <v>355</v>
      </c>
      <c r="P85" s="519">
        <v>0.1</v>
      </c>
      <c r="Q85" s="568"/>
      <c r="R85" s="568"/>
      <c r="S85" s="179"/>
      <c r="T85" s="568"/>
      <c r="U85" s="568" t="s">
        <v>356</v>
      </c>
      <c r="V85" s="631"/>
      <c r="W85" s="631"/>
      <c r="X85" s="147">
        <f>ROUND(M85*P85,-3)</f>
        <v>776000</v>
      </c>
      <c r="Y85" s="394" t="s">
        <v>352</v>
      </c>
      <c r="Z85" s="590"/>
    </row>
    <row r="86" spans="1:26" s="7" customFormat="1" ht="19.5" customHeight="1">
      <c r="A86" s="577"/>
      <c r="B86" s="27"/>
      <c r="C86" s="27"/>
      <c r="D86" s="27"/>
      <c r="E86" s="29"/>
      <c r="F86" s="29"/>
      <c r="G86" s="30"/>
      <c r="H86" s="43"/>
      <c r="I86" s="170" t="s">
        <v>367</v>
      </c>
      <c r="J86" s="180"/>
      <c r="K86" s="179"/>
      <c r="L86" s="179"/>
      <c r="M86" s="179">
        <v>960000</v>
      </c>
      <c r="N86" s="568" t="s">
        <v>352</v>
      </c>
      <c r="O86" s="46" t="s">
        <v>355</v>
      </c>
      <c r="P86" s="519">
        <v>0.1</v>
      </c>
      <c r="Q86" s="568"/>
      <c r="R86" s="568"/>
      <c r="S86" s="179"/>
      <c r="T86" s="568"/>
      <c r="U86" s="568" t="s">
        <v>356</v>
      </c>
      <c r="V86" s="632"/>
      <c r="W86" s="632"/>
      <c r="X86" s="41">
        <f>ROUND(M86*P86,-3)</f>
        <v>96000</v>
      </c>
      <c r="Y86" s="391" t="s">
        <v>352</v>
      </c>
      <c r="Z86" s="590"/>
    </row>
    <row r="87" spans="1:26" s="7" customFormat="1" ht="19.5" customHeight="1">
      <c r="A87" s="577"/>
      <c r="B87" s="27"/>
      <c r="C87" s="27"/>
      <c r="D87" s="27"/>
      <c r="E87" s="29"/>
      <c r="F87" s="29"/>
      <c r="G87" s="30"/>
      <c r="H87" s="43"/>
      <c r="I87" s="172" t="s">
        <v>368</v>
      </c>
      <c r="J87" s="180"/>
      <c r="K87" s="179"/>
      <c r="L87" s="179"/>
      <c r="M87" s="179">
        <v>17971650</v>
      </c>
      <c r="N87" s="568" t="s">
        <v>352</v>
      </c>
      <c r="O87" s="46" t="s">
        <v>355</v>
      </c>
      <c r="P87" s="519">
        <v>0.1</v>
      </c>
      <c r="Q87" s="568"/>
      <c r="R87" s="568"/>
      <c r="S87" s="179"/>
      <c r="T87" s="568"/>
      <c r="U87" s="568" t="s">
        <v>356</v>
      </c>
      <c r="V87" s="632"/>
      <c r="W87" s="632"/>
      <c r="X87" s="41">
        <f>ROUND(M87*P87,-3)</f>
        <v>1797000</v>
      </c>
      <c r="Y87" s="391" t="s">
        <v>352</v>
      </c>
      <c r="Z87" s="590"/>
    </row>
    <row r="88" spans="1:26" s="7" customFormat="1" ht="19.5" customHeight="1">
      <c r="A88" s="577"/>
      <c r="B88" s="27"/>
      <c r="C88" s="27"/>
      <c r="D88" s="27"/>
      <c r="E88" s="29"/>
      <c r="F88" s="29"/>
      <c r="G88" s="30"/>
      <c r="H88" s="43"/>
      <c r="I88" s="44" t="s">
        <v>402</v>
      </c>
      <c r="J88" s="180"/>
      <c r="K88" s="179"/>
      <c r="L88" s="179"/>
      <c r="M88" s="179"/>
      <c r="N88" s="568"/>
      <c r="O88" s="568"/>
      <c r="P88" s="41"/>
      <c r="Q88" s="568"/>
      <c r="R88" s="568"/>
      <c r="S88" s="179"/>
      <c r="T88" s="568"/>
      <c r="U88" s="568"/>
      <c r="V88" s="134" t="s">
        <v>351</v>
      </c>
      <c r="W88" s="116"/>
      <c r="X88" s="134">
        <f>X89</f>
        <v>870000</v>
      </c>
      <c r="Y88" s="393" t="s">
        <v>25</v>
      </c>
      <c r="Z88" s="590"/>
    </row>
    <row r="89" spans="1:26" s="7" customFormat="1" ht="19.5" customHeight="1">
      <c r="A89" s="577"/>
      <c r="B89" s="27"/>
      <c r="C89" s="27"/>
      <c r="D89" s="27"/>
      <c r="E89" s="29"/>
      <c r="F89" s="29"/>
      <c r="G89" s="30"/>
      <c r="H89" s="43"/>
      <c r="I89" s="172" t="s">
        <v>403</v>
      </c>
      <c r="J89" s="180"/>
      <c r="K89" s="179"/>
      <c r="L89" s="179"/>
      <c r="M89" s="179">
        <v>104330250</v>
      </c>
      <c r="N89" s="568" t="s">
        <v>352</v>
      </c>
      <c r="O89" s="568" t="s">
        <v>353</v>
      </c>
      <c r="P89" s="513">
        <v>12</v>
      </c>
      <c r="Q89" s="46" t="s">
        <v>354</v>
      </c>
      <c r="R89" s="46" t="s">
        <v>355</v>
      </c>
      <c r="S89" s="48">
        <v>0.1</v>
      </c>
      <c r="T89" s="568"/>
      <c r="U89" s="568" t="s">
        <v>356</v>
      </c>
      <c r="V89" s="56"/>
      <c r="W89" s="567"/>
      <c r="X89" s="147">
        <f>ROUNDUP(M89/P89*S89,-3)</f>
        <v>870000</v>
      </c>
      <c r="Y89" s="394" t="s">
        <v>352</v>
      </c>
      <c r="Z89" s="590"/>
    </row>
    <row r="90" spans="1:26" s="7" customFormat="1" ht="19.5" customHeight="1">
      <c r="A90" s="577"/>
      <c r="B90" s="27"/>
      <c r="C90" s="27"/>
      <c r="D90" s="27"/>
      <c r="E90" s="29"/>
      <c r="F90" s="29"/>
      <c r="G90" s="30"/>
      <c r="H90" s="43"/>
      <c r="I90" s="44" t="s">
        <v>404</v>
      </c>
      <c r="J90" s="180"/>
      <c r="K90" s="179"/>
      <c r="L90" s="179"/>
      <c r="M90" s="179"/>
      <c r="N90" s="568"/>
      <c r="O90" s="568"/>
      <c r="P90" s="41"/>
      <c r="Q90" s="568"/>
      <c r="R90" s="568"/>
      <c r="S90" s="179"/>
      <c r="T90" s="568"/>
      <c r="U90" s="568"/>
      <c r="V90" s="134" t="s">
        <v>351</v>
      </c>
      <c r="W90" s="116"/>
      <c r="X90" s="134">
        <f>SUM(X91:X95)</f>
        <v>1077000</v>
      </c>
      <c r="Y90" s="393" t="s">
        <v>25</v>
      </c>
      <c r="Z90" s="590"/>
    </row>
    <row r="91" spans="1:26" s="7" customFormat="1" ht="19.5" customHeight="1">
      <c r="A91" s="577"/>
      <c r="B91" s="27"/>
      <c r="C91" s="27"/>
      <c r="D91" s="27"/>
      <c r="E91" s="29"/>
      <c r="F91" s="29"/>
      <c r="G91" s="30"/>
      <c r="H91" s="43"/>
      <c r="I91" s="172" t="s">
        <v>358</v>
      </c>
      <c r="J91" s="180"/>
      <c r="K91" s="179"/>
      <c r="L91" s="179"/>
      <c r="M91" s="179">
        <v>104330250</v>
      </c>
      <c r="N91" s="568" t="s">
        <v>352</v>
      </c>
      <c r="O91" s="46" t="s">
        <v>355</v>
      </c>
      <c r="P91" s="514">
        <v>0.09</v>
      </c>
      <c r="Q91" s="568">
        <v>2</v>
      </c>
      <c r="R91" s="46" t="s">
        <v>355</v>
      </c>
      <c r="S91" s="48">
        <v>0.1</v>
      </c>
      <c r="T91" s="457"/>
      <c r="U91" s="568" t="s">
        <v>356</v>
      </c>
      <c r="V91" s="179"/>
      <c r="W91" s="568"/>
      <c r="X91" s="41">
        <f>ROUNDUP(M91*P91/Q91*S91,-3)</f>
        <v>470000</v>
      </c>
      <c r="Y91" s="391" t="s">
        <v>352</v>
      </c>
      <c r="Z91" s="590"/>
    </row>
    <row r="92" spans="1:26" s="7" customFormat="1" ht="19.5" customHeight="1">
      <c r="A92" s="577"/>
      <c r="B92" s="27"/>
      <c r="C92" s="27"/>
      <c r="D92" s="27"/>
      <c r="E92" s="29"/>
      <c r="F92" s="29"/>
      <c r="G92" s="30"/>
      <c r="H92" s="43"/>
      <c r="I92" s="172" t="s">
        <v>359</v>
      </c>
      <c r="J92" s="180"/>
      <c r="K92" s="179"/>
      <c r="L92" s="179"/>
      <c r="M92" s="179">
        <v>104330250</v>
      </c>
      <c r="N92" s="568" t="s">
        <v>352</v>
      </c>
      <c r="O92" s="46" t="s">
        <v>355</v>
      </c>
      <c r="P92" s="515">
        <v>7.0900000000000005E-2</v>
      </c>
      <c r="Q92" s="568">
        <v>2</v>
      </c>
      <c r="R92" s="46" t="s">
        <v>355</v>
      </c>
      <c r="S92" s="48">
        <v>0.1</v>
      </c>
      <c r="T92" s="457"/>
      <c r="U92" s="568" t="s">
        <v>356</v>
      </c>
      <c r="V92" s="179"/>
      <c r="W92" s="568"/>
      <c r="X92" s="41">
        <f>ROUND(M92*P92/Q92*S92,-3)</f>
        <v>370000</v>
      </c>
      <c r="Y92" s="391" t="s">
        <v>352</v>
      </c>
      <c r="Z92" s="590"/>
    </row>
    <row r="93" spans="1:26" s="7" customFormat="1" ht="19.5" customHeight="1">
      <c r="A93" s="577"/>
      <c r="B93" s="27"/>
      <c r="C93" s="27"/>
      <c r="D93" s="27"/>
      <c r="E93" s="29"/>
      <c r="F93" s="29"/>
      <c r="G93" s="30"/>
      <c r="H93" s="43"/>
      <c r="I93" s="172" t="s">
        <v>360</v>
      </c>
      <c r="J93" s="180"/>
      <c r="K93" s="179"/>
      <c r="L93" s="179"/>
      <c r="M93" s="179">
        <v>370000</v>
      </c>
      <c r="N93" s="568" t="s">
        <v>352</v>
      </c>
      <c r="O93" s="46" t="s">
        <v>355</v>
      </c>
      <c r="P93" s="516">
        <v>0.12809999999999999</v>
      </c>
      <c r="Q93" s="250"/>
      <c r="R93" s="46"/>
      <c r="S93" s="48"/>
      <c r="T93" s="458"/>
      <c r="U93" s="568" t="s">
        <v>356</v>
      </c>
      <c r="V93" s="179"/>
      <c r="W93" s="568"/>
      <c r="X93" s="41">
        <f>ROUND(M93*P93,-3)</f>
        <v>47000</v>
      </c>
      <c r="Y93" s="391" t="s">
        <v>352</v>
      </c>
      <c r="Z93" s="590"/>
    </row>
    <row r="94" spans="1:26" s="7" customFormat="1" ht="19.5" customHeight="1">
      <c r="A94" s="577"/>
      <c r="B94" s="27"/>
      <c r="C94" s="27"/>
      <c r="D94" s="27"/>
      <c r="E94" s="29"/>
      <c r="F94" s="29"/>
      <c r="G94" s="30"/>
      <c r="H94" s="43"/>
      <c r="I94" s="172" t="s">
        <v>361</v>
      </c>
      <c r="J94" s="180"/>
      <c r="K94" s="179"/>
      <c r="L94" s="179"/>
      <c r="M94" s="179">
        <v>104330250</v>
      </c>
      <c r="N94" s="568" t="s">
        <v>352</v>
      </c>
      <c r="O94" s="46" t="s">
        <v>355</v>
      </c>
      <c r="P94" s="516">
        <v>1.15E-2</v>
      </c>
      <c r="Q94" s="46"/>
      <c r="R94" s="46" t="s">
        <v>355</v>
      </c>
      <c r="S94" s="48">
        <v>0.1</v>
      </c>
      <c r="T94" s="457"/>
      <c r="U94" s="568" t="s">
        <v>356</v>
      </c>
      <c r="V94" s="179"/>
      <c r="W94" s="568"/>
      <c r="X94" s="41">
        <f>ROUND(M94*P94*S94,-3)</f>
        <v>120000</v>
      </c>
      <c r="Y94" s="391" t="s">
        <v>352</v>
      </c>
      <c r="Z94" s="590"/>
    </row>
    <row r="95" spans="1:26" s="7" customFormat="1" ht="19.5" customHeight="1">
      <c r="A95" s="577"/>
      <c r="B95" s="27"/>
      <c r="C95" s="27"/>
      <c r="D95" s="27"/>
      <c r="E95" s="29"/>
      <c r="F95" s="29"/>
      <c r="G95" s="30"/>
      <c r="H95" s="43"/>
      <c r="I95" s="172" t="s">
        <v>362</v>
      </c>
      <c r="J95" s="180"/>
      <c r="K95" s="179"/>
      <c r="L95" s="179"/>
      <c r="M95" s="179">
        <v>104330250</v>
      </c>
      <c r="N95" s="568" t="s">
        <v>352</v>
      </c>
      <c r="O95" s="46" t="s">
        <v>355</v>
      </c>
      <c r="P95" s="517">
        <v>6.6699999999999997E-3</v>
      </c>
      <c r="Q95" s="46"/>
      <c r="R95" s="46" t="s">
        <v>355</v>
      </c>
      <c r="S95" s="48">
        <v>0.1</v>
      </c>
      <c r="T95" s="457"/>
      <c r="U95" s="568" t="s">
        <v>356</v>
      </c>
      <c r="V95" s="179"/>
      <c r="W95" s="568"/>
      <c r="X95" s="41">
        <f>ROUND(M95*P95*S95,-3)</f>
        <v>70000</v>
      </c>
      <c r="Y95" s="391" t="s">
        <v>352</v>
      </c>
      <c r="Z95" s="590"/>
    </row>
    <row r="96" spans="1:26" s="7" customFormat="1" ht="19.5" customHeight="1">
      <c r="A96" s="577"/>
      <c r="B96" s="27"/>
      <c r="C96" s="27"/>
      <c r="D96" s="27"/>
      <c r="E96" s="29"/>
      <c r="F96" s="29"/>
      <c r="G96" s="30"/>
      <c r="H96" s="43"/>
      <c r="I96" s="40"/>
      <c r="J96" s="41"/>
      <c r="K96" s="123"/>
      <c r="L96" s="123"/>
      <c r="M96" s="179"/>
      <c r="N96" s="568"/>
      <c r="O96" s="46"/>
      <c r="P96" s="41"/>
      <c r="Q96" s="568"/>
      <c r="R96" s="49"/>
      <c r="S96" s="33"/>
      <c r="T96" s="568"/>
      <c r="U96" s="568"/>
      <c r="V96" s="48"/>
      <c r="W96" s="32"/>
      <c r="X96" s="41"/>
      <c r="Y96" s="391"/>
      <c r="Z96" s="590"/>
    </row>
    <row r="97" spans="1:37" s="7" customFormat="1" ht="19.5" customHeight="1">
      <c r="A97" s="577"/>
      <c r="B97" s="27"/>
      <c r="C97" s="27"/>
      <c r="D97" s="27"/>
      <c r="E97" s="29"/>
      <c r="F97" s="29"/>
      <c r="G97" s="30"/>
      <c r="H97" s="43"/>
      <c r="I97" s="44" t="s">
        <v>405</v>
      </c>
      <c r="J97" s="41"/>
      <c r="K97" s="123"/>
      <c r="L97" s="123"/>
      <c r="M97" s="179"/>
      <c r="N97" s="568"/>
      <c r="O97" s="46"/>
      <c r="P97" s="41"/>
      <c r="Q97" s="568"/>
      <c r="R97" s="49"/>
      <c r="S97" s="33"/>
      <c r="T97" s="568"/>
      <c r="U97" s="568"/>
      <c r="V97" s="134" t="s">
        <v>396</v>
      </c>
      <c r="W97" s="116"/>
      <c r="X97" s="134">
        <f>SUM(X98:X99)</f>
        <v>1620000</v>
      </c>
      <c r="Y97" s="393" t="s">
        <v>25</v>
      </c>
      <c r="Z97" s="590"/>
    </row>
    <row r="98" spans="1:37" s="7" customFormat="1" ht="19.5" customHeight="1">
      <c r="A98" s="577"/>
      <c r="B98" s="27"/>
      <c r="C98" s="27"/>
      <c r="D98" s="27"/>
      <c r="E98" s="29"/>
      <c r="F98" s="29"/>
      <c r="G98" s="30"/>
      <c r="H98" s="43"/>
      <c r="I98" s="172" t="s">
        <v>406</v>
      </c>
      <c r="J98" s="333"/>
      <c r="K98" s="332"/>
      <c r="L98" s="332"/>
      <c r="M98" s="274">
        <v>300000</v>
      </c>
      <c r="N98" s="223" t="s">
        <v>352</v>
      </c>
      <c r="O98" s="223" t="s">
        <v>355</v>
      </c>
      <c r="P98" s="520">
        <v>1</v>
      </c>
      <c r="Q98" s="379">
        <v>12</v>
      </c>
      <c r="R98" s="223" t="s">
        <v>354</v>
      </c>
      <c r="S98" s="275">
        <v>0.1</v>
      </c>
      <c r="T98" s="223"/>
      <c r="U98" s="223" t="s">
        <v>356</v>
      </c>
      <c r="V98" s="332"/>
      <c r="W98" s="334"/>
      <c r="X98" s="332">
        <f>M98*P98*Q98*S98</f>
        <v>360000</v>
      </c>
      <c r="Y98" s="385" t="s">
        <v>352</v>
      </c>
      <c r="Z98" s="590"/>
    </row>
    <row r="99" spans="1:37" s="7" customFormat="1" ht="19.5" customHeight="1">
      <c r="A99" s="577"/>
      <c r="B99" s="27"/>
      <c r="C99" s="27"/>
      <c r="D99" s="27"/>
      <c r="E99" s="29"/>
      <c r="F99" s="29"/>
      <c r="G99" s="30"/>
      <c r="H99" s="43"/>
      <c r="I99" s="172" t="s">
        <v>407</v>
      </c>
      <c r="J99" s="333"/>
      <c r="K99" s="332"/>
      <c r="L99" s="332"/>
      <c r="M99" s="274">
        <v>70000</v>
      </c>
      <c r="N99" s="223" t="s">
        <v>352</v>
      </c>
      <c r="O99" s="223" t="s">
        <v>355</v>
      </c>
      <c r="P99" s="521">
        <v>1</v>
      </c>
      <c r="Q99" s="379">
        <v>180</v>
      </c>
      <c r="R99" s="223" t="s">
        <v>389</v>
      </c>
      <c r="S99" s="275">
        <v>0.1</v>
      </c>
      <c r="T99" s="223"/>
      <c r="U99" s="223" t="s">
        <v>356</v>
      </c>
      <c r="V99" s="332"/>
      <c r="W99" s="334"/>
      <c r="X99" s="332">
        <f>M99*P99*Q99*S99</f>
        <v>1260000</v>
      </c>
      <c r="Y99" s="385" t="s">
        <v>352</v>
      </c>
      <c r="Z99" s="590"/>
    </row>
    <row r="100" spans="1:37" s="7" customFormat="1" ht="19.5" customHeight="1">
      <c r="A100" s="577"/>
      <c r="B100" s="27"/>
      <c r="C100" s="27"/>
      <c r="D100" s="35"/>
      <c r="E100" s="36"/>
      <c r="F100" s="36"/>
      <c r="G100" s="37"/>
      <c r="H100" s="52"/>
      <c r="I100" s="212"/>
      <c r="J100" s="45"/>
      <c r="K100" s="254"/>
      <c r="L100" s="254"/>
      <c r="M100" s="134"/>
      <c r="N100" s="116"/>
      <c r="O100" s="124"/>
      <c r="P100" s="45"/>
      <c r="Q100" s="116"/>
      <c r="R100" s="125"/>
      <c r="S100" s="134"/>
      <c r="T100" s="116"/>
      <c r="U100" s="116"/>
      <c r="V100" s="253"/>
      <c r="W100" s="53"/>
      <c r="X100" s="45"/>
      <c r="Y100" s="393"/>
      <c r="Z100" s="590"/>
    </row>
    <row r="101" spans="1:37" s="7" customFormat="1" ht="19.5" customHeight="1">
      <c r="A101" s="577"/>
      <c r="B101" s="27"/>
      <c r="C101" s="27"/>
      <c r="D101" s="27" t="s">
        <v>408</v>
      </c>
      <c r="E101" s="29">
        <v>11234</v>
      </c>
      <c r="F101" s="145">
        <f>ROUND(X101/1000,0)</f>
        <v>12578</v>
      </c>
      <c r="G101" s="30">
        <f>F101-E101</f>
        <v>1344</v>
      </c>
      <c r="H101" s="43">
        <f>IF(E101=0,0,G101/E101)</f>
        <v>0.11963681680612427</v>
      </c>
      <c r="I101" s="44" t="s">
        <v>409</v>
      </c>
      <c r="J101" s="41"/>
      <c r="K101" s="123"/>
      <c r="L101" s="123"/>
      <c r="M101" s="179"/>
      <c r="N101" s="568"/>
      <c r="O101" s="46"/>
      <c r="P101" s="41"/>
      <c r="Q101" s="568"/>
      <c r="R101" s="49"/>
      <c r="S101" s="33"/>
      <c r="T101" s="568"/>
      <c r="U101" s="568"/>
      <c r="V101" s="134" t="s">
        <v>410</v>
      </c>
      <c r="W101" s="116"/>
      <c r="X101" s="134">
        <f>SUM(X102:X106)</f>
        <v>12578000</v>
      </c>
      <c r="Y101" s="393" t="s">
        <v>25</v>
      </c>
      <c r="Z101" s="590"/>
    </row>
    <row r="102" spans="1:37" s="7" customFormat="1" ht="19.5" customHeight="1">
      <c r="A102" s="577"/>
      <c r="B102" s="27"/>
      <c r="C102" s="27"/>
      <c r="D102" s="27"/>
      <c r="E102" s="29"/>
      <c r="F102" s="29"/>
      <c r="G102" s="30"/>
      <c r="H102" s="43"/>
      <c r="I102" s="168" t="s">
        <v>599</v>
      </c>
      <c r="J102" s="41"/>
      <c r="K102" s="123"/>
      <c r="L102" s="123"/>
      <c r="M102" s="252">
        <v>5839000</v>
      </c>
      <c r="N102" s="42" t="s">
        <v>352</v>
      </c>
      <c r="O102" s="42" t="s">
        <v>355</v>
      </c>
      <c r="P102" s="519">
        <v>0.3</v>
      </c>
      <c r="Q102" s="378"/>
      <c r="R102" s="42"/>
      <c r="S102" s="251"/>
      <c r="T102" s="42"/>
      <c r="U102" s="42" t="s">
        <v>356</v>
      </c>
      <c r="V102" s="179"/>
      <c r="W102" s="568"/>
      <c r="X102" s="179">
        <f>ROUND(M102*P102,-3)</f>
        <v>1752000</v>
      </c>
      <c r="Y102" s="391" t="s">
        <v>352</v>
      </c>
      <c r="Z102" s="590"/>
    </row>
    <row r="103" spans="1:37" s="7" customFormat="1" ht="19.5" customHeight="1">
      <c r="A103" s="577"/>
      <c r="B103" s="27"/>
      <c r="C103" s="27"/>
      <c r="D103" s="27"/>
      <c r="E103" s="29"/>
      <c r="F103" s="29"/>
      <c r="G103" s="30"/>
      <c r="H103" s="43"/>
      <c r="I103" s="168" t="s">
        <v>411</v>
      </c>
      <c r="J103" s="41"/>
      <c r="K103" s="123"/>
      <c r="L103" s="123"/>
      <c r="M103" s="252">
        <v>21651260</v>
      </c>
      <c r="N103" s="42" t="s">
        <v>352</v>
      </c>
      <c r="O103" s="42" t="s">
        <v>355</v>
      </c>
      <c r="P103" s="519">
        <v>0.5</v>
      </c>
      <c r="Q103" s="378"/>
      <c r="R103" s="42"/>
      <c r="S103" s="251"/>
      <c r="T103" s="42"/>
      <c r="U103" s="42" t="s">
        <v>356</v>
      </c>
      <c r="V103" s="179"/>
      <c r="W103" s="568"/>
      <c r="X103" s="179">
        <f>ROUND(M103*P103,-3)</f>
        <v>10826000</v>
      </c>
      <c r="Y103" s="391" t="s">
        <v>352</v>
      </c>
      <c r="Z103" s="590"/>
    </row>
    <row r="104" spans="1:37" s="7" customFormat="1" ht="19.5" customHeight="1">
      <c r="A104" s="577"/>
      <c r="B104" s="27"/>
      <c r="C104" s="27"/>
      <c r="D104" s="27"/>
      <c r="E104" s="29"/>
      <c r="F104" s="29"/>
      <c r="G104" s="30"/>
      <c r="H104" s="43"/>
      <c r="I104" s="168"/>
      <c r="J104" s="41"/>
      <c r="K104" s="123"/>
      <c r="L104" s="123"/>
      <c r="M104" s="252"/>
      <c r="N104" s="42"/>
      <c r="O104" s="42"/>
      <c r="P104" s="519"/>
      <c r="Q104" s="378"/>
      <c r="R104" s="42"/>
      <c r="S104" s="251"/>
      <c r="T104" s="42"/>
      <c r="U104" s="42" t="s">
        <v>53</v>
      </c>
      <c r="V104" s="179"/>
      <c r="W104" s="568"/>
      <c r="X104" s="179">
        <f t="shared" ref="X104:X106" si="0">ROUND(M104*P104,-3)</f>
        <v>0</v>
      </c>
      <c r="Y104" s="391" t="s">
        <v>352</v>
      </c>
      <c r="Z104" s="590"/>
    </row>
    <row r="105" spans="1:37" s="7" customFormat="1" ht="19.5" customHeight="1">
      <c r="A105" s="577"/>
      <c r="B105" s="27"/>
      <c r="C105" s="27"/>
      <c r="D105" s="27"/>
      <c r="E105" s="29"/>
      <c r="F105" s="29"/>
      <c r="G105" s="30"/>
      <c r="H105" s="43"/>
      <c r="I105" s="168"/>
      <c r="J105" s="41"/>
      <c r="K105" s="123"/>
      <c r="L105" s="123"/>
      <c r="M105" s="252"/>
      <c r="N105" s="42"/>
      <c r="O105" s="42"/>
      <c r="P105" s="519"/>
      <c r="Q105" s="378"/>
      <c r="R105" s="42"/>
      <c r="S105" s="251"/>
      <c r="T105" s="42"/>
      <c r="U105" s="42" t="s">
        <v>53</v>
      </c>
      <c r="V105" s="179"/>
      <c r="W105" s="568"/>
      <c r="X105" s="179">
        <f t="shared" ref="X105" si="1">ROUND(M105*P105,-3)</f>
        <v>0</v>
      </c>
      <c r="Y105" s="391" t="s">
        <v>352</v>
      </c>
      <c r="Z105" s="590"/>
    </row>
    <row r="106" spans="1:37" s="7" customFormat="1" ht="19.5" customHeight="1">
      <c r="A106" s="577"/>
      <c r="B106" s="50"/>
      <c r="C106" s="51"/>
      <c r="D106" s="35"/>
      <c r="E106" s="36"/>
      <c r="F106" s="36"/>
      <c r="G106" s="37"/>
      <c r="H106" s="52"/>
      <c r="I106" s="212"/>
      <c r="J106" s="134"/>
      <c r="K106" s="53"/>
      <c r="L106" s="53"/>
      <c r="M106" s="134"/>
      <c r="N106" s="116"/>
      <c r="O106" s="53"/>
      <c r="P106" s="45"/>
      <c r="Q106" s="116"/>
      <c r="R106" s="53"/>
      <c r="S106" s="212"/>
      <c r="T106" s="53"/>
      <c r="U106" s="42" t="s">
        <v>53</v>
      </c>
      <c r="V106" s="179"/>
      <c r="W106" s="568"/>
      <c r="X106" s="134">
        <f t="shared" si="0"/>
        <v>0</v>
      </c>
      <c r="Y106" s="391" t="s">
        <v>352</v>
      </c>
      <c r="Z106" s="590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21" customHeight="1">
      <c r="A107" s="26"/>
      <c r="B107" s="27"/>
      <c r="C107" s="27" t="s">
        <v>412</v>
      </c>
      <c r="D107" s="246" t="s">
        <v>376</v>
      </c>
      <c r="E107" s="129">
        <f>SUM(E108:E167)</f>
        <v>713932</v>
      </c>
      <c r="F107" s="129">
        <f>SUM(F108:F167)</f>
        <v>741695</v>
      </c>
      <c r="G107" s="130">
        <f>F107-E107</f>
        <v>27763</v>
      </c>
      <c r="H107" s="131">
        <f>IF(E107=0,0,G107/E107)</f>
        <v>3.8887457068740437E-2</v>
      </c>
      <c r="I107" s="119" t="s">
        <v>413</v>
      </c>
      <c r="J107" s="120"/>
      <c r="K107" s="121"/>
      <c r="L107" s="121"/>
      <c r="M107" s="121"/>
      <c r="N107" s="452"/>
      <c r="O107" s="452"/>
      <c r="P107" s="511"/>
      <c r="Q107" s="417"/>
      <c r="R107" s="417"/>
      <c r="S107" s="122"/>
      <c r="T107" s="417"/>
      <c r="U107" s="417"/>
      <c r="V107" s="144" t="s">
        <v>351</v>
      </c>
      <c r="W107" s="466"/>
      <c r="X107" s="539">
        <f>SUM(X108,X112,X128,X132,X139,X162)</f>
        <v>741695000</v>
      </c>
      <c r="Y107" s="389" t="s">
        <v>352</v>
      </c>
    </row>
    <row r="108" spans="1:37" ht="21" customHeight="1">
      <c r="A108" s="26"/>
      <c r="B108" s="27"/>
      <c r="C108" s="27" t="s">
        <v>378</v>
      </c>
      <c r="D108" s="18" t="s">
        <v>379</v>
      </c>
      <c r="E108" s="145">
        <v>3105</v>
      </c>
      <c r="F108" s="145">
        <f>ROUND(X108/1000,0)</f>
        <v>3074</v>
      </c>
      <c r="G108" s="164">
        <f>F108-E108</f>
        <v>-31</v>
      </c>
      <c r="H108" s="102">
        <f>IF(E108=0,0,G108/E108)</f>
        <v>-9.9838969404186795E-3</v>
      </c>
      <c r="I108" s="82" t="s">
        <v>380</v>
      </c>
      <c r="J108" s="92"/>
      <c r="K108" s="56"/>
      <c r="L108" s="56"/>
      <c r="M108" s="56"/>
      <c r="N108" s="567"/>
      <c r="O108" s="453"/>
      <c r="P108" s="147"/>
      <c r="Q108" s="567"/>
      <c r="R108" s="426"/>
      <c r="S108" s="355"/>
      <c r="T108" s="459"/>
      <c r="U108" s="567"/>
      <c r="V108" s="260" t="s">
        <v>363</v>
      </c>
      <c r="W108" s="565"/>
      <c r="X108" s="537">
        <f>SUM(X109:X111)</f>
        <v>3074000</v>
      </c>
      <c r="Y108" s="390" t="s">
        <v>352</v>
      </c>
    </row>
    <row r="109" spans="1:37" ht="21" customHeight="1">
      <c r="A109" s="26"/>
      <c r="B109" s="27"/>
      <c r="C109" s="27"/>
      <c r="D109" s="27"/>
      <c r="E109" s="29"/>
      <c r="F109" s="29"/>
      <c r="G109" s="30"/>
      <c r="H109" s="43"/>
      <c r="I109" s="172" t="s">
        <v>800</v>
      </c>
      <c r="J109" s="180"/>
      <c r="K109" s="179"/>
      <c r="L109" s="179"/>
      <c r="M109" s="179">
        <v>272937</v>
      </c>
      <c r="N109" s="568" t="s">
        <v>25</v>
      </c>
      <c r="O109" s="46" t="s">
        <v>26</v>
      </c>
      <c r="P109" s="335">
        <v>30</v>
      </c>
      <c r="Q109" s="568" t="s">
        <v>128</v>
      </c>
      <c r="R109" s="377" t="s">
        <v>26</v>
      </c>
      <c r="S109" s="374">
        <v>12</v>
      </c>
      <c r="T109" s="456" t="s">
        <v>29</v>
      </c>
      <c r="U109" s="568" t="s">
        <v>26</v>
      </c>
      <c r="V109" s="352">
        <v>0.03</v>
      </c>
      <c r="W109" s="568" t="s">
        <v>27</v>
      </c>
      <c r="X109" s="335">
        <f>ROUND(M109*P109*S109*V109,-3)</f>
        <v>2948000</v>
      </c>
      <c r="Y109" s="391" t="s">
        <v>313</v>
      </c>
    </row>
    <row r="110" spans="1:37" ht="21" customHeight="1">
      <c r="A110" s="26"/>
      <c r="B110" s="27"/>
      <c r="C110" s="27"/>
      <c r="D110" s="27"/>
      <c r="E110" s="29"/>
      <c r="F110" s="29"/>
      <c r="G110" s="30"/>
      <c r="H110" s="43"/>
      <c r="I110" s="172" t="s">
        <v>212</v>
      </c>
      <c r="J110" s="180"/>
      <c r="K110" s="179"/>
      <c r="L110" s="179"/>
      <c r="M110" s="179">
        <v>40000</v>
      </c>
      <c r="N110" s="568" t="s">
        <v>25</v>
      </c>
      <c r="O110" s="46" t="s">
        <v>26</v>
      </c>
      <c r="P110" s="335">
        <v>30</v>
      </c>
      <c r="Q110" s="568" t="s">
        <v>128</v>
      </c>
      <c r="R110" s="49" t="s">
        <v>26</v>
      </c>
      <c r="S110" s="374">
        <v>1</v>
      </c>
      <c r="T110" s="456" t="s">
        <v>211</v>
      </c>
      <c r="U110" s="568" t="s">
        <v>26</v>
      </c>
      <c r="V110" s="352">
        <v>0.03</v>
      </c>
      <c r="W110" s="568" t="s">
        <v>27</v>
      </c>
      <c r="X110" s="335">
        <f>ROUND(M110*P110*S110*V110,-3)</f>
        <v>36000</v>
      </c>
      <c r="Y110" s="391" t="s">
        <v>313</v>
      </c>
    </row>
    <row r="111" spans="1:37" ht="21" customHeight="1">
      <c r="A111" s="26"/>
      <c r="B111" s="27"/>
      <c r="C111" s="27"/>
      <c r="D111" s="27"/>
      <c r="E111" s="29"/>
      <c r="F111" s="29"/>
      <c r="G111" s="30"/>
      <c r="H111" s="43"/>
      <c r="I111" s="172" t="s">
        <v>799</v>
      </c>
      <c r="J111" s="41"/>
      <c r="K111" s="123"/>
      <c r="L111" s="123"/>
      <c r="M111" s="179">
        <v>50000</v>
      </c>
      <c r="N111" s="568" t="s">
        <v>25</v>
      </c>
      <c r="O111" s="46" t="s">
        <v>26</v>
      </c>
      <c r="P111" s="335">
        <v>30</v>
      </c>
      <c r="Q111" s="568" t="s">
        <v>128</v>
      </c>
      <c r="R111" s="49" t="s">
        <v>26</v>
      </c>
      <c r="S111" s="33">
        <v>2</v>
      </c>
      <c r="T111" s="568" t="s">
        <v>211</v>
      </c>
      <c r="U111" s="568" t="s">
        <v>26</v>
      </c>
      <c r="V111" s="352">
        <v>0.03</v>
      </c>
      <c r="W111" s="568" t="s">
        <v>27</v>
      </c>
      <c r="X111" s="335">
        <f t="shared" ref="X111" si="2">ROUNDUP(M111*P111*S111*V111,-3)</f>
        <v>90000</v>
      </c>
      <c r="Y111" s="391" t="s">
        <v>313</v>
      </c>
    </row>
    <row r="112" spans="1:37" ht="21" customHeight="1" thickBot="1">
      <c r="A112" s="26"/>
      <c r="B112" s="27"/>
      <c r="C112" s="27"/>
      <c r="D112" s="18" t="s">
        <v>381</v>
      </c>
      <c r="E112" s="19">
        <v>544435</v>
      </c>
      <c r="F112" s="145">
        <f>ROUND(X112/1000,0)</f>
        <v>550289</v>
      </c>
      <c r="G112" s="20">
        <f>F112-E112</f>
        <v>5854</v>
      </c>
      <c r="H112" s="73">
        <f>IF(E112=0,0,G112/E112)</f>
        <v>1.075243141972871E-2</v>
      </c>
      <c r="I112" s="148" t="s">
        <v>818</v>
      </c>
      <c r="J112" s="147"/>
      <c r="K112" s="150"/>
      <c r="L112" s="150"/>
      <c r="M112" s="56"/>
      <c r="N112" s="567"/>
      <c r="O112" s="453"/>
      <c r="P112" s="147"/>
      <c r="Q112" s="567"/>
      <c r="R112" s="423"/>
      <c r="S112" s="146"/>
      <c r="T112" s="567"/>
      <c r="U112" s="567"/>
      <c r="V112" s="149" t="s">
        <v>363</v>
      </c>
      <c r="W112" s="467"/>
      <c r="X112" s="540">
        <f>SUM(X113,X114,X119,X121)</f>
        <v>550289000</v>
      </c>
      <c r="Y112" s="392" t="s">
        <v>352</v>
      </c>
    </row>
    <row r="113" spans="1:25" ht="21" customHeight="1">
      <c r="A113" s="26"/>
      <c r="B113" s="27"/>
      <c r="C113" s="27"/>
      <c r="D113" s="27"/>
      <c r="E113" s="29"/>
      <c r="F113" s="29"/>
      <c r="G113" s="30"/>
      <c r="H113" s="43"/>
      <c r="I113" s="173" t="s">
        <v>364</v>
      </c>
      <c r="J113" s="180"/>
      <c r="K113" s="179"/>
      <c r="L113" s="179"/>
      <c r="M113" s="179">
        <v>1351684000</v>
      </c>
      <c r="N113" s="568" t="s">
        <v>352</v>
      </c>
      <c r="O113" s="46" t="s">
        <v>355</v>
      </c>
      <c r="P113" s="512">
        <v>0.255</v>
      </c>
      <c r="Q113" s="568"/>
      <c r="R113" s="568"/>
      <c r="S113" s="179"/>
      <c r="T113" s="568"/>
      <c r="U113" s="568" t="s">
        <v>356</v>
      </c>
      <c r="V113" s="134" t="s">
        <v>351</v>
      </c>
      <c r="W113" s="116"/>
      <c r="X113" s="134">
        <f>ROUNDDOWN(M113*P113,-3)</f>
        <v>344679000</v>
      </c>
      <c r="Y113" s="393" t="s">
        <v>25</v>
      </c>
    </row>
    <row r="114" spans="1:25" ht="21" customHeight="1">
      <c r="A114" s="26"/>
      <c r="B114" s="27"/>
      <c r="C114" s="27"/>
      <c r="D114" s="27"/>
      <c r="E114" s="29"/>
      <c r="F114" s="29"/>
      <c r="G114" s="30"/>
      <c r="H114" s="43"/>
      <c r="I114" s="174" t="s">
        <v>365</v>
      </c>
      <c r="J114" s="180"/>
      <c r="K114" s="179"/>
      <c r="L114" s="179"/>
      <c r="M114" s="179"/>
      <c r="N114" s="568"/>
      <c r="O114" s="568"/>
      <c r="P114" s="41"/>
      <c r="Q114" s="568"/>
      <c r="R114" s="568"/>
      <c r="S114" s="179"/>
      <c r="T114" s="568"/>
      <c r="U114" s="568"/>
      <c r="V114" s="83" t="s">
        <v>351</v>
      </c>
      <c r="W114" s="565"/>
      <c r="X114" s="83">
        <f>SUM(X115:X118)</f>
        <v>119114000</v>
      </c>
      <c r="Y114" s="390" t="s">
        <v>25</v>
      </c>
    </row>
    <row r="115" spans="1:25" ht="21" customHeight="1">
      <c r="A115" s="26"/>
      <c r="B115" s="27"/>
      <c r="C115" s="27"/>
      <c r="D115" s="27"/>
      <c r="E115" s="29"/>
      <c r="F115" s="29"/>
      <c r="G115" s="30"/>
      <c r="H115" s="43"/>
      <c r="I115" s="172" t="s">
        <v>366</v>
      </c>
      <c r="J115" s="180"/>
      <c r="K115" s="179"/>
      <c r="L115" s="179"/>
      <c r="M115" s="179">
        <v>134982600</v>
      </c>
      <c r="N115" s="568" t="s">
        <v>352</v>
      </c>
      <c r="O115" s="46" t="s">
        <v>355</v>
      </c>
      <c r="P115" s="512">
        <v>0.255</v>
      </c>
      <c r="Q115" s="568"/>
      <c r="R115" s="568"/>
      <c r="S115" s="179"/>
      <c r="T115" s="568"/>
      <c r="U115" s="568" t="s">
        <v>356</v>
      </c>
      <c r="V115" s="631"/>
      <c r="W115" s="631"/>
      <c r="X115" s="147">
        <f>ROUND(M115*P115,-3)</f>
        <v>34421000</v>
      </c>
      <c r="Y115" s="394" t="s">
        <v>352</v>
      </c>
    </row>
    <row r="116" spans="1:25" ht="21" customHeight="1">
      <c r="A116" s="26"/>
      <c r="B116" s="27"/>
      <c r="C116" s="27"/>
      <c r="D116" s="27"/>
      <c r="E116" s="29"/>
      <c r="F116" s="29"/>
      <c r="G116" s="30"/>
      <c r="H116" s="43"/>
      <c r="I116" s="172" t="s">
        <v>367</v>
      </c>
      <c r="J116" s="180"/>
      <c r="K116" s="179"/>
      <c r="L116" s="179"/>
      <c r="M116" s="179">
        <v>24000000</v>
      </c>
      <c r="N116" s="568" t="s">
        <v>352</v>
      </c>
      <c r="O116" s="46" t="s">
        <v>355</v>
      </c>
      <c r="P116" s="512">
        <v>0.255</v>
      </c>
      <c r="Q116" s="568"/>
      <c r="R116" s="568"/>
      <c r="S116" s="179"/>
      <c r="T116" s="568"/>
      <c r="U116" s="568" t="s">
        <v>356</v>
      </c>
      <c r="V116" s="632"/>
      <c r="W116" s="632"/>
      <c r="X116" s="41">
        <f>ROUND(M116*P116,-3)</f>
        <v>6120000</v>
      </c>
      <c r="Y116" s="391" t="s">
        <v>352</v>
      </c>
    </row>
    <row r="117" spans="1:25" ht="21" customHeight="1">
      <c r="A117" s="26"/>
      <c r="B117" s="27"/>
      <c r="C117" s="27"/>
      <c r="D117" s="27"/>
      <c r="E117" s="29"/>
      <c r="F117" s="29"/>
      <c r="G117" s="30"/>
      <c r="H117" s="43"/>
      <c r="I117" s="172" t="s">
        <v>368</v>
      </c>
      <c r="J117" s="180"/>
      <c r="K117" s="179"/>
      <c r="L117" s="179"/>
      <c r="M117" s="179">
        <v>303128050</v>
      </c>
      <c r="N117" s="568" t="s">
        <v>352</v>
      </c>
      <c r="O117" s="46" t="s">
        <v>355</v>
      </c>
      <c r="P117" s="512">
        <v>0.255</v>
      </c>
      <c r="Q117" s="568"/>
      <c r="R117" s="568"/>
      <c r="S117" s="179"/>
      <c r="T117" s="568"/>
      <c r="U117" s="568" t="s">
        <v>356</v>
      </c>
      <c r="V117" s="632"/>
      <c r="W117" s="632"/>
      <c r="X117" s="41">
        <f>ROUND(M117*P117,-3)</f>
        <v>77298000</v>
      </c>
      <c r="Y117" s="391" t="s">
        <v>352</v>
      </c>
    </row>
    <row r="118" spans="1:25" ht="21" customHeight="1">
      <c r="A118" s="26"/>
      <c r="B118" s="27"/>
      <c r="C118" s="27"/>
      <c r="D118" s="27"/>
      <c r="E118" s="29"/>
      <c r="F118" s="29"/>
      <c r="G118" s="30"/>
      <c r="H118" s="43"/>
      <c r="I118" s="172" t="s">
        <v>656</v>
      </c>
      <c r="J118" s="180"/>
      <c r="K118" s="179"/>
      <c r="L118" s="179"/>
      <c r="M118" s="179">
        <v>5000000</v>
      </c>
      <c r="N118" s="568" t="s">
        <v>289</v>
      </c>
      <c r="O118" s="46" t="s">
        <v>291</v>
      </c>
      <c r="P118" s="512">
        <v>0.255</v>
      </c>
      <c r="Q118" s="568"/>
      <c r="R118" s="568"/>
      <c r="S118" s="179"/>
      <c r="T118" s="568"/>
      <c r="U118" s="568" t="s">
        <v>53</v>
      </c>
      <c r="V118" s="632"/>
      <c r="W118" s="632"/>
      <c r="X118" s="41">
        <f>ROUND(M118*P118,-3)</f>
        <v>1275000</v>
      </c>
      <c r="Y118" s="391" t="s">
        <v>352</v>
      </c>
    </row>
    <row r="119" spans="1:25" ht="21" customHeight="1">
      <c r="A119" s="26"/>
      <c r="B119" s="27"/>
      <c r="C119" s="27"/>
      <c r="D119" s="27"/>
      <c r="E119" s="29"/>
      <c r="F119" s="29"/>
      <c r="G119" s="30"/>
      <c r="H119" s="43"/>
      <c r="I119" s="173" t="s">
        <v>350</v>
      </c>
      <c r="J119" s="180"/>
      <c r="K119" s="179"/>
      <c r="L119" s="179"/>
      <c r="M119" s="179"/>
      <c r="N119" s="568"/>
      <c r="O119" s="568"/>
      <c r="P119" s="41"/>
      <c r="Q119" s="568"/>
      <c r="R119" s="568"/>
      <c r="S119" s="179"/>
      <c r="T119" s="568"/>
      <c r="U119" s="568"/>
      <c r="V119" s="134" t="s">
        <v>351</v>
      </c>
      <c r="W119" s="116"/>
      <c r="X119" s="134">
        <f>SUM(X120:X120)</f>
        <v>38650000</v>
      </c>
      <c r="Y119" s="393" t="s">
        <v>25</v>
      </c>
    </row>
    <row r="120" spans="1:25" ht="21" customHeight="1">
      <c r="A120" s="26"/>
      <c r="B120" s="27"/>
      <c r="C120" s="27"/>
      <c r="D120" s="27"/>
      <c r="E120" s="29"/>
      <c r="F120" s="29"/>
      <c r="G120" s="30"/>
      <c r="H120" s="43"/>
      <c r="I120" s="172" t="s">
        <v>819</v>
      </c>
      <c r="J120" s="180"/>
      <c r="K120" s="179"/>
      <c r="L120" s="179"/>
      <c r="M120" s="179">
        <v>1818794650</v>
      </c>
      <c r="N120" s="568" t="s">
        <v>352</v>
      </c>
      <c r="O120" s="568" t="s">
        <v>353</v>
      </c>
      <c r="P120" s="513">
        <v>12</v>
      </c>
      <c r="Q120" s="46" t="s">
        <v>354</v>
      </c>
      <c r="R120" s="46" t="s">
        <v>355</v>
      </c>
      <c r="S120" s="258">
        <v>0.255</v>
      </c>
      <c r="T120" s="568"/>
      <c r="U120" s="568" t="s">
        <v>356</v>
      </c>
      <c r="V120" s="56"/>
      <c r="W120" s="567"/>
      <c r="X120" s="147">
        <f>ROUNDUP(M120/P120*S120,-3)</f>
        <v>38650000</v>
      </c>
      <c r="Y120" s="394" t="s">
        <v>352</v>
      </c>
    </row>
    <row r="121" spans="1:25" ht="21" customHeight="1">
      <c r="A121" s="26"/>
      <c r="B121" s="27"/>
      <c r="C121" s="27"/>
      <c r="D121" s="27"/>
      <c r="E121" s="29"/>
      <c r="F121" s="29"/>
      <c r="G121" s="30"/>
      <c r="H121" s="43"/>
      <c r="I121" s="173" t="s">
        <v>357</v>
      </c>
      <c r="J121" s="180"/>
      <c r="K121" s="179"/>
      <c r="L121" s="179"/>
      <c r="M121" s="179"/>
      <c r="N121" s="568"/>
      <c r="O121" s="568"/>
      <c r="P121" s="41"/>
      <c r="Q121" s="568"/>
      <c r="R121" s="568"/>
      <c r="S121" s="179"/>
      <c r="T121" s="568"/>
      <c r="U121" s="568"/>
      <c r="V121" s="134" t="s">
        <v>351</v>
      </c>
      <c r="W121" s="116"/>
      <c r="X121" s="134">
        <f>SUM(X122:X126)</f>
        <v>47846000</v>
      </c>
      <c r="Y121" s="393" t="s">
        <v>25</v>
      </c>
    </row>
    <row r="122" spans="1:25" ht="21" customHeight="1">
      <c r="A122" s="26"/>
      <c r="B122" s="27"/>
      <c r="C122" s="27"/>
      <c r="D122" s="27"/>
      <c r="E122" s="29"/>
      <c r="F122" s="29"/>
      <c r="G122" s="30"/>
      <c r="H122" s="43"/>
      <c r="I122" s="172" t="s">
        <v>358</v>
      </c>
      <c r="J122" s="180"/>
      <c r="K122" s="179"/>
      <c r="L122" s="179"/>
      <c r="M122" s="179">
        <v>1818794650</v>
      </c>
      <c r="N122" s="568" t="s">
        <v>352</v>
      </c>
      <c r="O122" s="46" t="s">
        <v>355</v>
      </c>
      <c r="P122" s="514">
        <v>0.09</v>
      </c>
      <c r="Q122" s="568">
        <v>2</v>
      </c>
      <c r="R122" s="46" t="s">
        <v>355</v>
      </c>
      <c r="S122" s="258">
        <v>0.255</v>
      </c>
      <c r="T122" s="457"/>
      <c r="U122" s="568" t="s">
        <v>356</v>
      </c>
      <c r="V122" s="179"/>
      <c r="W122" s="568"/>
      <c r="X122" s="41">
        <f>ROUND(M122*P122/Q122*S122,-3)</f>
        <v>20871000</v>
      </c>
      <c r="Y122" s="391" t="s">
        <v>352</v>
      </c>
    </row>
    <row r="123" spans="1:25" ht="21" customHeight="1">
      <c r="A123" s="26"/>
      <c r="B123" s="27"/>
      <c r="C123" s="27"/>
      <c r="D123" s="27"/>
      <c r="E123" s="29"/>
      <c r="F123" s="29"/>
      <c r="G123" s="30"/>
      <c r="H123" s="43"/>
      <c r="I123" s="172" t="s">
        <v>359</v>
      </c>
      <c r="J123" s="180"/>
      <c r="K123" s="179"/>
      <c r="L123" s="179"/>
      <c r="M123" s="179">
        <v>1818794650</v>
      </c>
      <c r="N123" s="568" t="s">
        <v>352</v>
      </c>
      <c r="O123" s="46" t="s">
        <v>355</v>
      </c>
      <c r="P123" s="515">
        <v>7.0900000000000005E-2</v>
      </c>
      <c r="Q123" s="568">
        <v>2</v>
      </c>
      <c r="R123" s="46" t="s">
        <v>355</v>
      </c>
      <c r="S123" s="258">
        <v>0.255</v>
      </c>
      <c r="T123" s="457"/>
      <c r="U123" s="568" t="s">
        <v>356</v>
      </c>
      <c r="V123" s="179"/>
      <c r="W123" s="568"/>
      <c r="X123" s="41">
        <f>ROUNDUP(M123*P123/Q123*S123,-3)</f>
        <v>16442000</v>
      </c>
      <c r="Y123" s="391" t="s">
        <v>352</v>
      </c>
    </row>
    <row r="124" spans="1:25" ht="21" customHeight="1">
      <c r="A124" s="26"/>
      <c r="B124" s="27"/>
      <c r="C124" s="27"/>
      <c r="D124" s="27"/>
      <c r="E124" s="29"/>
      <c r="F124" s="29"/>
      <c r="G124" s="30"/>
      <c r="H124" s="43"/>
      <c r="I124" s="172" t="s">
        <v>360</v>
      </c>
      <c r="J124" s="180"/>
      <c r="K124" s="179"/>
      <c r="L124" s="179"/>
      <c r="M124" s="179">
        <v>16442000</v>
      </c>
      <c r="N124" s="568" t="s">
        <v>352</v>
      </c>
      <c r="O124" s="46" t="s">
        <v>355</v>
      </c>
      <c r="P124" s="516">
        <v>0.12809999999999999</v>
      </c>
      <c r="Q124" s="250"/>
      <c r="R124" s="46"/>
      <c r="S124" s="48"/>
      <c r="T124" s="458"/>
      <c r="U124" s="568" t="s">
        <v>356</v>
      </c>
      <c r="V124" s="179"/>
      <c r="W124" s="568"/>
      <c r="X124" s="41">
        <f>ROUND(M124*P124,-3)</f>
        <v>2106000</v>
      </c>
      <c r="Y124" s="391" t="s">
        <v>352</v>
      </c>
    </row>
    <row r="125" spans="1:25" ht="21" customHeight="1">
      <c r="A125" s="26"/>
      <c r="B125" s="27"/>
      <c r="C125" s="27"/>
      <c r="D125" s="27"/>
      <c r="E125" s="29"/>
      <c r="F125" s="29"/>
      <c r="G125" s="30"/>
      <c r="H125" s="43"/>
      <c r="I125" s="172" t="s">
        <v>361</v>
      </c>
      <c r="J125" s="180"/>
      <c r="K125" s="179"/>
      <c r="L125" s="179"/>
      <c r="M125" s="179">
        <v>1818794650</v>
      </c>
      <c r="N125" s="568" t="s">
        <v>352</v>
      </c>
      <c r="O125" s="46" t="s">
        <v>355</v>
      </c>
      <c r="P125" s="516">
        <v>1.15E-2</v>
      </c>
      <c r="Q125" s="46"/>
      <c r="R125" s="46" t="s">
        <v>355</v>
      </c>
      <c r="S125" s="258">
        <v>0.255</v>
      </c>
      <c r="T125" s="457"/>
      <c r="U125" s="568" t="s">
        <v>356</v>
      </c>
      <c r="V125" s="179"/>
      <c r="W125" s="568"/>
      <c r="X125" s="41">
        <f>ROUND(M125*P125*S125,-3)</f>
        <v>5334000</v>
      </c>
      <c r="Y125" s="391" t="s">
        <v>352</v>
      </c>
    </row>
    <row r="126" spans="1:25" ht="21" customHeight="1">
      <c r="A126" s="26"/>
      <c r="B126" s="27"/>
      <c r="C126" s="27"/>
      <c r="D126" s="27"/>
      <c r="E126" s="29"/>
      <c r="F126" s="29"/>
      <c r="G126" s="30"/>
      <c r="H126" s="43"/>
      <c r="I126" s="172" t="s">
        <v>362</v>
      </c>
      <c r="J126" s="180"/>
      <c r="K126" s="179"/>
      <c r="L126" s="179"/>
      <c r="M126" s="179">
        <v>1818794650</v>
      </c>
      <c r="N126" s="568" t="s">
        <v>352</v>
      </c>
      <c r="O126" s="46" t="s">
        <v>355</v>
      </c>
      <c r="P126" s="517">
        <v>6.6699999999999997E-3</v>
      </c>
      <c r="Q126" s="46"/>
      <c r="R126" s="46" t="s">
        <v>355</v>
      </c>
      <c r="S126" s="258">
        <v>0.255</v>
      </c>
      <c r="T126" s="457"/>
      <c r="U126" s="568" t="s">
        <v>356</v>
      </c>
      <c r="V126" s="179"/>
      <c r="W126" s="568"/>
      <c r="X126" s="41">
        <f>ROUND(M126*P126*S126,-3)</f>
        <v>3093000</v>
      </c>
      <c r="Y126" s="391" t="s">
        <v>352</v>
      </c>
    </row>
    <row r="127" spans="1:25" ht="21" customHeight="1">
      <c r="A127" s="26"/>
      <c r="B127" s="27"/>
      <c r="C127" s="27"/>
      <c r="D127" s="27"/>
      <c r="E127" s="29"/>
      <c r="F127" s="29"/>
      <c r="G127" s="30"/>
      <c r="H127" s="43"/>
      <c r="I127" s="172"/>
      <c r="J127" s="180"/>
      <c r="K127" s="179"/>
      <c r="L127" s="179"/>
      <c r="M127" s="179"/>
      <c r="N127" s="568"/>
      <c r="O127" s="46"/>
      <c r="P127" s="517"/>
      <c r="Q127" s="46"/>
      <c r="R127" s="46"/>
      <c r="S127" s="258"/>
      <c r="T127" s="457"/>
      <c r="U127" s="568"/>
      <c r="V127" s="179"/>
      <c r="W127" s="568"/>
      <c r="X127" s="41"/>
      <c r="Y127" s="391"/>
    </row>
    <row r="128" spans="1:25" ht="21" customHeight="1" thickBot="1">
      <c r="A128" s="26"/>
      <c r="B128" s="27"/>
      <c r="C128" s="27"/>
      <c r="D128" s="18" t="s">
        <v>369</v>
      </c>
      <c r="E128" s="19">
        <v>25598</v>
      </c>
      <c r="F128" s="145">
        <f>ROUND(X128/1000,0)</f>
        <v>24962</v>
      </c>
      <c r="G128" s="20">
        <f>F128-E128</f>
        <v>-636</v>
      </c>
      <c r="H128" s="73">
        <f>IF(E128=0,0,G128/E128)</f>
        <v>-2.4845691069614814E-2</v>
      </c>
      <c r="I128" s="148" t="s">
        <v>382</v>
      </c>
      <c r="J128" s="147"/>
      <c r="K128" s="150"/>
      <c r="L128" s="150"/>
      <c r="M128" s="56"/>
      <c r="N128" s="567"/>
      <c r="O128" s="453"/>
      <c r="P128" s="147"/>
      <c r="Q128" s="567"/>
      <c r="R128" s="423"/>
      <c r="S128" s="146"/>
      <c r="T128" s="567"/>
      <c r="U128" s="567"/>
      <c r="V128" s="149" t="s">
        <v>363</v>
      </c>
      <c r="W128" s="467"/>
      <c r="X128" s="540">
        <f>SUM(X129:X130)</f>
        <v>24962000</v>
      </c>
      <c r="Y128" s="392" t="s">
        <v>352</v>
      </c>
    </row>
    <row r="129" spans="1:25" ht="21" customHeight="1">
      <c r="A129" s="26"/>
      <c r="B129" s="27"/>
      <c r="C129" s="27"/>
      <c r="D129" s="27"/>
      <c r="E129" s="29"/>
      <c r="F129" s="29"/>
      <c r="G129" s="30"/>
      <c r="H129" s="43"/>
      <c r="I129" s="180" t="s">
        <v>383</v>
      </c>
      <c r="J129" s="41"/>
      <c r="K129" s="123"/>
      <c r="L129" s="123"/>
      <c r="M129" s="166">
        <v>2549000</v>
      </c>
      <c r="N129" s="206" t="s">
        <v>25</v>
      </c>
      <c r="O129" s="336" t="s">
        <v>26</v>
      </c>
      <c r="P129" s="213">
        <v>30</v>
      </c>
      <c r="Q129" s="206" t="s">
        <v>290</v>
      </c>
      <c r="R129" s="336" t="s">
        <v>291</v>
      </c>
      <c r="S129" s="214">
        <v>0.255</v>
      </c>
      <c r="T129" s="443"/>
      <c r="U129" s="206" t="s">
        <v>356</v>
      </c>
      <c r="V129" s="640"/>
      <c r="W129" s="640"/>
      <c r="X129" s="41">
        <f>ROUND(M129*P129*S129,-3)</f>
        <v>19500000</v>
      </c>
      <c r="Y129" s="391" t="s">
        <v>352</v>
      </c>
    </row>
    <row r="130" spans="1:25" ht="21" customHeight="1">
      <c r="A130" s="26"/>
      <c r="B130" s="27"/>
      <c r="C130" s="27"/>
      <c r="D130" s="27"/>
      <c r="E130" s="29"/>
      <c r="F130" s="29"/>
      <c r="G130" s="30"/>
      <c r="H130" s="43"/>
      <c r="I130" s="180" t="s">
        <v>384</v>
      </c>
      <c r="J130" s="41"/>
      <c r="K130" s="123"/>
      <c r="L130" s="123"/>
      <c r="M130" s="166">
        <v>1071000</v>
      </c>
      <c r="N130" s="206" t="s">
        <v>25</v>
      </c>
      <c r="O130" s="336" t="s">
        <v>26</v>
      </c>
      <c r="P130" s="213">
        <v>20</v>
      </c>
      <c r="Q130" s="206" t="s">
        <v>290</v>
      </c>
      <c r="R130" s="336" t="s">
        <v>291</v>
      </c>
      <c r="S130" s="214">
        <v>0.255</v>
      </c>
      <c r="T130" s="443"/>
      <c r="U130" s="206" t="s">
        <v>356</v>
      </c>
      <c r="V130" s="632"/>
      <c r="W130" s="632"/>
      <c r="X130" s="41">
        <f>ROUND(M130*P130*S130,-3)</f>
        <v>5462000</v>
      </c>
      <c r="Y130" s="391" t="s">
        <v>352</v>
      </c>
    </row>
    <row r="131" spans="1:25" ht="21" customHeight="1">
      <c r="A131" s="26"/>
      <c r="B131" s="27"/>
      <c r="C131" s="27"/>
      <c r="D131" s="35"/>
      <c r="E131" s="36"/>
      <c r="F131" s="36"/>
      <c r="G131" s="37"/>
      <c r="H131" s="52"/>
      <c r="I131" s="44"/>
      <c r="J131" s="45"/>
      <c r="K131" s="254"/>
      <c r="L131" s="254"/>
      <c r="M131" s="134"/>
      <c r="N131" s="116"/>
      <c r="O131" s="124"/>
      <c r="P131" s="45"/>
      <c r="Q131" s="116"/>
      <c r="R131" s="125"/>
      <c r="S131" s="256"/>
      <c r="T131" s="116"/>
      <c r="U131" s="116"/>
      <c r="V131" s="253"/>
      <c r="W131" s="53"/>
      <c r="X131" s="45"/>
      <c r="Y131" s="393"/>
    </row>
    <row r="132" spans="1:25" ht="21" customHeight="1" thickBot="1">
      <c r="A132" s="26"/>
      <c r="B132" s="27"/>
      <c r="C132" s="27"/>
      <c r="D132" s="18" t="s">
        <v>385</v>
      </c>
      <c r="E132" s="19">
        <v>14656</v>
      </c>
      <c r="F132" s="145">
        <f>ROUND(X132/1000,0)</f>
        <v>14367</v>
      </c>
      <c r="G132" s="20">
        <f>F132-E132</f>
        <v>-289</v>
      </c>
      <c r="H132" s="73">
        <f>IF(E132=0,0,G132/E132)</f>
        <v>-1.9718886462882095E-2</v>
      </c>
      <c r="I132" s="148" t="s">
        <v>386</v>
      </c>
      <c r="J132" s="147"/>
      <c r="K132" s="150"/>
      <c r="L132" s="150"/>
      <c r="M132" s="56"/>
      <c r="N132" s="567"/>
      <c r="O132" s="453"/>
      <c r="P132" s="147"/>
      <c r="Q132" s="567"/>
      <c r="R132" s="423"/>
      <c r="S132" s="146"/>
      <c r="T132" s="567"/>
      <c r="U132" s="567"/>
      <c r="V132" s="149" t="s">
        <v>363</v>
      </c>
      <c r="W132" s="467"/>
      <c r="X132" s="540">
        <f>SUM(X133:X137)</f>
        <v>14367000</v>
      </c>
      <c r="Y132" s="392" t="s">
        <v>352</v>
      </c>
    </row>
    <row r="133" spans="1:25" ht="21" customHeight="1">
      <c r="A133" s="26"/>
      <c r="B133" s="27"/>
      <c r="C133" s="27"/>
      <c r="D133" s="27" t="s">
        <v>387</v>
      </c>
      <c r="E133" s="29"/>
      <c r="F133" s="29"/>
      <c r="G133" s="30"/>
      <c r="H133" s="43"/>
      <c r="I133" s="40" t="s">
        <v>388</v>
      </c>
      <c r="J133" s="180"/>
      <c r="K133" s="179"/>
      <c r="L133" s="179"/>
      <c r="M133" s="179">
        <v>500</v>
      </c>
      <c r="N133" s="568" t="s">
        <v>352</v>
      </c>
      <c r="O133" s="32" t="s">
        <v>291</v>
      </c>
      <c r="P133" s="518">
        <v>50</v>
      </c>
      <c r="Q133" s="379">
        <v>365</v>
      </c>
      <c r="R133" s="568" t="s">
        <v>389</v>
      </c>
      <c r="S133" s="257">
        <v>0.7</v>
      </c>
      <c r="T133" s="568"/>
      <c r="U133" s="568" t="s">
        <v>356</v>
      </c>
      <c r="V133" s="179"/>
      <c r="W133" s="568"/>
      <c r="X133" s="335">
        <f>ROUNDDOWN(M133*P133*Q133*S133,-3)</f>
        <v>6387000</v>
      </c>
      <c r="Y133" s="391" t="s">
        <v>25</v>
      </c>
    </row>
    <row r="134" spans="1:25" ht="21" customHeight="1">
      <c r="A134" s="26"/>
      <c r="B134" s="27"/>
      <c r="C134" s="27"/>
      <c r="D134" s="27"/>
      <c r="E134" s="29"/>
      <c r="F134" s="29"/>
      <c r="G134" s="30"/>
      <c r="H134" s="43"/>
      <c r="I134" s="40" t="s">
        <v>390</v>
      </c>
      <c r="J134" s="180"/>
      <c r="K134" s="179"/>
      <c r="L134" s="179"/>
      <c r="M134" s="179">
        <v>5000</v>
      </c>
      <c r="N134" s="568" t="s">
        <v>352</v>
      </c>
      <c r="O134" s="32" t="s">
        <v>291</v>
      </c>
      <c r="P134" s="518">
        <v>50</v>
      </c>
      <c r="Q134" s="378">
        <v>12</v>
      </c>
      <c r="R134" s="568" t="s">
        <v>354</v>
      </c>
      <c r="S134" s="257">
        <v>0.7</v>
      </c>
      <c r="T134" s="568"/>
      <c r="U134" s="568" t="s">
        <v>356</v>
      </c>
      <c r="V134" s="179"/>
      <c r="W134" s="568"/>
      <c r="X134" s="41">
        <f>ROUND(M134*P134*Q134*S134,-3)</f>
        <v>2100000</v>
      </c>
      <c r="Y134" s="391" t="s">
        <v>25</v>
      </c>
    </row>
    <row r="135" spans="1:25" ht="21" customHeight="1">
      <c r="A135" s="26"/>
      <c r="B135" s="27"/>
      <c r="C135" s="27"/>
      <c r="D135" s="27"/>
      <c r="E135" s="29"/>
      <c r="F135" s="29"/>
      <c r="G135" s="30"/>
      <c r="H135" s="43"/>
      <c r="I135" s="40" t="s">
        <v>391</v>
      </c>
      <c r="J135" s="180"/>
      <c r="K135" s="179"/>
      <c r="L135" s="179"/>
      <c r="M135" s="179">
        <v>20000</v>
      </c>
      <c r="N135" s="568" t="s">
        <v>352</v>
      </c>
      <c r="O135" s="32" t="s">
        <v>291</v>
      </c>
      <c r="P135" s="518">
        <v>50</v>
      </c>
      <c r="Q135" s="378">
        <v>4</v>
      </c>
      <c r="R135" s="568" t="s">
        <v>392</v>
      </c>
      <c r="S135" s="257">
        <v>0.7</v>
      </c>
      <c r="T135" s="568"/>
      <c r="U135" s="568" t="s">
        <v>356</v>
      </c>
      <c r="V135" s="179"/>
      <c r="W135" s="568"/>
      <c r="X135" s="41">
        <f>ROUND(M135*P135*Q135*S135,-3)</f>
        <v>2800000</v>
      </c>
      <c r="Y135" s="391" t="s">
        <v>25</v>
      </c>
    </row>
    <row r="136" spans="1:25" ht="21" customHeight="1">
      <c r="A136" s="26"/>
      <c r="B136" s="27"/>
      <c r="C136" s="27"/>
      <c r="D136" s="27"/>
      <c r="E136" s="29"/>
      <c r="F136" s="29"/>
      <c r="G136" s="30"/>
      <c r="H136" s="43"/>
      <c r="I136" s="40" t="s">
        <v>657</v>
      </c>
      <c r="J136" s="180"/>
      <c r="K136" s="179"/>
      <c r="L136" s="179"/>
      <c r="M136" s="179">
        <v>12000</v>
      </c>
      <c r="N136" s="568" t="s">
        <v>352</v>
      </c>
      <c r="O136" s="32" t="s">
        <v>291</v>
      </c>
      <c r="P136" s="518">
        <v>50</v>
      </c>
      <c r="Q136" s="378">
        <v>4</v>
      </c>
      <c r="R136" s="568" t="s">
        <v>392</v>
      </c>
      <c r="S136" s="257">
        <v>0.7</v>
      </c>
      <c r="T136" s="568"/>
      <c r="U136" s="568" t="s">
        <v>356</v>
      </c>
      <c r="V136" s="179"/>
      <c r="W136" s="568"/>
      <c r="X136" s="41">
        <f>ROUND(M136*P136*Q136*S136,-3)</f>
        <v>1680000</v>
      </c>
      <c r="Y136" s="391" t="s">
        <v>25</v>
      </c>
    </row>
    <row r="137" spans="1:25" ht="21" customHeight="1">
      <c r="A137" s="26"/>
      <c r="B137" s="27"/>
      <c r="C137" s="27"/>
      <c r="D137" s="27"/>
      <c r="E137" s="29"/>
      <c r="F137" s="29"/>
      <c r="G137" s="30"/>
      <c r="H137" s="43"/>
      <c r="I137" s="40" t="s">
        <v>393</v>
      </c>
      <c r="J137" s="180"/>
      <c r="K137" s="179"/>
      <c r="L137" s="179"/>
      <c r="M137" s="179">
        <v>40000</v>
      </c>
      <c r="N137" s="568" t="s">
        <v>352</v>
      </c>
      <c r="O137" s="32" t="s">
        <v>291</v>
      </c>
      <c r="P137" s="518">
        <v>50</v>
      </c>
      <c r="Q137" s="378">
        <v>1</v>
      </c>
      <c r="R137" s="568" t="s">
        <v>392</v>
      </c>
      <c r="S137" s="257">
        <v>0.7</v>
      </c>
      <c r="T137" s="568"/>
      <c r="U137" s="568" t="s">
        <v>356</v>
      </c>
      <c r="V137" s="179"/>
      <c r="W137" s="568"/>
      <c r="X137" s="335">
        <f>ROUNDUP(M137*P137*Q137*S137,-3)</f>
        <v>1400000</v>
      </c>
      <c r="Y137" s="391" t="s">
        <v>25</v>
      </c>
    </row>
    <row r="138" spans="1:25" ht="21" customHeight="1">
      <c r="A138" s="26"/>
      <c r="B138" s="27"/>
      <c r="C138" s="27"/>
      <c r="D138" s="35"/>
      <c r="E138" s="36"/>
      <c r="F138" s="36"/>
      <c r="G138" s="37"/>
      <c r="H138" s="52"/>
      <c r="I138" s="44"/>
      <c r="J138" s="45"/>
      <c r="K138" s="254"/>
      <c r="L138" s="254"/>
      <c r="M138" s="134"/>
      <c r="N138" s="116"/>
      <c r="O138" s="124"/>
      <c r="P138" s="45"/>
      <c r="Q138" s="116"/>
      <c r="R138" s="125"/>
      <c r="S138" s="256"/>
      <c r="T138" s="116"/>
      <c r="U138" s="116"/>
      <c r="V138" s="253"/>
      <c r="W138" s="53"/>
      <c r="X138" s="45"/>
      <c r="Y138" s="393"/>
    </row>
    <row r="139" spans="1:25" ht="21" customHeight="1" thickBot="1">
      <c r="A139" s="26"/>
      <c r="B139" s="27"/>
      <c r="C139" s="27"/>
      <c r="D139" s="18" t="s">
        <v>394</v>
      </c>
      <c r="E139" s="19">
        <v>107169</v>
      </c>
      <c r="F139" s="145">
        <f>ROUND(X139/1000,0)</f>
        <v>125990</v>
      </c>
      <c r="G139" s="20">
        <f>F139-E139</f>
        <v>18821</v>
      </c>
      <c r="H139" s="73">
        <f>IF(E139=0,0,G139/E139)</f>
        <v>0.17561981543170133</v>
      </c>
      <c r="I139" s="148" t="s">
        <v>662</v>
      </c>
      <c r="J139" s="147"/>
      <c r="K139" s="150"/>
      <c r="L139" s="150"/>
      <c r="M139" s="56"/>
      <c r="N139" s="567"/>
      <c r="O139" s="453"/>
      <c r="P139" s="147"/>
      <c r="Q139" s="567"/>
      <c r="R139" s="423"/>
      <c r="S139" s="146"/>
      <c r="T139" s="567"/>
      <c r="U139" s="567"/>
      <c r="V139" s="149" t="s">
        <v>363</v>
      </c>
      <c r="W139" s="467"/>
      <c r="X139" s="540">
        <f>X140+X158</f>
        <v>125990000</v>
      </c>
      <c r="Y139" s="392" t="s">
        <v>352</v>
      </c>
    </row>
    <row r="140" spans="1:25" ht="21" customHeight="1">
      <c r="A140" s="26"/>
      <c r="B140" s="27"/>
      <c r="C140" s="27"/>
      <c r="D140" s="27" t="s">
        <v>663</v>
      </c>
      <c r="E140" s="29"/>
      <c r="F140" s="29"/>
      <c r="G140" s="30"/>
      <c r="H140" s="43"/>
      <c r="I140" s="255" t="s">
        <v>395</v>
      </c>
      <c r="J140" s="41"/>
      <c r="K140" s="123"/>
      <c r="L140" s="123"/>
      <c r="M140" s="179"/>
      <c r="N140" s="568"/>
      <c r="O140" s="46"/>
      <c r="P140" s="41"/>
      <c r="Q140" s="568"/>
      <c r="R140" s="49"/>
      <c r="S140" s="33"/>
      <c r="T140" s="568"/>
      <c r="U140" s="568"/>
      <c r="V140" s="134" t="s">
        <v>396</v>
      </c>
      <c r="W140" s="116"/>
      <c r="X140" s="134">
        <f>SUM(X141,X145,X149,X151)</f>
        <v>111410000</v>
      </c>
      <c r="Y140" s="393" t="s">
        <v>25</v>
      </c>
    </row>
    <row r="141" spans="1:25" ht="21" customHeight="1">
      <c r="A141" s="26"/>
      <c r="B141" s="27"/>
      <c r="C141" s="27"/>
      <c r="D141" s="27"/>
      <c r="E141" s="29"/>
      <c r="F141" s="29"/>
      <c r="G141" s="30"/>
      <c r="H141" s="43"/>
      <c r="I141" s="44" t="s">
        <v>397</v>
      </c>
      <c r="J141" s="180"/>
      <c r="K141" s="179"/>
      <c r="L141" s="179"/>
      <c r="M141" s="179"/>
      <c r="N141" s="568"/>
      <c r="O141" s="46"/>
      <c r="P141" s="519"/>
      <c r="Q141" s="568"/>
      <c r="R141" s="568"/>
      <c r="S141" s="179"/>
      <c r="T141" s="568"/>
      <c r="U141" s="568"/>
      <c r="V141" s="134" t="s">
        <v>351</v>
      </c>
      <c r="W141" s="116"/>
      <c r="X141" s="134">
        <f>SUM(X142:X144)</f>
        <v>69873000</v>
      </c>
      <c r="Y141" s="393" t="s">
        <v>25</v>
      </c>
    </row>
    <row r="142" spans="1:25" ht="21" customHeight="1">
      <c r="A142" s="26"/>
      <c r="B142" s="27"/>
      <c r="C142" s="27"/>
      <c r="D142" s="27"/>
      <c r="E142" s="29"/>
      <c r="F142" s="29"/>
      <c r="G142" s="30"/>
      <c r="H142" s="43"/>
      <c r="I142" s="175" t="s">
        <v>398</v>
      </c>
      <c r="J142" s="180"/>
      <c r="K142" s="179"/>
      <c r="L142" s="179"/>
      <c r="M142" s="179">
        <v>25788000</v>
      </c>
      <c r="N142" s="568" t="s">
        <v>352</v>
      </c>
      <c r="O142" s="46" t="s">
        <v>355</v>
      </c>
      <c r="P142" s="519">
        <v>0.9</v>
      </c>
      <c r="Q142" s="568"/>
      <c r="R142" s="568"/>
      <c r="S142" s="179"/>
      <c r="T142" s="568"/>
      <c r="U142" s="568" t="s">
        <v>356</v>
      </c>
      <c r="V142" s="56"/>
      <c r="W142" s="567"/>
      <c r="X142" s="56">
        <f>ROUND(M142*P142,-3)</f>
        <v>23209000</v>
      </c>
      <c r="Y142" s="394" t="s">
        <v>352</v>
      </c>
    </row>
    <row r="143" spans="1:25" ht="21" customHeight="1">
      <c r="A143" s="26"/>
      <c r="B143" s="27"/>
      <c r="C143" s="27"/>
      <c r="D143" s="27"/>
      <c r="E143" s="29"/>
      <c r="F143" s="29"/>
      <c r="G143" s="30"/>
      <c r="H143" s="43"/>
      <c r="I143" s="172" t="s">
        <v>399</v>
      </c>
      <c r="J143" s="180"/>
      <c r="K143" s="179"/>
      <c r="L143" s="179"/>
      <c r="M143" s="179">
        <v>26180000</v>
      </c>
      <c r="N143" s="568" t="s">
        <v>352</v>
      </c>
      <c r="O143" s="46" t="s">
        <v>355</v>
      </c>
      <c r="P143" s="519">
        <v>0.9</v>
      </c>
      <c r="Q143" s="568"/>
      <c r="R143" s="568"/>
      <c r="S143" s="179"/>
      <c r="T143" s="568"/>
      <c r="U143" s="568" t="s">
        <v>356</v>
      </c>
      <c r="V143" s="179"/>
      <c r="W143" s="568"/>
      <c r="X143" s="179">
        <f>ROUND(M143*P143,-3)</f>
        <v>23562000</v>
      </c>
      <c r="Y143" s="391" t="s">
        <v>352</v>
      </c>
    </row>
    <row r="144" spans="1:25" ht="21" customHeight="1">
      <c r="A144" s="26"/>
      <c r="B144" s="27"/>
      <c r="C144" s="27"/>
      <c r="D144" s="27"/>
      <c r="E144" s="29"/>
      <c r="F144" s="29"/>
      <c r="G144" s="30"/>
      <c r="H144" s="43"/>
      <c r="I144" s="172" t="s">
        <v>400</v>
      </c>
      <c r="J144" s="180"/>
      <c r="K144" s="179"/>
      <c r="L144" s="179"/>
      <c r="M144" s="179">
        <v>25669000</v>
      </c>
      <c r="N144" s="568" t="s">
        <v>352</v>
      </c>
      <c r="O144" s="46" t="s">
        <v>355</v>
      </c>
      <c r="P144" s="519">
        <v>0.9</v>
      </c>
      <c r="Q144" s="568"/>
      <c r="R144" s="568"/>
      <c r="S144" s="179"/>
      <c r="T144" s="568"/>
      <c r="U144" s="568" t="s">
        <v>356</v>
      </c>
      <c r="V144" s="179"/>
      <c r="W144" s="568"/>
      <c r="X144" s="179">
        <f>ROUNDDOWN(M144*P144,-3)</f>
        <v>23102000</v>
      </c>
      <c r="Y144" s="391" t="s">
        <v>352</v>
      </c>
    </row>
    <row r="145" spans="1:25" ht="21" customHeight="1">
      <c r="A145" s="26"/>
      <c r="B145" s="27"/>
      <c r="C145" s="27"/>
      <c r="D145" s="27"/>
      <c r="E145" s="29"/>
      <c r="F145" s="29"/>
      <c r="G145" s="30"/>
      <c r="H145" s="43"/>
      <c r="I145" s="44" t="s">
        <v>401</v>
      </c>
      <c r="J145" s="180"/>
      <c r="K145" s="179"/>
      <c r="L145" s="179"/>
      <c r="M145" s="179"/>
      <c r="N145" s="568"/>
      <c r="O145" s="568"/>
      <c r="P145" s="41"/>
      <c r="Q145" s="568"/>
      <c r="R145" s="568"/>
      <c r="S145" s="179"/>
      <c r="T145" s="568"/>
      <c r="U145" s="568"/>
      <c r="V145" s="134" t="s">
        <v>351</v>
      </c>
      <c r="W145" s="116"/>
      <c r="X145" s="134">
        <f>SUM(X146:X148)</f>
        <v>24025000</v>
      </c>
      <c r="Y145" s="393" t="s">
        <v>25</v>
      </c>
    </row>
    <row r="146" spans="1:25" ht="21" customHeight="1">
      <c r="A146" s="26"/>
      <c r="B146" s="27"/>
      <c r="C146" s="27"/>
      <c r="D146" s="27"/>
      <c r="E146" s="29"/>
      <c r="F146" s="29"/>
      <c r="G146" s="30"/>
      <c r="H146" s="43"/>
      <c r="I146" s="172" t="s">
        <v>366</v>
      </c>
      <c r="J146" s="180"/>
      <c r="K146" s="179"/>
      <c r="L146" s="179"/>
      <c r="M146" s="179">
        <v>7761600</v>
      </c>
      <c r="N146" s="568" t="s">
        <v>352</v>
      </c>
      <c r="O146" s="46" t="s">
        <v>355</v>
      </c>
      <c r="P146" s="519">
        <v>0.9</v>
      </c>
      <c r="Q146" s="568"/>
      <c r="R146" s="568"/>
      <c r="S146" s="179"/>
      <c r="T146" s="568"/>
      <c r="U146" s="568" t="s">
        <v>356</v>
      </c>
      <c r="V146" s="631"/>
      <c r="W146" s="631"/>
      <c r="X146" s="147">
        <f>ROUNDUP(M146*P146,-3)</f>
        <v>6986000</v>
      </c>
      <c r="Y146" s="394" t="s">
        <v>352</v>
      </c>
    </row>
    <row r="147" spans="1:25" ht="21" customHeight="1">
      <c r="A147" s="26"/>
      <c r="B147" s="27"/>
      <c r="C147" s="27"/>
      <c r="D147" s="27"/>
      <c r="E147" s="29"/>
      <c r="F147" s="29"/>
      <c r="G147" s="30"/>
      <c r="H147" s="43"/>
      <c r="I147" s="170" t="s">
        <v>367</v>
      </c>
      <c r="J147" s="180"/>
      <c r="K147" s="179"/>
      <c r="L147" s="179"/>
      <c r="M147" s="179">
        <v>960000</v>
      </c>
      <c r="N147" s="568" t="s">
        <v>352</v>
      </c>
      <c r="O147" s="46" t="s">
        <v>355</v>
      </c>
      <c r="P147" s="519">
        <v>0.9</v>
      </c>
      <c r="Q147" s="568"/>
      <c r="R147" s="568"/>
      <c r="S147" s="179"/>
      <c r="T147" s="568"/>
      <c r="U147" s="568" t="s">
        <v>356</v>
      </c>
      <c r="V147" s="632"/>
      <c r="W147" s="632"/>
      <c r="X147" s="41">
        <f>ROUND(M147*P147,-3)</f>
        <v>864000</v>
      </c>
      <c r="Y147" s="391" t="s">
        <v>352</v>
      </c>
    </row>
    <row r="148" spans="1:25" ht="21" customHeight="1">
      <c r="A148" s="26"/>
      <c r="B148" s="27"/>
      <c r="C148" s="27"/>
      <c r="D148" s="27"/>
      <c r="E148" s="29"/>
      <c r="F148" s="29"/>
      <c r="G148" s="30"/>
      <c r="H148" s="43"/>
      <c r="I148" s="172" t="s">
        <v>368</v>
      </c>
      <c r="J148" s="180"/>
      <c r="K148" s="179"/>
      <c r="L148" s="179"/>
      <c r="M148" s="179">
        <v>17971650</v>
      </c>
      <c r="N148" s="568" t="s">
        <v>352</v>
      </c>
      <c r="O148" s="46" t="s">
        <v>355</v>
      </c>
      <c r="P148" s="519">
        <v>0.9</v>
      </c>
      <c r="Q148" s="568"/>
      <c r="R148" s="568"/>
      <c r="S148" s="179"/>
      <c r="T148" s="568"/>
      <c r="U148" s="568" t="s">
        <v>356</v>
      </c>
      <c r="V148" s="632"/>
      <c r="W148" s="632"/>
      <c r="X148" s="41">
        <f>ROUNDUP(M148*P148,-3)</f>
        <v>16175000</v>
      </c>
      <c r="Y148" s="391" t="s">
        <v>352</v>
      </c>
    </row>
    <row r="149" spans="1:25" ht="21" customHeight="1">
      <c r="A149" s="26"/>
      <c r="B149" s="27"/>
      <c r="C149" s="27"/>
      <c r="D149" s="27"/>
      <c r="E149" s="29"/>
      <c r="F149" s="29"/>
      <c r="G149" s="30"/>
      <c r="H149" s="43"/>
      <c r="I149" s="44" t="s">
        <v>402</v>
      </c>
      <c r="J149" s="180"/>
      <c r="K149" s="179"/>
      <c r="L149" s="179"/>
      <c r="M149" s="179"/>
      <c r="N149" s="568"/>
      <c r="O149" s="568"/>
      <c r="P149" s="41"/>
      <c r="Q149" s="568"/>
      <c r="R149" s="568"/>
      <c r="S149" s="179"/>
      <c r="T149" s="568"/>
      <c r="U149" s="568"/>
      <c r="V149" s="134" t="s">
        <v>351</v>
      </c>
      <c r="W149" s="116"/>
      <c r="X149" s="134">
        <f>X150</f>
        <v>7825000</v>
      </c>
      <c r="Y149" s="393" t="s">
        <v>25</v>
      </c>
    </row>
    <row r="150" spans="1:25" ht="21" customHeight="1">
      <c r="A150" s="26"/>
      <c r="B150" s="27"/>
      <c r="C150" s="27"/>
      <c r="D150" s="27"/>
      <c r="E150" s="29"/>
      <c r="F150" s="29"/>
      <c r="G150" s="30"/>
      <c r="H150" s="43"/>
      <c r="I150" s="172" t="s">
        <v>403</v>
      </c>
      <c r="J150" s="180"/>
      <c r="K150" s="179"/>
      <c r="L150" s="179"/>
      <c r="M150" s="179">
        <v>104330250</v>
      </c>
      <c r="N150" s="568" t="s">
        <v>352</v>
      </c>
      <c r="O150" s="568" t="s">
        <v>353</v>
      </c>
      <c r="P150" s="513">
        <v>12</v>
      </c>
      <c r="Q150" s="46" t="s">
        <v>354</v>
      </c>
      <c r="R150" s="46" t="s">
        <v>355</v>
      </c>
      <c r="S150" s="48">
        <v>0.9</v>
      </c>
      <c r="T150" s="568"/>
      <c r="U150" s="568" t="s">
        <v>356</v>
      </c>
      <c r="V150" s="56"/>
      <c r="W150" s="567"/>
      <c r="X150" s="147">
        <f>ROUNDUP(M150/P150*S150,-3)</f>
        <v>7825000</v>
      </c>
      <c r="Y150" s="394" t="s">
        <v>352</v>
      </c>
    </row>
    <row r="151" spans="1:25" ht="21" customHeight="1">
      <c r="A151" s="26"/>
      <c r="B151" s="27"/>
      <c r="C151" s="27"/>
      <c r="D151" s="27"/>
      <c r="E151" s="29"/>
      <c r="F151" s="29"/>
      <c r="G151" s="30"/>
      <c r="H151" s="43"/>
      <c r="I151" s="44" t="s">
        <v>404</v>
      </c>
      <c r="J151" s="180"/>
      <c r="K151" s="179"/>
      <c r="L151" s="179"/>
      <c r="M151" s="179"/>
      <c r="N151" s="568"/>
      <c r="O151" s="568"/>
      <c r="P151" s="41"/>
      <c r="Q151" s="568"/>
      <c r="R151" s="568"/>
      <c r="S151" s="179"/>
      <c r="T151" s="568"/>
      <c r="U151" s="568"/>
      <c r="V151" s="134" t="s">
        <v>351</v>
      </c>
      <c r="W151" s="116"/>
      <c r="X151" s="134">
        <f>SUM(X152:X156)</f>
        <v>9687000</v>
      </c>
      <c r="Y151" s="393" t="s">
        <v>25</v>
      </c>
    </row>
    <row r="152" spans="1:25" ht="21" customHeight="1">
      <c r="A152" s="26"/>
      <c r="B152" s="27"/>
      <c r="C152" s="27"/>
      <c r="D152" s="27"/>
      <c r="E152" s="29"/>
      <c r="F152" s="29"/>
      <c r="G152" s="30"/>
      <c r="H152" s="43"/>
      <c r="I152" s="172" t="s">
        <v>358</v>
      </c>
      <c r="J152" s="180"/>
      <c r="K152" s="179"/>
      <c r="L152" s="179"/>
      <c r="M152" s="179">
        <v>104330250</v>
      </c>
      <c r="N152" s="568" t="s">
        <v>352</v>
      </c>
      <c r="O152" s="46" t="s">
        <v>355</v>
      </c>
      <c r="P152" s="514">
        <v>0.09</v>
      </c>
      <c r="Q152" s="568">
        <v>2</v>
      </c>
      <c r="R152" s="46" t="s">
        <v>355</v>
      </c>
      <c r="S152" s="48">
        <v>0.9</v>
      </c>
      <c r="T152" s="457"/>
      <c r="U152" s="568" t="s">
        <v>356</v>
      </c>
      <c r="V152" s="179"/>
      <c r="W152" s="568"/>
      <c r="X152" s="41">
        <f>ROUND(M152*P152/Q152*S152,-3)</f>
        <v>4225000</v>
      </c>
      <c r="Y152" s="391" t="s">
        <v>352</v>
      </c>
    </row>
    <row r="153" spans="1:25" ht="21" customHeight="1">
      <c r="A153" s="26"/>
      <c r="B153" s="27"/>
      <c r="C153" s="27"/>
      <c r="D153" s="27"/>
      <c r="E153" s="29"/>
      <c r="F153" s="29"/>
      <c r="G153" s="30"/>
      <c r="H153" s="43"/>
      <c r="I153" s="172" t="s">
        <v>359</v>
      </c>
      <c r="J153" s="180"/>
      <c r="K153" s="179"/>
      <c r="L153" s="179"/>
      <c r="M153" s="179">
        <v>104330250</v>
      </c>
      <c r="N153" s="568" t="s">
        <v>352</v>
      </c>
      <c r="O153" s="46" t="s">
        <v>355</v>
      </c>
      <c r="P153" s="515">
        <v>7.0900000000000005E-2</v>
      </c>
      <c r="Q153" s="568">
        <v>2</v>
      </c>
      <c r="R153" s="46" t="s">
        <v>355</v>
      </c>
      <c r="S153" s="48">
        <v>0.9</v>
      </c>
      <c r="T153" s="457"/>
      <c r="U153" s="568" t="s">
        <v>356</v>
      </c>
      <c r="V153" s="179"/>
      <c r="W153" s="568"/>
      <c r="X153" s="41">
        <f>ROUND(M153*P153/Q153*S153,-3)</f>
        <v>3329000</v>
      </c>
      <c r="Y153" s="391" t="s">
        <v>352</v>
      </c>
    </row>
    <row r="154" spans="1:25" ht="21" customHeight="1">
      <c r="A154" s="26"/>
      <c r="B154" s="27"/>
      <c r="C154" s="27"/>
      <c r="D154" s="27"/>
      <c r="E154" s="29"/>
      <c r="F154" s="29"/>
      <c r="G154" s="30"/>
      <c r="H154" s="43"/>
      <c r="I154" s="172" t="s">
        <v>360</v>
      </c>
      <c r="J154" s="180"/>
      <c r="K154" s="179"/>
      <c r="L154" s="179"/>
      <c r="M154" s="179">
        <v>3329000</v>
      </c>
      <c r="N154" s="568" t="s">
        <v>352</v>
      </c>
      <c r="O154" s="46" t="s">
        <v>355</v>
      </c>
      <c r="P154" s="516">
        <v>0.12809999999999999</v>
      </c>
      <c r="Q154" s="568"/>
      <c r="R154" s="46"/>
      <c r="S154" s="48"/>
      <c r="T154" s="458"/>
      <c r="U154" s="568" t="s">
        <v>356</v>
      </c>
      <c r="V154" s="179"/>
      <c r="W154" s="568"/>
      <c r="X154" s="41">
        <f>ROUNDUP(M154*P154,-3)</f>
        <v>427000</v>
      </c>
      <c r="Y154" s="391" t="s">
        <v>352</v>
      </c>
    </row>
    <row r="155" spans="1:25" ht="21" customHeight="1">
      <c r="A155" s="26"/>
      <c r="B155" s="27"/>
      <c r="C155" s="27"/>
      <c r="D155" s="27"/>
      <c r="E155" s="29"/>
      <c r="F155" s="29"/>
      <c r="G155" s="30"/>
      <c r="H155" s="43"/>
      <c r="I155" s="172" t="s">
        <v>361</v>
      </c>
      <c r="J155" s="180"/>
      <c r="K155" s="179"/>
      <c r="L155" s="179"/>
      <c r="M155" s="179">
        <v>104330250</v>
      </c>
      <c r="N155" s="568" t="s">
        <v>352</v>
      </c>
      <c r="O155" s="46" t="s">
        <v>355</v>
      </c>
      <c r="P155" s="516">
        <v>1.15E-2</v>
      </c>
      <c r="Q155" s="46"/>
      <c r="R155" s="46" t="s">
        <v>355</v>
      </c>
      <c r="S155" s="48">
        <v>0.9</v>
      </c>
      <c r="T155" s="457"/>
      <c r="U155" s="568" t="s">
        <v>356</v>
      </c>
      <c r="V155" s="179"/>
      <c r="W155" s="568"/>
      <c r="X155" s="41">
        <f>ROUND(M155*P155*S155,-3)</f>
        <v>1080000</v>
      </c>
      <c r="Y155" s="391" t="s">
        <v>352</v>
      </c>
    </row>
    <row r="156" spans="1:25" ht="21" customHeight="1">
      <c r="A156" s="26"/>
      <c r="B156" s="27"/>
      <c r="C156" s="27"/>
      <c r="D156" s="27"/>
      <c r="E156" s="29"/>
      <c r="F156" s="29"/>
      <c r="G156" s="30"/>
      <c r="H156" s="43"/>
      <c r="I156" s="172" t="s">
        <v>362</v>
      </c>
      <c r="J156" s="180"/>
      <c r="K156" s="179"/>
      <c r="L156" s="179"/>
      <c r="M156" s="179">
        <v>104330250</v>
      </c>
      <c r="N156" s="568" t="s">
        <v>352</v>
      </c>
      <c r="O156" s="46" t="s">
        <v>355</v>
      </c>
      <c r="P156" s="517">
        <v>6.6699999999999997E-3</v>
      </c>
      <c r="Q156" s="46"/>
      <c r="R156" s="46" t="s">
        <v>355</v>
      </c>
      <c r="S156" s="48">
        <v>0.9</v>
      </c>
      <c r="T156" s="457"/>
      <c r="U156" s="568" t="s">
        <v>356</v>
      </c>
      <c r="V156" s="179"/>
      <c r="W156" s="568"/>
      <c r="X156" s="41">
        <f>ROUND(M156*P156*S156,-3)</f>
        <v>626000</v>
      </c>
      <c r="Y156" s="391" t="s">
        <v>352</v>
      </c>
    </row>
    <row r="157" spans="1:25" ht="21" customHeight="1">
      <c r="A157" s="26"/>
      <c r="B157" s="27"/>
      <c r="C157" s="27"/>
      <c r="D157" s="27"/>
      <c r="E157" s="29"/>
      <c r="F157" s="29"/>
      <c r="G157" s="30"/>
      <c r="H157" s="43"/>
      <c r="I157" s="40"/>
      <c r="J157" s="41"/>
      <c r="K157" s="123"/>
      <c r="L157" s="123"/>
      <c r="M157" s="179"/>
      <c r="N157" s="568"/>
      <c r="O157" s="46"/>
      <c r="P157" s="41"/>
      <c r="Q157" s="568"/>
      <c r="R157" s="49"/>
      <c r="S157" s="33"/>
      <c r="T157" s="568"/>
      <c r="U157" s="568"/>
      <c r="V157" s="48"/>
      <c r="W157" s="32"/>
      <c r="X157" s="41"/>
      <c r="Y157" s="391"/>
    </row>
    <row r="158" spans="1:25" ht="21" customHeight="1">
      <c r="A158" s="26"/>
      <c r="B158" s="27"/>
      <c r="C158" s="27"/>
      <c r="D158" s="27"/>
      <c r="E158" s="29"/>
      <c r="F158" s="29"/>
      <c r="G158" s="30"/>
      <c r="H158" s="43"/>
      <c r="I158" s="44" t="s">
        <v>405</v>
      </c>
      <c r="J158" s="41"/>
      <c r="K158" s="123"/>
      <c r="L158" s="123"/>
      <c r="M158" s="179"/>
      <c r="N158" s="568"/>
      <c r="O158" s="46"/>
      <c r="P158" s="41"/>
      <c r="Q158" s="568"/>
      <c r="R158" s="49"/>
      <c r="S158" s="33"/>
      <c r="T158" s="568"/>
      <c r="U158" s="568"/>
      <c r="V158" s="134" t="s">
        <v>396</v>
      </c>
      <c r="W158" s="116"/>
      <c r="X158" s="134">
        <f>SUM(X159:X160)</f>
        <v>14580000</v>
      </c>
      <c r="Y158" s="393" t="s">
        <v>25</v>
      </c>
    </row>
    <row r="159" spans="1:25" ht="21" customHeight="1">
      <c r="A159" s="26"/>
      <c r="B159" s="27"/>
      <c r="C159" s="27"/>
      <c r="D159" s="27"/>
      <c r="E159" s="29"/>
      <c r="F159" s="29"/>
      <c r="G159" s="30"/>
      <c r="H159" s="43"/>
      <c r="I159" s="172" t="s">
        <v>406</v>
      </c>
      <c r="J159" s="333"/>
      <c r="K159" s="332"/>
      <c r="L159" s="332"/>
      <c r="M159" s="274">
        <v>300000</v>
      </c>
      <c r="N159" s="223" t="s">
        <v>352</v>
      </c>
      <c r="O159" s="223" t="s">
        <v>355</v>
      </c>
      <c r="P159" s="520">
        <v>1</v>
      </c>
      <c r="Q159" s="379">
        <v>12</v>
      </c>
      <c r="R159" s="223" t="s">
        <v>354</v>
      </c>
      <c r="S159" s="275">
        <v>0.9</v>
      </c>
      <c r="T159" s="223"/>
      <c r="U159" s="223" t="s">
        <v>356</v>
      </c>
      <c r="V159" s="332"/>
      <c r="W159" s="334"/>
      <c r="X159" s="332">
        <f>M159*P159*Q159*S159</f>
        <v>3240000</v>
      </c>
      <c r="Y159" s="385" t="s">
        <v>352</v>
      </c>
    </row>
    <row r="160" spans="1:25" ht="21" customHeight="1">
      <c r="A160" s="26"/>
      <c r="B160" s="27"/>
      <c r="C160" s="27"/>
      <c r="D160" s="27"/>
      <c r="E160" s="29"/>
      <c r="F160" s="29"/>
      <c r="G160" s="30"/>
      <c r="H160" s="43"/>
      <c r="I160" s="172" t="s">
        <v>407</v>
      </c>
      <c r="J160" s="333"/>
      <c r="K160" s="332"/>
      <c r="L160" s="332"/>
      <c r="M160" s="274">
        <v>70000</v>
      </c>
      <c r="N160" s="223" t="s">
        <v>352</v>
      </c>
      <c r="O160" s="223" t="s">
        <v>355</v>
      </c>
      <c r="P160" s="521">
        <v>1</v>
      </c>
      <c r="Q160" s="379">
        <v>180</v>
      </c>
      <c r="R160" s="223" t="s">
        <v>389</v>
      </c>
      <c r="S160" s="275">
        <v>0.9</v>
      </c>
      <c r="T160" s="223"/>
      <c r="U160" s="223" t="s">
        <v>356</v>
      </c>
      <c r="V160" s="332"/>
      <c r="W160" s="334"/>
      <c r="X160" s="332">
        <f>M160*P160*Q160*S160</f>
        <v>11340000</v>
      </c>
      <c r="Y160" s="385" t="s">
        <v>352</v>
      </c>
    </row>
    <row r="161" spans="1:37" ht="21" customHeight="1">
      <c r="A161" s="26"/>
      <c r="B161" s="27"/>
      <c r="C161" s="27"/>
      <c r="D161" s="35"/>
      <c r="E161" s="36"/>
      <c r="F161" s="36"/>
      <c r="G161" s="37"/>
      <c r="H161" s="52"/>
      <c r="I161" s="212"/>
      <c r="J161" s="45"/>
      <c r="K161" s="254"/>
      <c r="L161" s="254"/>
      <c r="M161" s="575"/>
      <c r="N161" s="116"/>
      <c r="O161" s="124"/>
      <c r="P161" s="45"/>
      <c r="Q161" s="116"/>
      <c r="R161" s="125"/>
      <c r="S161" s="134"/>
      <c r="T161" s="116"/>
      <c r="U161" s="116"/>
      <c r="V161" s="253"/>
      <c r="W161" s="53"/>
      <c r="X161" s="45"/>
      <c r="Y161" s="393"/>
    </row>
    <row r="162" spans="1:37" ht="21" customHeight="1">
      <c r="A162" s="26"/>
      <c r="B162" s="27"/>
      <c r="C162" s="27"/>
      <c r="D162" s="27" t="s">
        <v>408</v>
      </c>
      <c r="E162" s="29">
        <v>18969</v>
      </c>
      <c r="F162" s="145">
        <f>ROUND(X162/1000,0)</f>
        <v>23013</v>
      </c>
      <c r="G162" s="30">
        <f>F162-E162</f>
        <v>4044</v>
      </c>
      <c r="H162" s="43">
        <f>IF(E162=0,0,G162/E162)</f>
        <v>0.21318994148347303</v>
      </c>
      <c r="I162" s="44" t="s">
        <v>409</v>
      </c>
      <c r="J162" s="41"/>
      <c r="K162" s="123"/>
      <c r="L162" s="123"/>
      <c r="M162" s="179"/>
      <c r="N162" s="568"/>
      <c r="O162" s="46"/>
      <c r="P162" s="41"/>
      <c r="Q162" s="568"/>
      <c r="R162" s="49"/>
      <c r="S162" s="33"/>
      <c r="T162" s="568"/>
      <c r="U162" s="568"/>
      <c r="V162" s="134" t="s">
        <v>410</v>
      </c>
      <c r="W162" s="116"/>
      <c r="X162" s="134">
        <f>SUM(X163:X167)</f>
        <v>23013000</v>
      </c>
      <c r="Y162" s="393" t="s">
        <v>25</v>
      </c>
    </row>
    <row r="163" spans="1:37" ht="21" customHeight="1">
      <c r="A163" s="26"/>
      <c r="B163" s="27"/>
      <c r="C163" s="27"/>
      <c r="D163" s="27"/>
      <c r="E163" s="29"/>
      <c r="F163" s="29"/>
      <c r="G163" s="30"/>
      <c r="H163" s="43"/>
      <c r="I163" s="168" t="s">
        <v>598</v>
      </c>
      <c r="J163" s="41"/>
      <c r="K163" s="123"/>
      <c r="L163" s="123"/>
      <c r="M163" s="252">
        <v>5839000</v>
      </c>
      <c r="N163" s="42" t="s">
        <v>352</v>
      </c>
      <c r="O163" s="42" t="s">
        <v>355</v>
      </c>
      <c r="P163" s="519">
        <v>0.7</v>
      </c>
      <c r="Q163" s="378"/>
      <c r="R163" s="42"/>
      <c r="S163" s="251"/>
      <c r="T163" s="42"/>
      <c r="U163" s="42" t="s">
        <v>356</v>
      </c>
      <c r="V163" s="179"/>
      <c r="W163" s="568"/>
      <c r="X163" s="179">
        <f>ROUND(M163*P163,-3)</f>
        <v>4087000</v>
      </c>
      <c r="Y163" s="391" t="s">
        <v>352</v>
      </c>
    </row>
    <row r="164" spans="1:37" ht="21" customHeight="1">
      <c r="A164" s="26"/>
      <c r="B164" s="27"/>
      <c r="C164" s="27"/>
      <c r="D164" s="27"/>
      <c r="E164" s="29"/>
      <c r="F164" s="29"/>
      <c r="G164" s="30"/>
      <c r="H164" s="43"/>
      <c r="I164" s="168" t="s">
        <v>658</v>
      </c>
      <c r="J164" s="41"/>
      <c r="K164" s="123"/>
      <c r="L164" s="123"/>
      <c r="M164" s="252">
        <v>21651260</v>
      </c>
      <c r="N164" s="42" t="s">
        <v>352</v>
      </c>
      <c r="O164" s="42" t="s">
        <v>355</v>
      </c>
      <c r="P164" s="519">
        <v>0.5</v>
      </c>
      <c r="Q164" s="378"/>
      <c r="R164" s="42"/>
      <c r="S164" s="251"/>
      <c r="T164" s="42"/>
      <c r="U164" s="42" t="s">
        <v>356</v>
      </c>
      <c r="V164" s="179"/>
      <c r="W164" s="568"/>
      <c r="X164" s="179">
        <f>ROUND(M164*P164,-3)</f>
        <v>10826000</v>
      </c>
      <c r="Y164" s="391" t="s">
        <v>352</v>
      </c>
    </row>
    <row r="165" spans="1:37" ht="21" customHeight="1">
      <c r="A165" s="26"/>
      <c r="B165" s="27"/>
      <c r="C165" s="27"/>
      <c r="D165" s="27"/>
      <c r="E165" s="29"/>
      <c r="F165" s="29"/>
      <c r="G165" s="30"/>
      <c r="H165" s="43"/>
      <c r="I165" s="172" t="s">
        <v>659</v>
      </c>
      <c r="J165" s="333"/>
      <c r="K165" s="332"/>
      <c r="L165" s="332"/>
      <c r="M165" s="274">
        <v>300000</v>
      </c>
      <c r="N165" s="223" t="s">
        <v>352</v>
      </c>
      <c r="O165" s="223" t="s">
        <v>291</v>
      </c>
      <c r="P165" s="521">
        <v>27</v>
      </c>
      <c r="Q165" s="379"/>
      <c r="R165" s="223"/>
      <c r="S165" s="275"/>
      <c r="T165" s="223"/>
      <c r="U165" s="223" t="s">
        <v>53</v>
      </c>
      <c r="V165" s="332"/>
      <c r="W165" s="334"/>
      <c r="X165" s="332">
        <f>ROUND(M165*P165,-3)</f>
        <v>8100000</v>
      </c>
      <c r="Y165" s="385" t="s">
        <v>352</v>
      </c>
    </row>
    <row r="166" spans="1:37" ht="21" customHeight="1">
      <c r="A166" s="26"/>
      <c r="B166" s="27"/>
      <c r="C166" s="27"/>
      <c r="D166" s="27"/>
      <c r="E166" s="29"/>
      <c r="F166" s="29"/>
      <c r="G166" s="30"/>
      <c r="H166" s="43"/>
      <c r="I166" s="172"/>
      <c r="J166" s="333"/>
      <c r="K166" s="332"/>
      <c r="L166" s="332"/>
      <c r="M166" s="274"/>
      <c r="N166" s="223"/>
      <c r="O166" s="223"/>
      <c r="P166" s="521"/>
      <c r="Q166" s="379"/>
      <c r="R166" s="223"/>
      <c r="S166" s="275"/>
      <c r="T166" s="223"/>
      <c r="U166" s="223" t="s">
        <v>356</v>
      </c>
      <c r="V166" s="332"/>
      <c r="W166" s="334"/>
      <c r="X166" s="332">
        <f>ROUND(M166*P166,-3)</f>
        <v>0</v>
      </c>
      <c r="Y166" s="385" t="s">
        <v>352</v>
      </c>
    </row>
    <row r="167" spans="1:37" ht="21" customHeight="1">
      <c r="A167" s="26"/>
      <c r="B167" s="27"/>
      <c r="C167" s="27"/>
      <c r="D167" s="27"/>
      <c r="E167" s="29"/>
      <c r="F167" s="29"/>
      <c r="G167" s="30"/>
      <c r="H167" s="43"/>
      <c r="I167" s="172"/>
      <c r="J167" s="333"/>
      <c r="K167" s="332"/>
      <c r="L167" s="332"/>
      <c r="M167" s="332"/>
      <c r="N167" s="334"/>
      <c r="O167" s="221"/>
      <c r="P167" s="522"/>
      <c r="Q167" s="221"/>
      <c r="R167" s="221"/>
      <c r="S167" s="311"/>
      <c r="T167" s="457"/>
      <c r="U167" s="223" t="s">
        <v>53</v>
      </c>
      <c r="V167" s="332"/>
      <c r="W167" s="334"/>
      <c r="X167" s="335">
        <v>0</v>
      </c>
      <c r="Y167" s="385" t="s">
        <v>352</v>
      </c>
    </row>
    <row r="168" spans="1:37" ht="21" customHeight="1">
      <c r="A168" s="26"/>
      <c r="B168" s="27"/>
      <c r="C168" s="18" t="s">
        <v>414</v>
      </c>
      <c r="D168" s="246" t="s">
        <v>376</v>
      </c>
      <c r="E168" s="129">
        <f>E169</f>
        <v>0</v>
      </c>
      <c r="F168" s="129">
        <f>F169</f>
        <v>0</v>
      </c>
      <c r="G168" s="130">
        <f>F168-E168</f>
        <v>0</v>
      </c>
      <c r="H168" s="131">
        <f>IF(E168=0,0,G168/E168)</f>
        <v>0</v>
      </c>
      <c r="I168" s="119" t="s">
        <v>413</v>
      </c>
      <c r="J168" s="120"/>
      <c r="K168" s="121"/>
      <c r="L168" s="121"/>
      <c r="M168" s="121"/>
      <c r="N168" s="452"/>
      <c r="O168" s="452"/>
      <c r="P168" s="511"/>
      <c r="Q168" s="417"/>
      <c r="R168" s="417"/>
      <c r="S168" s="122"/>
      <c r="T168" s="417"/>
      <c r="U168" s="417"/>
      <c r="V168" s="144" t="s">
        <v>351</v>
      </c>
      <c r="W168" s="466"/>
      <c r="X168" s="538">
        <f>SUM(X169:X169)</f>
        <v>0</v>
      </c>
      <c r="Y168" s="389" t="s">
        <v>352</v>
      </c>
    </row>
    <row r="169" spans="1:37" ht="21" customHeight="1">
      <c r="A169" s="26"/>
      <c r="B169" s="27"/>
      <c r="C169" s="27" t="s">
        <v>378</v>
      </c>
      <c r="D169" s="27" t="s">
        <v>415</v>
      </c>
      <c r="E169" s="29">
        <v>0</v>
      </c>
      <c r="F169" s="29">
        <f>ROUND(X169/1000,0)</f>
        <v>0</v>
      </c>
      <c r="G169" s="164">
        <f>F169-E169</f>
        <v>0</v>
      </c>
      <c r="H169" s="102">
        <f>IF(E169=0,0,G169/E169)</f>
        <v>0</v>
      </c>
      <c r="I169" s="172"/>
      <c r="J169" s="333"/>
      <c r="K169" s="332"/>
      <c r="L169" s="332"/>
      <c r="M169" s="332"/>
      <c r="N169" s="334"/>
      <c r="O169" s="221"/>
      <c r="P169" s="317"/>
      <c r="Q169" s="221"/>
      <c r="R169" s="224"/>
      <c r="S169" s="353"/>
      <c r="T169" s="457"/>
      <c r="U169" s="334" t="s">
        <v>356</v>
      </c>
      <c r="V169" s="332"/>
      <c r="W169" s="334"/>
      <c r="X169" s="169">
        <v>0</v>
      </c>
      <c r="Y169" s="385" t="s">
        <v>352</v>
      </c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</row>
    <row r="170" spans="1:37" s="7" customFormat="1" ht="19.5" customHeight="1">
      <c r="A170" s="578"/>
      <c r="B170" s="51"/>
      <c r="C170" s="51"/>
      <c r="D170" s="35"/>
      <c r="E170" s="36"/>
      <c r="F170" s="36"/>
      <c r="G170" s="37"/>
      <c r="H170" s="52"/>
      <c r="I170" s="44"/>
      <c r="J170" s="134"/>
      <c r="K170" s="53"/>
      <c r="L170" s="53"/>
      <c r="M170" s="54"/>
      <c r="N170" s="116"/>
      <c r="O170" s="53"/>
      <c r="P170" s="45"/>
      <c r="Q170" s="116"/>
      <c r="R170" s="116"/>
      <c r="S170" s="134"/>
      <c r="T170" s="116"/>
      <c r="U170" s="116"/>
      <c r="V170" s="134"/>
      <c r="W170" s="116"/>
      <c r="X170" s="134"/>
      <c r="Y170" s="393"/>
      <c r="Z170" s="590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21" customHeight="1">
      <c r="A171" s="17" t="s">
        <v>416</v>
      </c>
      <c r="B171" s="18" t="s">
        <v>30</v>
      </c>
      <c r="C171" s="619" t="s">
        <v>417</v>
      </c>
      <c r="D171" s="620"/>
      <c r="E171" s="151">
        <f>SUM(E172,E186)</f>
        <v>242359</v>
      </c>
      <c r="F171" s="151">
        <f>SUM(F172,F186)</f>
        <v>101250</v>
      </c>
      <c r="G171" s="152">
        <f>F171-E171</f>
        <v>-141109</v>
      </c>
      <c r="H171" s="153">
        <f>IF(E171=0,0,G171/E171)</f>
        <v>-0.58223131800345773</v>
      </c>
      <c r="I171" s="154" t="s">
        <v>418</v>
      </c>
      <c r="J171" s="155"/>
      <c r="K171" s="156"/>
      <c r="L171" s="156"/>
      <c r="M171" s="155"/>
      <c r="N171" s="416"/>
      <c r="O171" s="416"/>
      <c r="P171" s="161"/>
      <c r="Q171" s="416" t="s">
        <v>419</v>
      </c>
      <c r="R171" s="156"/>
      <c r="S171" s="157"/>
      <c r="T171" s="156"/>
      <c r="U171" s="156"/>
      <c r="V171" s="157"/>
      <c r="W171" s="156"/>
      <c r="X171" s="541">
        <f>X172+X186</f>
        <v>101250000</v>
      </c>
      <c r="Y171" s="388" t="s">
        <v>25</v>
      </c>
    </row>
    <row r="172" spans="1:37" ht="21" customHeight="1">
      <c r="A172" s="26" t="s">
        <v>420</v>
      </c>
      <c r="B172" s="27" t="s">
        <v>420</v>
      </c>
      <c r="C172" s="18" t="s">
        <v>421</v>
      </c>
      <c r="D172" s="246" t="s">
        <v>376</v>
      </c>
      <c r="E172" s="129">
        <f>E173+E182</f>
        <v>163849</v>
      </c>
      <c r="F172" s="129">
        <f>F173+F182</f>
        <v>17220</v>
      </c>
      <c r="G172" s="130">
        <f>F172-E172</f>
        <v>-146629</v>
      </c>
      <c r="H172" s="131">
        <f>IF(E172=0,0,G172/E172)</f>
        <v>-0.89490323407527661</v>
      </c>
      <c r="I172" s="119" t="s">
        <v>422</v>
      </c>
      <c r="J172" s="120"/>
      <c r="K172" s="121"/>
      <c r="L172" s="121"/>
      <c r="M172" s="121"/>
      <c r="N172" s="452"/>
      <c r="O172" s="452"/>
      <c r="P172" s="511"/>
      <c r="Q172" s="417"/>
      <c r="R172" s="417"/>
      <c r="S172" s="122"/>
      <c r="T172" s="417"/>
      <c r="U172" s="417"/>
      <c r="V172" s="144" t="s">
        <v>351</v>
      </c>
      <c r="W172" s="466"/>
      <c r="X172" s="539">
        <f>SUM(X173,X182)</f>
        <v>17220000</v>
      </c>
      <c r="Y172" s="389" t="s">
        <v>352</v>
      </c>
    </row>
    <row r="173" spans="1:37" ht="21.75" customHeight="1">
      <c r="A173" s="26"/>
      <c r="B173" s="27"/>
      <c r="C173" s="27" t="s">
        <v>416</v>
      </c>
      <c r="D173" s="18" t="s">
        <v>423</v>
      </c>
      <c r="E173" s="19">
        <v>162529</v>
      </c>
      <c r="F173" s="29">
        <f>ROUND(X173/1000,0)</f>
        <v>15900</v>
      </c>
      <c r="G173" s="164">
        <f>F173-E173</f>
        <v>-146629</v>
      </c>
      <c r="H173" s="102">
        <f>IF(E173=0,0,G173/E173)</f>
        <v>-0.90217130481329488</v>
      </c>
      <c r="I173" s="82" t="s">
        <v>424</v>
      </c>
      <c r="J173" s="92"/>
      <c r="K173" s="56"/>
      <c r="L173" s="56"/>
      <c r="M173" s="56"/>
      <c r="N173" s="567"/>
      <c r="O173" s="567"/>
      <c r="P173" s="147"/>
      <c r="Q173" s="567"/>
      <c r="R173" s="567"/>
      <c r="S173" s="56"/>
      <c r="T173" s="567"/>
      <c r="U173" s="567"/>
      <c r="V173" s="621" t="s">
        <v>351</v>
      </c>
      <c r="W173" s="621"/>
      <c r="X173" s="537">
        <f>SUM(X174:X181)</f>
        <v>15900000</v>
      </c>
      <c r="Y173" s="390" t="s">
        <v>352</v>
      </c>
    </row>
    <row r="174" spans="1:37" ht="18" customHeight="1">
      <c r="A174" s="26"/>
      <c r="B174" s="27"/>
      <c r="C174" s="27"/>
      <c r="D174" s="27"/>
      <c r="E174" s="29"/>
      <c r="F174" s="29"/>
      <c r="G174" s="30"/>
      <c r="H174" s="16"/>
      <c r="I174" s="172" t="s">
        <v>569</v>
      </c>
      <c r="J174" s="333"/>
      <c r="K174" s="332"/>
      <c r="L174" s="332"/>
      <c r="M174" s="179">
        <v>600000</v>
      </c>
      <c r="N174" s="568" t="s">
        <v>55</v>
      </c>
      <c r="O174" s="46" t="s">
        <v>56</v>
      </c>
      <c r="P174" s="523">
        <v>12</v>
      </c>
      <c r="Q174" s="46" t="s">
        <v>0</v>
      </c>
      <c r="R174" s="49"/>
      <c r="S174" s="353"/>
      <c r="T174" s="457"/>
      <c r="U174" s="568" t="s">
        <v>356</v>
      </c>
      <c r="V174" s="179"/>
      <c r="W174" s="568"/>
      <c r="X174" s="335">
        <f>M174*P174</f>
        <v>7200000</v>
      </c>
      <c r="Y174" s="391" t="s">
        <v>55</v>
      </c>
    </row>
    <row r="175" spans="1:37" ht="18" customHeight="1">
      <c r="A175" s="26"/>
      <c r="B175" s="27"/>
      <c r="C175" s="27"/>
      <c r="D175" s="27"/>
      <c r="E175" s="29"/>
      <c r="F175" s="29"/>
      <c r="G175" s="30"/>
      <c r="H175" s="16"/>
      <c r="I175" s="172" t="s">
        <v>570</v>
      </c>
      <c r="J175" s="333"/>
      <c r="K175" s="332"/>
      <c r="L175" s="332"/>
      <c r="M175" s="179"/>
      <c r="N175" s="568"/>
      <c r="O175" s="46"/>
      <c r="P175" s="523"/>
      <c r="Q175" s="46"/>
      <c r="R175" s="49"/>
      <c r="S175" s="353"/>
      <c r="T175" s="457"/>
      <c r="U175" s="568"/>
      <c r="V175" s="179"/>
      <c r="W175" s="568"/>
      <c r="X175" s="335">
        <v>5000000</v>
      </c>
      <c r="Y175" s="391" t="s">
        <v>566</v>
      </c>
    </row>
    <row r="176" spans="1:37" ht="18" customHeight="1">
      <c r="A176" s="26"/>
      <c r="B176" s="27"/>
      <c r="C176" s="27"/>
      <c r="D176" s="27"/>
      <c r="E176" s="29"/>
      <c r="F176" s="29"/>
      <c r="G176" s="30"/>
      <c r="H176" s="16"/>
      <c r="I176" s="172" t="s">
        <v>571</v>
      </c>
      <c r="J176" s="333"/>
      <c r="K176" s="332"/>
      <c r="L176" s="332"/>
      <c r="M176" s="179"/>
      <c r="N176" s="568"/>
      <c r="O176" s="46"/>
      <c r="P176" s="523"/>
      <c r="Q176" s="46"/>
      <c r="R176" s="49"/>
      <c r="S176" s="353"/>
      <c r="T176" s="457"/>
      <c r="U176" s="568"/>
      <c r="V176" s="179"/>
      <c r="W176" s="568"/>
      <c r="X176" s="335">
        <v>3670000</v>
      </c>
      <c r="Y176" s="391" t="s">
        <v>566</v>
      </c>
    </row>
    <row r="177" spans="1:26" ht="18" customHeight="1">
      <c r="A177" s="26"/>
      <c r="B177" s="27"/>
      <c r="C177" s="27"/>
      <c r="D177" s="27"/>
      <c r="E177" s="29"/>
      <c r="F177" s="29"/>
      <c r="G177" s="30"/>
      <c r="H177" s="16"/>
      <c r="I177" s="172" t="s">
        <v>840</v>
      </c>
      <c r="J177" s="333"/>
      <c r="K177" s="332"/>
      <c r="L177" s="332"/>
      <c r="M177" s="332"/>
      <c r="N177" s="334"/>
      <c r="O177" s="221"/>
      <c r="P177" s="317"/>
      <c r="Q177" s="221"/>
      <c r="R177" s="224"/>
      <c r="S177" s="353"/>
      <c r="T177" s="457"/>
      <c r="U177" s="334"/>
      <c r="V177" s="332"/>
      <c r="W177" s="334"/>
      <c r="X177" s="335"/>
      <c r="Y177" s="385" t="s">
        <v>55</v>
      </c>
    </row>
    <row r="178" spans="1:26" ht="18" customHeight="1">
      <c r="A178" s="26"/>
      <c r="B178" s="27"/>
      <c r="C178" s="27"/>
      <c r="D178" s="27"/>
      <c r="E178" s="29"/>
      <c r="F178" s="29"/>
      <c r="G178" s="30"/>
      <c r="H178" s="16"/>
      <c r="I178" s="172" t="s">
        <v>754</v>
      </c>
      <c r="J178" s="333"/>
      <c r="K178" s="332"/>
      <c r="L178" s="332"/>
      <c r="M178" s="332"/>
      <c r="N178" s="334"/>
      <c r="O178" s="221"/>
      <c r="P178" s="317"/>
      <c r="Q178" s="221"/>
      <c r="R178" s="224"/>
      <c r="S178" s="353"/>
      <c r="T178" s="457"/>
      <c r="U178" s="334"/>
      <c r="V178" s="332"/>
      <c r="W178" s="334"/>
      <c r="X178" s="335">
        <v>0</v>
      </c>
      <c r="Y178" s="385" t="s">
        <v>755</v>
      </c>
    </row>
    <row r="179" spans="1:26" ht="18" customHeight="1">
      <c r="A179" s="26"/>
      <c r="B179" s="27"/>
      <c r="C179" s="27"/>
      <c r="D179" s="27"/>
      <c r="E179" s="29"/>
      <c r="F179" s="29"/>
      <c r="G179" s="30"/>
      <c r="H179" s="16"/>
      <c r="I179" s="172" t="s">
        <v>736</v>
      </c>
      <c r="J179" s="333"/>
      <c r="K179" s="332"/>
      <c r="L179" s="332"/>
      <c r="M179" s="332"/>
      <c r="N179" s="334"/>
      <c r="O179" s="221"/>
      <c r="P179" s="317"/>
      <c r="Q179" s="221"/>
      <c r="R179" s="224"/>
      <c r="S179" s="353"/>
      <c r="T179" s="457"/>
      <c r="U179" s="334"/>
      <c r="V179" s="332"/>
      <c r="W179" s="334"/>
      <c r="X179" s="335">
        <v>30000</v>
      </c>
      <c r="Y179" s="385" t="s">
        <v>55</v>
      </c>
    </row>
    <row r="180" spans="1:26" ht="18" customHeight="1">
      <c r="A180" s="26"/>
      <c r="B180" s="27"/>
      <c r="C180" s="27"/>
      <c r="D180" s="27"/>
      <c r="E180" s="29"/>
      <c r="F180" s="29"/>
      <c r="G180" s="30"/>
      <c r="H180" s="16"/>
      <c r="I180" s="172"/>
      <c r="J180" s="333"/>
      <c r="K180" s="332"/>
      <c r="L180" s="332"/>
      <c r="M180" s="332"/>
      <c r="N180" s="334"/>
      <c r="O180" s="221"/>
      <c r="P180" s="317"/>
      <c r="Q180" s="221"/>
      <c r="R180" s="224"/>
      <c r="S180" s="353"/>
      <c r="T180" s="457"/>
      <c r="U180" s="334"/>
      <c r="V180" s="332"/>
      <c r="W180" s="334"/>
      <c r="X180" s="335"/>
      <c r="Y180" s="385"/>
    </row>
    <row r="181" spans="1:26" ht="18" customHeight="1">
      <c r="A181" s="26"/>
      <c r="B181" s="27"/>
      <c r="C181" s="27"/>
      <c r="D181" s="27"/>
      <c r="E181" s="29"/>
      <c r="F181" s="36"/>
      <c r="G181" s="30"/>
      <c r="H181" s="16"/>
      <c r="I181" s="172"/>
      <c r="J181" s="333"/>
      <c r="K181" s="332"/>
      <c r="L181" s="332"/>
      <c r="M181" s="332"/>
      <c r="N181" s="334"/>
      <c r="O181" s="221"/>
      <c r="P181" s="317"/>
      <c r="Q181" s="221"/>
      <c r="R181" s="224"/>
      <c r="S181" s="353"/>
      <c r="T181" s="457"/>
      <c r="U181" s="334"/>
      <c r="V181" s="332"/>
      <c r="W181" s="334"/>
      <c r="X181" s="335"/>
      <c r="Y181" s="385"/>
    </row>
    <row r="182" spans="1:26" ht="18" customHeight="1">
      <c r="A182" s="26"/>
      <c r="B182" s="27"/>
      <c r="C182" s="27"/>
      <c r="D182" s="18" t="s">
        <v>425</v>
      </c>
      <c r="E182" s="19">
        <v>1320</v>
      </c>
      <c r="F182" s="19">
        <f>ROUND(X182/1000,0)</f>
        <v>1320</v>
      </c>
      <c r="G182" s="20">
        <f>F182-E182</f>
        <v>0</v>
      </c>
      <c r="H182" s="21">
        <f>IF(E182=0,0,G182/E182)</f>
        <v>0</v>
      </c>
      <c r="I182" s="82" t="s">
        <v>424</v>
      </c>
      <c r="J182" s="92"/>
      <c r="K182" s="56"/>
      <c r="L182" s="56"/>
      <c r="M182" s="56"/>
      <c r="N182" s="567"/>
      <c r="O182" s="567"/>
      <c r="P182" s="147"/>
      <c r="Q182" s="567"/>
      <c r="R182" s="567"/>
      <c r="S182" s="56"/>
      <c r="T182" s="567"/>
      <c r="U182" s="567"/>
      <c r="V182" s="621" t="s">
        <v>351</v>
      </c>
      <c r="W182" s="621"/>
      <c r="X182" s="537">
        <f>SUM(X183:X185)</f>
        <v>1320000</v>
      </c>
      <c r="Y182" s="390" t="s">
        <v>352</v>
      </c>
    </row>
    <row r="183" spans="1:26" ht="18" customHeight="1">
      <c r="A183" s="26"/>
      <c r="B183" s="27"/>
      <c r="C183" s="27"/>
      <c r="D183" s="27"/>
      <c r="E183" s="29"/>
      <c r="F183" s="29"/>
      <c r="G183" s="30"/>
      <c r="H183" s="16"/>
      <c r="I183" s="40" t="s">
        <v>426</v>
      </c>
      <c r="J183" s="180"/>
      <c r="K183" s="179"/>
      <c r="L183" s="179"/>
      <c r="M183" s="332">
        <v>90000</v>
      </c>
      <c r="N183" s="334" t="s">
        <v>352</v>
      </c>
      <c r="O183" s="221" t="s">
        <v>355</v>
      </c>
      <c r="P183" s="317">
        <v>12</v>
      </c>
      <c r="Q183" s="221" t="s">
        <v>354</v>
      </c>
      <c r="R183" s="224"/>
      <c r="S183" s="353"/>
      <c r="T183" s="457"/>
      <c r="U183" s="334" t="s">
        <v>356</v>
      </c>
      <c r="V183" s="332"/>
      <c r="W183" s="334"/>
      <c r="X183" s="335">
        <f>M183*P183</f>
        <v>1080000</v>
      </c>
      <c r="Y183" s="385" t="s">
        <v>352</v>
      </c>
    </row>
    <row r="184" spans="1:26" ht="18" customHeight="1">
      <c r="A184" s="26"/>
      <c r="B184" s="27"/>
      <c r="C184" s="27"/>
      <c r="D184" s="27"/>
      <c r="E184" s="29"/>
      <c r="F184" s="29"/>
      <c r="G184" s="30"/>
      <c r="H184" s="16"/>
      <c r="I184" s="40" t="s">
        <v>427</v>
      </c>
      <c r="J184" s="180"/>
      <c r="K184" s="179"/>
      <c r="L184" s="179"/>
      <c r="M184" s="332">
        <v>20000</v>
      </c>
      <c r="N184" s="334" t="s">
        <v>352</v>
      </c>
      <c r="O184" s="221" t="s">
        <v>355</v>
      </c>
      <c r="P184" s="317">
        <v>12</v>
      </c>
      <c r="Q184" s="221" t="s">
        <v>354</v>
      </c>
      <c r="R184" s="224"/>
      <c r="S184" s="353"/>
      <c r="T184" s="457"/>
      <c r="U184" s="334" t="s">
        <v>356</v>
      </c>
      <c r="V184" s="332"/>
      <c r="W184" s="334"/>
      <c r="X184" s="335">
        <f>M184*P184</f>
        <v>240000</v>
      </c>
      <c r="Y184" s="385" t="s">
        <v>352</v>
      </c>
    </row>
    <row r="185" spans="1:26" ht="25.5" customHeight="1">
      <c r="A185" s="26"/>
      <c r="B185" s="27"/>
      <c r="C185" s="35"/>
      <c r="D185" s="35"/>
      <c r="E185" s="36"/>
      <c r="F185" s="36"/>
      <c r="G185" s="37"/>
      <c r="H185" s="118"/>
      <c r="I185" s="172"/>
      <c r="J185" s="333"/>
      <c r="K185" s="332"/>
      <c r="L185" s="332"/>
      <c r="M185" s="332"/>
      <c r="N185" s="334"/>
      <c r="O185" s="221"/>
      <c r="P185" s="317"/>
      <c r="Q185" s="221"/>
      <c r="R185" s="224"/>
      <c r="S185" s="353"/>
      <c r="T185" s="457"/>
      <c r="U185" s="334"/>
      <c r="V185" s="332"/>
      <c r="W185" s="334"/>
      <c r="X185" s="335"/>
      <c r="Y185" s="385" t="s">
        <v>352</v>
      </c>
    </row>
    <row r="186" spans="1:26" ht="21" customHeight="1">
      <c r="A186" s="26"/>
      <c r="B186" s="27"/>
      <c r="C186" s="27" t="s">
        <v>428</v>
      </c>
      <c r="D186" s="246" t="s">
        <v>376</v>
      </c>
      <c r="E186" s="129">
        <f>E187</f>
        <v>78510</v>
      </c>
      <c r="F186" s="129">
        <f>F187</f>
        <v>84030</v>
      </c>
      <c r="G186" s="130">
        <f>F186-E186</f>
        <v>5520</v>
      </c>
      <c r="H186" s="131">
        <f>IF(E186=0,0,G186/E186)</f>
        <v>7.0309514711501722E-2</v>
      </c>
      <c r="I186" s="119" t="s">
        <v>429</v>
      </c>
      <c r="J186" s="120"/>
      <c r="K186" s="121"/>
      <c r="L186" s="121"/>
      <c r="M186" s="121"/>
      <c r="N186" s="452"/>
      <c r="O186" s="452"/>
      <c r="P186" s="511"/>
      <c r="Q186" s="417"/>
      <c r="R186" s="417"/>
      <c r="S186" s="122"/>
      <c r="T186" s="417"/>
      <c r="U186" s="417"/>
      <c r="V186" s="144" t="s">
        <v>351</v>
      </c>
      <c r="W186" s="466"/>
      <c r="X186" s="538">
        <f>X187</f>
        <v>84030000</v>
      </c>
      <c r="Y186" s="389" t="s">
        <v>352</v>
      </c>
    </row>
    <row r="187" spans="1:26" ht="21" customHeight="1">
      <c r="A187" s="26"/>
      <c r="B187" s="27"/>
      <c r="C187" s="27" t="s">
        <v>416</v>
      </c>
      <c r="D187" s="27" t="s">
        <v>430</v>
      </c>
      <c r="E187" s="29">
        <v>78510</v>
      </c>
      <c r="F187" s="29">
        <f>ROUND(X187/1000,0)</f>
        <v>84030</v>
      </c>
      <c r="G187" s="164">
        <f>F187-E187</f>
        <v>5520</v>
      </c>
      <c r="H187" s="102">
        <f>IF(E187=0,0,G187/E187)</f>
        <v>7.0309514711501722E-2</v>
      </c>
      <c r="I187" s="82" t="s">
        <v>431</v>
      </c>
      <c r="J187" s="92"/>
      <c r="K187" s="56"/>
      <c r="L187" s="56"/>
      <c r="M187" s="56"/>
      <c r="N187" s="567"/>
      <c r="O187" s="567"/>
      <c r="P187" s="147"/>
      <c r="Q187" s="567"/>
      <c r="R187" s="567"/>
      <c r="S187" s="56"/>
      <c r="T187" s="567"/>
      <c r="U187" s="567"/>
      <c r="V187" s="621" t="s">
        <v>351</v>
      </c>
      <c r="W187" s="621"/>
      <c r="X187" s="537">
        <f>SUM(X188:X189)</f>
        <v>84030000</v>
      </c>
      <c r="Y187" s="390" t="s">
        <v>352</v>
      </c>
    </row>
    <row r="188" spans="1:26" ht="21" customHeight="1">
      <c r="A188" s="26"/>
      <c r="B188" s="27"/>
      <c r="C188" s="27"/>
      <c r="D188" s="27"/>
      <c r="E188" s="29"/>
      <c r="F188" s="29"/>
      <c r="G188" s="162"/>
      <c r="H188" s="163"/>
      <c r="I188" s="172" t="s">
        <v>432</v>
      </c>
      <c r="J188" s="333" t="s">
        <v>428</v>
      </c>
      <c r="K188" s="332"/>
      <c r="L188" s="332"/>
      <c r="M188" s="332">
        <v>7000000</v>
      </c>
      <c r="N188" s="334" t="s">
        <v>352</v>
      </c>
      <c r="O188" s="221" t="s">
        <v>355</v>
      </c>
      <c r="P188" s="317">
        <v>12</v>
      </c>
      <c r="Q188" s="221" t="s">
        <v>354</v>
      </c>
      <c r="R188" s="224"/>
      <c r="S188" s="353"/>
      <c r="T188" s="457"/>
      <c r="U188" s="334" t="s">
        <v>356</v>
      </c>
      <c r="V188" s="332"/>
      <c r="W188" s="334"/>
      <c r="X188" s="335">
        <f>M188*P188</f>
        <v>84000000</v>
      </c>
      <c r="Y188" s="385" t="s">
        <v>352</v>
      </c>
    </row>
    <row r="189" spans="1:26" ht="21" customHeight="1">
      <c r="A189" s="26"/>
      <c r="B189" s="27"/>
      <c r="C189" s="27"/>
      <c r="D189" s="27"/>
      <c r="E189" s="29"/>
      <c r="F189" s="29"/>
      <c r="G189" s="162"/>
      <c r="H189" s="163"/>
      <c r="I189" s="172" t="s">
        <v>737</v>
      </c>
      <c r="J189" s="333"/>
      <c r="K189" s="332"/>
      <c r="L189" s="332"/>
      <c r="M189" s="332"/>
      <c r="N189" s="334"/>
      <c r="O189" s="221"/>
      <c r="P189" s="317"/>
      <c r="Q189" s="221"/>
      <c r="R189" s="224"/>
      <c r="S189" s="353"/>
      <c r="T189" s="457"/>
      <c r="U189" s="334"/>
      <c r="V189" s="332"/>
      <c r="W189" s="334"/>
      <c r="X189" s="335">
        <v>30000</v>
      </c>
      <c r="Y189" s="385" t="s">
        <v>55</v>
      </c>
    </row>
    <row r="190" spans="1:26" ht="21" customHeight="1">
      <c r="A190" s="34"/>
      <c r="B190" s="35"/>
      <c r="C190" s="35"/>
      <c r="D190" s="35"/>
      <c r="E190" s="36"/>
      <c r="F190" s="36"/>
      <c r="G190" s="37"/>
      <c r="H190" s="118"/>
      <c r="I190" s="44"/>
      <c r="J190" s="212"/>
      <c r="K190" s="134"/>
      <c r="L190" s="134"/>
      <c r="M190" s="134"/>
      <c r="N190" s="116"/>
      <c r="O190" s="124"/>
      <c r="P190" s="524"/>
      <c r="Q190" s="124"/>
      <c r="R190" s="125"/>
      <c r="S190" s="579"/>
      <c r="T190" s="580"/>
      <c r="U190" s="116"/>
      <c r="V190" s="134"/>
      <c r="W190" s="116"/>
      <c r="X190" s="45"/>
      <c r="Y190" s="393"/>
      <c r="Z190" s="591"/>
    </row>
    <row r="191" spans="1:26" ht="21" hidden="1" customHeight="1">
      <c r="A191" s="17" t="s">
        <v>433</v>
      </c>
      <c r="B191" s="18" t="s">
        <v>433</v>
      </c>
      <c r="C191" s="619" t="s">
        <v>417</v>
      </c>
      <c r="D191" s="620"/>
      <c r="E191" s="151">
        <f>E192+E195</f>
        <v>0</v>
      </c>
      <c r="F191" s="151">
        <f>F192+F195</f>
        <v>0</v>
      </c>
      <c r="G191" s="152">
        <f>F191-E191</f>
        <v>0</v>
      </c>
      <c r="H191" s="153">
        <f>IF(E191=0,0,G191/E191)</f>
        <v>0</v>
      </c>
      <c r="I191" s="154" t="s">
        <v>434</v>
      </c>
      <c r="J191" s="155"/>
      <c r="K191" s="156"/>
      <c r="L191" s="156"/>
      <c r="M191" s="155"/>
      <c r="N191" s="416"/>
      <c r="O191" s="416"/>
      <c r="P191" s="161"/>
      <c r="Q191" s="416" t="s">
        <v>419</v>
      </c>
      <c r="R191" s="156"/>
      <c r="S191" s="157"/>
      <c r="T191" s="156"/>
      <c r="U191" s="156"/>
      <c r="V191" s="157"/>
      <c r="W191" s="156"/>
      <c r="X191" s="541">
        <f>X192+X195</f>
        <v>0</v>
      </c>
      <c r="Y191" s="388" t="s">
        <v>25</v>
      </c>
    </row>
    <row r="192" spans="1:26" ht="21" hidden="1" customHeight="1">
      <c r="A192" s="26"/>
      <c r="B192" s="27"/>
      <c r="C192" s="18" t="s">
        <v>435</v>
      </c>
      <c r="D192" s="246" t="s">
        <v>376</v>
      </c>
      <c r="E192" s="129">
        <f>E193</f>
        <v>0</v>
      </c>
      <c r="F192" s="129">
        <f>F193</f>
        <v>0</v>
      </c>
      <c r="G192" s="130">
        <f>F192-E192</f>
        <v>0</v>
      </c>
      <c r="H192" s="131">
        <f>IF(E192=0,0,G192/E192)</f>
        <v>0</v>
      </c>
      <c r="I192" s="119" t="s">
        <v>436</v>
      </c>
      <c r="J192" s="120"/>
      <c r="K192" s="121"/>
      <c r="L192" s="121"/>
      <c r="M192" s="121"/>
      <c r="N192" s="452"/>
      <c r="O192" s="452"/>
      <c r="P192" s="511"/>
      <c r="Q192" s="417"/>
      <c r="R192" s="417"/>
      <c r="S192" s="122"/>
      <c r="T192" s="417"/>
      <c r="U192" s="417"/>
      <c r="V192" s="144" t="s">
        <v>351</v>
      </c>
      <c r="W192" s="466"/>
      <c r="X192" s="539">
        <f>X193</f>
        <v>0</v>
      </c>
      <c r="Y192" s="389" t="s">
        <v>352</v>
      </c>
    </row>
    <row r="193" spans="1:27" ht="21" hidden="1" customHeight="1">
      <c r="A193" s="26"/>
      <c r="B193" s="27"/>
      <c r="C193" s="27" t="s">
        <v>437</v>
      </c>
      <c r="D193" s="18" t="s">
        <v>438</v>
      </c>
      <c r="E193" s="19">
        <v>0</v>
      </c>
      <c r="F193" s="29">
        <f>ROUND(X193/1000,0)</f>
        <v>0</v>
      </c>
      <c r="G193" s="20">
        <f>F193-E193</f>
        <v>0</v>
      </c>
      <c r="H193" s="21">
        <f>IF(E193=0,0,G193/E193)</f>
        <v>0</v>
      </c>
      <c r="I193" s="82" t="s">
        <v>439</v>
      </c>
      <c r="J193" s="92"/>
      <c r="K193" s="56"/>
      <c r="L193" s="56"/>
      <c r="M193" s="56"/>
      <c r="N193" s="567"/>
      <c r="O193" s="567"/>
      <c r="P193" s="147"/>
      <c r="Q193" s="567"/>
      <c r="R193" s="567"/>
      <c r="S193" s="56"/>
      <c r="T193" s="567"/>
      <c r="U193" s="567"/>
      <c r="V193" s="621" t="s">
        <v>345</v>
      </c>
      <c r="W193" s="621"/>
      <c r="X193" s="537">
        <f>X194</f>
        <v>0</v>
      </c>
      <c r="Y193" s="390" t="s">
        <v>341</v>
      </c>
    </row>
    <row r="194" spans="1:27" ht="21" hidden="1" customHeight="1">
      <c r="A194" s="26"/>
      <c r="B194" s="27"/>
      <c r="C194" s="27" t="s">
        <v>440</v>
      </c>
      <c r="D194" s="27" t="s">
        <v>440</v>
      </c>
      <c r="E194" s="29"/>
      <c r="F194" s="29"/>
      <c r="G194" s="30"/>
      <c r="H194" s="16"/>
      <c r="I194" s="40" t="s">
        <v>441</v>
      </c>
      <c r="J194" s="180"/>
      <c r="K194" s="179"/>
      <c r="L194" s="179"/>
      <c r="M194" s="179"/>
      <c r="N194" s="568"/>
      <c r="O194" s="46"/>
      <c r="P194" s="523"/>
      <c r="Q194" s="46"/>
      <c r="R194" s="49"/>
      <c r="S194" s="353"/>
      <c r="T194" s="457"/>
      <c r="U194" s="568"/>
      <c r="V194" s="179"/>
      <c r="W194" s="568"/>
      <c r="X194" s="41">
        <v>0</v>
      </c>
      <c r="Y194" s="391" t="s">
        <v>341</v>
      </c>
    </row>
    <row r="195" spans="1:27" ht="21" hidden="1" customHeight="1">
      <c r="A195" s="26"/>
      <c r="B195" s="27"/>
      <c r="C195" s="18" t="s">
        <v>442</v>
      </c>
      <c r="D195" s="246" t="s">
        <v>443</v>
      </c>
      <c r="E195" s="129">
        <f>E196</f>
        <v>0</v>
      </c>
      <c r="F195" s="129">
        <f>F196</f>
        <v>0</v>
      </c>
      <c r="G195" s="130">
        <f>F195-E195</f>
        <v>0</v>
      </c>
      <c r="H195" s="131">
        <f>IF(E195=0,0,G195/E195)</f>
        <v>0</v>
      </c>
      <c r="I195" s="119" t="s">
        <v>444</v>
      </c>
      <c r="J195" s="120"/>
      <c r="K195" s="121"/>
      <c r="L195" s="121"/>
      <c r="M195" s="121"/>
      <c r="N195" s="452"/>
      <c r="O195" s="452"/>
      <c r="P195" s="511"/>
      <c r="Q195" s="417"/>
      <c r="R195" s="417"/>
      <c r="S195" s="122"/>
      <c r="T195" s="417"/>
      <c r="U195" s="417"/>
      <c r="V195" s="144" t="s">
        <v>345</v>
      </c>
      <c r="W195" s="466"/>
      <c r="X195" s="538">
        <f>X196</f>
        <v>0</v>
      </c>
      <c r="Y195" s="389" t="s">
        <v>341</v>
      </c>
    </row>
    <row r="196" spans="1:27" ht="21" hidden="1" customHeight="1">
      <c r="A196" s="26"/>
      <c r="B196" s="27"/>
      <c r="C196" s="27" t="s">
        <v>440</v>
      </c>
      <c r="D196" s="27" t="s">
        <v>445</v>
      </c>
      <c r="E196" s="29">
        <v>0</v>
      </c>
      <c r="F196" s="29">
        <f>ROUND(X196/1000,0)</f>
        <v>0</v>
      </c>
      <c r="G196" s="20">
        <f>F196-E196</f>
        <v>0</v>
      </c>
      <c r="H196" s="21">
        <f>IF(E196=0,0,G196/E196)</f>
        <v>0</v>
      </c>
      <c r="I196" s="40" t="s">
        <v>446</v>
      </c>
      <c r="J196" s="180"/>
      <c r="K196" s="179"/>
      <c r="L196" s="179"/>
      <c r="M196" s="179"/>
      <c r="N196" s="568"/>
      <c r="O196" s="46"/>
      <c r="P196" s="523"/>
      <c r="Q196" s="46"/>
      <c r="R196" s="49"/>
      <c r="S196" s="353"/>
      <c r="T196" s="457"/>
      <c r="U196" s="568"/>
      <c r="V196" s="179"/>
      <c r="W196" s="568"/>
      <c r="X196" s="41">
        <v>0</v>
      </c>
      <c r="Y196" s="391" t="s">
        <v>341</v>
      </c>
    </row>
    <row r="197" spans="1:27" ht="21" hidden="1" customHeight="1">
      <c r="A197" s="34"/>
      <c r="B197" s="35"/>
      <c r="C197" s="35"/>
      <c r="D197" s="35"/>
      <c r="E197" s="36"/>
      <c r="F197" s="36"/>
      <c r="G197" s="37"/>
      <c r="H197" s="118"/>
      <c r="I197" s="44"/>
      <c r="J197" s="212"/>
      <c r="K197" s="134"/>
      <c r="L197" s="134"/>
      <c r="M197" s="134"/>
      <c r="N197" s="116"/>
      <c r="O197" s="124"/>
      <c r="P197" s="524"/>
      <c r="Q197" s="124"/>
      <c r="R197" s="125"/>
      <c r="S197" s="579"/>
      <c r="T197" s="580"/>
      <c r="U197" s="116"/>
      <c r="V197" s="134"/>
      <c r="W197" s="116"/>
      <c r="X197" s="45"/>
      <c r="Y197" s="393"/>
    </row>
    <row r="198" spans="1:27" ht="21" customHeight="1">
      <c r="A198" s="17" t="s">
        <v>447</v>
      </c>
      <c r="B198" s="18" t="s">
        <v>13</v>
      </c>
      <c r="C198" s="619" t="s">
        <v>417</v>
      </c>
      <c r="D198" s="620"/>
      <c r="E198" s="151">
        <f>SUM(E199,E240)</f>
        <v>85571</v>
      </c>
      <c r="F198" s="151">
        <f>SUM(F199,F240)</f>
        <v>77740</v>
      </c>
      <c r="G198" s="152">
        <f>F198-E198</f>
        <v>-7831</v>
      </c>
      <c r="H198" s="153">
        <f>IF(E198=0,0,G198/E198)</f>
        <v>-9.1514648654333827E-2</v>
      </c>
      <c r="I198" s="154" t="s">
        <v>448</v>
      </c>
      <c r="J198" s="155"/>
      <c r="K198" s="156"/>
      <c r="L198" s="156"/>
      <c r="M198" s="155"/>
      <c r="N198" s="416"/>
      <c r="O198" s="416"/>
      <c r="P198" s="161"/>
      <c r="Q198" s="416" t="s">
        <v>419</v>
      </c>
      <c r="R198" s="156"/>
      <c r="S198" s="157"/>
      <c r="T198" s="156"/>
      <c r="U198" s="156"/>
      <c r="V198" s="157"/>
      <c r="W198" s="156"/>
      <c r="X198" s="541">
        <f>X200+X240</f>
        <v>77740000</v>
      </c>
      <c r="Y198" s="388" t="s">
        <v>25</v>
      </c>
      <c r="AA198" s="593"/>
    </row>
    <row r="199" spans="1:27" ht="21" hidden="1" customHeight="1">
      <c r="A199" s="26"/>
      <c r="B199" s="27"/>
      <c r="C199" s="18" t="s">
        <v>449</v>
      </c>
      <c r="D199" s="246" t="s">
        <v>376</v>
      </c>
      <c r="E199" s="129">
        <f>E200</f>
        <v>0</v>
      </c>
      <c r="F199" s="129">
        <f>F200</f>
        <v>0</v>
      </c>
      <c r="G199" s="130">
        <f>F199-E199</f>
        <v>0</v>
      </c>
      <c r="H199" s="131">
        <f>IF(E199=0,0,G199/E199)</f>
        <v>0</v>
      </c>
      <c r="I199" s="119" t="s">
        <v>450</v>
      </c>
      <c r="J199" s="120"/>
      <c r="K199" s="121"/>
      <c r="L199" s="121"/>
      <c r="M199" s="121"/>
      <c r="N199" s="452"/>
      <c r="O199" s="452"/>
      <c r="P199" s="511"/>
      <c r="Q199" s="417"/>
      <c r="R199" s="417"/>
      <c r="S199" s="122"/>
      <c r="T199" s="417"/>
      <c r="U199" s="417"/>
      <c r="V199" s="144" t="s">
        <v>351</v>
      </c>
      <c r="W199" s="466"/>
      <c r="X199" s="539">
        <f>SUM(X200:X200)</f>
        <v>0</v>
      </c>
      <c r="Y199" s="389" t="s">
        <v>352</v>
      </c>
    </row>
    <row r="200" spans="1:27" ht="21" hidden="1" customHeight="1">
      <c r="A200" s="26"/>
      <c r="B200" s="27"/>
      <c r="C200" s="27" t="s">
        <v>447</v>
      </c>
      <c r="D200" s="18" t="s">
        <v>451</v>
      </c>
      <c r="E200" s="19">
        <v>0</v>
      </c>
      <c r="F200" s="29">
        <f>ROUND(X200/1000,0)</f>
        <v>0</v>
      </c>
      <c r="G200" s="20">
        <f>F200-E200</f>
        <v>0</v>
      </c>
      <c r="H200" s="21">
        <f>IF(E200=0,0,G200/E200)</f>
        <v>0</v>
      </c>
      <c r="I200" s="82" t="s">
        <v>450</v>
      </c>
      <c r="J200" s="92"/>
      <c r="K200" s="56"/>
      <c r="L200" s="56"/>
      <c r="M200" s="56"/>
      <c r="N200" s="567"/>
      <c r="O200" s="567"/>
      <c r="P200" s="147"/>
      <c r="Q200" s="567"/>
      <c r="R200" s="567"/>
      <c r="S200" s="56"/>
      <c r="T200" s="567"/>
      <c r="U200" s="567"/>
      <c r="V200" s="621" t="s">
        <v>351</v>
      </c>
      <c r="W200" s="621"/>
      <c r="X200" s="537">
        <f>SUM(X201,X207,X215,X225,X228,X230,X232,X235)</f>
        <v>0</v>
      </c>
      <c r="Y200" s="390" t="s">
        <v>352</v>
      </c>
    </row>
    <row r="201" spans="1:27" ht="21" hidden="1" customHeight="1" thickBot="1">
      <c r="A201" s="26"/>
      <c r="B201" s="27"/>
      <c r="C201" s="27"/>
      <c r="D201" s="27"/>
      <c r="E201" s="29"/>
      <c r="F201" s="29"/>
      <c r="G201" s="30"/>
      <c r="H201" s="16"/>
      <c r="I201" s="229" t="s">
        <v>452</v>
      </c>
      <c r="J201" s="333"/>
      <c r="K201" s="333"/>
      <c r="L201" s="333"/>
      <c r="M201" s="333"/>
      <c r="N201" s="288"/>
      <c r="O201" s="288"/>
      <c r="P201" s="520"/>
      <c r="Q201" s="418" t="s">
        <v>453</v>
      </c>
      <c r="R201" s="288"/>
      <c r="S201" s="333"/>
      <c r="T201" s="288"/>
      <c r="U201" s="288"/>
      <c r="V201" s="333"/>
      <c r="W201" s="288"/>
      <c r="X201" s="279">
        <f>SUM(X202:X206)</f>
        <v>0</v>
      </c>
      <c r="Y201" s="385" t="s">
        <v>352</v>
      </c>
    </row>
    <row r="202" spans="1:27" ht="21" hidden="1" customHeight="1">
      <c r="A202" s="26"/>
      <c r="B202" s="27"/>
      <c r="C202" s="27"/>
      <c r="D202" s="27"/>
      <c r="E202" s="29"/>
      <c r="F202" s="29"/>
      <c r="G202" s="30"/>
      <c r="H202" s="16"/>
      <c r="I202" s="229" t="s">
        <v>454</v>
      </c>
      <c r="J202" s="333"/>
      <c r="K202" s="333"/>
      <c r="L202" s="333"/>
      <c r="M202" s="333"/>
      <c r="N202" s="288"/>
      <c r="O202" s="288"/>
      <c r="P202" s="520"/>
      <c r="Q202" s="288"/>
      <c r="R202" s="288"/>
      <c r="S202" s="333"/>
      <c r="T202" s="288"/>
      <c r="U202" s="288"/>
      <c r="V202" s="333"/>
      <c r="W202" s="288"/>
      <c r="X202" s="332"/>
      <c r="Y202" s="385" t="s">
        <v>352</v>
      </c>
    </row>
    <row r="203" spans="1:27" ht="21" hidden="1" customHeight="1">
      <c r="A203" s="26"/>
      <c r="B203" s="27"/>
      <c r="C203" s="27"/>
      <c r="D203" s="27"/>
      <c r="E203" s="29"/>
      <c r="F203" s="29"/>
      <c r="G203" s="30"/>
      <c r="H203" s="16"/>
      <c r="I203" s="229" t="s">
        <v>455</v>
      </c>
      <c r="J203" s="333"/>
      <c r="K203" s="333"/>
      <c r="L203" s="333"/>
      <c r="M203" s="333"/>
      <c r="N203" s="288"/>
      <c r="O203" s="288"/>
      <c r="P203" s="520"/>
      <c r="Q203" s="288"/>
      <c r="R203" s="288"/>
      <c r="S203" s="333"/>
      <c r="T203" s="288"/>
      <c r="U203" s="288"/>
      <c r="V203" s="333"/>
      <c r="W203" s="288"/>
      <c r="X203" s="332"/>
      <c r="Y203" s="385" t="s">
        <v>352</v>
      </c>
    </row>
    <row r="204" spans="1:27" ht="21" hidden="1" customHeight="1">
      <c r="A204" s="26"/>
      <c r="B204" s="27"/>
      <c r="C204" s="27"/>
      <c r="D204" s="27"/>
      <c r="E204" s="29"/>
      <c r="F204" s="29"/>
      <c r="G204" s="30"/>
      <c r="H204" s="16"/>
      <c r="I204" s="229"/>
      <c r="J204" s="333"/>
      <c r="K204" s="333"/>
      <c r="L204" s="333"/>
      <c r="M204" s="333"/>
      <c r="N204" s="288"/>
      <c r="O204" s="288"/>
      <c r="P204" s="520"/>
      <c r="Q204" s="288"/>
      <c r="R204" s="288"/>
      <c r="S204" s="333"/>
      <c r="T204" s="288"/>
      <c r="U204" s="288"/>
      <c r="V204" s="333"/>
      <c r="W204" s="288"/>
      <c r="X204" s="332"/>
      <c r="Y204" s="385" t="s">
        <v>352</v>
      </c>
    </row>
    <row r="205" spans="1:27" ht="21" hidden="1" customHeight="1">
      <c r="A205" s="26"/>
      <c r="B205" s="27"/>
      <c r="C205" s="27"/>
      <c r="D205" s="27"/>
      <c r="E205" s="29"/>
      <c r="F205" s="29"/>
      <c r="G205" s="30"/>
      <c r="H205" s="16"/>
      <c r="I205" s="229"/>
      <c r="J205" s="333"/>
      <c r="K205" s="333"/>
      <c r="L205" s="333"/>
      <c r="M205" s="333"/>
      <c r="N205" s="288"/>
      <c r="O205" s="288"/>
      <c r="P205" s="520"/>
      <c r="Q205" s="288"/>
      <c r="R205" s="288"/>
      <c r="S205" s="333"/>
      <c r="T205" s="288"/>
      <c r="U205" s="288"/>
      <c r="V205" s="333"/>
      <c r="W205" s="288"/>
      <c r="X205" s="332"/>
      <c r="Y205" s="385" t="s">
        <v>352</v>
      </c>
    </row>
    <row r="206" spans="1:27" ht="21" hidden="1" customHeight="1">
      <c r="A206" s="26"/>
      <c r="B206" s="27"/>
      <c r="C206" s="27"/>
      <c r="D206" s="27"/>
      <c r="E206" s="29"/>
      <c r="F206" s="29"/>
      <c r="G206" s="30"/>
      <c r="H206" s="16"/>
      <c r="I206" s="333"/>
      <c r="J206" s="333"/>
      <c r="K206" s="333"/>
      <c r="L206" s="333"/>
      <c r="M206" s="333"/>
      <c r="N206" s="288"/>
      <c r="O206" s="288"/>
      <c r="P206" s="520"/>
      <c r="Q206" s="288"/>
      <c r="R206" s="288"/>
      <c r="S206" s="333"/>
      <c r="T206" s="288"/>
      <c r="U206" s="288"/>
      <c r="V206" s="333"/>
      <c r="W206" s="288"/>
      <c r="X206" s="332"/>
      <c r="Y206" s="385" t="s">
        <v>352</v>
      </c>
    </row>
    <row r="207" spans="1:27" ht="21" hidden="1" customHeight="1" thickBot="1">
      <c r="A207" s="26"/>
      <c r="B207" s="27"/>
      <c r="C207" s="27"/>
      <c r="D207" s="27"/>
      <c r="E207" s="29"/>
      <c r="F207" s="29"/>
      <c r="G207" s="30"/>
      <c r="H207" s="16"/>
      <c r="I207" s="248" t="s">
        <v>456</v>
      </c>
      <c r="J207" s="38"/>
      <c r="K207" s="179"/>
      <c r="L207" s="179"/>
      <c r="M207" s="179"/>
      <c r="N207" s="568"/>
      <c r="O207" s="568"/>
      <c r="P207" s="41"/>
      <c r="Q207" s="418" t="s">
        <v>457</v>
      </c>
      <c r="R207" s="418"/>
      <c r="S207" s="279"/>
      <c r="T207" s="418"/>
      <c r="U207" s="418"/>
      <c r="V207" s="279"/>
      <c r="W207" s="418"/>
      <c r="X207" s="279">
        <f>SUM(X208:X214)</f>
        <v>0</v>
      </c>
      <c r="Y207" s="399" t="s">
        <v>352</v>
      </c>
    </row>
    <row r="208" spans="1:27" ht="21" hidden="1" customHeight="1">
      <c r="A208" s="26"/>
      <c r="B208" s="27"/>
      <c r="C208" s="27"/>
      <c r="D208" s="27"/>
      <c r="E208" s="29"/>
      <c r="F208" s="29"/>
      <c r="G208" s="30"/>
      <c r="H208" s="16"/>
      <c r="I208" s="333" t="s">
        <v>458</v>
      </c>
      <c r="J208" s="333"/>
      <c r="K208" s="332"/>
      <c r="L208" s="332"/>
      <c r="M208" s="332"/>
      <c r="N208" s="334" t="s">
        <v>352</v>
      </c>
      <c r="O208" s="221" t="s">
        <v>355</v>
      </c>
      <c r="P208" s="335">
        <v>39</v>
      </c>
      <c r="Q208" s="334" t="s">
        <v>372</v>
      </c>
      <c r="R208" s="221"/>
      <c r="S208" s="332"/>
      <c r="T208" s="334"/>
      <c r="U208" s="334" t="s">
        <v>356</v>
      </c>
      <c r="V208" s="332"/>
      <c r="W208" s="334"/>
      <c r="X208" s="335">
        <f>M208*P208</f>
        <v>0</v>
      </c>
      <c r="Y208" s="385" t="s">
        <v>352</v>
      </c>
    </row>
    <row r="209" spans="1:25" ht="21" hidden="1" customHeight="1">
      <c r="A209" s="26"/>
      <c r="B209" s="27"/>
      <c r="C209" s="27"/>
      <c r="D209" s="27"/>
      <c r="E209" s="29"/>
      <c r="F209" s="29"/>
      <c r="G209" s="30"/>
      <c r="H209" s="16"/>
      <c r="I209" s="333" t="s">
        <v>459</v>
      </c>
      <c r="J209" s="333"/>
      <c r="K209" s="332"/>
      <c r="L209" s="332"/>
      <c r="M209" s="332"/>
      <c r="N209" s="334" t="s">
        <v>352</v>
      </c>
      <c r="O209" s="221" t="s">
        <v>355</v>
      </c>
      <c r="P209" s="335">
        <v>39</v>
      </c>
      <c r="Q209" s="334" t="s">
        <v>372</v>
      </c>
      <c r="R209" s="221"/>
      <c r="S209" s="332"/>
      <c r="T209" s="334"/>
      <c r="U209" s="334" t="s">
        <v>356</v>
      </c>
      <c r="V209" s="332"/>
      <c r="W209" s="334"/>
      <c r="X209" s="335">
        <f>M209*P209</f>
        <v>0</v>
      </c>
      <c r="Y209" s="385" t="s">
        <v>352</v>
      </c>
    </row>
    <row r="210" spans="1:25" ht="21" hidden="1" customHeight="1">
      <c r="A210" s="26"/>
      <c r="B210" s="27"/>
      <c r="C210" s="27"/>
      <c r="D210" s="27"/>
      <c r="E210" s="29"/>
      <c r="F210" s="29"/>
      <c r="G210" s="30"/>
      <c r="H210" s="16"/>
      <c r="I210" s="168" t="s">
        <v>460</v>
      </c>
      <c r="J210" s="180"/>
      <c r="K210" s="179"/>
      <c r="L210" s="179"/>
      <c r="M210" s="179"/>
      <c r="N210" s="440" t="s">
        <v>352</v>
      </c>
      <c r="O210" s="46" t="s">
        <v>355</v>
      </c>
      <c r="P210" s="525">
        <v>3</v>
      </c>
      <c r="Q210" s="568" t="s">
        <v>372</v>
      </c>
      <c r="R210" s="46"/>
      <c r="S210" s="47"/>
      <c r="T210" s="440"/>
      <c r="U210" s="460" t="s">
        <v>356</v>
      </c>
      <c r="V210" s="47"/>
      <c r="W210" s="440"/>
      <c r="X210" s="335">
        <f>M210*P210</f>
        <v>0</v>
      </c>
      <c r="Y210" s="400" t="s">
        <v>352</v>
      </c>
    </row>
    <row r="211" spans="1:25" ht="21" hidden="1" customHeight="1">
      <c r="A211" s="26"/>
      <c r="B211" s="27"/>
      <c r="C211" s="27"/>
      <c r="D211" s="27"/>
      <c r="E211" s="29"/>
      <c r="F211" s="29"/>
      <c r="G211" s="30"/>
      <c r="H211" s="16"/>
      <c r="I211" s="333" t="s">
        <v>461</v>
      </c>
      <c r="J211" s="333"/>
      <c r="K211" s="332"/>
      <c r="L211" s="332"/>
      <c r="M211" s="332"/>
      <c r="N211" s="225" t="s">
        <v>352</v>
      </c>
      <c r="O211" s="221" t="s">
        <v>355</v>
      </c>
      <c r="P211" s="227">
        <v>39</v>
      </c>
      <c r="Q211" s="334" t="s">
        <v>372</v>
      </c>
      <c r="R211" s="221"/>
      <c r="S211" s="222"/>
      <c r="T211" s="225"/>
      <c r="U211" s="445" t="s">
        <v>356</v>
      </c>
      <c r="V211" s="222"/>
      <c r="W211" s="225"/>
      <c r="X211" s="332">
        <v>0</v>
      </c>
      <c r="Y211" s="400" t="s">
        <v>352</v>
      </c>
    </row>
    <row r="212" spans="1:25" ht="21" hidden="1" customHeight="1">
      <c r="A212" s="26"/>
      <c r="B212" s="27"/>
      <c r="C212" s="27"/>
      <c r="D212" s="27"/>
      <c r="E212" s="29"/>
      <c r="F212" s="29"/>
      <c r="G212" s="30"/>
      <c r="H212" s="16"/>
      <c r="I212" s="333" t="s">
        <v>462</v>
      </c>
      <c r="J212" s="333"/>
      <c r="K212" s="333"/>
      <c r="L212" s="333"/>
      <c r="M212" s="332"/>
      <c r="N212" s="225" t="s">
        <v>352</v>
      </c>
      <c r="O212" s="221" t="s">
        <v>355</v>
      </c>
      <c r="P212" s="227">
        <v>39</v>
      </c>
      <c r="Q212" s="334" t="s">
        <v>372</v>
      </c>
      <c r="R212" s="221" t="s">
        <v>355</v>
      </c>
      <c r="S212" s="222">
        <v>1</v>
      </c>
      <c r="T212" s="225" t="s">
        <v>392</v>
      </c>
      <c r="U212" s="445" t="s">
        <v>356</v>
      </c>
      <c r="V212" s="222"/>
      <c r="W212" s="225"/>
      <c r="X212" s="335">
        <f>M212*P212*S212</f>
        <v>0</v>
      </c>
      <c r="Y212" s="400" t="s">
        <v>352</v>
      </c>
    </row>
    <row r="213" spans="1:25" ht="21" hidden="1" customHeight="1">
      <c r="A213" s="26"/>
      <c r="B213" s="27"/>
      <c r="C213" s="27"/>
      <c r="D213" s="27"/>
      <c r="E213" s="29"/>
      <c r="F213" s="29"/>
      <c r="G213" s="30"/>
      <c r="H213" s="16"/>
      <c r="I213" s="40" t="s">
        <v>463</v>
      </c>
      <c r="J213" s="180"/>
      <c r="K213" s="180"/>
      <c r="L213" s="180"/>
      <c r="M213" s="179"/>
      <c r="N213" s="440"/>
      <c r="O213" s="440"/>
      <c r="P213" s="525"/>
      <c r="Q213" s="568"/>
      <c r="R213" s="568"/>
      <c r="S213" s="47"/>
      <c r="T213" s="440"/>
      <c r="U213" s="440"/>
      <c r="V213" s="47"/>
      <c r="W213" s="440"/>
      <c r="X213" s="332"/>
      <c r="Y213" s="400" t="s">
        <v>352</v>
      </c>
    </row>
    <row r="214" spans="1:25" ht="21" hidden="1" customHeight="1">
      <c r="A214" s="26"/>
      <c r="B214" s="27"/>
      <c r="C214" s="27"/>
      <c r="D214" s="27"/>
      <c r="E214" s="29"/>
      <c r="F214" s="29"/>
      <c r="G214" s="30"/>
      <c r="H214" s="16"/>
      <c r="I214" s="172" t="s">
        <v>464</v>
      </c>
      <c r="J214" s="333"/>
      <c r="K214" s="332"/>
      <c r="L214" s="332"/>
      <c r="M214" s="332"/>
      <c r="N214" s="334"/>
      <c r="O214" s="288"/>
      <c r="P214" s="335"/>
      <c r="Q214" s="334"/>
      <c r="R214" s="334"/>
      <c r="S214" s="332"/>
      <c r="T214" s="334"/>
      <c r="U214" s="334"/>
      <c r="V214" s="332"/>
      <c r="W214" s="334"/>
      <c r="X214" s="335">
        <v>0</v>
      </c>
      <c r="Y214" s="385" t="s">
        <v>352</v>
      </c>
    </row>
    <row r="215" spans="1:25" ht="21" hidden="1" customHeight="1" thickBot="1">
      <c r="A215" s="26"/>
      <c r="B215" s="27"/>
      <c r="C215" s="27"/>
      <c r="D215" s="27"/>
      <c r="E215" s="29"/>
      <c r="F215" s="29"/>
      <c r="G215" s="30"/>
      <c r="H215" s="16"/>
      <c r="I215" s="248" t="s">
        <v>465</v>
      </c>
      <c r="J215" s="38"/>
      <c r="K215" s="179"/>
      <c r="L215" s="179"/>
      <c r="M215" s="180"/>
      <c r="N215" s="32"/>
      <c r="O215" s="32"/>
      <c r="P215" s="526"/>
      <c r="Q215" s="418" t="s">
        <v>466</v>
      </c>
      <c r="R215" s="418"/>
      <c r="S215" s="279"/>
      <c r="T215" s="418"/>
      <c r="U215" s="418"/>
      <c r="V215" s="279"/>
      <c r="W215" s="418"/>
      <c r="X215" s="279">
        <f>SUM(X216:X224)</f>
        <v>0</v>
      </c>
      <c r="Y215" s="399" t="s">
        <v>352</v>
      </c>
    </row>
    <row r="216" spans="1:25" ht="21" hidden="1" customHeight="1">
      <c r="A216" s="26"/>
      <c r="B216" s="27"/>
      <c r="C216" s="27"/>
      <c r="D216" s="27"/>
      <c r="E216" s="29"/>
      <c r="F216" s="29"/>
      <c r="G216" s="30"/>
      <c r="H216" s="16"/>
      <c r="I216" s="172" t="s">
        <v>467</v>
      </c>
      <c r="J216" s="333"/>
      <c r="K216" s="333"/>
      <c r="L216" s="333"/>
      <c r="M216" s="332"/>
      <c r="N216" s="225" t="s">
        <v>352</v>
      </c>
      <c r="O216" s="221" t="s">
        <v>355</v>
      </c>
      <c r="P216" s="227">
        <v>14</v>
      </c>
      <c r="Q216" s="334" t="s">
        <v>372</v>
      </c>
      <c r="R216" s="334"/>
      <c r="S216" s="222"/>
      <c r="T216" s="225"/>
      <c r="U216" s="225" t="s">
        <v>356</v>
      </c>
      <c r="V216" s="222"/>
      <c r="W216" s="225"/>
      <c r="X216" s="332">
        <f>M216*P216</f>
        <v>0</v>
      </c>
      <c r="Y216" s="400" t="s">
        <v>25</v>
      </c>
    </row>
    <row r="217" spans="1:25" ht="21" hidden="1" customHeight="1">
      <c r="A217" s="26"/>
      <c r="B217" s="27"/>
      <c r="C217" s="27"/>
      <c r="D217" s="27"/>
      <c r="E217" s="29"/>
      <c r="F217" s="29"/>
      <c r="G217" s="30"/>
      <c r="H217" s="16"/>
      <c r="I217" s="333" t="s">
        <v>468</v>
      </c>
      <c r="J217" s="333"/>
      <c r="K217" s="333"/>
      <c r="L217" s="333"/>
      <c r="M217" s="179"/>
      <c r="N217" s="568" t="s">
        <v>352</v>
      </c>
      <c r="O217" s="46" t="s">
        <v>355</v>
      </c>
      <c r="P217" s="335">
        <v>14</v>
      </c>
      <c r="Q217" s="568" t="s">
        <v>372</v>
      </c>
      <c r="R217" s="46" t="s">
        <v>355</v>
      </c>
      <c r="S217" s="179">
        <v>2</v>
      </c>
      <c r="T217" s="568" t="s">
        <v>392</v>
      </c>
      <c r="U217" s="568" t="s">
        <v>356</v>
      </c>
      <c r="V217" s="222"/>
      <c r="W217" s="225"/>
      <c r="X217" s="332">
        <f>M217*P217*S217</f>
        <v>0</v>
      </c>
      <c r="Y217" s="400" t="s">
        <v>25</v>
      </c>
    </row>
    <row r="218" spans="1:25" ht="21" hidden="1" customHeight="1">
      <c r="A218" s="26"/>
      <c r="B218" s="27"/>
      <c r="C218" s="27"/>
      <c r="D218" s="27"/>
      <c r="E218" s="29"/>
      <c r="F218" s="29"/>
      <c r="G218" s="30"/>
      <c r="H218" s="16"/>
      <c r="I218" s="180" t="s">
        <v>469</v>
      </c>
      <c r="J218" s="180"/>
      <c r="K218" s="180"/>
      <c r="L218" s="180"/>
      <c r="M218" s="179"/>
      <c r="N218" s="568" t="s">
        <v>352</v>
      </c>
      <c r="O218" s="46" t="s">
        <v>355</v>
      </c>
      <c r="P218" s="335">
        <v>39</v>
      </c>
      <c r="Q218" s="568" t="s">
        <v>372</v>
      </c>
      <c r="R218" s="46" t="s">
        <v>355</v>
      </c>
      <c r="S218" s="179">
        <v>1</v>
      </c>
      <c r="T218" s="568" t="s">
        <v>392</v>
      </c>
      <c r="U218" s="568" t="s">
        <v>356</v>
      </c>
      <c r="V218" s="179"/>
      <c r="W218" s="568"/>
      <c r="X218" s="332">
        <f>M218*P218*S218</f>
        <v>0</v>
      </c>
      <c r="Y218" s="385" t="s">
        <v>352</v>
      </c>
    </row>
    <row r="219" spans="1:25" ht="21" hidden="1" customHeight="1">
      <c r="A219" s="26"/>
      <c r="B219" s="27"/>
      <c r="C219" s="27"/>
      <c r="D219" s="27"/>
      <c r="E219" s="29"/>
      <c r="F219" s="29"/>
      <c r="G219" s="30"/>
      <c r="H219" s="16"/>
      <c r="I219" s="333" t="s">
        <v>470</v>
      </c>
      <c r="J219" s="333"/>
      <c r="K219" s="333"/>
      <c r="L219" s="333"/>
      <c r="M219" s="332"/>
      <c r="N219" s="225" t="s">
        <v>352</v>
      </c>
      <c r="O219" s="221" t="s">
        <v>355</v>
      </c>
      <c r="P219" s="227">
        <v>4</v>
      </c>
      <c r="Q219" s="334" t="s">
        <v>392</v>
      </c>
      <c r="R219" s="225"/>
      <c r="S219" s="222"/>
      <c r="T219" s="225"/>
      <c r="U219" s="445" t="s">
        <v>356</v>
      </c>
      <c r="V219" s="222"/>
      <c r="W219" s="225"/>
      <c r="X219" s="332">
        <f>M219*P219*S219</f>
        <v>0</v>
      </c>
      <c r="Y219" s="400" t="s">
        <v>352</v>
      </c>
    </row>
    <row r="220" spans="1:25" ht="21" hidden="1" customHeight="1">
      <c r="A220" s="26"/>
      <c r="B220" s="27"/>
      <c r="C220" s="27"/>
      <c r="D220" s="27"/>
      <c r="E220" s="29"/>
      <c r="F220" s="29"/>
      <c r="G220" s="30"/>
      <c r="H220" s="16"/>
      <c r="I220" s="333" t="s">
        <v>471</v>
      </c>
      <c r="J220" s="333"/>
      <c r="K220" s="333"/>
      <c r="L220" s="333"/>
      <c r="M220" s="332"/>
      <c r="N220" s="225" t="s">
        <v>352</v>
      </c>
      <c r="O220" s="221" t="s">
        <v>355</v>
      </c>
      <c r="P220" s="227">
        <v>39</v>
      </c>
      <c r="Q220" s="334" t="s">
        <v>372</v>
      </c>
      <c r="R220" s="225"/>
      <c r="S220" s="222"/>
      <c r="T220" s="225"/>
      <c r="U220" s="445" t="s">
        <v>356</v>
      </c>
      <c r="V220" s="222"/>
      <c r="W220" s="446"/>
      <c r="X220" s="332">
        <v>0</v>
      </c>
      <c r="Y220" s="400" t="s">
        <v>352</v>
      </c>
    </row>
    <row r="221" spans="1:25" ht="21" hidden="1" customHeight="1">
      <c r="A221" s="26"/>
      <c r="B221" s="27"/>
      <c r="C221" s="27"/>
      <c r="D221" s="27"/>
      <c r="E221" s="29"/>
      <c r="F221" s="29"/>
      <c r="G221" s="30"/>
      <c r="H221" s="16"/>
      <c r="I221" s="180" t="s">
        <v>472</v>
      </c>
      <c r="J221" s="180"/>
      <c r="K221" s="180"/>
      <c r="L221" s="180"/>
      <c r="M221" s="180"/>
      <c r="N221" s="32"/>
      <c r="O221" s="32"/>
      <c r="P221" s="526"/>
      <c r="Q221" s="32"/>
      <c r="R221" s="32"/>
      <c r="S221" s="180"/>
      <c r="T221" s="32"/>
      <c r="U221" s="32"/>
      <c r="V221" s="180"/>
      <c r="W221" s="32"/>
      <c r="X221" s="33"/>
      <c r="Y221" s="401" t="s">
        <v>352</v>
      </c>
    </row>
    <row r="222" spans="1:25" ht="21" hidden="1" customHeight="1">
      <c r="A222" s="26"/>
      <c r="B222" s="27"/>
      <c r="C222" s="27"/>
      <c r="D222" s="27"/>
      <c r="E222" s="29"/>
      <c r="F222" s="29"/>
      <c r="G222" s="30"/>
      <c r="H222" s="16"/>
      <c r="I222" s="180" t="s">
        <v>473</v>
      </c>
      <c r="J222" s="180"/>
      <c r="K222" s="180"/>
      <c r="L222" s="180"/>
      <c r="M222" s="180"/>
      <c r="N222" s="32"/>
      <c r="O222" s="32"/>
      <c r="P222" s="526"/>
      <c r="Q222" s="32"/>
      <c r="R222" s="32"/>
      <c r="S222" s="180"/>
      <c r="T222" s="32"/>
      <c r="U222" s="32"/>
      <c r="V222" s="180"/>
      <c r="W222" s="32"/>
      <c r="X222" s="33"/>
      <c r="Y222" s="401" t="s">
        <v>352</v>
      </c>
    </row>
    <row r="223" spans="1:25" ht="21" hidden="1" customHeight="1">
      <c r="A223" s="26"/>
      <c r="B223" s="27"/>
      <c r="C223" s="27"/>
      <c r="D223" s="27"/>
      <c r="E223" s="29"/>
      <c r="F223" s="29"/>
      <c r="G223" s="30"/>
      <c r="H223" s="16"/>
      <c r="I223" s="180" t="s">
        <v>474</v>
      </c>
      <c r="J223" s="180"/>
      <c r="K223" s="180"/>
      <c r="L223" s="180"/>
      <c r="M223" s="180"/>
      <c r="N223" s="32"/>
      <c r="O223" s="32"/>
      <c r="P223" s="526"/>
      <c r="Q223" s="32"/>
      <c r="R223" s="32"/>
      <c r="S223" s="180"/>
      <c r="T223" s="32"/>
      <c r="U223" s="32"/>
      <c r="V223" s="180"/>
      <c r="W223" s="32"/>
      <c r="X223" s="33"/>
      <c r="Y223" s="401" t="s">
        <v>352</v>
      </c>
    </row>
    <row r="224" spans="1:25" ht="21" hidden="1" customHeight="1">
      <c r="A224" s="26"/>
      <c r="B224" s="27"/>
      <c r="C224" s="27"/>
      <c r="D224" s="27"/>
      <c r="E224" s="29"/>
      <c r="F224" s="29"/>
      <c r="G224" s="30"/>
      <c r="H224" s="16"/>
      <c r="I224" s="180" t="s">
        <v>475</v>
      </c>
      <c r="J224" s="180"/>
      <c r="K224" s="180"/>
      <c r="L224" s="180"/>
      <c r="M224" s="180"/>
      <c r="N224" s="32"/>
      <c r="O224" s="32"/>
      <c r="P224" s="526"/>
      <c r="Q224" s="32"/>
      <c r="R224" s="32"/>
      <c r="S224" s="180"/>
      <c r="T224" s="32"/>
      <c r="U224" s="32"/>
      <c r="V224" s="180"/>
      <c r="W224" s="32"/>
      <c r="X224" s="33"/>
      <c r="Y224" s="401" t="s">
        <v>352</v>
      </c>
    </row>
    <row r="225" spans="1:27" ht="21" hidden="1" customHeight="1" thickBot="1">
      <c r="A225" s="26"/>
      <c r="B225" s="27"/>
      <c r="C225" s="27"/>
      <c r="D225" s="27"/>
      <c r="E225" s="29"/>
      <c r="F225" s="29"/>
      <c r="G225" s="30"/>
      <c r="H225" s="16"/>
      <c r="I225" s="248" t="s">
        <v>476</v>
      </c>
      <c r="J225" s="38"/>
      <c r="K225" s="179"/>
      <c r="L225" s="179"/>
      <c r="M225" s="179"/>
      <c r="N225" s="568"/>
      <c r="O225" s="568"/>
      <c r="P225" s="526"/>
      <c r="Q225" s="32"/>
      <c r="R225" s="32"/>
      <c r="S225" s="249" t="s">
        <v>477</v>
      </c>
      <c r="T225" s="569"/>
      <c r="U225" s="569"/>
      <c r="V225" s="249"/>
      <c r="W225" s="418"/>
      <c r="X225" s="279">
        <f>SUM(X226:X227)</f>
        <v>0</v>
      </c>
      <c r="Y225" s="399" t="s">
        <v>352</v>
      </c>
    </row>
    <row r="226" spans="1:27" ht="21" hidden="1" customHeight="1">
      <c r="A226" s="26"/>
      <c r="B226" s="27"/>
      <c r="C226" s="27"/>
      <c r="D226" s="27"/>
      <c r="E226" s="29"/>
      <c r="F226" s="29"/>
      <c r="G226" s="30"/>
      <c r="H226" s="16"/>
      <c r="I226" s="172" t="s">
        <v>478</v>
      </c>
      <c r="J226" s="333"/>
      <c r="K226" s="332"/>
      <c r="L226" s="332"/>
      <c r="M226" s="332"/>
      <c r="N226" s="334" t="s">
        <v>352</v>
      </c>
      <c r="O226" s="221" t="s">
        <v>355</v>
      </c>
      <c r="P226" s="335">
        <v>4</v>
      </c>
      <c r="Q226" s="334" t="s">
        <v>372</v>
      </c>
      <c r="R226" s="221" t="s">
        <v>355</v>
      </c>
      <c r="S226" s="332">
        <v>4</v>
      </c>
      <c r="T226" s="334" t="s">
        <v>392</v>
      </c>
      <c r="U226" s="334" t="s">
        <v>356</v>
      </c>
      <c r="V226" s="332"/>
      <c r="W226" s="334"/>
      <c r="X226" s="166">
        <f>M226*P226*S226</f>
        <v>0</v>
      </c>
      <c r="Y226" s="385" t="s">
        <v>352</v>
      </c>
    </row>
    <row r="227" spans="1:27" ht="21" hidden="1" customHeight="1">
      <c r="A227" s="26"/>
      <c r="B227" s="27"/>
      <c r="C227" s="27"/>
      <c r="D227" s="27"/>
      <c r="E227" s="29"/>
      <c r="F227" s="29"/>
      <c r="G227" s="30"/>
      <c r="H227" s="16"/>
      <c r="I227" s="40" t="s">
        <v>479</v>
      </c>
      <c r="J227" s="180"/>
      <c r="K227" s="179"/>
      <c r="L227" s="179"/>
      <c r="M227" s="179"/>
      <c r="N227" s="568"/>
      <c r="O227" s="32"/>
      <c r="P227" s="41"/>
      <c r="Q227" s="568"/>
      <c r="R227" s="568"/>
      <c r="S227" s="179"/>
      <c r="T227" s="568"/>
      <c r="U227" s="568"/>
      <c r="V227" s="179"/>
      <c r="W227" s="568"/>
      <c r="X227" s="335"/>
      <c r="Y227" s="385" t="s">
        <v>352</v>
      </c>
    </row>
    <row r="228" spans="1:27" ht="21" hidden="1" customHeight="1" thickBot="1">
      <c r="A228" s="26"/>
      <c r="B228" s="27"/>
      <c r="C228" s="27"/>
      <c r="D228" s="27"/>
      <c r="E228" s="29"/>
      <c r="F228" s="29"/>
      <c r="G228" s="30"/>
      <c r="H228" s="16"/>
      <c r="I228" s="248" t="s">
        <v>480</v>
      </c>
      <c r="J228" s="247"/>
      <c r="K228" s="100"/>
      <c r="L228" s="100"/>
      <c r="M228" s="100"/>
      <c r="N228" s="419"/>
      <c r="O228" s="419"/>
      <c r="P228" s="527"/>
      <c r="Q228" s="419"/>
      <c r="R228" s="419"/>
      <c r="S228" s="247" t="s">
        <v>481</v>
      </c>
      <c r="T228" s="461"/>
      <c r="U228" s="461"/>
      <c r="V228" s="247"/>
      <c r="W228" s="461"/>
      <c r="X228" s="543">
        <f>X229</f>
        <v>0</v>
      </c>
      <c r="Y228" s="399" t="s">
        <v>352</v>
      </c>
    </row>
    <row r="229" spans="1:27" ht="21" hidden="1" customHeight="1">
      <c r="A229" s="26"/>
      <c r="B229" s="27"/>
      <c r="C229" s="27"/>
      <c r="D229" s="27"/>
      <c r="E229" s="29"/>
      <c r="F229" s="29"/>
      <c r="G229" s="30"/>
      <c r="H229" s="16"/>
      <c r="I229" s="333" t="s">
        <v>482</v>
      </c>
      <c r="J229" s="333"/>
      <c r="K229" s="333"/>
      <c r="L229" s="333"/>
      <c r="M229" s="333"/>
      <c r="N229" s="288"/>
      <c r="O229" s="288"/>
      <c r="P229" s="520"/>
      <c r="Q229" s="288"/>
      <c r="R229" s="288"/>
      <c r="S229" s="333"/>
      <c r="T229" s="288"/>
      <c r="U229" s="288"/>
      <c r="V229" s="333"/>
      <c r="W229" s="288"/>
      <c r="X229" s="546"/>
      <c r="Y229" s="385" t="s">
        <v>352</v>
      </c>
    </row>
    <row r="230" spans="1:27" ht="21" hidden="1" customHeight="1" thickBot="1">
      <c r="A230" s="26"/>
      <c r="B230" s="27"/>
      <c r="C230" s="27"/>
      <c r="D230" s="27"/>
      <c r="E230" s="29"/>
      <c r="F230" s="29"/>
      <c r="G230" s="30"/>
      <c r="H230" s="16"/>
      <c r="I230" s="248" t="s">
        <v>483</v>
      </c>
      <c r="J230" s="247"/>
      <c r="K230" s="100"/>
      <c r="L230" s="100"/>
      <c r="M230" s="100"/>
      <c r="N230" s="419"/>
      <c r="O230" s="419"/>
      <c r="P230" s="527"/>
      <c r="Q230" s="419"/>
      <c r="R230" s="419"/>
      <c r="S230" s="247" t="s">
        <v>481</v>
      </c>
      <c r="T230" s="461"/>
      <c r="U230" s="461"/>
      <c r="V230" s="247"/>
      <c r="W230" s="461"/>
      <c r="X230" s="545">
        <f>X231</f>
        <v>0</v>
      </c>
      <c r="Y230" s="402" t="s">
        <v>352</v>
      </c>
    </row>
    <row r="231" spans="1:27" ht="21" hidden="1" customHeight="1">
      <c r="A231" s="26"/>
      <c r="B231" s="27"/>
      <c r="C231" s="27"/>
      <c r="D231" s="27"/>
      <c r="E231" s="29"/>
      <c r="F231" s="29"/>
      <c r="G231" s="30"/>
      <c r="H231" s="16"/>
      <c r="I231" s="333" t="s">
        <v>484</v>
      </c>
      <c r="J231" s="241"/>
      <c r="K231" s="241"/>
      <c r="L231" s="241"/>
      <c r="M231" s="241"/>
      <c r="N231" s="171"/>
      <c r="O231" s="171"/>
      <c r="P231" s="528"/>
      <c r="Q231" s="171"/>
      <c r="R231" s="171"/>
      <c r="S231" s="241"/>
      <c r="T231" s="171"/>
      <c r="U231" s="171"/>
      <c r="V231" s="241"/>
      <c r="W231" s="171"/>
      <c r="X231" s="546"/>
      <c r="Y231" s="385" t="s">
        <v>352</v>
      </c>
    </row>
    <row r="232" spans="1:27" ht="21" hidden="1" customHeight="1" thickBot="1">
      <c r="A232" s="26"/>
      <c r="B232" s="27"/>
      <c r="C232" s="27"/>
      <c r="D232" s="27"/>
      <c r="E232" s="29"/>
      <c r="F232" s="29"/>
      <c r="G232" s="30"/>
      <c r="H232" s="16"/>
      <c r="I232" s="248" t="s">
        <v>485</v>
      </c>
      <c r="J232" s="247"/>
      <c r="K232" s="100"/>
      <c r="L232" s="100"/>
      <c r="M232" s="100"/>
      <c r="N232" s="419"/>
      <c r="O232" s="419"/>
      <c r="P232" s="527"/>
      <c r="Q232" s="419"/>
      <c r="R232" s="419"/>
      <c r="S232" s="247" t="s">
        <v>486</v>
      </c>
      <c r="T232" s="461"/>
      <c r="U232" s="461"/>
      <c r="V232" s="247"/>
      <c r="W232" s="461"/>
      <c r="X232" s="545">
        <f>SUM(X233:X233)</f>
        <v>0</v>
      </c>
      <c r="Y232" s="402" t="s">
        <v>352</v>
      </c>
    </row>
    <row r="233" spans="1:27" ht="21" hidden="1" customHeight="1">
      <c r="A233" s="26"/>
      <c r="B233" s="27"/>
      <c r="C233" s="27"/>
      <c r="D233" s="27"/>
      <c r="E233" s="29"/>
      <c r="F233" s="29"/>
      <c r="G233" s="30"/>
      <c r="H233" s="16"/>
      <c r="I233" s="333" t="s">
        <v>487</v>
      </c>
      <c r="J233" s="333"/>
      <c r="K233" s="333"/>
      <c r="L233" s="333"/>
      <c r="M233" s="333"/>
      <c r="N233" s="288"/>
      <c r="O233" s="288"/>
      <c r="P233" s="520"/>
      <c r="Q233" s="288"/>
      <c r="R233" s="288"/>
      <c r="S233" s="333"/>
      <c r="T233" s="288"/>
      <c r="U233" s="288"/>
      <c r="V233" s="333"/>
      <c r="W233" s="288"/>
      <c r="X233" s="332">
        <v>0</v>
      </c>
      <c r="Y233" s="385" t="s">
        <v>352</v>
      </c>
    </row>
    <row r="234" spans="1:27" ht="21" hidden="1" customHeight="1">
      <c r="A234" s="26"/>
      <c r="B234" s="27"/>
      <c r="C234" s="27" t="s">
        <v>447</v>
      </c>
      <c r="D234" s="27"/>
      <c r="E234" s="29"/>
      <c r="F234" s="29"/>
      <c r="G234" s="30"/>
      <c r="H234" s="16"/>
      <c r="I234" s="333"/>
      <c r="J234" s="333"/>
      <c r="K234" s="333"/>
      <c r="L234" s="333"/>
      <c r="M234" s="333"/>
      <c r="N234" s="288"/>
      <c r="O234" s="288"/>
      <c r="P234" s="520"/>
      <c r="Q234" s="288"/>
      <c r="R234" s="288"/>
      <c r="S234" s="333"/>
      <c r="T234" s="288"/>
      <c r="U234" s="288"/>
      <c r="V234" s="333"/>
      <c r="W234" s="288"/>
      <c r="X234" s="332"/>
      <c r="Y234" s="385"/>
    </row>
    <row r="235" spans="1:27" ht="21" hidden="1" customHeight="1">
      <c r="A235" s="26"/>
      <c r="B235" s="27"/>
      <c r="C235" s="27"/>
      <c r="D235" s="27"/>
      <c r="E235" s="29"/>
      <c r="F235" s="29"/>
      <c r="G235" s="30"/>
      <c r="H235" s="16"/>
      <c r="I235" s="366"/>
      <c r="J235" s="177"/>
      <c r="K235" s="576"/>
      <c r="L235" s="576"/>
      <c r="M235" s="576"/>
      <c r="N235" s="228"/>
      <c r="O235" s="228"/>
      <c r="P235" s="486"/>
      <c r="Q235" s="228"/>
      <c r="R235" s="228"/>
      <c r="S235" s="71"/>
      <c r="T235" s="462"/>
      <c r="U235" s="462"/>
      <c r="V235" s="71"/>
      <c r="W235" s="462"/>
      <c r="X235" s="551"/>
      <c r="Y235" s="403"/>
    </row>
    <row r="236" spans="1:27" ht="21" hidden="1" customHeight="1">
      <c r="A236" s="26"/>
      <c r="B236" s="27"/>
      <c r="C236" s="27"/>
      <c r="D236" s="27"/>
      <c r="E236" s="29"/>
      <c r="F236" s="29"/>
      <c r="G236" s="30"/>
      <c r="H236" s="16"/>
      <c r="I236" s="380"/>
      <c r="J236" s="229"/>
      <c r="K236" s="333"/>
      <c r="L236" s="333"/>
      <c r="M236" s="332"/>
      <c r="N236" s="334"/>
      <c r="O236" s="221"/>
      <c r="P236" s="317"/>
      <c r="Q236" s="221"/>
      <c r="R236" s="224"/>
      <c r="S236" s="353"/>
      <c r="T236" s="457"/>
      <c r="U236" s="334"/>
      <c r="V236" s="332"/>
      <c r="W236" s="334"/>
      <c r="X236" s="335"/>
      <c r="Y236" s="385" t="s">
        <v>352</v>
      </c>
    </row>
    <row r="237" spans="1:27" ht="21" hidden="1" customHeight="1">
      <c r="A237" s="26"/>
      <c r="B237" s="27"/>
      <c r="C237" s="27"/>
      <c r="D237" s="27"/>
      <c r="E237" s="29"/>
      <c r="F237" s="29"/>
      <c r="G237" s="30"/>
      <c r="H237" s="16"/>
      <c r="I237" s="229"/>
      <c r="J237" s="229"/>
      <c r="K237" s="333"/>
      <c r="L237" s="333"/>
      <c r="M237" s="332"/>
      <c r="N237" s="334"/>
      <c r="O237" s="221"/>
      <c r="P237" s="317"/>
      <c r="Q237" s="221"/>
      <c r="R237" s="224"/>
      <c r="S237" s="353"/>
      <c r="T237" s="457"/>
      <c r="U237" s="334"/>
      <c r="V237" s="333"/>
      <c r="W237" s="288"/>
      <c r="X237" s="335"/>
      <c r="Y237" s="385" t="s">
        <v>352</v>
      </c>
    </row>
    <row r="238" spans="1:27" ht="21" hidden="1" customHeight="1">
      <c r="A238" s="26"/>
      <c r="B238" s="27"/>
      <c r="C238" s="27"/>
      <c r="D238" s="27"/>
      <c r="E238" s="29"/>
      <c r="F238" s="29"/>
      <c r="G238" s="30"/>
      <c r="H238" s="16"/>
      <c r="I238" s="229"/>
      <c r="J238" s="229"/>
      <c r="K238" s="333"/>
      <c r="L238" s="333"/>
      <c r="M238" s="332"/>
      <c r="N238" s="334"/>
      <c r="O238" s="568"/>
      <c r="P238" s="317"/>
      <c r="Q238" s="221"/>
      <c r="R238" s="224"/>
      <c r="S238" s="353"/>
      <c r="T238" s="457"/>
      <c r="U238" s="334"/>
      <c r="V238" s="333"/>
      <c r="W238" s="288"/>
      <c r="X238" s="335"/>
      <c r="Y238" s="385" t="s">
        <v>352</v>
      </c>
    </row>
    <row r="239" spans="1:27" ht="21" hidden="1" customHeight="1">
      <c r="A239" s="26"/>
      <c r="B239" s="27"/>
      <c r="C239" s="27"/>
      <c r="D239" s="27"/>
      <c r="E239" s="29"/>
      <c r="F239" s="29"/>
      <c r="G239" s="30"/>
      <c r="H239" s="16"/>
      <c r="I239" s="229"/>
      <c r="J239" s="229"/>
      <c r="K239" s="333"/>
      <c r="L239" s="333"/>
      <c r="M239" s="333"/>
      <c r="N239" s="288"/>
      <c r="O239" s="288"/>
      <c r="P239" s="520"/>
      <c r="Q239" s="288"/>
      <c r="R239" s="288"/>
      <c r="S239" s="333"/>
      <c r="T239" s="288"/>
      <c r="U239" s="288"/>
      <c r="V239" s="333"/>
      <c r="W239" s="288"/>
      <c r="X239" s="335"/>
      <c r="Y239" s="385" t="s">
        <v>352</v>
      </c>
    </row>
    <row r="240" spans="1:27" ht="21" customHeight="1">
      <c r="A240" s="26"/>
      <c r="B240" s="27"/>
      <c r="C240" s="18" t="s">
        <v>488</v>
      </c>
      <c r="D240" s="246" t="s">
        <v>376</v>
      </c>
      <c r="E240" s="129">
        <f>E241</f>
        <v>85571</v>
      </c>
      <c r="F240" s="129">
        <f>F241</f>
        <v>77740</v>
      </c>
      <c r="G240" s="130">
        <f>F240-E240</f>
        <v>-7831</v>
      </c>
      <c r="H240" s="131">
        <f>IF(E240=0,0,G240/E240)</f>
        <v>-9.1514648654333827E-2</v>
      </c>
      <c r="I240" s="119" t="s">
        <v>489</v>
      </c>
      <c r="J240" s="120"/>
      <c r="K240" s="121"/>
      <c r="L240" s="121"/>
      <c r="M240" s="121"/>
      <c r="N240" s="452"/>
      <c r="O240" s="452"/>
      <c r="P240" s="511"/>
      <c r="Q240" s="417"/>
      <c r="R240" s="417"/>
      <c r="S240" s="122"/>
      <c r="T240" s="417"/>
      <c r="U240" s="417"/>
      <c r="V240" s="144" t="s">
        <v>351</v>
      </c>
      <c r="W240" s="466"/>
      <c r="X240" s="538">
        <f>X241+X245+X251+X255+X262+X287+X298+X316</f>
        <v>77740000</v>
      </c>
      <c r="Y240" s="389" t="s">
        <v>352</v>
      </c>
      <c r="AA240" s="593"/>
    </row>
    <row r="241" spans="1:27" ht="21" customHeight="1" thickBot="1">
      <c r="A241" s="26"/>
      <c r="B241" s="27"/>
      <c r="C241" s="27" t="s">
        <v>447</v>
      </c>
      <c r="D241" s="27" t="s">
        <v>451</v>
      </c>
      <c r="E241" s="29">
        <v>85571</v>
      </c>
      <c r="F241" s="29">
        <f>ROUND(X240/1000,0)</f>
        <v>77740</v>
      </c>
      <c r="G241" s="20">
        <f>F241-E241</f>
        <v>-7831</v>
      </c>
      <c r="H241" s="21">
        <f>IF(E241=0,0,G241/E241)</f>
        <v>-9.1514648654333827E-2</v>
      </c>
      <c r="I241" s="309" t="s">
        <v>573</v>
      </c>
      <c r="J241" s="310"/>
      <c r="K241" s="333"/>
      <c r="L241" s="333"/>
      <c r="M241" s="333"/>
      <c r="N241" s="288"/>
      <c r="O241" s="288"/>
      <c r="P241" s="520"/>
      <c r="Q241" s="288"/>
      <c r="R241" s="288"/>
      <c r="S241" s="247" t="s">
        <v>577</v>
      </c>
      <c r="T241" s="461"/>
      <c r="U241" s="461"/>
      <c r="V241" s="247"/>
      <c r="W241" s="461"/>
      <c r="X241" s="543">
        <f>SUM(X242:X244)</f>
        <v>38652000</v>
      </c>
      <c r="Y241" s="399" t="s">
        <v>352</v>
      </c>
      <c r="Z241" s="594"/>
    </row>
    <row r="242" spans="1:27" ht="21" customHeight="1">
      <c r="A242" s="26"/>
      <c r="B242" s="27"/>
      <c r="C242" s="27" t="s">
        <v>490</v>
      </c>
      <c r="D242" s="27" t="s">
        <v>491</v>
      </c>
      <c r="E242" s="29"/>
      <c r="F242" s="29"/>
      <c r="G242" s="30"/>
      <c r="H242" s="16"/>
      <c r="I242" s="340" t="s">
        <v>572</v>
      </c>
      <c r="J242" s="312"/>
      <c r="K242" s="333"/>
      <c r="L242" s="333"/>
      <c r="M242" s="332">
        <v>1100000</v>
      </c>
      <c r="N242" s="334" t="s">
        <v>352</v>
      </c>
      <c r="O242" s="376" t="s">
        <v>355</v>
      </c>
      <c r="P242" s="317">
        <v>12</v>
      </c>
      <c r="Q242" s="221" t="s">
        <v>354</v>
      </c>
      <c r="R242" s="224"/>
      <c r="S242" s="353"/>
      <c r="T242" s="457"/>
      <c r="U242" s="334" t="s">
        <v>356</v>
      </c>
      <c r="V242" s="332"/>
      <c r="W242" s="334"/>
      <c r="X242" s="335">
        <f>M242*P242</f>
        <v>13200000</v>
      </c>
      <c r="Y242" s="385" t="s">
        <v>352</v>
      </c>
    </row>
    <row r="243" spans="1:27" ht="21" customHeight="1">
      <c r="A243" s="26"/>
      <c r="B243" s="27"/>
      <c r="C243" s="27"/>
      <c r="D243" s="27"/>
      <c r="E243" s="29"/>
      <c r="F243" s="29"/>
      <c r="G243" s="30"/>
      <c r="H243" s="16"/>
      <c r="I243" s="172" t="s">
        <v>804</v>
      </c>
      <c r="J243" s="229"/>
      <c r="K243" s="333"/>
      <c r="L243" s="333"/>
      <c r="M243" s="332">
        <v>2121000</v>
      </c>
      <c r="N243" s="334" t="s">
        <v>591</v>
      </c>
      <c r="O243" s="376" t="s">
        <v>592</v>
      </c>
      <c r="P243" s="317">
        <v>12</v>
      </c>
      <c r="Q243" s="221" t="s">
        <v>593</v>
      </c>
      <c r="R243" s="224"/>
      <c r="S243" s="353"/>
      <c r="T243" s="457"/>
      <c r="U243" s="334" t="s">
        <v>594</v>
      </c>
      <c r="V243" s="332"/>
      <c r="W243" s="334"/>
      <c r="X243" s="335">
        <f>M243*P243</f>
        <v>25452000</v>
      </c>
      <c r="Y243" s="385" t="s">
        <v>591</v>
      </c>
    </row>
    <row r="244" spans="1:27" ht="21" customHeight="1">
      <c r="A244" s="26"/>
      <c r="B244" s="27"/>
      <c r="C244" s="27"/>
      <c r="D244" s="27"/>
      <c r="E244" s="29"/>
      <c r="F244" s="29"/>
      <c r="G244" s="30"/>
      <c r="H244" s="16"/>
      <c r="I244" s="229"/>
      <c r="J244" s="229"/>
      <c r="K244" s="333"/>
      <c r="L244" s="333"/>
      <c r="M244" s="332"/>
      <c r="N244" s="334"/>
      <c r="O244" s="376"/>
      <c r="P244" s="317"/>
      <c r="Q244" s="221"/>
      <c r="R244" s="224"/>
      <c r="S244" s="353"/>
      <c r="T244" s="457"/>
      <c r="U244" s="334"/>
      <c r="V244" s="332"/>
      <c r="W244" s="334"/>
      <c r="X244" s="335"/>
      <c r="Y244" s="385"/>
    </row>
    <row r="245" spans="1:27" ht="21" customHeight="1" thickBot="1">
      <c r="A245" s="26"/>
      <c r="B245" s="27"/>
      <c r="C245" s="27"/>
      <c r="D245" s="27"/>
      <c r="E245" s="29"/>
      <c r="F245" s="29"/>
      <c r="G245" s="30"/>
      <c r="H245" s="16"/>
      <c r="I245" s="309" t="s">
        <v>707</v>
      </c>
      <c r="J245" s="310"/>
      <c r="K245" s="333"/>
      <c r="L245" s="333"/>
      <c r="M245" s="333"/>
      <c r="N245" s="288"/>
      <c r="O245" s="376"/>
      <c r="P245" s="520"/>
      <c r="Q245" s="288"/>
      <c r="R245" s="288"/>
      <c r="S245" s="247" t="s">
        <v>576</v>
      </c>
      <c r="T245" s="461"/>
      <c r="U245" s="461"/>
      <c r="V245" s="247"/>
      <c r="W245" s="461"/>
      <c r="X245" s="543">
        <f>SUM(X246)</f>
        <v>5325000</v>
      </c>
      <c r="Y245" s="399" t="s">
        <v>352</v>
      </c>
      <c r="Z245" s="594"/>
    </row>
    <row r="246" spans="1:27" ht="21" customHeight="1">
      <c r="A246" s="26"/>
      <c r="B246" s="27"/>
      <c r="C246" s="27"/>
      <c r="D246" s="27"/>
      <c r="E246" s="29"/>
      <c r="F246" s="29"/>
      <c r="G246" s="30"/>
      <c r="H246" s="16"/>
      <c r="I246" s="341" t="s">
        <v>661</v>
      </c>
      <c r="J246" s="342"/>
      <c r="K246" s="179"/>
      <c r="L246" s="179"/>
      <c r="M246" s="179"/>
      <c r="N246" s="568"/>
      <c r="O246" s="377"/>
      <c r="P246" s="519"/>
      <c r="Q246" s="378"/>
      <c r="R246" s="568"/>
      <c r="S246" s="343"/>
      <c r="T246" s="463"/>
      <c r="U246" s="463"/>
      <c r="V246" s="343"/>
      <c r="W246" s="463"/>
      <c r="X246" s="548">
        <f>SUM(X247:X249)</f>
        <v>5325000</v>
      </c>
      <c r="Y246" s="404" t="s">
        <v>55</v>
      </c>
    </row>
    <row r="247" spans="1:27" ht="21" customHeight="1">
      <c r="A247" s="26"/>
      <c r="B247" s="27"/>
      <c r="C247" s="27"/>
      <c r="D247" s="27"/>
      <c r="E247" s="29"/>
      <c r="F247" s="29"/>
      <c r="G247" s="30"/>
      <c r="H247" s="16"/>
      <c r="I247" s="172" t="s">
        <v>574</v>
      </c>
      <c r="J247" s="180"/>
      <c r="K247" s="179"/>
      <c r="L247" s="179"/>
      <c r="M247" s="179">
        <v>1100000</v>
      </c>
      <c r="N247" s="568" t="s">
        <v>55</v>
      </c>
      <c r="O247" s="377" t="s">
        <v>56</v>
      </c>
      <c r="P247" s="519">
        <v>0.5</v>
      </c>
      <c r="Q247" s="378">
        <v>2</v>
      </c>
      <c r="R247" s="568" t="s">
        <v>61</v>
      </c>
      <c r="S247" s="179"/>
      <c r="T247" s="568"/>
      <c r="U247" s="568" t="s">
        <v>356</v>
      </c>
      <c r="V247" s="56"/>
      <c r="W247" s="567"/>
      <c r="X247" s="41">
        <f>ROUND(M247*P247*Q247,-3)</f>
        <v>1100000</v>
      </c>
      <c r="Y247" s="391" t="s">
        <v>55</v>
      </c>
    </row>
    <row r="248" spans="1:27" ht="21" customHeight="1">
      <c r="A248" s="26"/>
      <c r="B248" s="27"/>
      <c r="C248" s="27"/>
      <c r="D248" s="27"/>
      <c r="E248" s="29"/>
      <c r="F248" s="29"/>
      <c r="G248" s="30"/>
      <c r="H248" s="16"/>
      <c r="I248" s="172" t="s">
        <v>805</v>
      </c>
      <c r="J248" s="333"/>
      <c r="K248" s="332"/>
      <c r="L248" s="332"/>
      <c r="M248" s="332">
        <v>2121000</v>
      </c>
      <c r="N248" s="334" t="s">
        <v>55</v>
      </c>
      <c r="O248" s="376" t="s">
        <v>56</v>
      </c>
      <c r="P248" s="492">
        <v>0.6</v>
      </c>
      <c r="Q248" s="379">
        <v>2</v>
      </c>
      <c r="R248" s="334" t="s">
        <v>61</v>
      </c>
      <c r="S248" s="332"/>
      <c r="T248" s="334"/>
      <c r="U248" s="334" t="s">
        <v>53</v>
      </c>
      <c r="V248" s="332"/>
      <c r="W248" s="334"/>
      <c r="X248" s="335">
        <f>ROUND(M248*P248*Q248,-3)</f>
        <v>2545000</v>
      </c>
      <c r="Y248" s="385" t="s">
        <v>55</v>
      </c>
    </row>
    <row r="249" spans="1:27" ht="21" customHeight="1">
      <c r="A249" s="26"/>
      <c r="B249" s="27"/>
      <c r="C249" s="27"/>
      <c r="D249" s="27"/>
      <c r="E249" s="29"/>
      <c r="F249" s="29"/>
      <c r="G249" s="30"/>
      <c r="H249" s="16"/>
      <c r="I249" s="172" t="s">
        <v>814</v>
      </c>
      <c r="J249" s="333"/>
      <c r="K249" s="332"/>
      <c r="L249" s="332"/>
      <c r="M249" s="332">
        <v>70000</v>
      </c>
      <c r="N249" s="334" t="s">
        <v>806</v>
      </c>
      <c r="O249" s="376" t="s">
        <v>807</v>
      </c>
      <c r="P249" s="317">
        <v>2</v>
      </c>
      <c r="Q249" s="379" t="s">
        <v>820</v>
      </c>
      <c r="R249" s="376" t="s">
        <v>56</v>
      </c>
      <c r="S249" s="332">
        <v>12</v>
      </c>
      <c r="T249" s="334" t="s">
        <v>821</v>
      </c>
      <c r="U249" s="334" t="s">
        <v>808</v>
      </c>
      <c r="V249" s="332"/>
      <c r="W249" s="334"/>
      <c r="X249" s="335">
        <f>ROUND(M249*P249*S249,-3)</f>
        <v>1680000</v>
      </c>
      <c r="Y249" s="385" t="s">
        <v>806</v>
      </c>
    </row>
    <row r="250" spans="1:27" ht="21" customHeight="1">
      <c r="A250" s="26"/>
      <c r="B250" s="27"/>
      <c r="C250" s="27"/>
      <c r="D250" s="27"/>
      <c r="E250" s="29"/>
      <c r="F250" s="29"/>
      <c r="G250" s="30"/>
      <c r="H250" s="16"/>
      <c r="I250" s="333"/>
      <c r="J250" s="229"/>
      <c r="K250" s="333"/>
      <c r="L250" s="333"/>
      <c r="M250" s="333"/>
      <c r="N250" s="288"/>
      <c r="O250" s="376"/>
      <c r="P250" s="520"/>
      <c r="Q250" s="288"/>
      <c r="R250" s="288"/>
      <c r="S250" s="229"/>
      <c r="T250" s="464"/>
      <c r="U250" s="464"/>
      <c r="V250" s="229"/>
      <c r="W250" s="464"/>
      <c r="X250" s="549"/>
      <c r="Y250" s="406"/>
    </row>
    <row r="251" spans="1:27" ht="21" customHeight="1" thickBot="1">
      <c r="A251" s="26"/>
      <c r="B251" s="27"/>
      <c r="C251" s="27"/>
      <c r="D251" s="27"/>
      <c r="E251" s="29"/>
      <c r="F251" s="29"/>
      <c r="G251" s="30"/>
      <c r="H251" s="16"/>
      <c r="I251" s="309" t="s">
        <v>595</v>
      </c>
      <c r="J251" s="310"/>
      <c r="K251" s="333"/>
      <c r="L251" s="333"/>
      <c r="M251" s="333"/>
      <c r="N251" s="288"/>
      <c r="O251" s="376"/>
      <c r="P251" s="520"/>
      <c r="Q251" s="288"/>
      <c r="R251" s="288"/>
      <c r="S251" s="310" t="s">
        <v>596</v>
      </c>
      <c r="T251" s="465"/>
      <c r="U251" s="465"/>
      <c r="V251" s="310"/>
      <c r="W251" s="465"/>
      <c r="X251" s="545">
        <f>SUM(X252:X253)</f>
        <v>5469000</v>
      </c>
      <c r="Y251" s="402" t="s">
        <v>55</v>
      </c>
      <c r="Z251" s="594"/>
    </row>
    <row r="252" spans="1:27" ht="21" customHeight="1">
      <c r="A252" s="26"/>
      <c r="B252" s="27"/>
      <c r="C252" s="27"/>
      <c r="D252" s="27"/>
      <c r="E252" s="29"/>
      <c r="F252" s="29"/>
      <c r="G252" s="30"/>
      <c r="H252" s="16"/>
      <c r="I252" s="333" t="s">
        <v>597</v>
      </c>
      <c r="J252" s="229"/>
      <c r="K252" s="333"/>
      <c r="L252" s="333"/>
      <c r="M252" s="332">
        <v>43977200</v>
      </c>
      <c r="N252" s="334" t="s">
        <v>55</v>
      </c>
      <c r="O252" s="376" t="s">
        <v>60</v>
      </c>
      <c r="P252" s="317"/>
      <c r="Q252" s="221"/>
      <c r="R252" s="221"/>
      <c r="S252" s="354">
        <v>12</v>
      </c>
      <c r="T252" s="223" t="s">
        <v>0</v>
      </c>
      <c r="U252" s="223" t="s">
        <v>53</v>
      </c>
      <c r="V252" s="332"/>
      <c r="W252" s="421"/>
      <c r="X252" s="299">
        <f>ROUNDUP(M252/S252,-3)</f>
        <v>3665000</v>
      </c>
      <c r="Y252" s="407" t="s">
        <v>55</v>
      </c>
    </row>
    <row r="253" spans="1:27" ht="21" customHeight="1">
      <c r="A253" s="26"/>
      <c r="B253" s="27"/>
      <c r="C253" s="27"/>
      <c r="D253" s="27"/>
      <c r="E253" s="29"/>
      <c r="F253" s="29"/>
      <c r="G253" s="30"/>
      <c r="H253" s="16"/>
      <c r="I253" s="333" t="s">
        <v>575</v>
      </c>
      <c r="J253" s="229"/>
      <c r="K253" s="333"/>
      <c r="L253" s="333"/>
      <c r="M253" s="332">
        <v>21651260</v>
      </c>
      <c r="N253" s="334" t="s">
        <v>55</v>
      </c>
      <c r="O253" s="376" t="s">
        <v>60</v>
      </c>
      <c r="P253" s="317"/>
      <c r="Q253" s="221"/>
      <c r="R253" s="221"/>
      <c r="S253" s="354">
        <v>12</v>
      </c>
      <c r="T253" s="223" t="s">
        <v>0</v>
      </c>
      <c r="U253" s="223" t="s">
        <v>53</v>
      </c>
      <c r="V253" s="332"/>
      <c r="W253" s="334"/>
      <c r="X253" s="335">
        <f>ROUND((M253/S253),-3)</f>
        <v>1804000</v>
      </c>
      <c r="Y253" s="385" t="s">
        <v>55</v>
      </c>
      <c r="AA253" s="593"/>
    </row>
    <row r="254" spans="1:27" ht="21" customHeight="1">
      <c r="A254" s="26"/>
      <c r="B254" s="27"/>
      <c r="C254" s="27"/>
      <c r="D254" s="27"/>
      <c r="E254" s="29"/>
      <c r="F254" s="29"/>
      <c r="G254" s="30"/>
      <c r="H254" s="16"/>
      <c r="I254" s="229"/>
      <c r="J254" s="229"/>
      <c r="K254" s="333"/>
      <c r="L254" s="333"/>
      <c r="M254" s="333"/>
      <c r="N254" s="288"/>
      <c r="O254" s="376"/>
      <c r="P254" s="520"/>
      <c r="Q254" s="288"/>
      <c r="R254" s="288"/>
      <c r="S254" s="333"/>
      <c r="T254" s="288"/>
      <c r="U254" s="288"/>
      <c r="V254" s="333"/>
      <c r="W254" s="288"/>
      <c r="X254" s="335"/>
      <c r="Y254" s="385"/>
    </row>
    <row r="255" spans="1:27" ht="21" customHeight="1" thickBot="1">
      <c r="A255" s="26"/>
      <c r="B255" s="27"/>
      <c r="C255" s="27"/>
      <c r="D255" s="27"/>
      <c r="E255" s="29"/>
      <c r="F255" s="29"/>
      <c r="G255" s="30"/>
      <c r="H255" s="16"/>
      <c r="I255" s="309" t="s">
        <v>578</v>
      </c>
      <c r="J255" s="310"/>
      <c r="K255" s="333"/>
      <c r="L255" s="333"/>
      <c r="M255" s="333"/>
      <c r="N255" s="288"/>
      <c r="O255" s="376"/>
      <c r="P255" s="520"/>
      <c r="Q255" s="288"/>
      <c r="R255" s="288"/>
      <c r="S255" s="310" t="s">
        <v>588</v>
      </c>
      <c r="T255" s="465"/>
      <c r="U255" s="465"/>
      <c r="V255" s="310"/>
      <c r="W255" s="465"/>
      <c r="X255" s="545">
        <f>SUM(X256:X260)</f>
        <v>4538000</v>
      </c>
      <c r="Y255" s="402" t="s">
        <v>55</v>
      </c>
      <c r="Z255" s="594"/>
    </row>
    <row r="256" spans="1:27" ht="21" customHeight="1">
      <c r="A256" s="26"/>
      <c r="B256" s="27"/>
      <c r="C256" s="27"/>
      <c r="D256" s="27"/>
      <c r="E256" s="29"/>
      <c r="F256" s="29"/>
      <c r="G256" s="30"/>
      <c r="H256" s="16"/>
      <c r="I256" s="172" t="s">
        <v>358</v>
      </c>
      <c r="J256" s="333"/>
      <c r="K256" s="332"/>
      <c r="L256" s="332"/>
      <c r="M256" s="332">
        <v>43977200</v>
      </c>
      <c r="N256" s="334" t="s">
        <v>55</v>
      </c>
      <c r="O256" s="376" t="s">
        <v>56</v>
      </c>
      <c r="P256" s="514">
        <v>0.09</v>
      </c>
      <c r="Q256" s="334">
        <v>2</v>
      </c>
      <c r="R256" s="221"/>
      <c r="S256" s="311"/>
      <c r="T256" s="457"/>
      <c r="U256" s="334" t="s">
        <v>53</v>
      </c>
      <c r="V256" s="332"/>
      <c r="W256" s="334"/>
      <c r="X256" s="335">
        <f>ROUND(M256*P256/Q256,-3)</f>
        <v>1979000</v>
      </c>
      <c r="Y256" s="385" t="s">
        <v>55</v>
      </c>
    </row>
    <row r="257" spans="1:26" ht="21" customHeight="1">
      <c r="A257" s="26"/>
      <c r="B257" s="27"/>
      <c r="C257" s="27"/>
      <c r="D257" s="27"/>
      <c r="E257" s="29"/>
      <c r="F257" s="29"/>
      <c r="G257" s="30"/>
      <c r="H257" s="16"/>
      <c r="I257" s="172" t="s">
        <v>359</v>
      </c>
      <c r="J257" s="333"/>
      <c r="K257" s="332"/>
      <c r="L257" s="332"/>
      <c r="M257" s="332">
        <v>43977200</v>
      </c>
      <c r="N257" s="334" t="s">
        <v>55</v>
      </c>
      <c r="O257" s="376" t="s">
        <v>56</v>
      </c>
      <c r="P257" s="515">
        <v>7.0900000000000005E-2</v>
      </c>
      <c r="Q257" s="334">
        <v>2</v>
      </c>
      <c r="R257" s="221"/>
      <c r="S257" s="311"/>
      <c r="T257" s="457"/>
      <c r="U257" s="334" t="s">
        <v>53</v>
      </c>
      <c r="V257" s="332"/>
      <c r="W257" s="334"/>
      <c r="X257" s="335">
        <f>ROUND(M257*P257/Q257,-3)</f>
        <v>1559000</v>
      </c>
      <c r="Y257" s="385" t="s">
        <v>55</v>
      </c>
    </row>
    <row r="258" spans="1:26" ht="21" customHeight="1">
      <c r="A258" s="26"/>
      <c r="B258" s="27"/>
      <c r="C258" s="27"/>
      <c r="D258" s="27"/>
      <c r="E258" s="29"/>
      <c r="F258" s="29"/>
      <c r="G258" s="30"/>
      <c r="H258" s="16"/>
      <c r="I258" s="172" t="s">
        <v>360</v>
      </c>
      <c r="J258" s="333"/>
      <c r="K258" s="332"/>
      <c r="L258" s="332"/>
      <c r="M258" s="332">
        <v>1559000</v>
      </c>
      <c r="N258" s="334" t="s">
        <v>55</v>
      </c>
      <c r="O258" s="376" t="s">
        <v>56</v>
      </c>
      <c r="P258" s="516">
        <v>0.12809999999999999</v>
      </c>
      <c r="Q258" s="221"/>
      <c r="R258" s="221"/>
      <c r="S258" s="311"/>
      <c r="T258" s="457"/>
      <c r="U258" s="334" t="s">
        <v>53</v>
      </c>
      <c r="V258" s="332"/>
      <c r="W258" s="334"/>
      <c r="X258" s="335">
        <f>ROUND(M258*P258,-3)</f>
        <v>200000</v>
      </c>
      <c r="Y258" s="385" t="s">
        <v>55</v>
      </c>
    </row>
    <row r="259" spans="1:26" ht="21" customHeight="1">
      <c r="A259" s="26"/>
      <c r="B259" s="27"/>
      <c r="C259" s="27"/>
      <c r="D259" s="27"/>
      <c r="E259" s="29"/>
      <c r="F259" s="29"/>
      <c r="G259" s="30"/>
      <c r="H259" s="16"/>
      <c r="I259" s="172" t="s">
        <v>361</v>
      </c>
      <c r="J259" s="333"/>
      <c r="K259" s="332"/>
      <c r="L259" s="332"/>
      <c r="M259" s="332">
        <v>43977200</v>
      </c>
      <c r="N259" s="334" t="s">
        <v>55</v>
      </c>
      <c r="O259" s="376" t="s">
        <v>56</v>
      </c>
      <c r="P259" s="516">
        <v>1.15E-2</v>
      </c>
      <c r="Q259" s="221"/>
      <c r="R259" s="221"/>
      <c r="S259" s="311"/>
      <c r="T259" s="457"/>
      <c r="U259" s="334" t="s">
        <v>53</v>
      </c>
      <c r="V259" s="332"/>
      <c r="W259" s="334"/>
      <c r="X259" s="335">
        <f t="shared" ref="X259" si="3">ROUND(M259*P259,-3)</f>
        <v>506000</v>
      </c>
      <c r="Y259" s="385" t="s">
        <v>55</v>
      </c>
    </row>
    <row r="260" spans="1:26" ht="21" customHeight="1">
      <c r="A260" s="26"/>
      <c r="B260" s="27"/>
      <c r="C260" s="27"/>
      <c r="D260" s="27"/>
      <c r="E260" s="29"/>
      <c r="F260" s="29"/>
      <c r="G260" s="30"/>
      <c r="H260" s="16"/>
      <c r="I260" s="172" t="s">
        <v>362</v>
      </c>
      <c r="J260" s="333"/>
      <c r="K260" s="332"/>
      <c r="L260" s="332"/>
      <c r="M260" s="332">
        <v>43977200</v>
      </c>
      <c r="N260" s="334" t="s">
        <v>55</v>
      </c>
      <c r="O260" s="376" t="s">
        <v>56</v>
      </c>
      <c r="P260" s="517">
        <v>6.6699999999999997E-3</v>
      </c>
      <c r="Q260" s="221"/>
      <c r="R260" s="221"/>
      <c r="S260" s="311"/>
      <c r="T260" s="457"/>
      <c r="U260" s="334" t="s">
        <v>53</v>
      </c>
      <c r="V260" s="332"/>
      <c r="W260" s="334"/>
      <c r="X260" s="335">
        <f>ROUNDUP(M260*P260,-3)</f>
        <v>294000</v>
      </c>
      <c r="Y260" s="385" t="s">
        <v>55</v>
      </c>
    </row>
    <row r="261" spans="1:26" ht="21" customHeight="1">
      <c r="A261" s="26"/>
      <c r="B261" s="27"/>
      <c r="C261" s="27"/>
      <c r="D261" s="27"/>
      <c r="E261" s="29"/>
      <c r="F261" s="29"/>
      <c r="G261" s="30"/>
      <c r="H261" s="16"/>
      <c r="I261" s="241"/>
      <c r="J261" s="229"/>
      <c r="K261" s="333"/>
      <c r="L261" s="333"/>
      <c r="M261" s="1"/>
      <c r="N261" s="288"/>
      <c r="O261" s="288"/>
      <c r="P261" s="520"/>
      <c r="Q261" s="288"/>
      <c r="R261" s="288"/>
      <c r="S261" s="333"/>
      <c r="T261" s="288"/>
      <c r="U261" s="288"/>
      <c r="V261" s="333"/>
      <c r="W261" s="288"/>
      <c r="X261" s="335"/>
      <c r="Y261" s="385"/>
    </row>
    <row r="262" spans="1:26" ht="21" customHeight="1" thickBot="1">
      <c r="A262" s="26"/>
      <c r="B262" s="27"/>
      <c r="C262" s="27"/>
      <c r="D262" s="27"/>
      <c r="E262" s="29"/>
      <c r="F262" s="29"/>
      <c r="G262" s="30"/>
      <c r="H262" s="16"/>
      <c r="I262" s="309" t="s">
        <v>697</v>
      </c>
      <c r="J262" s="310"/>
      <c r="K262" s="333"/>
      <c r="L262" s="333"/>
      <c r="M262" s="333"/>
      <c r="N262" s="288"/>
      <c r="O262" s="288"/>
      <c r="P262" s="520"/>
      <c r="Q262" s="288"/>
      <c r="R262" s="288"/>
      <c r="S262" s="310" t="s">
        <v>698</v>
      </c>
      <c r="T262" s="465"/>
      <c r="U262" s="465"/>
      <c r="V262" s="310"/>
      <c r="W262" s="465"/>
      <c r="X262" s="545">
        <f>X263+X271+X285</f>
        <v>16294000</v>
      </c>
      <c r="Y262" s="402" t="s">
        <v>25</v>
      </c>
      <c r="Z262" s="594"/>
    </row>
    <row r="263" spans="1:26" ht="21" hidden="1" customHeight="1">
      <c r="A263" s="26"/>
      <c r="B263" s="27"/>
      <c r="C263" s="27"/>
      <c r="D263" s="27"/>
      <c r="E263" s="29"/>
      <c r="F263" s="29"/>
      <c r="G263" s="30"/>
      <c r="H263" s="16"/>
      <c r="I263" s="428" t="s">
        <v>665</v>
      </c>
      <c r="J263" s="373"/>
      <c r="K263" s="241"/>
      <c r="L263" s="241"/>
      <c r="M263" s="241"/>
      <c r="N263" s="171"/>
      <c r="O263" s="171"/>
      <c r="P263" s="528"/>
      <c r="Q263" s="171"/>
      <c r="R263" s="171"/>
      <c r="S263" s="241"/>
      <c r="T263" s="171"/>
      <c r="U263" s="171"/>
      <c r="V263" s="372"/>
      <c r="W263" s="470"/>
      <c r="X263" s="550">
        <f>SUM(X264:X269)</f>
        <v>0</v>
      </c>
      <c r="Y263" s="427" t="s">
        <v>25</v>
      </c>
    </row>
    <row r="264" spans="1:26" ht="21" hidden="1" customHeight="1">
      <c r="A264" s="26"/>
      <c r="B264" s="27"/>
      <c r="C264" s="27"/>
      <c r="D264" s="27"/>
      <c r="E264" s="29"/>
      <c r="F264" s="29"/>
      <c r="G264" s="30"/>
      <c r="H264" s="16"/>
      <c r="I264" s="241" t="s">
        <v>666</v>
      </c>
      <c r="J264" s="158"/>
      <c r="K264" s="241"/>
      <c r="L264" s="241"/>
      <c r="M264" s="241"/>
      <c r="N264" s="171"/>
      <c r="O264" s="171"/>
      <c r="P264" s="528"/>
      <c r="Q264" s="171"/>
      <c r="R264" s="171"/>
      <c r="S264" s="241"/>
      <c r="T264" s="171"/>
      <c r="U264" s="171"/>
      <c r="V264" s="241"/>
      <c r="W264" s="171"/>
      <c r="X264" s="281">
        <v>0</v>
      </c>
      <c r="Y264" s="395" t="s">
        <v>25</v>
      </c>
    </row>
    <row r="265" spans="1:26" ht="21" hidden="1" customHeight="1">
      <c r="A265" s="26"/>
      <c r="B265" s="27"/>
      <c r="C265" s="27"/>
      <c r="D265" s="27"/>
      <c r="E265" s="29"/>
      <c r="F265" s="29"/>
      <c r="G265" s="30"/>
      <c r="H265" s="16"/>
      <c r="I265" s="241" t="s">
        <v>667</v>
      </c>
      <c r="J265" s="158"/>
      <c r="K265" s="241"/>
      <c r="L265" s="241"/>
      <c r="M265" s="241"/>
      <c r="N265" s="171"/>
      <c r="O265" s="171"/>
      <c r="P265" s="528"/>
      <c r="Q265" s="171"/>
      <c r="R265" s="171"/>
      <c r="S265" s="241"/>
      <c r="T265" s="171"/>
      <c r="U265" s="171"/>
      <c r="V265" s="241"/>
      <c r="W265" s="171"/>
      <c r="X265" s="281">
        <v>0</v>
      </c>
      <c r="Y265" s="395" t="s">
        <v>25</v>
      </c>
    </row>
    <row r="266" spans="1:26" ht="21" hidden="1" customHeight="1">
      <c r="A266" s="26"/>
      <c r="B266" s="27"/>
      <c r="C266" s="27"/>
      <c r="D266" s="27"/>
      <c r="E266" s="29"/>
      <c r="F266" s="29"/>
      <c r="G266" s="30"/>
      <c r="H266" s="16"/>
      <c r="I266" s="241" t="s">
        <v>668</v>
      </c>
      <c r="J266" s="158"/>
      <c r="K266" s="241"/>
      <c r="L266" s="241"/>
      <c r="M266" s="241"/>
      <c r="N266" s="171"/>
      <c r="O266" s="171"/>
      <c r="P266" s="528"/>
      <c r="Q266" s="171"/>
      <c r="R266" s="171"/>
      <c r="S266" s="241"/>
      <c r="T266" s="171"/>
      <c r="U266" s="171"/>
      <c r="V266" s="241"/>
      <c r="W266" s="171"/>
      <c r="X266" s="281">
        <v>0</v>
      </c>
      <c r="Y266" s="395" t="s">
        <v>25</v>
      </c>
    </row>
    <row r="267" spans="1:26" ht="21" hidden="1" customHeight="1">
      <c r="A267" s="26"/>
      <c r="B267" s="27"/>
      <c r="C267" s="27"/>
      <c r="D267" s="27"/>
      <c r="E267" s="29"/>
      <c r="F267" s="29"/>
      <c r="G267" s="30"/>
      <c r="H267" s="16"/>
      <c r="I267" s="241" t="s">
        <v>669</v>
      </c>
      <c r="J267" s="158"/>
      <c r="K267" s="241"/>
      <c r="L267" s="241"/>
      <c r="M267" s="241"/>
      <c r="N267" s="171"/>
      <c r="O267" s="171"/>
      <c r="P267" s="528"/>
      <c r="Q267" s="171"/>
      <c r="R267" s="171"/>
      <c r="S267" s="241"/>
      <c r="T267" s="171"/>
      <c r="U267" s="171"/>
      <c r="V267" s="241"/>
      <c r="W267" s="171"/>
      <c r="X267" s="281">
        <v>0</v>
      </c>
      <c r="Y267" s="395" t="s">
        <v>25</v>
      </c>
    </row>
    <row r="268" spans="1:26" ht="21" hidden="1" customHeight="1">
      <c r="A268" s="26"/>
      <c r="B268" s="27"/>
      <c r="C268" s="27"/>
      <c r="D268" s="27"/>
      <c r="E268" s="29"/>
      <c r="F268" s="29"/>
      <c r="G268" s="30"/>
      <c r="H268" s="16"/>
      <c r="I268" s="241" t="s">
        <v>670</v>
      </c>
      <c r="J268" s="158"/>
      <c r="K268" s="241"/>
      <c r="L268" s="241"/>
      <c r="M268" s="241"/>
      <c r="N268" s="171"/>
      <c r="O268" s="171"/>
      <c r="P268" s="528"/>
      <c r="Q268" s="171"/>
      <c r="R268" s="171"/>
      <c r="S268" s="241"/>
      <c r="T268" s="171"/>
      <c r="U268" s="171"/>
      <c r="V268" s="241"/>
      <c r="W268" s="171"/>
      <c r="X268" s="281">
        <v>0</v>
      </c>
      <c r="Y268" s="395" t="s">
        <v>25</v>
      </c>
    </row>
    <row r="269" spans="1:26" ht="21" hidden="1" customHeight="1">
      <c r="A269" s="26"/>
      <c r="B269" s="27"/>
      <c r="C269" s="27"/>
      <c r="D269" s="27"/>
      <c r="E269" s="29"/>
      <c r="F269" s="29"/>
      <c r="G269" s="30"/>
      <c r="H269" s="16"/>
      <c r="I269" s="241" t="s">
        <v>671</v>
      </c>
      <c r="J269" s="158"/>
      <c r="K269" s="241"/>
      <c r="L269" s="241"/>
      <c r="M269" s="241"/>
      <c r="N269" s="171"/>
      <c r="O269" s="171"/>
      <c r="P269" s="528"/>
      <c r="Q269" s="171"/>
      <c r="R269" s="171"/>
      <c r="S269" s="241"/>
      <c r="T269" s="171"/>
      <c r="U269" s="171"/>
      <c r="V269" s="241"/>
      <c r="W269" s="171"/>
      <c r="X269" s="281">
        <v>0</v>
      </c>
      <c r="Y269" s="395" t="s">
        <v>25</v>
      </c>
    </row>
    <row r="270" spans="1:26" ht="21" hidden="1" customHeight="1">
      <c r="A270" s="26"/>
      <c r="B270" s="27"/>
      <c r="C270" s="27"/>
      <c r="D270" s="27"/>
      <c r="E270" s="29"/>
      <c r="F270" s="29"/>
      <c r="G270" s="30"/>
      <c r="H270" s="16"/>
      <c r="I270" s="333"/>
      <c r="J270" s="229"/>
      <c r="K270" s="333"/>
      <c r="L270" s="333"/>
      <c r="M270" s="333"/>
      <c r="N270" s="288"/>
      <c r="O270" s="288"/>
      <c r="P270" s="520"/>
      <c r="Q270" s="288"/>
      <c r="R270" s="288"/>
      <c r="S270" s="333"/>
      <c r="T270" s="288"/>
      <c r="U270" s="288"/>
      <c r="V270" s="333"/>
      <c r="W270" s="288"/>
      <c r="X270" s="335"/>
      <c r="Y270" s="385"/>
    </row>
    <row r="271" spans="1:26" ht="21" customHeight="1">
      <c r="A271" s="26"/>
      <c r="B271" s="27"/>
      <c r="C271" s="27"/>
      <c r="D271" s="27"/>
      <c r="E271" s="29"/>
      <c r="F271" s="29"/>
      <c r="G271" s="30"/>
      <c r="H271" s="16"/>
      <c r="I271" s="173" t="s">
        <v>672</v>
      </c>
      <c r="J271" s="177"/>
      <c r="K271" s="333"/>
      <c r="L271" s="333"/>
      <c r="M271" s="333"/>
      <c r="N271" s="288"/>
      <c r="O271" s="288"/>
      <c r="P271" s="520"/>
      <c r="Q271" s="288"/>
      <c r="R271" s="288"/>
      <c r="S271" s="333"/>
      <c r="T271" s="288"/>
      <c r="U271" s="288"/>
      <c r="V271" s="576"/>
      <c r="W271" s="228"/>
      <c r="X271" s="231">
        <f>SUM(X272:X284)</f>
        <v>16294000</v>
      </c>
      <c r="Y271" s="405" t="s">
        <v>25</v>
      </c>
    </row>
    <row r="272" spans="1:26" ht="21" customHeight="1">
      <c r="A272" s="26"/>
      <c r="B272" s="27"/>
      <c r="C272" s="27"/>
      <c r="D272" s="27"/>
      <c r="E272" s="29"/>
      <c r="F272" s="29"/>
      <c r="G272" s="30"/>
      <c r="H272" s="16"/>
      <c r="I272" s="333" t="s">
        <v>673</v>
      </c>
      <c r="J272" s="229"/>
      <c r="K272" s="333"/>
      <c r="L272" s="333"/>
      <c r="M272" s="333"/>
      <c r="N272" s="288"/>
      <c r="O272" s="288"/>
      <c r="P272" s="520"/>
      <c r="Q272" s="288"/>
      <c r="R272" s="288"/>
      <c r="S272" s="333"/>
      <c r="T272" s="288"/>
      <c r="U272" s="288"/>
      <c r="V272" s="333"/>
      <c r="W272" s="288"/>
      <c r="X272" s="335">
        <v>2500000</v>
      </c>
      <c r="Y272" s="385" t="s">
        <v>25</v>
      </c>
    </row>
    <row r="273" spans="1:27" ht="21" customHeight="1">
      <c r="A273" s="26"/>
      <c r="B273" s="27"/>
      <c r="C273" s="27"/>
      <c r="D273" s="27"/>
      <c r="E273" s="29"/>
      <c r="F273" s="29"/>
      <c r="G273" s="30"/>
      <c r="H273" s="16"/>
      <c r="I273" s="333" t="s">
        <v>699</v>
      </c>
      <c r="J273" s="229"/>
      <c r="K273" s="333"/>
      <c r="L273" s="333"/>
      <c r="M273" s="333"/>
      <c r="N273" s="288"/>
      <c r="O273" s="288"/>
      <c r="P273" s="520"/>
      <c r="Q273" s="288"/>
      <c r="R273" s="288"/>
      <c r="S273" s="333"/>
      <c r="T273" s="288"/>
      <c r="U273" s="288"/>
      <c r="V273" s="333"/>
      <c r="W273" s="288"/>
      <c r="X273" s="335">
        <v>3000000</v>
      </c>
      <c r="Y273" s="385" t="s">
        <v>25</v>
      </c>
    </row>
    <row r="274" spans="1:27" ht="21" customHeight="1">
      <c r="A274" s="26"/>
      <c r="B274" s="27"/>
      <c r="C274" s="27"/>
      <c r="D274" s="27"/>
      <c r="E274" s="29"/>
      <c r="F274" s="29"/>
      <c r="G274" s="30"/>
      <c r="H274" s="16"/>
      <c r="I274" s="333" t="s">
        <v>674</v>
      </c>
      <c r="J274" s="229"/>
      <c r="K274" s="333"/>
      <c r="L274" s="333"/>
      <c r="M274" s="333"/>
      <c r="N274" s="288"/>
      <c r="O274" s="288"/>
      <c r="P274" s="520"/>
      <c r="Q274" s="288"/>
      <c r="R274" s="288"/>
      <c r="S274" s="333"/>
      <c r="T274" s="288"/>
      <c r="U274" s="288"/>
      <c r="V274" s="333"/>
      <c r="W274" s="288"/>
      <c r="X274" s="335">
        <v>5000000</v>
      </c>
      <c r="Y274" s="385" t="s">
        <v>25</v>
      </c>
      <c r="AA274" s="593"/>
    </row>
    <row r="275" spans="1:27" ht="21" customHeight="1">
      <c r="A275" s="26"/>
      <c r="B275" s="27"/>
      <c r="C275" s="27"/>
      <c r="D275" s="27"/>
      <c r="E275" s="29"/>
      <c r="F275" s="29"/>
      <c r="G275" s="30"/>
      <c r="H275" s="16"/>
      <c r="I275" s="333" t="s">
        <v>579</v>
      </c>
      <c r="J275" s="229"/>
      <c r="K275" s="333"/>
      <c r="L275" s="333"/>
      <c r="M275" s="333"/>
      <c r="N275" s="288"/>
      <c r="O275" s="288"/>
      <c r="P275" s="520"/>
      <c r="Q275" s="288"/>
      <c r="R275" s="288"/>
      <c r="S275" s="333"/>
      <c r="T275" s="288"/>
      <c r="U275" s="288"/>
      <c r="V275" s="333"/>
      <c r="W275" s="288"/>
      <c r="X275" s="335">
        <v>1500000</v>
      </c>
      <c r="Y275" s="385" t="s">
        <v>25</v>
      </c>
    </row>
    <row r="276" spans="1:27" ht="21" customHeight="1">
      <c r="A276" s="26"/>
      <c r="B276" s="27"/>
      <c r="C276" s="27"/>
      <c r="D276" s="27"/>
      <c r="E276" s="29"/>
      <c r="F276" s="29"/>
      <c r="G276" s="30"/>
      <c r="H276" s="16"/>
      <c r="I276" s="333" t="s">
        <v>700</v>
      </c>
      <c r="J276" s="229"/>
      <c r="K276" s="333"/>
      <c r="L276" s="333"/>
      <c r="M276" s="332"/>
      <c r="N276" s="334"/>
      <c r="O276" s="379"/>
      <c r="P276" s="335"/>
      <c r="Q276" s="288"/>
      <c r="R276" s="288"/>
      <c r="S276" s="333"/>
      <c r="T276" s="288"/>
      <c r="U276" s="288"/>
      <c r="V276" s="333"/>
      <c r="W276" s="288"/>
      <c r="X276" s="335">
        <v>504000</v>
      </c>
      <c r="Y276" s="385" t="s">
        <v>25</v>
      </c>
    </row>
    <row r="277" spans="1:27" ht="21" customHeight="1">
      <c r="A277" s="26"/>
      <c r="B277" s="27"/>
      <c r="C277" s="27"/>
      <c r="D277" s="27"/>
      <c r="E277" s="29"/>
      <c r="F277" s="29"/>
      <c r="G277" s="30"/>
      <c r="H277" s="16"/>
      <c r="I277" s="333" t="s">
        <v>701</v>
      </c>
      <c r="J277" s="229"/>
      <c r="K277" s="333"/>
      <c r="L277" s="333"/>
      <c r="M277" s="333"/>
      <c r="N277" s="288"/>
      <c r="O277" s="288"/>
      <c r="P277" s="520"/>
      <c r="Q277" s="288"/>
      <c r="R277" s="288"/>
      <c r="S277" s="333"/>
      <c r="T277" s="288"/>
      <c r="U277" s="288"/>
      <c r="V277" s="333"/>
      <c r="W277" s="288"/>
      <c r="X277" s="335">
        <v>140000</v>
      </c>
      <c r="Y277" s="385" t="s">
        <v>25</v>
      </c>
    </row>
    <row r="278" spans="1:27" ht="21" customHeight="1">
      <c r="A278" s="26"/>
      <c r="B278" s="27"/>
      <c r="C278" s="27"/>
      <c r="D278" s="27"/>
      <c r="E278" s="29"/>
      <c r="F278" s="29"/>
      <c r="G278" s="30"/>
      <c r="H278" s="16"/>
      <c r="I278" s="333" t="s">
        <v>702</v>
      </c>
      <c r="J278" s="229"/>
      <c r="K278" s="333"/>
      <c r="L278" s="333"/>
      <c r="M278" s="332">
        <v>50000</v>
      </c>
      <c r="N278" s="334" t="s">
        <v>55</v>
      </c>
      <c r="O278" s="376" t="s">
        <v>56</v>
      </c>
      <c r="P278" s="317">
        <v>45</v>
      </c>
      <c r="Q278" s="379" t="s">
        <v>813</v>
      </c>
      <c r="R278" s="334"/>
      <c r="S278" s="332"/>
      <c r="T278" s="334"/>
      <c r="U278" s="334" t="s">
        <v>53</v>
      </c>
      <c r="V278" s="332"/>
      <c r="W278" s="334"/>
      <c r="X278" s="335">
        <f>M278*P278</f>
        <v>2250000</v>
      </c>
      <c r="Y278" s="385" t="s">
        <v>25</v>
      </c>
      <c r="AA278" s="593"/>
    </row>
    <row r="279" spans="1:27" ht="21" customHeight="1">
      <c r="A279" s="26"/>
      <c r="B279" s="27"/>
      <c r="C279" s="27"/>
      <c r="D279" s="27"/>
      <c r="E279" s="29"/>
      <c r="F279" s="29"/>
      <c r="G279" s="30"/>
      <c r="H279" s="16"/>
      <c r="I279" s="333" t="s">
        <v>703</v>
      </c>
      <c r="J279" s="229"/>
      <c r="K279" s="333"/>
      <c r="L279" s="333"/>
      <c r="M279" s="333"/>
      <c r="N279" s="288"/>
      <c r="O279" s="288"/>
      <c r="P279" s="520"/>
      <c r="Q279" s="288"/>
      <c r="R279" s="288"/>
      <c r="S279" s="333"/>
      <c r="T279" s="288"/>
      <c r="U279" s="288"/>
      <c r="V279" s="333"/>
      <c r="W279" s="288"/>
      <c r="X279" s="335">
        <v>300000</v>
      </c>
      <c r="Y279" s="385" t="s">
        <v>25</v>
      </c>
    </row>
    <row r="280" spans="1:27" ht="21" customHeight="1">
      <c r="A280" s="26"/>
      <c r="B280" s="27"/>
      <c r="C280" s="27"/>
      <c r="D280" s="27"/>
      <c r="E280" s="29"/>
      <c r="F280" s="29"/>
      <c r="G280" s="30"/>
      <c r="H280" s="16"/>
      <c r="I280" s="333" t="s">
        <v>704</v>
      </c>
      <c r="J280" s="229"/>
      <c r="K280" s="333"/>
      <c r="L280" s="333"/>
      <c r="M280" s="333"/>
      <c r="N280" s="288"/>
      <c r="O280" s="288"/>
      <c r="P280" s="520"/>
      <c r="Q280" s="288"/>
      <c r="R280" s="288"/>
      <c r="S280" s="333"/>
      <c r="T280" s="288"/>
      <c r="U280" s="288"/>
      <c r="V280" s="333"/>
      <c r="W280" s="288"/>
      <c r="X280" s="335">
        <v>0</v>
      </c>
      <c r="Y280" s="385" t="s">
        <v>25</v>
      </c>
    </row>
    <row r="281" spans="1:27" ht="21" customHeight="1">
      <c r="A281" s="26"/>
      <c r="B281" s="27"/>
      <c r="C281" s="27"/>
      <c r="D281" s="27"/>
      <c r="E281" s="29"/>
      <c r="F281" s="29"/>
      <c r="G281" s="30"/>
      <c r="H281" s="16"/>
      <c r="I281" s="333" t="s">
        <v>747</v>
      </c>
      <c r="J281" s="229"/>
      <c r="K281" s="333"/>
      <c r="L281" s="333"/>
      <c r="M281" s="333"/>
      <c r="N281" s="288"/>
      <c r="O281" s="288"/>
      <c r="P281" s="520"/>
      <c r="Q281" s="288"/>
      <c r="R281" s="288"/>
      <c r="S281" s="333"/>
      <c r="T281" s="288"/>
      <c r="U281" s="288"/>
      <c r="V281" s="333"/>
      <c r="W281" s="288"/>
      <c r="X281" s="335">
        <v>500000</v>
      </c>
      <c r="Y281" s="385" t="s">
        <v>25</v>
      </c>
    </row>
    <row r="282" spans="1:27" ht="21" customHeight="1">
      <c r="A282" s="26"/>
      <c r="B282" s="27"/>
      <c r="C282" s="27"/>
      <c r="D282" s="27"/>
      <c r="E282" s="29"/>
      <c r="F282" s="29"/>
      <c r="G282" s="30"/>
      <c r="H282" s="16"/>
      <c r="I282" s="333" t="s">
        <v>748</v>
      </c>
      <c r="J282" s="229"/>
      <c r="K282" s="333"/>
      <c r="L282" s="333"/>
      <c r="M282" s="333"/>
      <c r="N282" s="288"/>
      <c r="O282" s="288"/>
      <c r="P282" s="520"/>
      <c r="Q282" s="288"/>
      <c r="R282" s="288"/>
      <c r="S282" s="333"/>
      <c r="T282" s="288"/>
      <c r="U282" s="288"/>
      <c r="V282" s="333"/>
      <c r="W282" s="288"/>
      <c r="X282" s="335">
        <v>600000</v>
      </c>
      <c r="Y282" s="385" t="s">
        <v>25</v>
      </c>
    </row>
    <row r="283" spans="1:27" ht="21" customHeight="1">
      <c r="A283" s="26"/>
      <c r="B283" s="27"/>
      <c r="C283" s="27"/>
      <c r="D283" s="27"/>
      <c r="E283" s="29"/>
      <c r="F283" s="29"/>
      <c r="G283" s="30"/>
      <c r="H283" s="16"/>
      <c r="I283" s="333" t="s">
        <v>740</v>
      </c>
      <c r="J283" s="229"/>
      <c r="K283" s="333"/>
      <c r="L283" s="333"/>
      <c r="M283" s="333"/>
      <c r="N283" s="288"/>
      <c r="O283" s="288"/>
      <c r="P283" s="520"/>
      <c r="Q283" s="288"/>
      <c r="R283" s="288"/>
      <c r="S283" s="333"/>
      <c r="T283" s="288"/>
      <c r="U283" s="288"/>
      <c r="V283" s="333"/>
      <c r="W283" s="288"/>
      <c r="X283" s="335">
        <v>0</v>
      </c>
      <c r="Y283" s="385" t="s">
        <v>25</v>
      </c>
    </row>
    <row r="284" spans="1:27" ht="21" customHeight="1">
      <c r="A284" s="26"/>
      <c r="B284" s="27"/>
      <c r="C284" s="27"/>
      <c r="D284" s="27"/>
      <c r="E284" s="29"/>
      <c r="F284" s="29"/>
      <c r="G284" s="30"/>
      <c r="H284" s="16"/>
      <c r="I284" s="333"/>
      <c r="J284" s="229"/>
      <c r="K284" s="333"/>
      <c r="L284" s="333"/>
      <c r="M284" s="333"/>
      <c r="N284" s="288"/>
      <c r="O284" s="288"/>
      <c r="P284" s="520"/>
      <c r="Q284" s="288"/>
      <c r="R284" s="288"/>
      <c r="S284" s="333"/>
      <c r="T284" s="288"/>
      <c r="U284" s="288"/>
      <c r="V284" s="333"/>
      <c r="W284" s="288"/>
      <c r="X284" s="335"/>
      <c r="Y284" s="385"/>
    </row>
    <row r="285" spans="1:27" ht="21" hidden="1" customHeight="1">
      <c r="A285" s="26"/>
      <c r="B285" s="27"/>
      <c r="C285" s="27"/>
      <c r="D285" s="27"/>
      <c r="E285" s="29"/>
      <c r="F285" s="29"/>
      <c r="G285" s="30"/>
      <c r="H285" s="16"/>
      <c r="I285" s="173" t="s">
        <v>675</v>
      </c>
      <c r="J285" s="177"/>
      <c r="K285" s="333"/>
      <c r="L285" s="333"/>
      <c r="M285" s="333"/>
      <c r="N285" s="288"/>
      <c r="O285" s="288"/>
      <c r="P285" s="520"/>
      <c r="Q285" s="288"/>
      <c r="R285" s="288"/>
      <c r="S285" s="333"/>
      <c r="T285" s="288"/>
      <c r="U285" s="288"/>
      <c r="V285" s="576"/>
      <c r="W285" s="228"/>
      <c r="X285" s="231">
        <v>0</v>
      </c>
      <c r="Y285" s="405" t="s">
        <v>25</v>
      </c>
    </row>
    <row r="286" spans="1:27" ht="21" hidden="1" customHeight="1">
      <c r="A286" s="26"/>
      <c r="B286" s="27"/>
      <c r="C286" s="27"/>
      <c r="D286" s="27"/>
      <c r="E286" s="29"/>
      <c r="F286" s="29"/>
      <c r="G286" s="30"/>
      <c r="H286" s="16"/>
      <c r="I286" s="333"/>
      <c r="J286" s="229"/>
      <c r="K286" s="333"/>
      <c r="L286" s="333"/>
      <c r="M286" s="333"/>
      <c r="N286" s="288"/>
      <c r="O286" s="288"/>
      <c r="P286" s="520"/>
      <c r="Q286" s="288"/>
      <c r="R286" s="288"/>
      <c r="S286" s="333"/>
      <c r="T286" s="288"/>
      <c r="U286" s="288"/>
      <c r="V286" s="333"/>
      <c r="W286" s="288"/>
      <c r="X286" s="335"/>
      <c r="Y286" s="385"/>
    </row>
    <row r="287" spans="1:27" ht="21" customHeight="1" thickBot="1">
      <c r="A287" s="26"/>
      <c r="B287" s="27"/>
      <c r="C287" s="27"/>
      <c r="D287" s="27"/>
      <c r="E287" s="29"/>
      <c r="F287" s="29"/>
      <c r="G287" s="30"/>
      <c r="H287" s="16"/>
      <c r="I287" s="309" t="s">
        <v>676</v>
      </c>
      <c r="J287" s="310"/>
      <c r="K287" s="333"/>
      <c r="L287" s="333"/>
      <c r="M287" s="333"/>
      <c r="N287" s="288"/>
      <c r="O287" s="288"/>
      <c r="P287" s="520"/>
      <c r="Q287" s="288"/>
      <c r="R287" s="288"/>
      <c r="S287" s="310" t="s">
        <v>677</v>
      </c>
      <c r="T287" s="465"/>
      <c r="U287" s="465"/>
      <c r="V287" s="310"/>
      <c r="W287" s="465"/>
      <c r="X287" s="545">
        <f>X288+X294</f>
        <v>6922000</v>
      </c>
      <c r="Y287" s="402" t="s">
        <v>25</v>
      </c>
      <c r="Z287" s="594"/>
    </row>
    <row r="288" spans="1:27" ht="21" customHeight="1">
      <c r="A288" s="26"/>
      <c r="B288" s="27"/>
      <c r="C288" s="27"/>
      <c r="D288" s="27"/>
      <c r="E288" s="29"/>
      <c r="F288" s="29"/>
      <c r="G288" s="30"/>
      <c r="H288" s="16"/>
      <c r="I288" s="173" t="s">
        <v>693</v>
      </c>
      <c r="J288" s="177"/>
      <c r="K288" s="333"/>
      <c r="L288" s="333"/>
      <c r="M288" s="333"/>
      <c r="N288" s="288"/>
      <c r="O288" s="288"/>
      <c r="P288" s="520"/>
      <c r="Q288" s="288"/>
      <c r="R288" s="288"/>
      <c r="S288" s="333"/>
      <c r="T288" s="288"/>
      <c r="U288" s="288"/>
      <c r="V288" s="576"/>
      <c r="W288" s="420"/>
      <c r="X288" s="231">
        <f>SUM(X289:X293)</f>
        <v>5600000</v>
      </c>
      <c r="Y288" s="405" t="s">
        <v>25</v>
      </c>
    </row>
    <row r="289" spans="1:26" ht="21" customHeight="1">
      <c r="A289" s="26"/>
      <c r="B289" s="27"/>
      <c r="C289" s="27"/>
      <c r="D289" s="27"/>
      <c r="E289" s="29"/>
      <c r="F289" s="29"/>
      <c r="G289" s="30"/>
      <c r="H289" s="16"/>
      <c r="I289" s="333" t="s">
        <v>694</v>
      </c>
      <c r="J289" s="229"/>
      <c r="K289" s="333"/>
      <c r="L289" s="333"/>
      <c r="M289" s="333"/>
      <c r="N289" s="288"/>
      <c r="O289" s="288"/>
      <c r="P289" s="520"/>
      <c r="Q289" s="288"/>
      <c r="R289" s="288"/>
      <c r="S289" s="333"/>
      <c r="T289" s="288"/>
      <c r="U289" s="288"/>
      <c r="V289" s="333"/>
      <c r="W289" s="334"/>
      <c r="X289" s="335">
        <v>1000000</v>
      </c>
      <c r="Y289" s="385" t="s">
        <v>25</v>
      </c>
    </row>
    <row r="290" spans="1:26" ht="21" customHeight="1">
      <c r="A290" s="26"/>
      <c r="B290" s="27"/>
      <c r="C290" s="27"/>
      <c r="D290" s="27"/>
      <c r="E290" s="29"/>
      <c r="F290" s="29"/>
      <c r="G290" s="30"/>
      <c r="H290" s="16"/>
      <c r="I290" s="333" t="s">
        <v>749</v>
      </c>
      <c r="J290" s="229"/>
      <c r="K290" s="333"/>
      <c r="L290" s="333"/>
      <c r="M290" s="332"/>
      <c r="N290" s="334"/>
      <c r="O290" s="221"/>
      <c r="P290" s="335"/>
      <c r="Q290" s="334"/>
      <c r="R290" s="221"/>
      <c r="S290" s="332"/>
      <c r="T290" s="334"/>
      <c r="U290" s="334"/>
      <c r="V290" s="332"/>
      <c r="W290" s="334"/>
      <c r="X290" s="332">
        <v>1700000</v>
      </c>
      <c r="Y290" s="385" t="s">
        <v>55</v>
      </c>
    </row>
    <row r="291" spans="1:26" ht="21" customHeight="1">
      <c r="A291" s="26"/>
      <c r="B291" s="27"/>
      <c r="C291" s="27"/>
      <c r="D291" s="27"/>
      <c r="E291" s="29"/>
      <c r="F291" s="29"/>
      <c r="G291" s="30"/>
      <c r="H291" s="16"/>
      <c r="I291" s="333" t="s">
        <v>750</v>
      </c>
      <c r="J291" s="229"/>
      <c r="K291" s="333"/>
      <c r="L291" s="333"/>
      <c r="M291" s="332"/>
      <c r="N291" s="334"/>
      <c r="O291" s="221"/>
      <c r="P291" s="335"/>
      <c r="Q291" s="334"/>
      <c r="R291" s="221"/>
      <c r="S291" s="332"/>
      <c r="T291" s="334"/>
      <c r="U291" s="334"/>
      <c r="V291" s="332"/>
      <c r="W291" s="225"/>
      <c r="X291" s="332">
        <v>2000000</v>
      </c>
      <c r="Y291" s="400" t="s">
        <v>25</v>
      </c>
    </row>
    <row r="292" spans="1:26" ht="21" customHeight="1">
      <c r="A292" s="26"/>
      <c r="B292" s="27"/>
      <c r="C292" s="27"/>
      <c r="D292" s="27"/>
      <c r="E292" s="29"/>
      <c r="F292" s="29"/>
      <c r="G292" s="30"/>
      <c r="H292" s="16"/>
      <c r="I292" s="333" t="s">
        <v>751</v>
      </c>
      <c r="J292" s="229"/>
      <c r="K292" s="333"/>
      <c r="L292" s="333"/>
      <c r="M292" s="179">
        <v>20000</v>
      </c>
      <c r="N292" s="568" t="s">
        <v>55</v>
      </c>
      <c r="O292" s="221" t="s">
        <v>56</v>
      </c>
      <c r="P292" s="41">
        <v>45</v>
      </c>
      <c r="Q292" s="334" t="s">
        <v>54</v>
      </c>
      <c r="R292" s="221"/>
      <c r="S292" s="311"/>
      <c r="T292" s="457"/>
      <c r="U292" s="334" t="s">
        <v>53</v>
      </c>
      <c r="V292" s="332"/>
      <c r="W292" s="334"/>
      <c r="X292" s="335">
        <f>M292*P292</f>
        <v>900000</v>
      </c>
      <c r="Y292" s="385" t="s">
        <v>55</v>
      </c>
    </row>
    <row r="293" spans="1:26" ht="21" customHeight="1">
      <c r="A293" s="26"/>
      <c r="B293" s="27"/>
      <c r="C293" s="27"/>
      <c r="D293" s="27"/>
      <c r="E293" s="29"/>
      <c r="F293" s="29"/>
      <c r="G293" s="30"/>
      <c r="H293" s="16"/>
      <c r="I293" s="380"/>
      <c r="J293" s="229"/>
      <c r="K293" s="333"/>
      <c r="L293" s="333"/>
      <c r="M293" s="333"/>
      <c r="N293" s="288"/>
      <c r="O293" s="288"/>
      <c r="P293" s="520"/>
      <c r="Q293" s="288"/>
      <c r="R293" s="288"/>
      <c r="S293" s="229"/>
      <c r="T293" s="464"/>
      <c r="U293" s="464"/>
      <c r="V293" s="229"/>
      <c r="W293" s="464"/>
      <c r="X293" s="549"/>
      <c r="Y293" s="406"/>
    </row>
    <row r="294" spans="1:26" ht="21" customHeight="1">
      <c r="A294" s="26"/>
      <c r="B294" s="27"/>
      <c r="C294" s="27"/>
      <c r="D294" s="27"/>
      <c r="E294" s="29"/>
      <c r="F294" s="29"/>
      <c r="G294" s="30"/>
      <c r="H294" s="16"/>
      <c r="I294" s="173" t="s">
        <v>678</v>
      </c>
      <c r="J294" s="177"/>
      <c r="K294" s="333"/>
      <c r="L294" s="333"/>
      <c r="M294" s="333"/>
      <c r="N294" s="288"/>
      <c r="O294" s="288"/>
      <c r="P294" s="520"/>
      <c r="Q294" s="288"/>
      <c r="R294" s="288"/>
      <c r="S294" s="333"/>
      <c r="T294" s="288"/>
      <c r="U294" s="288"/>
      <c r="V294" s="576"/>
      <c r="W294" s="420"/>
      <c r="X294" s="231">
        <f>SUM(X295:X297)</f>
        <v>1322000</v>
      </c>
      <c r="Y294" s="405" t="s">
        <v>25</v>
      </c>
    </row>
    <row r="295" spans="1:26" ht="21" customHeight="1">
      <c r="A295" s="26"/>
      <c r="B295" s="27"/>
      <c r="C295" s="27"/>
      <c r="D295" s="27"/>
      <c r="E295" s="29"/>
      <c r="F295" s="29"/>
      <c r="G295" s="30"/>
      <c r="H295" s="16"/>
      <c r="I295" s="333" t="s">
        <v>691</v>
      </c>
      <c r="J295" s="229"/>
      <c r="K295" s="333"/>
      <c r="L295" s="333"/>
      <c r="M295" s="333"/>
      <c r="N295" s="288"/>
      <c r="O295" s="288"/>
      <c r="P295" s="520"/>
      <c r="Q295" s="288"/>
      <c r="R295" s="288"/>
      <c r="S295" s="333"/>
      <c r="T295" s="288"/>
      <c r="U295" s="288"/>
      <c r="V295" s="333"/>
      <c r="W295" s="334"/>
      <c r="X295" s="335">
        <v>522000</v>
      </c>
      <c r="Y295" s="385" t="s">
        <v>25</v>
      </c>
    </row>
    <row r="296" spans="1:26" ht="21" customHeight="1">
      <c r="A296" s="26"/>
      <c r="B296" s="27"/>
      <c r="C296" s="27"/>
      <c r="D296" s="27"/>
      <c r="E296" s="29"/>
      <c r="F296" s="29"/>
      <c r="G296" s="30"/>
      <c r="H296" s="16"/>
      <c r="I296" s="333" t="s">
        <v>692</v>
      </c>
      <c r="J296" s="229"/>
      <c r="K296" s="333"/>
      <c r="L296" s="333"/>
      <c r="M296" s="274">
        <v>50000</v>
      </c>
      <c r="N296" s="288" t="s">
        <v>25</v>
      </c>
      <c r="O296" s="376" t="s">
        <v>56</v>
      </c>
      <c r="P296" s="520">
        <v>4</v>
      </c>
      <c r="Q296" s="379" t="s">
        <v>695</v>
      </c>
      <c r="R296" s="376" t="s">
        <v>56</v>
      </c>
      <c r="S296" s="333">
        <v>4</v>
      </c>
      <c r="T296" s="288" t="s">
        <v>696</v>
      </c>
      <c r="U296" s="288" t="s">
        <v>27</v>
      </c>
      <c r="V296" s="333"/>
      <c r="W296" s="334"/>
      <c r="X296" s="335">
        <v>800000</v>
      </c>
      <c r="Y296" s="385" t="s">
        <v>25</v>
      </c>
    </row>
    <row r="297" spans="1:26" ht="21" customHeight="1">
      <c r="A297" s="26"/>
      <c r="B297" s="27"/>
      <c r="C297" s="27"/>
      <c r="D297" s="27"/>
      <c r="E297" s="29"/>
      <c r="F297" s="29"/>
      <c r="G297" s="30"/>
      <c r="H297" s="16"/>
      <c r="I297" s="333"/>
      <c r="J297" s="229"/>
      <c r="K297" s="333"/>
      <c r="L297" s="333"/>
      <c r="M297" s="332"/>
      <c r="N297" s="334"/>
      <c r="O297" s="221"/>
      <c r="P297" s="335"/>
      <c r="Q297" s="334"/>
      <c r="R297" s="221"/>
      <c r="S297" s="332"/>
      <c r="T297" s="334"/>
      <c r="U297" s="334"/>
      <c r="V297" s="332"/>
      <c r="W297" s="225"/>
      <c r="X297" s="332"/>
      <c r="Y297" s="400"/>
    </row>
    <row r="298" spans="1:26" ht="21" customHeight="1" thickBot="1">
      <c r="A298" s="26"/>
      <c r="B298" s="27"/>
      <c r="C298" s="27"/>
      <c r="D298" s="27"/>
      <c r="E298" s="29"/>
      <c r="F298" s="29"/>
      <c r="G298" s="30"/>
      <c r="H298" s="16"/>
      <c r="I298" s="309" t="s">
        <v>709</v>
      </c>
      <c r="J298" s="310"/>
      <c r="K298" s="333"/>
      <c r="L298" s="333"/>
      <c r="M298" s="332"/>
      <c r="N298" s="334"/>
      <c r="O298" s="379"/>
      <c r="P298" s="335"/>
      <c r="Q298" s="221"/>
      <c r="R298" s="221"/>
      <c r="S298" s="310" t="s">
        <v>711</v>
      </c>
      <c r="T298" s="465"/>
      <c r="U298" s="465"/>
      <c r="V298" s="310"/>
      <c r="W298" s="465"/>
      <c r="X298" s="545">
        <f>X299</f>
        <v>300000</v>
      </c>
      <c r="Y298" s="402" t="s">
        <v>25</v>
      </c>
      <c r="Z298" s="594"/>
    </row>
    <row r="299" spans="1:26" ht="21" customHeight="1">
      <c r="A299" s="26"/>
      <c r="B299" s="27"/>
      <c r="C299" s="27"/>
      <c r="D299" s="27"/>
      <c r="E299" s="29"/>
      <c r="F299" s="29"/>
      <c r="G299" s="30"/>
      <c r="H299" s="16"/>
      <c r="I299" s="333" t="s">
        <v>710</v>
      </c>
      <c r="J299" s="229"/>
      <c r="K299" s="333"/>
      <c r="L299" s="333"/>
      <c r="M299" s="332"/>
      <c r="N299" s="334"/>
      <c r="O299" s="221"/>
      <c r="P299" s="317"/>
      <c r="Q299" s="221"/>
      <c r="R299" s="221"/>
      <c r="S299" s="229"/>
      <c r="T299" s="464"/>
      <c r="U299" s="464"/>
      <c r="V299" s="344"/>
      <c r="W299" s="471"/>
      <c r="X299" s="552">
        <v>300000</v>
      </c>
      <c r="Y299" s="408" t="s">
        <v>25</v>
      </c>
      <c r="Z299" s="594"/>
    </row>
    <row r="300" spans="1:26" ht="21" customHeight="1">
      <c r="A300" s="26"/>
      <c r="B300" s="27"/>
      <c r="C300" s="27"/>
      <c r="D300" s="27"/>
      <c r="E300" s="29"/>
      <c r="F300" s="29"/>
      <c r="G300" s="30"/>
      <c r="H300" s="16"/>
      <c r="I300" s="333"/>
      <c r="J300" s="229"/>
      <c r="K300" s="333"/>
      <c r="L300" s="333"/>
      <c r="M300" s="333"/>
      <c r="N300" s="288"/>
      <c r="O300" s="288"/>
      <c r="P300" s="520"/>
      <c r="Q300" s="288"/>
      <c r="R300" s="288"/>
      <c r="S300" s="333"/>
      <c r="T300" s="288"/>
      <c r="U300" s="288"/>
      <c r="V300" s="333"/>
      <c r="W300" s="334"/>
      <c r="X300" s="335"/>
      <c r="Y300" s="385"/>
      <c r="Z300" s="594"/>
    </row>
    <row r="301" spans="1:26" ht="21" hidden="1" customHeight="1">
      <c r="A301" s="26"/>
      <c r="B301" s="27"/>
      <c r="C301" s="27"/>
      <c r="D301" s="27"/>
      <c r="E301" s="29"/>
      <c r="F301" s="29"/>
      <c r="G301" s="30"/>
      <c r="H301" s="16"/>
      <c r="I301" s="241" t="s">
        <v>679</v>
      </c>
      <c r="J301" s="158"/>
      <c r="K301" s="241"/>
      <c r="L301" s="241"/>
      <c r="M301" s="241"/>
      <c r="N301" s="171"/>
      <c r="O301" s="171"/>
      <c r="P301" s="528"/>
      <c r="Q301" s="171"/>
      <c r="R301" s="171"/>
      <c r="S301" s="241"/>
      <c r="T301" s="171"/>
      <c r="U301" s="171"/>
      <c r="V301" s="241"/>
      <c r="W301" s="171"/>
      <c r="X301" s="281">
        <v>0</v>
      </c>
      <c r="Y301" s="395" t="s">
        <v>25</v>
      </c>
      <c r="Z301" s="594"/>
    </row>
    <row r="302" spans="1:26" ht="21" hidden="1" customHeight="1">
      <c r="A302" s="26"/>
      <c r="B302" s="27"/>
      <c r="C302" s="27"/>
      <c r="D302" s="27"/>
      <c r="E302" s="29"/>
      <c r="F302" s="29"/>
      <c r="G302" s="30"/>
      <c r="H302" s="16"/>
      <c r="I302" s="241" t="s">
        <v>680</v>
      </c>
      <c r="J302" s="158"/>
      <c r="K302" s="241"/>
      <c r="L302" s="241"/>
      <c r="M302" s="220">
        <v>20000</v>
      </c>
      <c r="N302" s="280" t="s">
        <v>25</v>
      </c>
      <c r="O302" s="381">
        <v>38</v>
      </c>
      <c r="P302" s="281" t="s">
        <v>128</v>
      </c>
      <c r="Q302" s="337"/>
      <c r="R302" s="337"/>
      <c r="S302" s="412"/>
      <c r="T302" s="581"/>
      <c r="U302" s="280" t="s">
        <v>27</v>
      </c>
      <c r="V302" s="220"/>
      <c r="W302" s="280"/>
      <c r="X302" s="281">
        <v>0</v>
      </c>
      <c r="Y302" s="395" t="s">
        <v>25</v>
      </c>
      <c r="Z302" s="594"/>
    </row>
    <row r="303" spans="1:26" ht="21" hidden="1" customHeight="1">
      <c r="A303" s="26"/>
      <c r="B303" s="27"/>
      <c r="C303" s="27"/>
      <c r="D303" s="27"/>
      <c r="E303" s="29"/>
      <c r="F303" s="29"/>
      <c r="G303" s="30"/>
      <c r="H303" s="16"/>
      <c r="I303" s="241" t="s">
        <v>681</v>
      </c>
      <c r="J303" s="158"/>
      <c r="K303" s="241"/>
      <c r="L303" s="241"/>
      <c r="M303" s="220">
        <v>40000</v>
      </c>
      <c r="N303" s="280" t="s">
        <v>25</v>
      </c>
      <c r="O303" s="381">
        <v>18</v>
      </c>
      <c r="P303" s="281" t="s">
        <v>128</v>
      </c>
      <c r="Q303" s="337"/>
      <c r="R303" s="337"/>
      <c r="S303" s="412"/>
      <c r="T303" s="581"/>
      <c r="U303" s="280" t="s">
        <v>27</v>
      </c>
      <c r="V303" s="220"/>
      <c r="W303" s="280"/>
      <c r="X303" s="281">
        <v>0</v>
      </c>
      <c r="Y303" s="395" t="s">
        <v>25</v>
      </c>
      <c r="Z303" s="594"/>
    </row>
    <row r="304" spans="1:26" ht="21" hidden="1" customHeight="1">
      <c r="A304" s="26"/>
      <c r="B304" s="27"/>
      <c r="C304" s="27"/>
      <c r="D304" s="27"/>
      <c r="E304" s="29"/>
      <c r="F304" s="29"/>
      <c r="G304" s="30"/>
      <c r="H304" s="16"/>
      <c r="I304" s="241" t="s">
        <v>682</v>
      </c>
      <c r="J304" s="158"/>
      <c r="K304" s="241"/>
      <c r="L304" s="241"/>
      <c r="M304" s="220">
        <v>40000</v>
      </c>
      <c r="N304" s="280" t="s">
        <v>25</v>
      </c>
      <c r="O304" s="381">
        <v>38</v>
      </c>
      <c r="P304" s="281" t="s">
        <v>128</v>
      </c>
      <c r="Q304" s="337"/>
      <c r="R304" s="337"/>
      <c r="S304" s="412"/>
      <c r="T304" s="581"/>
      <c r="U304" s="280" t="s">
        <v>27</v>
      </c>
      <c r="V304" s="220"/>
      <c r="W304" s="280"/>
      <c r="X304" s="281">
        <v>0</v>
      </c>
      <c r="Y304" s="395" t="s">
        <v>25</v>
      </c>
      <c r="Z304" s="594"/>
    </row>
    <row r="305" spans="1:26" ht="21" hidden="1" customHeight="1">
      <c r="A305" s="26"/>
      <c r="B305" s="27"/>
      <c r="C305" s="27"/>
      <c r="D305" s="27"/>
      <c r="E305" s="29"/>
      <c r="F305" s="29"/>
      <c r="G305" s="30"/>
      <c r="H305" s="16"/>
      <c r="I305" s="241" t="s">
        <v>683</v>
      </c>
      <c r="J305" s="158"/>
      <c r="K305" s="241"/>
      <c r="L305" s="241"/>
      <c r="M305" s="220">
        <v>940000</v>
      </c>
      <c r="N305" s="280" t="s">
        <v>25</v>
      </c>
      <c r="O305" s="381">
        <v>2</v>
      </c>
      <c r="P305" s="281" t="s">
        <v>211</v>
      </c>
      <c r="Q305" s="337"/>
      <c r="R305" s="337"/>
      <c r="S305" s="412"/>
      <c r="T305" s="581"/>
      <c r="U305" s="280" t="s">
        <v>27</v>
      </c>
      <c r="V305" s="220"/>
      <c r="W305" s="280"/>
      <c r="X305" s="281">
        <v>0</v>
      </c>
      <c r="Y305" s="395" t="s">
        <v>25</v>
      </c>
      <c r="Z305" s="594"/>
    </row>
    <row r="306" spans="1:26" ht="21" hidden="1" customHeight="1">
      <c r="A306" s="26"/>
      <c r="B306" s="27"/>
      <c r="C306" s="27"/>
      <c r="D306" s="27"/>
      <c r="E306" s="29"/>
      <c r="F306" s="29"/>
      <c r="G306" s="30"/>
      <c r="H306" s="16"/>
      <c r="I306" s="241" t="s">
        <v>684</v>
      </c>
      <c r="J306" s="158"/>
      <c r="K306" s="241"/>
      <c r="L306" s="241"/>
      <c r="M306" s="220">
        <v>700000</v>
      </c>
      <c r="N306" s="280" t="s">
        <v>25</v>
      </c>
      <c r="O306" s="381">
        <v>2</v>
      </c>
      <c r="P306" s="281" t="s">
        <v>211</v>
      </c>
      <c r="Q306" s="337"/>
      <c r="R306" s="337"/>
      <c r="S306" s="412"/>
      <c r="T306" s="581"/>
      <c r="U306" s="280" t="s">
        <v>27</v>
      </c>
      <c r="V306" s="220"/>
      <c r="W306" s="280"/>
      <c r="X306" s="281">
        <v>0</v>
      </c>
      <c r="Y306" s="395" t="s">
        <v>25</v>
      </c>
      <c r="Z306" s="594"/>
    </row>
    <row r="307" spans="1:26" ht="21" hidden="1" customHeight="1">
      <c r="A307" s="26"/>
      <c r="B307" s="27"/>
      <c r="C307" s="27"/>
      <c r="D307" s="27"/>
      <c r="E307" s="29"/>
      <c r="F307" s="29"/>
      <c r="G307" s="30"/>
      <c r="H307" s="16"/>
      <c r="I307" s="241" t="s">
        <v>685</v>
      </c>
      <c r="J307" s="158"/>
      <c r="K307" s="241"/>
      <c r="L307" s="241"/>
      <c r="M307" s="241"/>
      <c r="N307" s="171"/>
      <c r="O307" s="171"/>
      <c r="P307" s="528"/>
      <c r="Q307" s="171"/>
      <c r="R307" s="171"/>
      <c r="S307" s="241"/>
      <c r="T307" s="171"/>
      <c r="U307" s="171"/>
      <c r="V307" s="241"/>
      <c r="W307" s="171"/>
      <c r="X307" s="281">
        <v>0</v>
      </c>
      <c r="Y307" s="395" t="s">
        <v>25</v>
      </c>
      <c r="Z307" s="594"/>
    </row>
    <row r="308" spans="1:26" ht="21" hidden="1" customHeight="1">
      <c r="A308" s="26"/>
      <c r="B308" s="27"/>
      <c r="C308" s="27"/>
      <c r="D308" s="27"/>
      <c r="E308" s="29"/>
      <c r="F308" s="29"/>
      <c r="G308" s="30"/>
      <c r="H308" s="16"/>
      <c r="I308" s="241" t="s">
        <v>686</v>
      </c>
      <c r="J308" s="158"/>
      <c r="K308" s="241"/>
      <c r="L308" s="241"/>
      <c r="M308" s="220">
        <v>50000</v>
      </c>
      <c r="N308" s="280" t="s">
        <v>25</v>
      </c>
      <c r="O308" s="381">
        <v>20</v>
      </c>
      <c r="P308" s="281" t="s">
        <v>211</v>
      </c>
      <c r="Q308" s="337"/>
      <c r="R308" s="337"/>
      <c r="S308" s="412"/>
      <c r="T308" s="581"/>
      <c r="U308" s="280" t="s">
        <v>27</v>
      </c>
      <c r="V308" s="220"/>
      <c r="W308" s="280"/>
      <c r="X308" s="281">
        <v>0</v>
      </c>
      <c r="Y308" s="395" t="s">
        <v>25</v>
      </c>
      <c r="Z308" s="594"/>
    </row>
    <row r="309" spans="1:26" ht="21" hidden="1" customHeight="1">
      <c r="A309" s="26"/>
      <c r="B309" s="27"/>
      <c r="C309" s="27"/>
      <c r="D309" s="27"/>
      <c r="E309" s="29"/>
      <c r="F309" s="29"/>
      <c r="G309" s="30"/>
      <c r="H309" s="16"/>
      <c r="I309" s="241" t="s">
        <v>687</v>
      </c>
      <c r="J309" s="158"/>
      <c r="K309" s="241"/>
      <c r="L309" s="241"/>
      <c r="M309" s="220">
        <v>130000</v>
      </c>
      <c r="N309" s="280" t="s">
        <v>25</v>
      </c>
      <c r="O309" s="381">
        <v>3</v>
      </c>
      <c r="P309" s="281" t="s">
        <v>128</v>
      </c>
      <c r="Q309" s="337"/>
      <c r="R309" s="337"/>
      <c r="S309" s="412"/>
      <c r="T309" s="581"/>
      <c r="U309" s="280" t="s">
        <v>27</v>
      </c>
      <c r="V309" s="220"/>
      <c r="W309" s="280"/>
      <c r="X309" s="281">
        <v>0</v>
      </c>
      <c r="Y309" s="395" t="s">
        <v>25</v>
      </c>
      <c r="Z309" s="594"/>
    </row>
    <row r="310" spans="1:26" ht="21" hidden="1" customHeight="1">
      <c r="A310" s="26"/>
      <c r="B310" s="27"/>
      <c r="C310" s="27"/>
      <c r="D310" s="27"/>
      <c r="E310" s="29"/>
      <c r="F310" s="29"/>
      <c r="G310" s="30"/>
      <c r="H310" s="16"/>
      <c r="I310" s="241" t="s">
        <v>688</v>
      </c>
      <c r="J310" s="158"/>
      <c r="K310" s="241"/>
      <c r="L310" s="241"/>
      <c r="M310" s="220">
        <v>20000</v>
      </c>
      <c r="N310" s="280" t="s">
        <v>25</v>
      </c>
      <c r="O310" s="381">
        <v>2</v>
      </c>
      <c r="P310" s="281" t="s">
        <v>211</v>
      </c>
      <c r="Q310" s="381">
        <v>20</v>
      </c>
      <c r="R310" s="280" t="s">
        <v>128</v>
      </c>
      <c r="S310" s="412"/>
      <c r="T310" s="581"/>
      <c r="U310" s="280" t="s">
        <v>27</v>
      </c>
      <c r="V310" s="220"/>
      <c r="W310" s="280"/>
      <c r="X310" s="281">
        <v>0</v>
      </c>
      <c r="Y310" s="395" t="s">
        <v>25</v>
      </c>
      <c r="Z310" s="594"/>
    </row>
    <row r="311" spans="1:26" ht="21" hidden="1" customHeight="1">
      <c r="A311" s="26"/>
      <c r="B311" s="27"/>
      <c r="C311" s="27"/>
      <c r="D311" s="27"/>
      <c r="E311" s="29"/>
      <c r="F311" s="29"/>
      <c r="G311" s="30"/>
      <c r="H311" s="16"/>
      <c r="I311" s="241" t="s">
        <v>689</v>
      </c>
      <c r="J311" s="158"/>
      <c r="K311" s="241"/>
      <c r="L311" s="241"/>
      <c r="M311" s="220">
        <v>100000</v>
      </c>
      <c r="N311" s="280" t="s">
        <v>25</v>
      </c>
      <c r="O311" s="381">
        <v>4</v>
      </c>
      <c r="P311" s="281" t="s">
        <v>211</v>
      </c>
      <c r="Q311" s="337"/>
      <c r="R311" s="337"/>
      <c r="S311" s="412"/>
      <c r="T311" s="581"/>
      <c r="U311" s="280" t="s">
        <v>27</v>
      </c>
      <c r="V311" s="220"/>
      <c r="W311" s="280"/>
      <c r="X311" s="281">
        <v>0</v>
      </c>
      <c r="Y311" s="395" t="s">
        <v>25</v>
      </c>
      <c r="Z311" s="594"/>
    </row>
    <row r="312" spans="1:26" ht="21" hidden="1" customHeight="1">
      <c r="A312" s="26"/>
      <c r="B312" s="27"/>
      <c r="C312" s="27"/>
      <c r="D312" s="27"/>
      <c r="E312" s="29"/>
      <c r="F312" s="29"/>
      <c r="G312" s="30"/>
      <c r="H312" s="16"/>
      <c r="I312" s="333"/>
      <c r="J312" s="229"/>
      <c r="K312" s="333"/>
      <c r="L312" s="333"/>
      <c r="M312" s="332"/>
      <c r="N312" s="334"/>
      <c r="O312" s="379"/>
      <c r="P312" s="335"/>
      <c r="Q312" s="221"/>
      <c r="R312" s="221"/>
      <c r="S312" s="311"/>
      <c r="T312" s="457"/>
      <c r="U312" s="334"/>
      <c r="V312" s="332"/>
      <c r="W312" s="334"/>
      <c r="X312" s="335"/>
      <c r="Y312" s="385"/>
      <c r="Z312" s="594"/>
    </row>
    <row r="313" spans="1:26" ht="21" hidden="1" customHeight="1">
      <c r="A313" s="26"/>
      <c r="B313" s="27"/>
      <c r="C313" s="27"/>
      <c r="D313" s="27"/>
      <c r="E313" s="29"/>
      <c r="F313" s="29"/>
      <c r="G313" s="30"/>
      <c r="H313" s="16"/>
      <c r="I313" s="333"/>
      <c r="J313" s="229"/>
      <c r="K313" s="333"/>
      <c r="L313" s="333"/>
      <c r="M313" s="332"/>
      <c r="N313" s="334"/>
      <c r="O313" s="379"/>
      <c r="P313" s="335"/>
      <c r="Q313" s="221"/>
      <c r="R313" s="221"/>
      <c r="S313" s="311"/>
      <c r="T313" s="457"/>
      <c r="U313" s="334"/>
      <c r="V313" s="332"/>
      <c r="W313" s="334"/>
      <c r="X313" s="335"/>
      <c r="Y313" s="385"/>
      <c r="Z313" s="594"/>
    </row>
    <row r="314" spans="1:26" ht="21" hidden="1" customHeight="1">
      <c r="A314" s="26"/>
      <c r="B314" s="27"/>
      <c r="C314" s="27"/>
      <c r="D314" s="27"/>
      <c r="E314" s="29"/>
      <c r="F314" s="29"/>
      <c r="G314" s="30"/>
      <c r="H314" s="16"/>
      <c r="I314" s="333"/>
      <c r="J314" s="229"/>
      <c r="K314" s="333"/>
      <c r="L314" s="333"/>
      <c r="M314" s="332"/>
      <c r="N314" s="334"/>
      <c r="O314" s="379"/>
      <c r="P314" s="335"/>
      <c r="Q314" s="379"/>
      <c r="R314" s="334"/>
      <c r="S314" s="332"/>
      <c r="T314" s="334"/>
      <c r="U314" s="334"/>
      <c r="V314" s="332"/>
      <c r="W314" s="334"/>
      <c r="X314" s="335"/>
      <c r="Y314" s="385"/>
      <c r="Z314" s="594"/>
    </row>
    <row r="315" spans="1:26" ht="21" hidden="1" customHeight="1">
      <c r="A315" s="26"/>
      <c r="B315" s="27"/>
      <c r="C315" s="27"/>
      <c r="D315" s="27"/>
      <c r="E315" s="29"/>
      <c r="F315" s="29"/>
      <c r="G315" s="30"/>
      <c r="H315" s="16"/>
      <c r="I315" s="333"/>
      <c r="J315" s="229"/>
      <c r="K315" s="333"/>
      <c r="L315" s="333"/>
      <c r="M315" s="333"/>
      <c r="N315" s="288"/>
      <c r="O315" s="288"/>
      <c r="P315" s="520"/>
      <c r="Q315" s="288"/>
      <c r="R315" s="288"/>
      <c r="S315" s="333"/>
      <c r="T315" s="288"/>
      <c r="U315" s="288"/>
      <c r="V315" s="333"/>
      <c r="W315" s="288"/>
      <c r="X315" s="335"/>
      <c r="Y315" s="385"/>
      <c r="Z315" s="594"/>
    </row>
    <row r="316" spans="1:26" ht="21" customHeight="1" thickBot="1">
      <c r="A316" s="26"/>
      <c r="B316" s="27"/>
      <c r="C316" s="27"/>
      <c r="D316" s="27"/>
      <c r="E316" s="29"/>
      <c r="F316" s="29"/>
      <c r="G316" s="30"/>
      <c r="H316" s="16"/>
      <c r="I316" s="309" t="s">
        <v>777</v>
      </c>
      <c r="J316" s="310"/>
      <c r="K316" s="333"/>
      <c r="L316" s="333"/>
      <c r="M316" s="332"/>
      <c r="N316" s="334"/>
      <c r="O316" s="379"/>
      <c r="P316" s="335"/>
      <c r="Q316" s="221"/>
      <c r="R316" s="221"/>
      <c r="S316" s="310" t="s">
        <v>690</v>
      </c>
      <c r="T316" s="465"/>
      <c r="U316" s="465"/>
      <c r="V316" s="310"/>
      <c r="W316" s="465"/>
      <c r="X316" s="545">
        <f>X317</f>
        <v>240000</v>
      </c>
      <c r="Y316" s="402" t="s">
        <v>25</v>
      </c>
      <c r="Z316" s="594"/>
    </row>
    <row r="317" spans="1:26" ht="21" customHeight="1">
      <c r="A317" s="26"/>
      <c r="B317" s="27"/>
      <c r="C317" s="27"/>
      <c r="D317" s="27"/>
      <c r="E317" s="29"/>
      <c r="F317" s="29"/>
      <c r="G317" s="30"/>
      <c r="H317" s="16"/>
      <c r="I317" s="333" t="s">
        <v>811</v>
      </c>
      <c r="J317" s="229"/>
      <c r="K317" s="333"/>
      <c r="L317" s="333"/>
      <c r="M317" s="332">
        <v>80000</v>
      </c>
      <c r="N317" s="334" t="s">
        <v>25</v>
      </c>
      <c r="O317" s="221" t="s">
        <v>26</v>
      </c>
      <c r="P317" s="317">
        <v>3</v>
      </c>
      <c r="Q317" s="221" t="s">
        <v>128</v>
      </c>
      <c r="R317" s="221"/>
      <c r="S317" s="229"/>
      <c r="T317" s="464"/>
      <c r="U317" s="464"/>
      <c r="V317" s="344"/>
      <c r="W317" s="471"/>
      <c r="X317" s="552">
        <f>M317*P317</f>
        <v>240000</v>
      </c>
      <c r="Y317" s="408" t="s">
        <v>25</v>
      </c>
    </row>
    <row r="318" spans="1:26" ht="21" customHeight="1">
      <c r="A318" s="26"/>
      <c r="B318" s="27"/>
      <c r="C318" s="27"/>
      <c r="D318" s="27"/>
      <c r="E318" s="29"/>
      <c r="F318" s="29"/>
      <c r="G318" s="30"/>
      <c r="H318" s="16"/>
      <c r="I318" s="333"/>
      <c r="J318" s="229"/>
      <c r="K318" s="333"/>
      <c r="L318" s="333"/>
      <c r="M318" s="333"/>
      <c r="N318" s="288"/>
      <c r="O318" s="288"/>
      <c r="P318" s="520"/>
      <c r="Q318" s="288"/>
      <c r="R318" s="288"/>
      <c r="S318" s="333"/>
      <c r="T318" s="288"/>
      <c r="U318" s="288"/>
      <c r="V318" s="333"/>
      <c r="W318" s="288"/>
      <c r="X318" s="231"/>
      <c r="Y318" s="385"/>
    </row>
    <row r="319" spans="1:26" ht="21" customHeight="1">
      <c r="A319" s="17" t="s">
        <v>14</v>
      </c>
      <c r="B319" s="18" t="s">
        <v>14</v>
      </c>
      <c r="C319" s="619" t="s">
        <v>417</v>
      </c>
      <c r="D319" s="620"/>
      <c r="E319" s="151">
        <f>SUM(E320,E339)</f>
        <v>128376</v>
      </c>
      <c r="F319" s="151">
        <f>SUM(F320,F339)</f>
        <v>102330</v>
      </c>
      <c r="G319" s="152">
        <f>F319-E319</f>
        <v>-26046</v>
      </c>
      <c r="H319" s="153">
        <f>IF(E319=0,0,G319/E319)</f>
        <v>-0.20288839035333708</v>
      </c>
      <c r="I319" s="154" t="s">
        <v>492</v>
      </c>
      <c r="J319" s="155"/>
      <c r="K319" s="156"/>
      <c r="L319" s="156"/>
      <c r="M319" s="155"/>
      <c r="N319" s="416"/>
      <c r="O319" s="416"/>
      <c r="P319" s="161"/>
      <c r="Q319" s="416" t="s">
        <v>419</v>
      </c>
      <c r="R319" s="156"/>
      <c r="S319" s="157"/>
      <c r="T319" s="156"/>
      <c r="U319" s="156"/>
      <c r="V319" s="157"/>
      <c r="W319" s="156"/>
      <c r="X319" s="541">
        <f>SUM(X320,X339)</f>
        <v>102330000</v>
      </c>
      <c r="Y319" s="388" t="s">
        <v>25</v>
      </c>
    </row>
    <row r="320" spans="1:26" ht="21" customHeight="1">
      <c r="A320" s="26"/>
      <c r="B320" s="27"/>
      <c r="C320" s="18" t="s">
        <v>493</v>
      </c>
      <c r="D320" s="246" t="s">
        <v>494</v>
      </c>
      <c r="E320" s="129">
        <f>SUM(E321,E324,E327,E331,E334)</f>
        <v>45358</v>
      </c>
      <c r="F320" s="129">
        <f>SUM(F321,F324,F327,F331,F334)</f>
        <v>41351</v>
      </c>
      <c r="G320" s="130">
        <f>F320-E320</f>
        <v>-4007</v>
      </c>
      <c r="H320" s="131">
        <f>IF(E320=0,0,G320/E320)</f>
        <v>-8.8341637638343837E-2</v>
      </c>
      <c r="I320" s="119" t="s">
        <v>495</v>
      </c>
      <c r="J320" s="120"/>
      <c r="K320" s="121"/>
      <c r="L320" s="121"/>
      <c r="M320" s="121"/>
      <c r="N320" s="452"/>
      <c r="O320" s="452"/>
      <c r="P320" s="511"/>
      <c r="Q320" s="417"/>
      <c r="R320" s="417"/>
      <c r="S320" s="122"/>
      <c r="T320" s="417"/>
      <c r="U320" s="417"/>
      <c r="V320" s="144" t="s">
        <v>496</v>
      </c>
      <c r="W320" s="466"/>
      <c r="X320" s="539">
        <f>SUM(X321,X324,X327,X331,X334)</f>
        <v>41351000</v>
      </c>
      <c r="Y320" s="389" t="s">
        <v>497</v>
      </c>
    </row>
    <row r="321" spans="1:25" ht="21" hidden="1" customHeight="1">
      <c r="A321" s="26"/>
      <c r="B321" s="27"/>
      <c r="C321" s="27" t="s">
        <v>500</v>
      </c>
      <c r="D321" s="286" t="s">
        <v>498</v>
      </c>
      <c r="E321" s="19">
        <v>0</v>
      </c>
      <c r="F321" s="19">
        <f>ROUND(X321/1000,0)</f>
        <v>0</v>
      </c>
      <c r="G321" s="20">
        <f>F321-E321</f>
        <v>0</v>
      </c>
      <c r="H321" s="21">
        <f>IF(E321=0,0,G321/E321)</f>
        <v>0</v>
      </c>
      <c r="I321" s="82" t="s">
        <v>499</v>
      </c>
      <c r="J321" s="92"/>
      <c r="K321" s="56"/>
      <c r="L321" s="56"/>
      <c r="M321" s="56"/>
      <c r="N321" s="567"/>
      <c r="O321" s="567"/>
      <c r="P321" s="147"/>
      <c r="Q321" s="567"/>
      <c r="R321" s="567"/>
      <c r="S321" s="56"/>
      <c r="T321" s="567"/>
      <c r="U321" s="567"/>
      <c r="V321" s="621" t="s">
        <v>496</v>
      </c>
      <c r="W321" s="621"/>
      <c r="X321" s="537">
        <f>ROUNDUP(SUM(W322:X323),-3)</f>
        <v>0</v>
      </c>
      <c r="Y321" s="390" t="s">
        <v>497</v>
      </c>
    </row>
    <row r="322" spans="1:25" ht="21" hidden="1" customHeight="1">
      <c r="A322" s="26"/>
      <c r="B322" s="27"/>
      <c r="C322" s="27"/>
      <c r="D322" s="287"/>
      <c r="E322" s="29"/>
      <c r="F322" s="29"/>
      <c r="G322" s="30"/>
      <c r="H322" s="16"/>
      <c r="I322" s="172"/>
      <c r="J322" s="180"/>
      <c r="K322" s="179"/>
      <c r="L322" s="179"/>
      <c r="M322" s="179"/>
      <c r="N322" s="568"/>
      <c r="O322" s="568"/>
      <c r="P322" s="41"/>
      <c r="Q322" s="568"/>
      <c r="R322" s="568"/>
      <c r="S322" s="179"/>
      <c r="T322" s="568"/>
      <c r="U322" s="568"/>
      <c r="V322" s="568"/>
      <c r="W322" s="568"/>
      <c r="X322" s="41">
        <v>0</v>
      </c>
      <c r="Y322" s="391" t="s">
        <v>497</v>
      </c>
    </row>
    <row r="323" spans="1:25" ht="21" hidden="1" customHeight="1">
      <c r="A323" s="26"/>
      <c r="B323" s="27"/>
      <c r="C323" s="27"/>
      <c r="D323" s="282"/>
      <c r="E323" s="283"/>
      <c r="F323" s="284"/>
      <c r="G323" s="284"/>
      <c r="H323" s="285"/>
      <c r="I323" s="173"/>
      <c r="J323" s="212"/>
      <c r="K323" s="134"/>
      <c r="L323" s="134"/>
      <c r="M323" s="134"/>
      <c r="N323" s="116"/>
      <c r="O323" s="116"/>
      <c r="P323" s="45"/>
      <c r="Q323" s="116"/>
      <c r="R323" s="116"/>
      <c r="S323" s="134"/>
      <c r="T323" s="116"/>
      <c r="U323" s="116"/>
      <c r="V323" s="116"/>
      <c r="W323" s="116"/>
      <c r="X323" s="211">
        <v>0</v>
      </c>
      <c r="Y323" s="393" t="s">
        <v>497</v>
      </c>
    </row>
    <row r="324" spans="1:25" ht="21" customHeight="1">
      <c r="A324" s="26"/>
      <c r="B324" s="27"/>
      <c r="C324" s="27"/>
      <c r="D324" s="18" t="s">
        <v>501</v>
      </c>
      <c r="E324" s="19">
        <v>11099</v>
      </c>
      <c r="F324" s="19">
        <f>ROUND(X324/1000,0)</f>
        <v>11099</v>
      </c>
      <c r="G324" s="20">
        <f>F324-E324</f>
        <v>0</v>
      </c>
      <c r="H324" s="21">
        <f>IF(E324=0,0,G324/E324)</f>
        <v>0</v>
      </c>
      <c r="I324" s="82" t="s">
        <v>502</v>
      </c>
      <c r="J324" s="92"/>
      <c r="K324" s="56"/>
      <c r="L324" s="56"/>
      <c r="M324" s="56"/>
      <c r="N324" s="567"/>
      <c r="O324" s="567"/>
      <c r="P324" s="147"/>
      <c r="Q324" s="567"/>
      <c r="R324" s="567"/>
      <c r="S324" s="56"/>
      <c r="T324" s="567"/>
      <c r="U324" s="567"/>
      <c r="V324" s="621" t="s">
        <v>496</v>
      </c>
      <c r="W324" s="621"/>
      <c r="X324" s="537">
        <f>ROUNDUP(SUM(W325:X326),-3)</f>
        <v>11099000</v>
      </c>
      <c r="Y324" s="390" t="s">
        <v>497</v>
      </c>
    </row>
    <row r="325" spans="1:25" ht="21" customHeight="1">
      <c r="A325" s="26"/>
      <c r="B325" s="27"/>
      <c r="C325" s="27"/>
      <c r="D325" s="27"/>
      <c r="E325" s="29"/>
      <c r="F325" s="29"/>
      <c r="G325" s="30"/>
      <c r="H325" s="16"/>
      <c r="I325" s="172" t="s">
        <v>503</v>
      </c>
      <c r="J325" s="180"/>
      <c r="K325" s="179"/>
      <c r="L325" s="179"/>
      <c r="M325" s="179"/>
      <c r="N325" s="568"/>
      <c r="O325" s="568"/>
      <c r="P325" s="41"/>
      <c r="Q325" s="568"/>
      <c r="R325" s="568"/>
      <c r="S325" s="179"/>
      <c r="T325" s="568"/>
      <c r="U325" s="568"/>
      <c r="V325" s="568"/>
      <c r="W325" s="568"/>
      <c r="X325" s="41">
        <f>ROUNDUP(11098652,-3)</f>
        <v>11099000</v>
      </c>
      <c r="Y325" s="391" t="s">
        <v>497</v>
      </c>
    </row>
    <row r="326" spans="1:25" ht="21" customHeight="1">
      <c r="A326" s="26"/>
      <c r="B326" s="27"/>
      <c r="C326" s="27"/>
      <c r="D326" s="35"/>
      <c r="E326" s="36"/>
      <c r="F326" s="36"/>
      <c r="G326" s="37"/>
      <c r="H326" s="118"/>
      <c r="I326" s="173" t="s">
        <v>504</v>
      </c>
      <c r="J326" s="212"/>
      <c r="K326" s="134"/>
      <c r="L326" s="134"/>
      <c r="M326" s="134"/>
      <c r="N326" s="116"/>
      <c r="O326" s="116"/>
      <c r="P326" s="45"/>
      <c r="Q326" s="116"/>
      <c r="R326" s="116"/>
      <c r="S326" s="134"/>
      <c r="T326" s="116"/>
      <c r="U326" s="116"/>
      <c r="V326" s="116"/>
      <c r="W326" s="116"/>
      <c r="X326" s="45">
        <v>0</v>
      </c>
      <c r="Y326" s="393" t="s">
        <v>497</v>
      </c>
    </row>
    <row r="327" spans="1:25" ht="21" customHeight="1">
      <c r="A327" s="26"/>
      <c r="B327" s="27"/>
      <c r="C327" s="27"/>
      <c r="D327" s="18" t="s">
        <v>505</v>
      </c>
      <c r="E327" s="19">
        <v>33178</v>
      </c>
      <c r="F327" s="19">
        <f>ROUND(X327/1000,0)</f>
        <v>30000</v>
      </c>
      <c r="G327" s="20">
        <f>F327-E327</f>
        <v>-3178</v>
      </c>
      <c r="H327" s="21">
        <f>IF(E327=0,0,G327/E327)</f>
        <v>-9.578636445837603E-2</v>
      </c>
      <c r="I327" s="82" t="s">
        <v>506</v>
      </c>
      <c r="J327" s="92"/>
      <c r="K327" s="56"/>
      <c r="L327" s="56"/>
      <c r="M327" s="56"/>
      <c r="N327" s="567"/>
      <c r="O327" s="567"/>
      <c r="P327" s="147"/>
      <c r="Q327" s="567"/>
      <c r="R327" s="567"/>
      <c r="S327" s="56"/>
      <c r="T327" s="567"/>
      <c r="U327" s="567"/>
      <c r="V327" s="621" t="s">
        <v>496</v>
      </c>
      <c r="W327" s="621"/>
      <c r="X327" s="537">
        <f>ROUNDUP(SUM(W328:X329),-3)</f>
        <v>30000000</v>
      </c>
      <c r="Y327" s="390" t="s">
        <v>497</v>
      </c>
    </row>
    <row r="328" spans="1:25" ht="21" customHeight="1">
      <c r="A328" s="26"/>
      <c r="B328" s="27"/>
      <c r="C328" s="27"/>
      <c r="D328" s="27"/>
      <c r="E328" s="29"/>
      <c r="F328" s="29"/>
      <c r="G328" s="30"/>
      <c r="H328" s="16"/>
      <c r="I328" s="172" t="s">
        <v>507</v>
      </c>
      <c r="J328" s="180"/>
      <c r="K328" s="179"/>
      <c r="L328" s="179"/>
      <c r="M328" s="179"/>
      <c r="N328" s="568"/>
      <c r="O328" s="568"/>
      <c r="P328" s="41"/>
      <c r="Q328" s="568"/>
      <c r="R328" s="568"/>
      <c r="S328" s="179"/>
      <c r="T328" s="568"/>
      <c r="U328" s="568"/>
      <c r="V328" s="568"/>
      <c r="W328" s="568"/>
      <c r="X328" s="41">
        <v>0</v>
      </c>
      <c r="Y328" s="391" t="s">
        <v>497</v>
      </c>
    </row>
    <row r="329" spans="1:25" ht="21" customHeight="1">
      <c r="A329" s="26"/>
      <c r="B329" s="27"/>
      <c r="C329" s="27"/>
      <c r="D329" s="27"/>
      <c r="E329" s="29"/>
      <c r="F329" s="29"/>
      <c r="G329" s="30"/>
      <c r="H329" s="16"/>
      <c r="I329" s="172" t="s">
        <v>508</v>
      </c>
      <c r="J329" s="180"/>
      <c r="K329" s="179"/>
      <c r="L329" s="179"/>
      <c r="M329" s="179"/>
      <c r="N329" s="568"/>
      <c r="O329" s="568"/>
      <c r="P329" s="41"/>
      <c r="Q329" s="568"/>
      <c r="R329" s="568"/>
      <c r="S329" s="179"/>
      <c r="T329" s="568"/>
      <c r="U329" s="568"/>
      <c r="V329" s="568"/>
      <c r="W329" s="568"/>
      <c r="X329" s="41">
        <v>30000000</v>
      </c>
      <c r="Y329" s="391" t="s">
        <v>497</v>
      </c>
    </row>
    <row r="330" spans="1:25" ht="21" customHeight="1">
      <c r="A330" s="26"/>
      <c r="B330" s="27"/>
      <c r="C330" s="27"/>
      <c r="D330" s="35"/>
      <c r="E330" s="36"/>
      <c r="F330" s="36"/>
      <c r="G330" s="37"/>
      <c r="H330" s="118"/>
      <c r="I330" s="44"/>
      <c r="J330" s="212"/>
      <c r="K330" s="134"/>
      <c r="L330" s="134"/>
      <c r="M330" s="134"/>
      <c r="N330" s="116"/>
      <c r="O330" s="116"/>
      <c r="P330" s="45"/>
      <c r="Q330" s="116"/>
      <c r="R330" s="116"/>
      <c r="S330" s="134"/>
      <c r="T330" s="116"/>
      <c r="U330" s="116"/>
      <c r="V330" s="116"/>
      <c r="W330" s="116"/>
      <c r="X330" s="45"/>
      <c r="Y330" s="393"/>
    </row>
    <row r="331" spans="1:25" ht="21" customHeight="1">
      <c r="A331" s="26"/>
      <c r="B331" s="27"/>
      <c r="C331" s="27"/>
      <c r="D331" s="18" t="s">
        <v>209</v>
      </c>
      <c r="E331" s="19">
        <v>0</v>
      </c>
      <c r="F331" s="19">
        <f>ROUND(X331/1000,0)</f>
        <v>0</v>
      </c>
      <c r="G331" s="20">
        <f>F331-E331</f>
        <v>0</v>
      </c>
      <c r="H331" s="21">
        <f>IF(E331=0,0,G331/E331)</f>
        <v>0</v>
      </c>
      <c r="I331" s="82" t="s">
        <v>583</v>
      </c>
      <c r="J331" s="92"/>
      <c r="K331" s="56"/>
      <c r="L331" s="56"/>
      <c r="M331" s="56"/>
      <c r="N331" s="567"/>
      <c r="O331" s="567"/>
      <c r="P331" s="147"/>
      <c r="Q331" s="567"/>
      <c r="R331" s="567"/>
      <c r="S331" s="56"/>
      <c r="T331" s="567"/>
      <c r="U331" s="567"/>
      <c r="V331" s="621" t="s">
        <v>496</v>
      </c>
      <c r="W331" s="621"/>
      <c r="X331" s="537">
        <f>X332</f>
        <v>0</v>
      </c>
      <c r="Y331" s="390" t="s">
        <v>497</v>
      </c>
    </row>
    <row r="332" spans="1:25" ht="21" customHeight="1">
      <c r="A332" s="26"/>
      <c r="B332" s="27"/>
      <c r="C332" s="27"/>
      <c r="D332" s="27" t="s">
        <v>581</v>
      </c>
      <c r="E332" s="29"/>
      <c r="F332" s="29"/>
      <c r="G332" s="30"/>
      <c r="H332" s="16"/>
      <c r="I332" s="172" t="s">
        <v>582</v>
      </c>
      <c r="J332" s="180"/>
      <c r="K332" s="179"/>
      <c r="L332" s="179"/>
      <c r="M332" s="179"/>
      <c r="N332" s="568"/>
      <c r="O332" s="568"/>
      <c r="P332" s="41"/>
      <c r="Q332" s="568"/>
      <c r="R332" s="568"/>
      <c r="S332" s="179"/>
      <c r="T332" s="568"/>
      <c r="U332" s="568"/>
      <c r="V332" s="568"/>
      <c r="W332" s="568"/>
      <c r="X332" s="41"/>
      <c r="Y332" s="391" t="s">
        <v>497</v>
      </c>
    </row>
    <row r="333" spans="1:25" ht="21" customHeight="1">
      <c r="A333" s="26"/>
      <c r="B333" s="27"/>
      <c r="C333" s="27"/>
      <c r="D333" s="35"/>
      <c r="E333" s="36"/>
      <c r="F333" s="36"/>
      <c r="G333" s="37"/>
      <c r="H333" s="118"/>
      <c r="I333" s="173"/>
      <c r="J333" s="212"/>
      <c r="K333" s="134"/>
      <c r="L333" s="134"/>
      <c r="M333" s="134"/>
      <c r="N333" s="116"/>
      <c r="O333" s="116"/>
      <c r="P333" s="45"/>
      <c r="Q333" s="116"/>
      <c r="R333" s="116"/>
      <c r="S333" s="134"/>
      <c r="T333" s="116"/>
      <c r="U333" s="116"/>
      <c r="V333" s="116"/>
      <c r="W333" s="116"/>
      <c r="X333" s="45"/>
      <c r="Y333" s="393"/>
    </row>
    <row r="334" spans="1:25" ht="21" customHeight="1">
      <c r="A334" s="26"/>
      <c r="B334" s="27"/>
      <c r="C334" s="27"/>
      <c r="D334" s="296" t="s">
        <v>509</v>
      </c>
      <c r="E334" s="272">
        <v>1081</v>
      </c>
      <c r="F334" s="19">
        <f>ROUND(X334/1000,0)</f>
        <v>252</v>
      </c>
      <c r="G334" s="301">
        <f>F334-E334</f>
        <v>-829</v>
      </c>
      <c r="H334" s="302">
        <f>IF(E334=0,0,G334/E334)</f>
        <v>-0.76688251618871417</v>
      </c>
      <c r="I334" s="82" t="s">
        <v>580</v>
      </c>
      <c r="J334" s="92"/>
      <c r="K334" s="56"/>
      <c r="L334" s="56"/>
      <c r="M334" s="56"/>
      <c r="N334" s="567"/>
      <c r="O334" s="567"/>
      <c r="P334" s="147"/>
      <c r="Q334" s="567"/>
      <c r="R334" s="567"/>
      <c r="S334" s="56"/>
      <c r="T334" s="567"/>
      <c r="U334" s="567"/>
      <c r="V334" s="621" t="s">
        <v>496</v>
      </c>
      <c r="W334" s="621"/>
      <c r="X334" s="537">
        <f>SUM(X335:X337)</f>
        <v>252000</v>
      </c>
      <c r="Y334" s="390" t="s">
        <v>55</v>
      </c>
    </row>
    <row r="335" spans="1:25" ht="21" customHeight="1">
      <c r="A335" s="26"/>
      <c r="B335" s="27"/>
      <c r="C335" s="27"/>
      <c r="D335" s="296" t="s">
        <v>511</v>
      </c>
      <c r="E335" s="272"/>
      <c r="F335" s="272"/>
      <c r="G335" s="301"/>
      <c r="H335" s="302"/>
      <c r="I335" s="172" t="s">
        <v>510</v>
      </c>
      <c r="J335" s="333"/>
      <c r="K335" s="332"/>
      <c r="L335" s="332"/>
      <c r="M335" s="332"/>
      <c r="N335" s="334"/>
      <c r="O335" s="334"/>
      <c r="P335" s="335"/>
      <c r="Q335" s="334"/>
      <c r="R335" s="334"/>
      <c r="S335" s="332"/>
      <c r="T335" s="334"/>
      <c r="U335" s="334"/>
      <c r="V335" s="334"/>
      <c r="W335" s="334"/>
      <c r="X335" s="335">
        <f>ROUNDUP(251791,-3)</f>
        <v>252000</v>
      </c>
      <c r="Y335" s="385" t="s">
        <v>55</v>
      </c>
    </row>
    <row r="336" spans="1:25" ht="21" customHeight="1">
      <c r="A336" s="26"/>
      <c r="B336" s="27"/>
      <c r="C336" s="27"/>
      <c r="D336" s="296"/>
      <c r="E336" s="272"/>
      <c r="F336" s="272"/>
      <c r="G336" s="301"/>
      <c r="H336" s="302"/>
      <c r="I336" s="172" t="s">
        <v>512</v>
      </c>
      <c r="J336" s="333"/>
      <c r="K336" s="332"/>
      <c r="L336" s="332"/>
      <c r="M336" s="332"/>
      <c r="N336" s="334"/>
      <c r="O336" s="334"/>
      <c r="P336" s="335"/>
      <c r="Q336" s="334"/>
      <c r="R336" s="334"/>
      <c r="S336" s="332"/>
      <c r="T336" s="334"/>
      <c r="U336" s="334"/>
      <c r="V336" s="334"/>
      <c r="W336" s="334"/>
      <c r="X336" s="335">
        <v>0</v>
      </c>
      <c r="Y336" s="385" t="s">
        <v>352</v>
      </c>
    </row>
    <row r="337" spans="1:32" ht="21" customHeight="1">
      <c r="A337" s="26"/>
      <c r="B337" s="27"/>
      <c r="C337" s="27"/>
      <c r="D337" s="296"/>
      <c r="E337" s="272"/>
      <c r="F337" s="272"/>
      <c r="G337" s="301"/>
      <c r="H337" s="302"/>
      <c r="I337" s="172" t="s">
        <v>513</v>
      </c>
      <c r="J337" s="333"/>
      <c r="K337" s="332"/>
      <c r="L337" s="332"/>
      <c r="M337" s="332"/>
      <c r="N337" s="334"/>
      <c r="O337" s="334"/>
      <c r="P337" s="335"/>
      <c r="Q337" s="334"/>
      <c r="R337" s="334"/>
      <c r="S337" s="332"/>
      <c r="T337" s="334"/>
      <c r="U337" s="334"/>
      <c r="V337" s="334"/>
      <c r="W337" s="334"/>
      <c r="X337" s="335">
        <v>0</v>
      </c>
      <c r="Y337" s="385" t="s">
        <v>352</v>
      </c>
    </row>
    <row r="338" spans="1:32" ht="21" customHeight="1">
      <c r="A338" s="26"/>
      <c r="B338" s="27"/>
      <c r="C338" s="27"/>
      <c r="D338" s="296"/>
      <c r="E338" s="272"/>
      <c r="F338" s="272"/>
      <c r="G338" s="301"/>
      <c r="H338" s="302"/>
      <c r="I338" s="172"/>
      <c r="J338" s="333"/>
      <c r="K338" s="332"/>
      <c r="L338" s="332"/>
      <c r="M338" s="332"/>
      <c r="N338" s="334"/>
      <c r="O338" s="221"/>
      <c r="P338" s="317"/>
      <c r="Q338" s="221"/>
      <c r="R338" s="224"/>
      <c r="S338" s="353"/>
      <c r="T338" s="457"/>
      <c r="U338" s="334"/>
      <c r="V338" s="332"/>
      <c r="W338" s="334"/>
      <c r="X338" s="335"/>
      <c r="Y338" s="385"/>
    </row>
    <row r="339" spans="1:32" ht="21" customHeight="1">
      <c r="A339" s="26"/>
      <c r="B339" s="27"/>
      <c r="C339" s="18" t="s">
        <v>514</v>
      </c>
      <c r="D339" s="246" t="s">
        <v>376</v>
      </c>
      <c r="E339" s="129">
        <f>E340+E349</f>
        <v>83018</v>
      </c>
      <c r="F339" s="129">
        <f>SUM(F340,F349)</f>
        <v>60979</v>
      </c>
      <c r="G339" s="130">
        <f>F339-E339</f>
        <v>-22039</v>
      </c>
      <c r="H339" s="131">
        <f>IF(E339=0,0,G339/E339)</f>
        <v>-0.26547254812209398</v>
      </c>
      <c r="I339" s="119" t="s">
        <v>515</v>
      </c>
      <c r="J339" s="120"/>
      <c r="K339" s="121"/>
      <c r="L339" s="121"/>
      <c r="M339" s="121"/>
      <c r="N339" s="452"/>
      <c r="O339" s="452"/>
      <c r="P339" s="511"/>
      <c r="Q339" s="417"/>
      <c r="R339" s="417"/>
      <c r="S339" s="122"/>
      <c r="T339" s="417"/>
      <c r="U339" s="417"/>
      <c r="V339" s="144" t="s">
        <v>351</v>
      </c>
      <c r="W339" s="466"/>
      <c r="X339" s="537">
        <f>X340+X349</f>
        <v>60979000</v>
      </c>
      <c r="Y339" s="389" t="s">
        <v>352</v>
      </c>
    </row>
    <row r="340" spans="1:32" ht="21" customHeight="1">
      <c r="A340" s="26"/>
      <c r="B340" s="27"/>
      <c r="C340" s="27" t="s">
        <v>516</v>
      </c>
      <c r="D340" s="27" t="s">
        <v>517</v>
      </c>
      <c r="E340" s="29">
        <v>44075</v>
      </c>
      <c r="F340" s="29">
        <f>ROUND(X340/1000,0)</f>
        <v>22036</v>
      </c>
      <c r="G340" s="20">
        <f>F340-E340</f>
        <v>-22039</v>
      </c>
      <c r="H340" s="21">
        <f>IF(E340=0,0,G340/E340)</f>
        <v>-0.50003403289846848</v>
      </c>
      <c r="I340" s="172" t="s">
        <v>518</v>
      </c>
      <c r="J340" s="333"/>
      <c r="K340" s="332"/>
      <c r="L340" s="332"/>
      <c r="M340" s="332"/>
      <c r="N340" s="334"/>
      <c r="O340" s="334"/>
      <c r="P340" s="335"/>
      <c r="Q340" s="334"/>
      <c r="R340" s="334"/>
      <c r="S340" s="293"/>
      <c r="T340" s="334"/>
      <c r="U340" s="334"/>
      <c r="V340" s="332"/>
      <c r="W340" s="334"/>
      <c r="X340" s="537">
        <f>ROUNDUP(SUM(W341:X348),-3)</f>
        <v>22036000</v>
      </c>
      <c r="Y340" s="385" t="s">
        <v>352</v>
      </c>
    </row>
    <row r="341" spans="1:32" ht="21" customHeight="1">
      <c r="A341" s="26"/>
      <c r="B341" s="27"/>
      <c r="C341" s="27" t="s">
        <v>490</v>
      </c>
      <c r="D341" s="27" t="s">
        <v>519</v>
      </c>
      <c r="E341" s="29"/>
      <c r="F341" s="29"/>
      <c r="G341" s="30"/>
      <c r="H341" s="16"/>
      <c r="I341" s="172" t="s">
        <v>600</v>
      </c>
      <c r="J341" s="333"/>
      <c r="K341" s="332"/>
      <c r="L341" s="332"/>
      <c r="M341" s="332"/>
      <c r="N341" s="334"/>
      <c r="O341" s="334"/>
      <c r="P341" s="335"/>
      <c r="Q341" s="334"/>
      <c r="R341" s="334"/>
      <c r="S341" s="293"/>
      <c r="T341" s="334"/>
      <c r="U341" s="334"/>
      <c r="V341" s="332"/>
      <c r="W341" s="334"/>
      <c r="X341" s="335">
        <v>5920000</v>
      </c>
      <c r="Y341" s="385" t="s">
        <v>352</v>
      </c>
    </row>
    <row r="342" spans="1:32" ht="21" customHeight="1">
      <c r="A342" s="26"/>
      <c r="B342" s="27"/>
      <c r="C342" s="27"/>
      <c r="D342" s="27"/>
      <c r="E342" s="29"/>
      <c r="F342" s="29"/>
      <c r="G342" s="30"/>
      <c r="H342" s="16"/>
      <c r="I342" s="172" t="s">
        <v>601</v>
      </c>
      <c r="J342" s="333"/>
      <c r="K342" s="332"/>
      <c r="L342" s="332"/>
      <c r="M342" s="332"/>
      <c r="N342" s="334"/>
      <c r="O342" s="334"/>
      <c r="P342" s="335"/>
      <c r="Q342" s="334"/>
      <c r="R342" s="334"/>
      <c r="S342" s="293"/>
      <c r="T342" s="334"/>
      <c r="U342" s="334"/>
      <c r="V342" s="332"/>
      <c r="W342" s="334"/>
      <c r="X342" s="335">
        <v>2771000</v>
      </c>
      <c r="Y342" s="385" t="s">
        <v>352</v>
      </c>
    </row>
    <row r="343" spans="1:32" ht="21" customHeight="1">
      <c r="A343" s="26"/>
      <c r="B343" s="27"/>
      <c r="C343" s="27"/>
      <c r="D343" s="27"/>
      <c r="E343" s="29"/>
      <c r="F343" s="29"/>
      <c r="G343" s="30"/>
      <c r="H343" s="16"/>
      <c r="I343" s="172" t="s">
        <v>567</v>
      </c>
      <c r="J343" s="333"/>
      <c r="K343" s="332"/>
      <c r="L343" s="332"/>
      <c r="M343" s="332"/>
      <c r="N343" s="334"/>
      <c r="O343" s="334"/>
      <c r="P343" s="335"/>
      <c r="Q343" s="334"/>
      <c r="R343" s="334"/>
      <c r="S343" s="293"/>
      <c r="T343" s="3"/>
      <c r="U343" s="334"/>
      <c r="V343" s="332"/>
      <c r="W343" s="334"/>
      <c r="X343" s="335">
        <v>12724000</v>
      </c>
      <c r="Y343" s="385" t="s">
        <v>352</v>
      </c>
    </row>
    <row r="344" spans="1:32" ht="21" customHeight="1">
      <c r="A344" s="26"/>
      <c r="B344" s="27"/>
      <c r="C344" s="27"/>
      <c r="D344" s="27"/>
      <c r="E344" s="29"/>
      <c r="F344" s="29"/>
      <c r="G344" s="30"/>
      <c r="H344" s="16"/>
      <c r="I344" s="172" t="s">
        <v>568</v>
      </c>
      <c r="J344" s="333"/>
      <c r="K344" s="332"/>
      <c r="L344" s="332"/>
      <c r="M344" s="332"/>
      <c r="N344" s="334"/>
      <c r="O344" s="334"/>
      <c r="P344" s="335"/>
      <c r="Q344" s="334"/>
      <c r="R344" s="334"/>
      <c r="S344" s="293"/>
      <c r="T344" s="334"/>
      <c r="U344" s="334"/>
      <c r="V344" s="332"/>
      <c r="W344" s="334"/>
      <c r="X344" s="335">
        <v>0</v>
      </c>
      <c r="Y344" s="385" t="s">
        <v>566</v>
      </c>
    </row>
    <row r="345" spans="1:32" ht="21" customHeight="1">
      <c r="A345" s="26"/>
      <c r="B345" s="27"/>
      <c r="C345" s="27"/>
      <c r="D345" s="27"/>
      <c r="E345" s="29"/>
      <c r="F345" s="29"/>
      <c r="G345" s="30"/>
      <c r="H345" s="16"/>
      <c r="I345" s="172" t="s">
        <v>565</v>
      </c>
      <c r="J345" s="333"/>
      <c r="K345" s="332"/>
      <c r="L345" s="332"/>
      <c r="M345" s="332"/>
      <c r="N345" s="334"/>
      <c r="O345" s="334"/>
      <c r="P345" s="335"/>
      <c r="Q345" s="334"/>
      <c r="R345" s="334"/>
      <c r="S345" s="293"/>
      <c r="T345" s="334"/>
      <c r="U345" s="334"/>
      <c r="V345" s="332"/>
      <c r="W345" s="334"/>
      <c r="X345" s="335">
        <v>0</v>
      </c>
      <c r="Y345" s="385" t="s">
        <v>352</v>
      </c>
    </row>
    <row r="346" spans="1:32" ht="21" customHeight="1">
      <c r="A346" s="26"/>
      <c r="B346" s="27"/>
      <c r="C346" s="27"/>
      <c r="D346" s="27"/>
      <c r="E346" s="29"/>
      <c r="F346" s="29"/>
      <c r="G346" s="30"/>
      <c r="H346" s="16"/>
      <c r="I346" s="172" t="s">
        <v>652</v>
      </c>
      <c r="J346" s="333"/>
      <c r="K346" s="332"/>
      <c r="L346" s="332"/>
      <c r="M346" s="332"/>
      <c r="N346" s="334"/>
      <c r="O346" s="334"/>
      <c r="P346" s="335"/>
      <c r="Q346" s="334"/>
      <c r="R346" s="334"/>
      <c r="S346" s="293"/>
      <c r="T346" s="334"/>
      <c r="U346" s="334"/>
      <c r="V346" s="332"/>
      <c r="W346" s="334"/>
      <c r="X346" s="335">
        <v>0</v>
      </c>
      <c r="Y346" s="385" t="s">
        <v>566</v>
      </c>
    </row>
    <row r="347" spans="1:32" ht="21" customHeight="1">
      <c r="A347" s="26"/>
      <c r="B347" s="27"/>
      <c r="C347" s="27"/>
      <c r="D347" s="27"/>
      <c r="E347" s="29"/>
      <c r="F347" s="29"/>
      <c r="G347" s="30"/>
      <c r="H347" s="16"/>
      <c r="I347" s="172" t="s">
        <v>653</v>
      </c>
      <c r="J347" s="333"/>
      <c r="K347" s="332"/>
      <c r="L347" s="332"/>
      <c r="M347" s="332"/>
      <c r="N347" s="334"/>
      <c r="O347" s="334"/>
      <c r="P347" s="335"/>
      <c r="Q347" s="334"/>
      <c r="R347" s="334"/>
      <c r="S347" s="293"/>
      <c r="T347" s="334"/>
      <c r="U347" s="334"/>
      <c r="V347" s="332"/>
      <c r="W347" s="334"/>
      <c r="X347" s="335">
        <v>621000</v>
      </c>
      <c r="Y347" s="385" t="s">
        <v>352</v>
      </c>
    </row>
    <row r="348" spans="1:32" ht="21" customHeight="1">
      <c r="A348" s="26"/>
      <c r="B348" s="27"/>
      <c r="C348" s="27"/>
      <c r="D348" s="27"/>
      <c r="E348" s="29"/>
      <c r="F348" s="36"/>
      <c r="G348" s="30"/>
      <c r="H348" s="43"/>
      <c r="I348" s="172" t="s">
        <v>654</v>
      </c>
      <c r="J348" s="576"/>
      <c r="K348" s="575"/>
      <c r="L348" s="575"/>
      <c r="M348" s="575"/>
      <c r="N348" s="420"/>
      <c r="O348" s="420"/>
      <c r="P348" s="231"/>
      <c r="Q348" s="420"/>
      <c r="R348" s="420"/>
      <c r="S348" s="300"/>
      <c r="T348" s="420"/>
      <c r="U348" s="420"/>
      <c r="V348" s="575"/>
      <c r="W348" s="420"/>
      <c r="X348" s="231">
        <v>0</v>
      </c>
      <c r="Y348" s="405" t="s">
        <v>352</v>
      </c>
    </row>
    <row r="349" spans="1:32" ht="21" customHeight="1">
      <c r="A349" s="26"/>
      <c r="B349" s="27"/>
      <c r="C349" s="27"/>
      <c r="D349" s="18" t="s">
        <v>517</v>
      </c>
      <c r="E349" s="19">
        <v>38943</v>
      </c>
      <c r="F349" s="19">
        <f>ROUND(X349/1000,0)</f>
        <v>38943</v>
      </c>
      <c r="G349" s="20">
        <f>F349-E349</f>
        <v>0</v>
      </c>
      <c r="H349" s="21">
        <f>IF(E349=0,0,G349/E349)</f>
        <v>0</v>
      </c>
      <c r="I349" s="175" t="s">
        <v>520</v>
      </c>
      <c r="J349" s="186"/>
      <c r="K349" s="178"/>
      <c r="L349" s="178"/>
      <c r="M349" s="178"/>
      <c r="N349" s="421"/>
      <c r="O349" s="421"/>
      <c r="P349" s="299"/>
      <c r="Q349" s="421"/>
      <c r="R349" s="421"/>
      <c r="S349" s="298"/>
      <c r="T349" s="421"/>
      <c r="U349" s="421"/>
      <c r="V349" s="178"/>
      <c r="W349" s="421"/>
      <c r="X349" s="299">
        <f>ROUNDUP(38942194,-3)</f>
        <v>38943000</v>
      </c>
      <c r="Y349" s="407" t="s">
        <v>352</v>
      </c>
    </row>
    <row r="350" spans="1:32" ht="21" customHeight="1">
      <c r="A350" s="26"/>
      <c r="B350" s="27"/>
      <c r="C350" s="27"/>
      <c r="D350" s="27" t="s">
        <v>521</v>
      </c>
      <c r="E350" s="29"/>
      <c r="F350" s="29"/>
      <c r="G350" s="30"/>
      <c r="H350" s="43"/>
      <c r="I350" s="172"/>
      <c r="J350" s="333"/>
      <c r="K350" s="332"/>
      <c r="L350" s="332"/>
      <c r="M350" s="332"/>
      <c r="N350" s="334"/>
      <c r="O350" s="334"/>
      <c r="P350" s="335"/>
      <c r="Q350" s="334"/>
      <c r="R350" s="334"/>
      <c r="S350" s="293"/>
      <c r="T350" s="334"/>
      <c r="U350" s="334"/>
      <c r="V350" s="332"/>
      <c r="W350" s="334"/>
      <c r="X350" s="335"/>
      <c r="Y350" s="385"/>
    </row>
    <row r="351" spans="1:32" ht="21" customHeight="1">
      <c r="A351" s="34"/>
      <c r="B351" s="27"/>
      <c r="C351" s="27"/>
      <c r="D351" s="27"/>
      <c r="E351" s="29"/>
      <c r="F351" s="29"/>
      <c r="G351" s="30"/>
      <c r="H351" s="43"/>
      <c r="I351" s="40"/>
      <c r="J351" s="180"/>
      <c r="K351" s="179"/>
      <c r="L351" s="179"/>
      <c r="M351" s="179"/>
      <c r="N351" s="568"/>
      <c r="O351" s="568"/>
      <c r="P351" s="41"/>
      <c r="Q351" s="568"/>
      <c r="R351" s="568"/>
      <c r="S351" s="31"/>
      <c r="T351" s="568"/>
      <c r="U351" s="568"/>
      <c r="V351" s="179"/>
      <c r="W351" s="568"/>
      <c r="X351" s="41"/>
      <c r="Y351" s="391"/>
      <c r="Z351" s="592"/>
      <c r="AA351" s="158"/>
      <c r="AB351" s="158"/>
      <c r="AC351" s="158"/>
      <c r="AD351" s="158"/>
      <c r="AE351" s="160"/>
      <c r="AF351" s="159"/>
    </row>
    <row r="352" spans="1:32" ht="21" customHeight="1">
      <c r="A352" s="26" t="s">
        <v>522</v>
      </c>
      <c r="B352" s="55" t="s">
        <v>16</v>
      </c>
      <c r="C352" s="619" t="s">
        <v>417</v>
      </c>
      <c r="D352" s="620"/>
      <c r="E352" s="151">
        <f>SUM(E353,E357,E370)</f>
        <v>71371</v>
      </c>
      <c r="F352" s="151">
        <f>SUM(F353,F357,F370)</f>
        <v>65880</v>
      </c>
      <c r="G352" s="152">
        <f>F352-E352</f>
        <v>-5491</v>
      </c>
      <c r="H352" s="153">
        <f>IF(E352=0,0,G352/E352)</f>
        <v>-7.6936010424402068E-2</v>
      </c>
      <c r="I352" s="154" t="s">
        <v>523</v>
      </c>
      <c r="J352" s="155"/>
      <c r="K352" s="156"/>
      <c r="L352" s="156"/>
      <c r="M352" s="155"/>
      <c r="N352" s="416"/>
      <c r="O352" s="416"/>
      <c r="P352" s="161"/>
      <c r="Q352" s="416" t="s">
        <v>419</v>
      </c>
      <c r="R352" s="156"/>
      <c r="S352" s="157"/>
      <c r="T352" s="156"/>
      <c r="U352" s="156"/>
      <c r="V352" s="157"/>
      <c r="W352" s="156"/>
      <c r="X352" s="161">
        <f>SUM(X353,X357,X370)</f>
        <v>65880000</v>
      </c>
      <c r="Y352" s="409" t="s">
        <v>352</v>
      </c>
    </row>
    <row r="353" spans="1:37" ht="21" customHeight="1">
      <c r="A353" s="26"/>
      <c r="B353" s="58"/>
      <c r="C353" s="18" t="s">
        <v>524</v>
      </c>
      <c r="D353" s="246" t="s">
        <v>376</v>
      </c>
      <c r="E353" s="129">
        <f>E354</f>
        <v>205</v>
      </c>
      <c r="F353" s="129">
        <f>F354</f>
        <v>400</v>
      </c>
      <c r="G353" s="130">
        <f>F353-E353</f>
        <v>195</v>
      </c>
      <c r="H353" s="131">
        <f>IF(E353=0,0,G353/E353)</f>
        <v>0.95121951219512191</v>
      </c>
      <c r="I353" s="119" t="s">
        <v>525</v>
      </c>
      <c r="J353" s="120"/>
      <c r="K353" s="121"/>
      <c r="L353" s="121"/>
      <c r="M353" s="121"/>
      <c r="N353" s="452"/>
      <c r="O353" s="452"/>
      <c r="P353" s="511"/>
      <c r="Q353" s="417"/>
      <c r="R353" s="417"/>
      <c r="S353" s="122"/>
      <c r="T353" s="417"/>
      <c r="U353" s="417"/>
      <c r="V353" s="144" t="s">
        <v>351</v>
      </c>
      <c r="W353" s="466"/>
      <c r="X353" s="539">
        <f>SUM(X354:X354)</f>
        <v>400000</v>
      </c>
      <c r="Y353" s="389" t="s">
        <v>352</v>
      </c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</row>
    <row r="354" spans="1:37" s="7" customFormat="1" ht="19.5" customHeight="1">
      <c r="A354" s="577"/>
      <c r="B354" s="59"/>
      <c r="C354" s="27" t="s">
        <v>526</v>
      </c>
      <c r="D354" s="18" t="s">
        <v>527</v>
      </c>
      <c r="E354" s="19">
        <v>205</v>
      </c>
      <c r="F354" s="29">
        <f>ROUND(X354/1000,0)</f>
        <v>400</v>
      </c>
      <c r="G354" s="20">
        <f>F354-E354</f>
        <v>195</v>
      </c>
      <c r="H354" s="21">
        <f>IF(E354=0,0,G354/E354)</f>
        <v>0.95121951219512191</v>
      </c>
      <c r="I354" s="82" t="s">
        <v>525</v>
      </c>
      <c r="J354" s="92"/>
      <c r="K354" s="56"/>
      <c r="L354" s="56"/>
      <c r="M354" s="56"/>
      <c r="N354" s="567"/>
      <c r="O354" s="567"/>
      <c r="P354" s="147"/>
      <c r="Q354" s="567"/>
      <c r="R354" s="567"/>
      <c r="S354" s="56"/>
      <c r="T354" s="567"/>
      <c r="U354" s="567"/>
      <c r="V354" s="621" t="s">
        <v>351</v>
      </c>
      <c r="W354" s="621"/>
      <c r="X354" s="537">
        <f>ROUNDUP(SUM(W355:X356),-3)</f>
        <v>400000</v>
      </c>
      <c r="Y354" s="390" t="s">
        <v>352</v>
      </c>
      <c r="Z354" s="590"/>
    </row>
    <row r="355" spans="1:37" s="7" customFormat="1" ht="19.5" customHeight="1">
      <c r="A355" s="577"/>
      <c r="B355" s="59"/>
      <c r="C355" s="27"/>
      <c r="D355" s="27"/>
      <c r="E355" s="29"/>
      <c r="F355" s="29"/>
      <c r="G355" s="30"/>
      <c r="H355" s="16"/>
      <c r="I355" s="172"/>
      <c r="J355" s="333"/>
      <c r="K355" s="332"/>
      <c r="L355" s="332"/>
      <c r="M355" s="332"/>
      <c r="N355" s="334"/>
      <c r="O355" s="334"/>
      <c r="P355" s="335"/>
      <c r="Q355" s="334"/>
      <c r="R355" s="334"/>
      <c r="S355" s="332"/>
      <c r="T355" s="334"/>
      <c r="U355" s="334"/>
      <c r="V355" s="334"/>
      <c r="W355" s="334"/>
      <c r="X355" s="169">
        <v>400000</v>
      </c>
      <c r="Y355" s="385" t="s">
        <v>352</v>
      </c>
      <c r="Z355" s="590"/>
    </row>
    <row r="356" spans="1:37" s="7" customFormat="1" ht="19.5" customHeight="1">
      <c r="A356" s="577"/>
      <c r="B356" s="57"/>
      <c r="C356" s="27"/>
      <c r="D356" s="27"/>
      <c r="E356" s="29"/>
      <c r="F356" s="29"/>
      <c r="G356" s="30"/>
      <c r="H356" s="16"/>
      <c r="I356" s="172"/>
      <c r="J356" s="333"/>
      <c r="K356" s="332"/>
      <c r="L356" s="332"/>
      <c r="M356" s="332"/>
      <c r="N356" s="334"/>
      <c r="O356" s="221"/>
      <c r="P356" s="317"/>
      <c r="Q356" s="221"/>
      <c r="R356" s="224"/>
      <c r="S356" s="353"/>
      <c r="T356" s="457"/>
      <c r="U356" s="334"/>
      <c r="V356" s="332"/>
      <c r="W356" s="334"/>
      <c r="X356" s="335"/>
      <c r="Y356" s="385"/>
      <c r="Z356" s="590"/>
    </row>
    <row r="357" spans="1:37" s="7" customFormat="1" ht="19.5" customHeight="1">
      <c r="A357" s="577"/>
      <c r="B357" s="57"/>
      <c r="C357" s="18" t="s">
        <v>528</v>
      </c>
      <c r="D357" s="246" t="s">
        <v>376</v>
      </c>
      <c r="E357" s="129">
        <f>E358</f>
        <v>340</v>
      </c>
      <c r="F357" s="129">
        <f>F358</f>
        <v>340</v>
      </c>
      <c r="G357" s="130">
        <f>F357-E357</f>
        <v>0</v>
      </c>
      <c r="H357" s="131">
        <f>IF(E357=0,0,G357/E357)</f>
        <v>0</v>
      </c>
      <c r="I357" s="119" t="s">
        <v>529</v>
      </c>
      <c r="J357" s="120"/>
      <c r="K357" s="121"/>
      <c r="L357" s="121"/>
      <c r="M357" s="121"/>
      <c r="N357" s="452"/>
      <c r="O357" s="452"/>
      <c r="P357" s="511"/>
      <c r="Q357" s="417"/>
      <c r="R357" s="417"/>
      <c r="S357" s="122"/>
      <c r="T357" s="417"/>
      <c r="U357" s="417"/>
      <c r="V357" s="144" t="s">
        <v>351</v>
      </c>
      <c r="W357" s="466"/>
      <c r="X357" s="538">
        <f>SUM(X358:X358)</f>
        <v>340000</v>
      </c>
      <c r="Y357" s="389" t="s">
        <v>352</v>
      </c>
      <c r="Z357" s="590"/>
    </row>
    <row r="358" spans="1:37" s="7" customFormat="1" ht="19.5" customHeight="1">
      <c r="A358" s="577"/>
      <c r="B358" s="57"/>
      <c r="C358" s="27" t="s">
        <v>530</v>
      </c>
      <c r="D358" s="27" t="s">
        <v>531</v>
      </c>
      <c r="E358" s="29">
        <v>340</v>
      </c>
      <c r="F358" s="29">
        <f>ROUND(X358/1000,0)</f>
        <v>340</v>
      </c>
      <c r="G358" s="20">
        <f>F358-E358</f>
        <v>0</v>
      </c>
      <c r="H358" s="21">
        <f>IF(E358=0,0,G358/E358)</f>
        <v>0</v>
      </c>
      <c r="I358" s="82" t="s">
        <v>532</v>
      </c>
      <c r="J358" s="92"/>
      <c r="K358" s="56"/>
      <c r="L358" s="56"/>
      <c r="M358" s="56"/>
      <c r="N358" s="567"/>
      <c r="O358" s="567"/>
      <c r="P358" s="147"/>
      <c r="Q358" s="567"/>
      <c r="R358" s="567"/>
      <c r="S358" s="56"/>
      <c r="T358" s="567"/>
      <c r="U358" s="567"/>
      <c r="V358" s="621"/>
      <c r="W358" s="621"/>
      <c r="X358" s="537">
        <f>ROUND(SUM(W359:X369),-3)</f>
        <v>340000</v>
      </c>
      <c r="Y358" s="390" t="s">
        <v>352</v>
      </c>
      <c r="Z358" s="590"/>
    </row>
    <row r="359" spans="1:37" s="7" customFormat="1" ht="19.5" customHeight="1">
      <c r="A359" s="577"/>
      <c r="B359" s="57"/>
      <c r="C359" s="27" t="s">
        <v>420</v>
      </c>
      <c r="D359" s="27" t="s">
        <v>533</v>
      </c>
      <c r="E359" s="29"/>
      <c r="F359" s="29"/>
      <c r="G359" s="30"/>
      <c r="H359" s="43"/>
      <c r="I359" s="40" t="s">
        <v>534</v>
      </c>
      <c r="J359" s="180"/>
      <c r="K359" s="179"/>
      <c r="L359" s="179"/>
      <c r="M359" s="179"/>
      <c r="N359" s="568"/>
      <c r="O359" s="568"/>
      <c r="P359" s="41"/>
      <c r="Q359" s="568"/>
      <c r="R359" s="568"/>
      <c r="S359" s="31"/>
      <c r="T359" s="568"/>
      <c r="U359" s="568"/>
      <c r="V359" s="179"/>
      <c r="W359" s="568"/>
      <c r="X359" s="41">
        <v>250000</v>
      </c>
      <c r="Y359" s="391" t="s">
        <v>352</v>
      </c>
      <c r="Z359" s="590"/>
    </row>
    <row r="360" spans="1:37" s="7" customFormat="1" ht="19.5" customHeight="1">
      <c r="A360" s="577"/>
      <c r="B360" s="57"/>
      <c r="C360" s="27"/>
      <c r="D360" s="27"/>
      <c r="E360" s="29"/>
      <c r="F360" s="29"/>
      <c r="G360" s="30"/>
      <c r="H360" s="43"/>
      <c r="I360" s="40" t="s">
        <v>535</v>
      </c>
      <c r="J360" s="180"/>
      <c r="K360" s="179"/>
      <c r="L360" s="179"/>
      <c r="M360" s="179"/>
      <c r="N360" s="568"/>
      <c r="O360" s="568"/>
      <c r="P360" s="41"/>
      <c r="Q360" s="568"/>
      <c r="R360" s="568"/>
      <c r="S360" s="31"/>
      <c r="T360" s="568"/>
      <c r="U360" s="568"/>
      <c r="V360" s="179"/>
      <c r="W360" s="568"/>
      <c r="X360" s="41">
        <v>5000</v>
      </c>
      <c r="Y360" s="391" t="s">
        <v>352</v>
      </c>
      <c r="Z360" s="590"/>
    </row>
    <row r="361" spans="1:37" s="7" customFormat="1" ht="19.5" customHeight="1">
      <c r="A361" s="577"/>
      <c r="B361" s="57"/>
      <c r="C361" s="27"/>
      <c r="D361" s="27"/>
      <c r="E361" s="29"/>
      <c r="F361" s="29"/>
      <c r="G361" s="30"/>
      <c r="H361" s="43"/>
      <c r="I361" s="40" t="s">
        <v>536</v>
      </c>
      <c r="J361" s="180"/>
      <c r="K361" s="179"/>
      <c r="L361" s="179"/>
      <c r="M361" s="179"/>
      <c r="N361" s="568"/>
      <c r="O361" s="568"/>
      <c r="P361" s="41"/>
      <c r="Q361" s="568"/>
      <c r="R361" s="568"/>
      <c r="S361" s="31"/>
      <c r="T361" s="568"/>
      <c r="U361" s="568"/>
      <c r="V361" s="179"/>
      <c r="W361" s="568"/>
      <c r="X361" s="41">
        <v>5000</v>
      </c>
      <c r="Y361" s="391" t="s">
        <v>352</v>
      </c>
      <c r="Z361" s="590"/>
    </row>
    <row r="362" spans="1:37" s="7" customFormat="1" ht="19.5" customHeight="1">
      <c r="A362" s="577"/>
      <c r="B362" s="57"/>
      <c r="C362" s="27"/>
      <c r="D362" s="27"/>
      <c r="E362" s="29"/>
      <c r="F362" s="29"/>
      <c r="G362" s="30"/>
      <c r="H362" s="43"/>
      <c r="I362" s="40" t="s">
        <v>664</v>
      </c>
      <c r="J362" s="180"/>
      <c r="K362" s="179"/>
      <c r="L362" s="179"/>
      <c r="M362" s="179"/>
      <c r="N362" s="568"/>
      <c r="O362" s="568"/>
      <c r="P362" s="41"/>
      <c r="Q362" s="568"/>
      <c r="R362" s="568"/>
      <c r="S362" s="31"/>
      <c r="T362" s="568"/>
      <c r="U362" s="568"/>
      <c r="V362" s="179"/>
      <c r="W362" s="568"/>
      <c r="X362" s="41">
        <v>25000</v>
      </c>
      <c r="Y362" s="391" t="s">
        <v>352</v>
      </c>
      <c r="Z362" s="590"/>
    </row>
    <row r="363" spans="1:37" s="7" customFormat="1" ht="19.5" customHeight="1">
      <c r="A363" s="577"/>
      <c r="B363" s="57"/>
      <c r="C363" s="27"/>
      <c r="D363" s="27"/>
      <c r="E363" s="29"/>
      <c r="F363" s="29"/>
      <c r="G363" s="30"/>
      <c r="H363" s="43"/>
      <c r="I363" s="40" t="s">
        <v>537</v>
      </c>
      <c r="J363" s="180"/>
      <c r="K363" s="179"/>
      <c r="L363" s="179"/>
      <c r="M363" s="179"/>
      <c r="N363" s="568"/>
      <c r="O363" s="568"/>
      <c r="P363" s="41"/>
      <c r="Q363" s="568"/>
      <c r="R363" s="568"/>
      <c r="S363" s="31"/>
      <c r="T363" s="568"/>
      <c r="U363" s="568"/>
      <c r="V363" s="179"/>
      <c r="W363" s="568"/>
      <c r="X363" s="41">
        <v>0</v>
      </c>
      <c r="Y363" s="391" t="s">
        <v>352</v>
      </c>
      <c r="Z363" s="590"/>
    </row>
    <row r="364" spans="1:37" s="7" customFormat="1" ht="19.5" customHeight="1">
      <c r="A364" s="577"/>
      <c r="B364" s="57"/>
      <c r="C364" s="27"/>
      <c r="D364" s="27"/>
      <c r="E364" s="29"/>
      <c r="F364" s="29"/>
      <c r="G364" s="30"/>
      <c r="H364" s="43"/>
      <c r="I364" s="40" t="s">
        <v>538</v>
      </c>
      <c r="J364" s="180"/>
      <c r="K364" s="179"/>
      <c r="L364" s="179"/>
      <c r="M364" s="179"/>
      <c r="N364" s="568"/>
      <c r="O364" s="568"/>
      <c r="P364" s="41"/>
      <c r="Q364" s="568"/>
      <c r="R364" s="568"/>
      <c r="S364" s="31"/>
      <c r="T364" s="568"/>
      <c r="U364" s="568"/>
      <c r="V364" s="179"/>
      <c r="W364" s="568"/>
      <c r="X364" s="41">
        <v>5000</v>
      </c>
      <c r="Y364" s="391" t="s">
        <v>352</v>
      </c>
      <c r="Z364" s="590"/>
    </row>
    <row r="365" spans="1:37" s="7" customFormat="1" ht="19.5" customHeight="1">
      <c r="A365" s="577"/>
      <c r="B365" s="57"/>
      <c r="C365" s="27"/>
      <c r="D365" s="27"/>
      <c r="E365" s="29"/>
      <c r="F365" s="29"/>
      <c r="G365" s="30"/>
      <c r="H365" s="43"/>
      <c r="I365" s="40" t="s">
        <v>539</v>
      </c>
      <c r="J365" s="180"/>
      <c r="K365" s="179"/>
      <c r="L365" s="179"/>
      <c r="M365" s="179"/>
      <c r="N365" s="568"/>
      <c r="O365" s="568"/>
      <c r="P365" s="41"/>
      <c r="Q365" s="568"/>
      <c r="R365" s="568"/>
      <c r="S365" s="31"/>
      <c r="T365" s="568"/>
      <c r="U365" s="568"/>
      <c r="V365" s="179"/>
      <c r="W365" s="568"/>
      <c r="X365" s="169">
        <v>0</v>
      </c>
      <c r="Y365" s="391" t="s">
        <v>352</v>
      </c>
      <c r="Z365" s="590"/>
    </row>
    <row r="366" spans="1:37" s="7" customFormat="1" ht="19.5" customHeight="1">
      <c r="A366" s="577"/>
      <c r="B366" s="57"/>
      <c r="C366" s="27"/>
      <c r="D366" s="27"/>
      <c r="E366" s="29"/>
      <c r="F366" s="29"/>
      <c r="G366" s="30"/>
      <c r="H366" s="43"/>
      <c r="I366" s="40" t="s">
        <v>540</v>
      </c>
      <c r="J366" s="180"/>
      <c r="K366" s="179"/>
      <c r="L366" s="179"/>
      <c r="M366" s="179"/>
      <c r="N366" s="568"/>
      <c r="O366" s="568"/>
      <c r="P366" s="41"/>
      <c r="Q366" s="568"/>
      <c r="R366" s="568"/>
      <c r="S366" s="31"/>
      <c r="T366" s="568"/>
      <c r="U366" s="568"/>
      <c r="V366" s="179"/>
      <c r="W366" s="568"/>
      <c r="X366" s="41">
        <v>30000</v>
      </c>
      <c r="Y366" s="391" t="s">
        <v>352</v>
      </c>
      <c r="Z366" s="590"/>
    </row>
    <row r="367" spans="1:37" s="7" customFormat="1" ht="19.5" customHeight="1">
      <c r="A367" s="577"/>
      <c r="B367" s="57"/>
      <c r="C367" s="27"/>
      <c r="D367" s="27"/>
      <c r="E367" s="29"/>
      <c r="F367" s="29"/>
      <c r="G367" s="30"/>
      <c r="H367" s="43"/>
      <c r="I367" s="40" t="s">
        <v>541</v>
      </c>
      <c r="J367" s="180"/>
      <c r="K367" s="179"/>
      <c r="L367" s="179"/>
      <c r="M367" s="179"/>
      <c r="N367" s="568"/>
      <c r="O367" s="568"/>
      <c r="P367" s="41"/>
      <c r="Q367" s="568"/>
      <c r="R367" s="568"/>
      <c r="S367" s="31"/>
      <c r="T367" s="568"/>
      <c r="U367" s="568"/>
      <c r="V367" s="179"/>
      <c r="W367" s="568"/>
      <c r="X367" s="41">
        <v>0</v>
      </c>
      <c r="Y367" s="391" t="s">
        <v>352</v>
      </c>
      <c r="Z367" s="590"/>
    </row>
    <row r="368" spans="1:37" s="7" customFormat="1" ht="19.5" customHeight="1">
      <c r="A368" s="577"/>
      <c r="B368" s="57"/>
      <c r="C368" s="27"/>
      <c r="D368" s="27"/>
      <c r="E368" s="29"/>
      <c r="F368" s="29"/>
      <c r="G368" s="30"/>
      <c r="H368" s="43"/>
      <c r="I368" s="40" t="s">
        <v>542</v>
      </c>
      <c r="J368" s="180"/>
      <c r="K368" s="179"/>
      <c r="L368" s="179"/>
      <c r="M368" s="179"/>
      <c r="N368" s="568"/>
      <c r="O368" s="568"/>
      <c r="P368" s="41"/>
      <c r="Q368" s="568"/>
      <c r="R368" s="568"/>
      <c r="S368" s="31"/>
      <c r="T368" s="568"/>
      <c r="U368" s="568"/>
      <c r="V368" s="179"/>
      <c r="W368" s="568"/>
      <c r="X368" s="41">
        <v>10000</v>
      </c>
      <c r="Y368" s="391" t="s">
        <v>352</v>
      </c>
      <c r="Z368" s="590"/>
    </row>
    <row r="369" spans="1:37" s="7" customFormat="1" ht="19.5" customHeight="1">
      <c r="A369" s="577"/>
      <c r="B369" s="57"/>
      <c r="C369" s="27"/>
      <c r="D369" s="27"/>
      <c r="E369" s="29"/>
      <c r="F369" s="29"/>
      <c r="G369" s="30"/>
      <c r="H369" s="43"/>
      <c r="I369" s="40" t="s">
        <v>543</v>
      </c>
      <c r="J369" s="180"/>
      <c r="K369" s="179"/>
      <c r="L369" s="179"/>
      <c r="M369" s="179"/>
      <c r="N369" s="568"/>
      <c r="O369" s="568"/>
      <c r="P369" s="41"/>
      <c r="Q369" s="568"/>
      <c r="R369" s="568"/>
      <c r="S369" s="31"/>
      <c r="T369" s="568"/>
      <c r="U369" s="568"/>
      <c r="V369" s="179"/>
      <c r="W369" s="568"/>
      <c r="X369" s="41">
        <v>10000</v>
      </c>
      <c r="Y369" s="391" t="s">
        <v>352</v>
      </c>
      <c r="Z369" s="590"/>
    </row>
    <row r="370" spans="1:37" s="7" customFormat="1" ht="19.5" customHeight="1">
      <c r="A370" s="577"/>
      <c r="B370" s="57"/>
      <c r="C370" s="18" t="s">
        <v>414</v>
      </c>
      <c r="D370" s="246" t="s">
        <v>376</v>
      </c>
      <c r="E370" s="129">
        <f>SUM(E371,E377)</f>
        <v>70826</v>
      </c>
      <c r="F370" s="129">
        <f>SUM(F371,F377)</f>
        <v>65140</v>
      </c>
      <c r="G370" s="130">
        <f>F370-E370</f>
        <v>-5686</v>
      </c>
      <c r="H370" s="131">
        <f>IF(E370=0,0,G370/E370)</f>
        <v>-8.0281252647332907E-2</v>
      </c>
      <c r="I370" s="119" t="s">
        <v>544</v>
      </c>
      <c r="J370" s="120"/>
      <c r="K370" s="121"/>
      <c r="L370" s="121"/>
      <c r="M370" s="121"/>
      <c r="N370" s="452"/>
      <c r="O370" s="452"/>
      <c r="P370" s="511"/>
      <c r="Q370" s="417"/>
      <c r="R370" s="417"/>
      <c r="S370" s="122"/>
      <c r="T370" s="417"/>
      <c r="U370" s="417"/>
      <c r="V370" s="144" t="s">
        <v>351</v>
      </c>
      <c r="W370" s="466"/>
      <c r="X370" s="538">
        <f>SUM(X371,X377)</f>
        <v>65140000</v>
      </c>
      <c r="Y370" s="389" t="s">
        <v>352</v>
      </c>
      <c r="Z370" s="590"/>
    </row>
    <row r="371" spans="1:37" s="7" customFormat="1" ht="19.5" customHeight="1">
      <c r="A371" s="577"/>
      <c r="B371" s="57"/>
      <c r="C371" s="27" t="s">
        <v>522</v>
      </c>
      <c r="D371" s="27" t="s">
        <v>545</v>
      </c>
      <c r="E371" s="29">
        <v>68040</v>
      </c>
      <c r="F371" s="29">
        <f>ROUND(X371/1000,0)</f>
        <v>63840</v>
      </c>
      <c r="G371" s="20">
        <f>F371-E371</f>
        <v>-4200</v>
      </c>
      <c r="H371" s="21">
        <f>IF(E371=0,0,G371/E371)</f>
        <v>-6.1728395061728392E-2</v>
      </c>
      <c r="I371" s="82" t="s">
        <v>660</v>
      </c>
      <c r="J371" s="92"/>
      <c r="K371" s="56"/>
      <c r="L371" s="56"/>
      <c r="M371" s="56"/>
      <c r="N371" s="567"/>
      <c r="O371" s="567"/>
      <c r="P371" s="147"/>
      <c r="Q371" s="567"/>
      <c r="R371" s="567"/>
      <c r="S371" s="56"/>
      <c r="T371" s="567"/>
      <c r="U371" s="567"/>
      <c r="V371" s="621"/>
      <c r="W371" s="621"/>
      <c r="X371" s="537">
        <f>ROUNDUP(SUM(W372:X376),-3)</f>
        <v>63840000</v>
      </c>
      <c r="Y371" s="390" t="s">
        <v>352</v>
      </c>
      <c r="Z371" s="590"/>
    </row>
    <row r="372" spans="1:37" s="7" customFormat="1" ht="19.5" customHeight="1">
      <c r="A372" s="577"/>
      <c r="B372" s="57"/>
      <c r="C372" s="27"/>
      <c r="D372" s="27"/>
      <c r="E372" s="29"/>
      <c r="F372" s="29"/>
      <c r="G372" s="30"/>
      <c r="H372" s="16"/>
      <c r="I372" s="172" t="s">
        <v>546</v>
      </c>
      <c r="J372" s="332"/>
      <c r="K372" s="332"/>
      <c r="L372" s="332"/>
      <c r="M372" s="332">
        <v>70000</v>
      </c>
      <c r="N372" s="334" t="s">
        <v>352</v>
      </c>
      <c r="O372" s="288" t="s">
        <v>355</v>
      </c>
      <c r="P372" s="335">
        <v>44</v>
      </c>
      <c r="Q372" s="288" t="s">
        <v>372</v>
      </c>
      <c r="R372" s="288" t="s">
        <v>355</v>
      </c>
      <c r="S372" s="332">
        <v>12</v>
      </c>
      <c r="T372" s="334" t="s">
        <v>354</v>
      </c>
      <c r="U372" s="334" t="s">
        <v>356</v>
      </c>
      <c r="V372" s="334"/>
      <c r="W372" s="288"/>
      <c r="X372" s="332">
        <f>ROUND(M372*P372*S372,-3)</f>
        <v>36960000</v>
      </c>
      <c r="Y372" s="385" t="s">
        <v>352</v>
      </c>
      <c r="Z372" s="590"/>
    </row>
    <row r="373" spans="1:37" s="7" customFormat="1" ht="19.5" customHeight="1">
      <c r="A373" s="577"/>
      <c r="B373" s="57"/>
      <c r="C373" s="27"/>
      <c r="D373" s="27"/>
      <c r="E373" s="29"/>
      <c r="F373" s="29"/>
      <c r="G373" s="30"/>
      <c r="H373" s="16"/>
      <c r="I373" s="172"/>
      <c r="J373" s="332"/>
      <c r="K373" s="332"/>
      <c r="L373" s="332"/>
      <c r="M373" s="332">
        <v>70000</v>
      </c>
      <c r="N373" s="334" t="s">
        <v>352</v>
      </c>
      <c r="O373" s="288" t="s">
        <v>355</v>
      </c>
      <c r="P373" s="335">
        <v>0</v>
      </c>
      <c r="Q373" s="288" t="s">
        <v>372</v>
      </c>
      <c r="R373" s="288" t="s">
        <v>355</v>
      </c>
      <c r="S373" s="332">
        <v>6</v>
      </c>
      <c r="T373" s="334" t="s">
        <v>354</v>
      </c>
      <c r="U373" s="334" t="s">
        <v>356</v>
      </c>
      <c r="V373" s="334"/>
      <c r="W373" s="288"/>
      <c r="X373" s="332">
        <f>ROUND(M373*P373*S373,-3)</f>
        <v>0</v>
      </c>
      <c r="Y373" s="385" t="s">
        <v>352</v>
      </c>
      <c r="Z373" s="590"/>
    </row>
    <row r="374" spans="1:37" s="7" customFormat="1" ht="19.5" customHeight="1">
      <c r="A374" s="577"/>
      <c r="B374" s="57"/>
      <c r="C374" s="27"/>
      <c r="D374" s="27"/>
      <c r="E374" s="29"/>
      <c r="F374" s="29"/>
      <c r="G374" s="30"/>
      <c r="H374" s="16"/>
      <c r="I374" s="172" t="s">
        <v>547</v>
      </c>
      <c r="J374" s="332"/>
      <c r="K374" s="332"/>
      <c r="L374" s="332"/>
      <c r="M374" s="332">
        <v>70000</v>
      </c>
      <c r="N374" s="334" t="s">
        <v>352</v>
      </c>
      <c r="O374" s="288" t="s">
        <v>355</v>
      </c>
      <c r="P374" s="335">
        <v>8</v>
      </c>
      <c r="Q374" s="334" t="s">
        <v>372</v>
      </c>
      <c r="R374" s="288" t="s">
        <v>355</v>
      </c>
      <c r="S374" s="332">
        <v>12</v>
      </c>
      <c r="T374" s="334" t="s">
        <v>354</v>
      </c>
      <c r="U374" s="334" t="s">
        <v>356</v>
      </c>
      <c r="V374" s="334"/>
      <c r="W374" s="288"/>
      <c r="X374" s="332">
        <f>ROUND(M374*P374*S374,-3)</f>
        <v>6720000</v>
      </c>
      <c r="Y374" s="385" t="s">
        <v>352</v>
      </c>
      <c r="Z374" s="590"/>
    </row>
    <row r="375" spans="1:37" s="7" customFormat="1" ht="19.5" customHeight="1">
      <c r="A375" s="577"/>
      <c r="B375" s="57"/>
      <c r="C375" s="27"/>
      <c r="D375" s="27"/>
      <c r="E375" s="29"/>
      <c r="F375" s="29"/>
      <c r="G375" s="30"/>
      <c r="H375" s="16"/>
      <c r="I375" s="172"/>
      <c r="J375" s="332"/>
      <c r="K375" s="332"/>
      <c r="L375" s="332"/>
      <c r="M375" s="332">
        <v>70000</v>
      </c>
      <c r="N375" s="334" t="s">
        <v>352</v>
      </c>
      <c r="O375" s="288" t="s">
        <v>355</v>
      </c>
      <c r="P375" s="335">
        <v>21</v>
      </c>
      <c r="Q375" s="288" t="s">
        <v>372</v>
      </c>
      <c r="R375" s="288" t="s">
        <v>355</v>
      </c>
      <c r="S375" s="332">
        <v>12</v>
      </c>
      <c r="T375" s="334" t="s">
        <v>354</v>
      </c>
      <c r="U375" s="334" t="s">
        <v>356</v>
      </c>
      <c r="V375" s="334"/>
      <c r="W375" s="288"/>
      <c r="X375" s="332">
        <f>ROUND(M375*P375*S375,-3)</f>
        <v>17640000</v>
      </c>
      <c r="Y375" s="385" t="s">
        <v>352</v>
      </c>
      <c r="Z375" s="590"/>
    </row>
    <row r="376" spans="1:37" s="7" customFormat="1" ht="19.5" customHeight="1">
      <c r="A376" s="577"/>
      <c r="B376" s="57"/>
      <c r="C376" s="27"/>
      <c r="D376" s="35"/>
      <c r="E376" s="36"/>
      <c r="F376" s="36"/>
      <c r="G376" s="30"/>
      <c r="H376" s="16"/>
      <c r="I376" s="172" t="s">
        <v>636</v>
      </c>
      <c r="J376" s="332"/>
      <c r="K376" s="332"/>
      <c r="L376" s="332"/>
      <c r="M376" s="332">
        <v>3500</v>
      </c>
      <c r="N376" s="334" t="s">
        <v>352</v>
      </c>
      <c r="O376" s="288" t="s">
        <v>355</v>
      </c>
      <c r="P376" s="335">
        <v>720</v>
      </c>
      <c r="Q376" s="288" t="s">
        <v>762</v>
      </c>
      <c r="R376" s="288"/>
      <c r="S376" s="332"/>
      <c r="T376" s="334"/>
      <c r="U376" s="334" t="s">
        <v>356</v>
      </c>
      <c r="V376" s="334"/>
      <c r="W376" s="288"/>
      <c r="X376" s="332">
        <f>M376*P376</f>
        <v>2520000</v>
      </c>
      <c r="Y376" s="385" t="s">
        <v>352</v>
      </c>
      <c r="Z376" s="590"/>
    </row>
    <row r="377" spans="1:37" s="7" customFormat="1" ht="19.5" customHeight="1">
      <c r="A377" s="577"/>
      <c r="B377" s="57"/>
      <c r="C377" s="27"/>
      <c r="D377" s="296" t="s">
        <v>548</v>
      </c>
      <c r="E377" s="272">
        <v>2786</v>
      </c>
      <c r="F377" s="272">
        <f>ROUND(X377/1000,0)</f>
        <v>1300</v>
      </c>
      <c r="G377" s="303">
        <f>F377-E377</f>
        <v>-1486</v>
      </c>
      <c r="H377" s="304">
        <f>IF(E377=0,0,G377/E377)</f>
        <v>-0.53338119167264897</v>
      </c>
      <c r="I377" s="174" t="s">
        <v>544</v>
      </c>
      <c r="J377" s="186"/>
      <c r="K377" s="178"/>
      <c r="L377" s="178"/>
      <c r="M377" s="178"/>
      <c r="N377" s="421"/>
      <c r="O377" s="421"/>
      <c r="P377" s="299"/>
      <c r="Q377" s="421"/>
      <c r="R377" s="421"/>
      <c r="S377" s="178"/>
      <c r="T377" s="421"/>
      <c r="U377" s="421"/>
      <c r="V377" s="622"/>
      <c r="W377" s="622"/>
      <c r="X377" s="244">
        <f>ROUNDUP(SUM(W378:X387),-3)</f>
        <v>1300000</v>
      </c>
      <c r="Y377" s="410" t="s">
        <v>352</v>
      </c>
      <c r="Z377" s="590"/>
    </row>
    <row r="378" spans="1:37" s="7" customFormat="1" ht="19.5" customHeight="1">
      <c r="A378" s="577"/>
      <c r="B378" s="57"/>
      <c r="C378" s="27"/>
      <c r="D378" s="296"/>
      <c r="E378" s="272"/>
      <c r="F378" s="272"/>
      <c r="G378" s="301"/>
      <c r="H378" s="302"/>
      <c r="I378" s="172" t="s">
        <v>549</v>
      </c>
      <c r="J378" s="332"/>
      <c r="K378" s="332"/>
      <c r="L378" s="332"/>
      <c r="M378" s="332">
        <v>100000</v>
      </c>
      <c r="N378" s="334" t="s">
        <v>352</v>
      </c>
      <c r="O378" s="288" t="s">
        <v>355</v>
      </c>
      <c r="P378" s="335">
        <v>3</v>
      </c>
      <c r="Q378" s="288" t="s">
        <v>372</v>
      </c>
      <c r="R378" s="288"/>
      <c r="S378" s="332"/>
      <c r="T378" s="334"/>
      <c r="U378" s="334" t="s">
        <v>356</v>
      </c>
      <c r="V378" s="334"/>
      <c r="W378" s="288"/>
      <c r="X378" s="332">
        <f>ROUND(M378*P378,-3)</f>
        <v>300000</v>
      </c>
      <c r="Y378" s="385" t="s">
        <v>352</v>
      </c>
      <c r="Z378" s="590"/>
    </row>
    <row r="379" spans="1:37" s="7" customFormat="1" ht="19.5" customHeight="1">
      <c r="A379" s="577"/>
      <c r="B379" s="57"/>
      <c r="C379" s="27"/>
      <c r="D379" s="296"/>
      <c r="E379" s="272"/>
      <c r="F379" s="272"/>
      <c r="G379" s="301"/>
      <c r="H379" s="302"/>
      <c r="I379" s="172" t="s">
        <v>550</v>
      </c>
      <c r="J379" s="332"/>
      <c r="K379" s="332"/>
      <c r="L379" s="332"/>
      <c r="M379" s="332"/>
      <c r="N379" s="334"/>
      <c r="O379" s="288"/>
      <c r="P379" s="335"/>
      <c r="Q379" s="288"/>
      <c r="R379" s="288"/>
      <c r="S379" s="332"/>
      <c r="T379" s="334"/>
      <c r="U379" s="334"/>
      <c r="V379" s="334"/>
      <c r="W379" s="288"/>
      <c r="X379" s="332">
        <v>1000000</v>
      </c>
      <c r="Y379" s="385" t="s">
        <v>352</v>
      </c>
      <c r="Z379" s="590"/>
    </row>
    <row r="380" spans="1:37" s="7" customFormat="1" ht="19.5" customHeight="1" thickBot="1">
      <c r="A380" s="582"/>
      <c r="B380" s="60"/>
      <c r="C380" s="60"/>
      <c r="D380" s="305"/>
      <c r="E380" s="306"/>
      <c r="F380" s="306"/>
      <c r="G380" s="307"/>
      <c r="H380" s="308"/>
      <c r="I380" s="313"/>
      <c r="J380" s="233"/>
      <c r="K380" s="233"/>
      <c r="L380" s="233"/>
      <c r="M380" s="233"/>
      <c r="N380" s="314"/>
      <c r="O380" s="422"/>
      <c r="P380" s="529"/>
      <c r="Q380" s="422"/>
      <c r="R380" s="422"/>
      <c r="S380" s="233"/>
      <c r="T380" s="314"/>
      <c r="U380" s="314"/>
      <c r="V380" s="314"/>
      <c r="W380" s="422"/>
      <c r="X380" s="233"/>
      <c r="Y380" s="411"/>
      <c r="Z380" s="590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</sheetData>
  <sortState ref="I297:AB305">
    <sortCondition ref="I297:I305"/>
  </sortState>
  <mergeCells count="47">
    <mergeCell ref="V334:W334"/>
    <mergeCell ref="V187:W187"/>
    <mergeCell ref="V321:W321"/>
    <mergeCell ref="V324:W324"/>
    <mergeCell ref="V327:W327"/>
    <mergeCell ref="V331:W331"/>
    <mergeCell ref="V173:W173"/>
    <mergeCell ref="V182:W182"/>
    <mergeCell ref="V52:W52"/>
    <mergeCell ref="V53:W53"/>
    <mergeCell ref="V116:W116"/>
    <mergeCell ref="V117:W117"/>
    <mergeCell ref="V85:W85"/>
    <mergeCell ref="V86:W86"/>
    <mergeCell ref="V87:W87"/>
    <mergeCell ref="V115:W115"/>
    <mergeCell ref="V54:W54"/>
    <mergeCell ref="V118:W118"/>
    <mergeCell ref="C171:D171"/>
    <mergeCell ref="V146:W146"/>
    <mergeCell ref="V147:W147"/>
    <mergeCell ref="V148:W148"/>
    <mergeCell ref="V129:W129"/>
    <mergeCell ref="V130:W130"/>
    <mergeCell ref="A1:D1"/>
    <mergeCell ref="A2:D2"/>
    <mergeCell ref="E2:E3"/>
    <mergeCell ref="A4:D4"/>
    <mergeCell ref="V51:W51"/>
    <mergeCell ref="V23:W23"/>
    <mergeCell ref="V24:W24"/>
    <mergeCell ref="V25:W25"/>
    <mergeCell ref="G2:H2"/>
    <mergeCell ref="I2:Y3"/>
    <mergeCell ref="F2:F3"/>
    <mergeCell ref="C14:D14"/>
    <mergeCell ref="V26:W26"/>
    <mergeCell ref="C191:D191"/>
    <mergeCell ref="V193:W193"/>
    <mergeCell ref="C198:D198"/>
    <mergeCell ref="V200:W200"/>
    <mergeCell ref="C319:D319"/>
    <mergeCell ref="C352:D352"/>
    <mergeCell ref="V354:W354"/>
    <mergeCell ref="V358:W358"/>
    <mergeCell ref="V371:W371"/>
    <mergeCell ref="V377:W377"/>
  </mergeCells>
  <phoneticPr fontId="14" type="noConversion"/>
  <printOptions horizontalCentered="1" verticalCentered="1"/>
  <pageMargins left="0.59055118110236227" right="0" top="0.35433070866141736" bottom="0.35433070866141736" header="0.15748031496062992" footer="0.15748031496062992"/>
  <pageSetup paperSize="9" scale="65" firstPageNumber="16" orientation="landscape" r:id="rId1"/>
  <headerFooter alignWithMargins="0">
    <oddFooter>&amp;C&amp;P/&amp;N&amp;R장애인거주시설 바다의별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K427"/>
  <sheetViews>
    <sheetView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sqref="A1:D1"/>
    </sheetView>
  </sheetViews>
  <sheetFormatPr defaultColWidth="13.77734375" defaultRowHeight="21" customHeight="1"/>
  <cols>
    <col min="1" max="2" width="7.77734375" style="4" customWidth="1"/>
    <col min="3" max="3" width="8.77734375" style="4" customWidth="1"/>
    <col min="4" max="4" width="10.6640625" style="10" customWidth="1"/>
    <col min="5" max="12" width="9.33203125" style="10" customWidth="1"/>
    <col min="13" max="13" width="8.77734375" style="10" customWidth="1"/>
    <col min="14" max="14" width="8.77734375" style="98" customWidth="1"/>
    <col min="15" max="15" width="14.109375" style="1" customWidth="1"/>
    <col min="16" max="16" width="3.33203125" style="1" customWidth="1"/>
    <col min="17" max="17" width="2.77734375" style="1" customWidth="1"/>
    <col min="18" max="18" width="7.44140625" style="1" hidden="1" customWidth="1"/>
    <col min="19" max="19" width="10.88671875" style="2" customWidth="1"/>
    <col min="20" max="20" width="3.21875" style="382" customWidth="1"/>
    <col min="21" max="21" width="3.44140625" style="382" customWidth="1"/>
    <col min="22" max="22" width="6.88671875" style="2" customWidth="1"/>
    <col min="23" max="23" width="3.21875" style="382" customWidth="1"/>
    <col min="24" max="24" width="3.21875" style="382" bestFit="1" customWidth="1"/>
    <col min="25" max="25" width="4" style="472" customWidth="1"/>
    <col min="26" max="26" width="3.33203125" style="382" customWidth="1"/>
    <col min="27" max="27" width="3" style="382" customWidth="1"/>
    <col min="28" max="28" width="3.33203125" style="382" customWidth="1"/>
    <col min="29" max="29" width="1.44140625" style="2" customWidth="1"/>
    <col min="30" max="30" width="14.33203125" style="2" bestFit="1" customWidth="1"/>
    <col min="31" max="31" width="2.77734375" style="382" customWidth="1"/>
    <col min="32" max="33" width="17.33203125" style="506" customWidth="1"/>
    <col min="34" max="34" width="15.109375" style="506" customWidth="1"/>
    <col min="35" max="35" width="13.77734375" style="1" customWidth="1"/>
    <col min="36" max="36" width="22.6640625" style="1" bestFit="1" customWidth="1"/>
    <col min="37" max="37" width="13.77734375" style="1" customWidth="1"/>
    <col min="38" max="38" width="0" style="1" hidden="1" customWidth="1"/>
    <col min="39" max="16384" width="13.77734375" style="1"/>
  </cols>
  <sheetData>
    <row r="1" spans="1:37" s="7" customFormat="1" ht="21" customHeight="1" thickBot="1">
      <c r="A1" s="648" t="s">
        <v>856</v>
      </c>
      <c r="B1" s="648"/>
      <c r="C1" s="648"/>
      <c r="D1" s="648"/>
      <c r="E1" s="62"/>
      <c r="F1" s="62"/>
      <c r="G1" s="62"/>
      <c r="H1" s="62"/>
      <c r="I1" s="62"/>
      <c r="J1" s="62"/>
      <c r="K1" s="62"/>
      <c r="L1" s="62"/>
      <c r="M1" s="62"/>
      <c r="N1" s="94"/>
      <c r="O1" s="38"/>
      <c r="P1" s="38"/>
      <c r="Q1" s="38"/>
      <c r="R1" s="38"/>
      <c r="S1" s="39"/>
      <c r="T1" s="432"/>
      <c r="U1" s="432"/>
      <c r="V1" s="39"/>
      <c r="W1" s="432"/>
      <c r="X1" s="432"/>
      <c r="Y1" s="482"/>
      <c r="Z1" s="432"/>
      <c r="AA1" s="432"/>
      <c r="AB1" s="432"/>
      <c r="AC1" s="39"/>
      <c r="AD1" s="39"/>
      <c r="AE1" s="432"/>
    </row>
    <row r="2" spans="1:37" s="3" customFormat="1" ht="27" customHeight="1">
      <c r="A2" s="624" t="s">
        <v>22</v>
      </c>
      <c r="B2" s="625"/>
      <c r="C2" s="625"/>
      <c r="D2" s="626" t="s">
        <v>822</v>
      </c>
      <c r="E2" s="649" t="s">
        <v>823</v>
      </c>
      <c r="F2" s="650"/>
      <c r="G2" s="650"/>
      <c r="H2" s="650"/>
      <c r="I2" s="650"/>
      <c r="J2" s="650"/>
      <c r="K2" s="650"/>
      <c r="L2" s="651"/>
      <c r="M2" s="633" t="s">
        <v>23</v>
      </c>
      <c r="N2" s="633"/>
      <c r="O2" s="634" t="s">
        <v>734</v>
      </c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6"/>
    </row>
    <row r="3" spans="1:37" s="3" customFormat="1" ht="27" customHeight="1" thickBot="1">
      <c r="A3" s="11" t="s">
        <v>1</v>
      </c>
      <c r="B3" s="12" t="s">
        <v>2</v>
      </c>
      <c r="C3" s="12" t="s">
        <v>3</v>
      </c>
      <c r="D3" s="627"/>
      <c r="E3" s="99" t="s">
        <v>114</v>
      </c>
      <c r="F3" s="99" t="s">
        <v>138</v>
      </c>
      <c r="G3" s="99" t="s">
        <v>765</v>
      </c>
      <c r="H3" s="99" t="s">
        <v>112</v>
      </c>
      <c r="I3" s="99" t="s">
        <v>58</v>
      </c>
      <c r="J3" s="99" t="s">
        <v>110</v>
      </c>
      <c r="K3" s="99" t="s">
        <v>113</v>
      </c>
      <c r="L3" s="99" t="s">
        <v>59</v>
      </c>
      <c r="M3" s="84" t="s">
        <v>115</v>
      </c>
      <c r="N3" s="63" t="s">
        <v>4</v>
      </c>
      <c r="O3" s="637"/>
      <c r="P3" s="638"/>
      <c r="Q3" s="638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38"/>
      <c r="AC3" s="638"/>
      <c r="AD3" s="638"/>
      <c r="AE3" s="639"/>
    </row>
    <row r="4" spans="1:37" s="7" customFormat="1" ht="21" customHeight="1">
      <c r="A4" s="641" t="s">
        <v>31</v>
      </c>
      <c r="B4" s="642"/>
      <c r="C4" s="642"/>
      <c r="D4" s="189">
        <f t="shared" ref="D4:L4" si="0">SUM(D5,D203,D245,D403,D406)</f>
        <v>3135263</v>
      </c>
      <c r="E4" s="189">
        <f t="shared" si="0"/>
        <v>3000548</v>
      </c>
      <c r="F4" s="189">
        <f t="shared" si="0"/>
        <v>2358597</v>
      </c>
      <c r="G4" s="189">
        <f t="shared" si="0"/>
        <v>175611</v>
      </c>
      <c r="H4" s="189">
        <f t="shared" si="0"/>
        <v>20530</v>
      </c>
      <c r="I4" s="189">
        <f t="shared" si="0"/>
        <v>162229</v>
      </c>
      <c r="J4" s="189">
        <f t="shared" si="0"/>
        <v>102329</v>
      </c>
      <c r="K4" s="189">
        <f t="shared" si="0"/>
        <v>107750</v>
      </c>
      <c r="L4" s="189">
        <f t="shared" si="0"/>
        <v>73502</v>
      </c>
      <c r="M4" s="190">
        <f>E4-D4</f>
        <v>-134715</v>
      </c>
      <c r="N4" s="191">
        <f>IF(D4=0,0,M4/D4)</f>
        <v>-4.2967687240272986E-2</v>
      </c>
      <c r="O4" s="192" t="s">
        <v>164</v>
      </c>
      <c r="P4" s="193"/>
      <c r="Q4" s="193"/>
      <c r="R4" s="193"/>
      <c r="S4" s="194"/>
      <c r="T4" s="433"/>
      <c r="U4" s="433"/>
      <c r="V4" s="194"/>
      <c r="W4" s="433"/>
      <c r="X4" s="433"/>
      <c r="Y4" s="483"/>
      <c r="Z4" s="433"/>
      <c r="AA4" s="433"/>
      <c r="AB4" s="433"/>
      <c r="AC4" s="194"/>
      <c r="AD4" s="194">
        <f>SUM(AD5,AD203,AD245,AD403,AD406)</f>
        <v>3000548000</v>
      </c>
      <c r="AE4" s="473" t="s">
        <v>25</v>
      </c>
      <c r="AF4" s="505"/>
      <c r="AG4" s="553"/>
      <c r="AH4" s="505"/>
      <c r="AK4" s="530"/>
    </row>
    <row r="5" spans="1:37" s="7" customFormat="1" ht="21" customHeight="1">
      <c r="A5" s="67" t="s">
        <v>6</v>
      </c>
      <c r="B5" s="643" t="s">
        <v>7</v>
      </c>
      <c r="C5" s="644"/>
      <c r="D5" s="195">
        <f t="shared" ref="D5:L5" si="1">SUM(D6,D108,D121)</f>
        <v>2584174</v>
      </c>
      <c r="E5" s="195">
        <f t="shared" si="1"/>
        <v>2594446</v>
      </c>
      <c r="F5" s="195">
        <f t="shared" si="1"/>
        <v>2221371</v>
      </c>
      <c r="G5" s="195">
        <f t="shared" si="1"/>
        <v>157142</v>
      </c>
      <c r="H5" s="195">
        <f t="shared" si="1"/>
        <v>0</v>
      </c>
      <c r="I5" s="195">
        <f t="shared" si="1"/>
        <v>43843</v>
      </c>
      <c r="J5" s="195">
        <f t="shared" si="1"/>
        <v>0</v>
      </c>
      <c r="K5" s="195">
        <f t="shared" si="1"/>
        <v>107750</v>
      </c>
      <c r="L5" s="195">
        <f t="shared" si="1"/>
        <v>64340</v>
      </c>
      <c r="M5" s="196">
        <f>E5-D5</f>
        <v>10272</v>
      </c>
      <c r="N5" s="197">
        <f>IF(D5=0,0,M5/D5)</f>
        <v>3.9749645341219282E-3</v>
      </c>
      <c r="O5" s="198" t="s">
        <v>165</v>
      </c>
      <c r="P5" s="198"/>
      <c r="Q5" s="198"/>
      <c r="R5" s="198"/>
      <c r="S5" s="199"/>
      <c r="T5" s="434"/>
      <c r="U5" s="434"/>
      <c r="V5" s="199"/>
      <c r="W5" s="434"/>
      <c r="X5" s="434"/>
      <c r="Y5" s="484"/>
      <c r="Z5" s="434"/>
      <c r="AA5" s="434"/>
      <c r="AB5" s="434"/>
      <c r="AC5" s="199"/>
      <c r="AD5" s="199">
        <f>SUM(AD6,AD108,AD121)</f>
        <v>2594446000</v>
      </c>
      <c r="AE5" s="474" t="s">
        <v>25</v>
      </c>
      <c r="AF5" s="505"/>
      <c r="AG5" s="505"/>
      <c r="AH5" s="505"/>
    </row>
    <row r="6" spans="1:37" s="7" customFormat="1" ht="21" customHeight="1">
      <c r="A6" s="26"/>
      <c r="B6" s="18" t="s">
        <v>8</v>
      </c>
      <c r="C6" s="200" t="s">
        <v>5</v>
      </c>
      <c r="D6" s="201">
        <f t="shared" ref="D6:L6" si="2">SUM(D7,D20,D25,D53,D67,D101)</f>
        <v>2330247</v>
      </c>
      <c r="E6" s="201">
        <f t="shared" si="2"/>
        <v>2368447</v>
      </c>
      <c r="F6" s="201">
        <f t="shared" si="2"/>
        <v>2157994</v>
      </c>
      <c r="G6" s="201">
        <f t="shared" si="2"/>
        <v>153542</v>
      </c>
      <c r="H6" s="201">
        <f t="shared" si="2"/>
        <v>0</v>
      </c>
      <c r="I6" s="201">
        <f t="shared" si="2"/>
        <v>2387</v>
      </c>
      <c r="J6" s="201">
        <f t="shared" si="2"/>
        <v>0</v>
      </c>
      <c r="K6" s="201">
        <f t="shared" si="2"/>
        <v>54524</v>
      </c>
      <c r="L6" s="201">
        <f t="shared" si="2"/>
        <v>0</v>
      </c>
      <c r="M6" s="202">
        <f>E6-D6</f>
        <v>38200</v>
      </c>
      <c r="N6" s="203">
        <f>IF(D6=0,0,M6/D6)</f>
        <v>1.6393111974824986E-2</v>
      </c>
      <c r="O6" s="204" t="s">
        <v>166</v>
      </c>
      <c r="P6" s="204"/>
      <c r="Q6" s="204"/>
      <c r="R6" s="204"/>
      <c r="S6" s="205"/>
      <c r="T6" s="435"/>
      <c r="U6" s="435"/>
      <c r="V6" s="205"/>
      <c r="W6" s="435"/>
      <c r="X6" s="435"/>
      <c r="Y6" s="485"/>
      <c r="Z6" s="435"/>
      <c r="AA6" s="435"/>
      <c r="AB6" s="435"/>
      <c r="AC6" s="205"/>
      <c r="AD6" s="205">
        <f>SUM(AD7,AD20,AD25,AD53,AD67,AD101)</f>
        <v>2368447000</v>
      </c>
      <c r="AE6" s="475" t="s">
        <v>25</v>
      </c>
      <c r="AF6" s="505"/>
      <c r="AG6" s="505"/>
      <c r="AH6" s="505"/>
    </row>
    <row r="7" spans="1:37" s="7" customFormat="1" ht="21" customHeight="1">
      <c r="A7" s="26"/>
      <c r="B7" s="27"/>
      <c r="C7" s="18" t="s">
        <v>32</v>
      </c>
      <c r="D7" s="88">
        <v>1479682</v>
      </c>
      <c r="E7" s="69">
        <f>ROUND(AD7/1000,0)</f>
        <v>1467973</v>
      </c>
      <c r="F7" s="69">
        <f>SUMIF($AB$8:$AB$19,"보조",$AD$8:$AD$19)/1000</f>
        <v>1351684</v>
      </c>
      <c r="G7" s="69">
        <f>SUMIF($AB$8:$AB$19,"6종",$AD$8:$AD$19)/1000</f>
        <v>77637</v>
      </c>
      <c r="H7" s="69">
        <f>SUMIF($AB$8:$AB$19,"4종",$AD$8:$AD$19)/1000</f>
        <v>0</v>
      </c>
      <c r="I7" s="69">
        <f>SUMIF($AB$8:$AB$19,"후원",$AD$8:$AD$19)/1000</f>
        <v>0</v>
      </c>
      <c r="J7" s="69">
        <f>SUMIF($AB$8:$AB$19,"입소",$AD$8:$AD$19)/1000</f>
        <v>0</v>
      </c>
      <c r="K7" s="69">
        <f>SUMIF($AB$8:$AB$19,"법인",$AD$8:$AD$19)/1000</f>
        <v>38652</v>
      </c>
      <c r="L7" s="69">
        <f>SUMIF($AB$8:$AB$19,"잡수",$AD$8:$AD$19)/1000</f>
        <v>0</v>
      </c>
      <c r="M7" s="68">
        <f>E7-D7</f>
        <v>-11709</v>
      </c>
      <c r="N7" s="73">
        <f>IF(D7=0,0,M7/D7)</f>
        <v>-7.913186752288668E-3</v>
      </c>
      <c r="O7" s="71" t="s">
        <v>63</v>
      </c>
      <c r="P7" s="71"/>
      <c r="Q7" s="100"/>
      <c r="R7" s="100"/>
      <c r="S7" s="100"/>
      <c r="T7" s="429"/>
      <c r="U7" s="429"/>
      <c r="V7" s="85"/>
      <c r="W7" s="436" t="s">
        <v>116</v>
      </c>
      <c r="X7" s="436"/>
      <c r="Y7" s="72"/>
      <c r="Z7" s="436"/>
      <c r="AA7" s="436"/>
      <c r="AB7" s="436"/>
      <c r="AC7" s="72"/>
      <c r="AD7" s="72">
        <f>SUM(기본급,기본급7종,AD13,AD15)</f>
        <v>1467973000</v>
      </c>
      <c r="AE7" s="403" t="s">
        <v>55</v>
      </c>
      <c r="AF7" s="505"/>
      <c r="AG7" s="505"/>
      <c r="AH7" s="505"/>
    </row>
    <row r="8" spans="1:37" s="7" customFormat="1" ht="21" customHeight="1">
      <c r="A8" s="26"/>
      <c r="B8" s="27"/>
      <c r="C8" s="27"/>
      <c r="D8" s="347"/>
      <c r="E8" s="345"/>
      <c r="F8" s="345"/>
      <c r="G8" s="345"/>
      <c r="H8" s="345"/>
      <c r="I8" s="345"/>
      <c r="J8" s="345"/>
      <c r="K8" s="345"/>
      <c r="L8" s="345"/>
      <c r="M8" s="64"/>
      <c r="N8" s="43"/>
      <c r="O8" s="229"/>
      <c r="P8" s="229"/>
      <c r="Q8" s="229"/>
      <c r="R8" s="229"/>
      <c r="S8" s="229"/>
      <c r="T8" s="438"/>
      <c r="U8" s="438"/>
      <c r="V8" s="363"/>
      <c r="W8" s="438"/>
      <c r="X8" s="438"/>
      <c r="Y8" s="495"/>
      <c r="Z8" s="438"/>
      <c r="AA8" s="438"/>
      <c r="AB8" s="438"/>
      <c r="AC8" s="495"/>
      <c r="AD8" s="495"/>
      <c r="AE8" s="476"/>
      <c r="AF8" s="505"/>
      <c r="AG8" s="505"/>
      <c r="AH8" s="505"/>
    </row>
    <row r="9" spans="1:37" s="7" customFormat="1" ht="21" customHeight="1">
      <c r="A9" s="26"/>
      <c r="B9" s="27"/>
      <c r="C9" s="27"/>
      <c r="D9" s="348"/>
      <c r="E9" s="346"/>
      <c r="F9" s="346"/>
      <c r="G9" s="346"/>
      <c r="H9" s="346"/>
      <c r="I9" s="346"/>
      <c r="J9" s="346"/>
      <c r="K9" s="346"/>
      <c r="L9" s="346"/>
      <c r="M9" s="64"/>
      <c r="N9" s="43"/>
      <c r="O9" s="576" t="s">
        <v>815</v>
      </c>
      <c r="P9" s="576"/>
      <c r="Q9" s="576"/>
      <c r="R9" s="576"/>
      <c r="S9" s="333"/>
      <c r="T9" s="334"/>
      <c r="U9" s="334"/>
      <c r="V9" s="332"/>
      <c r="W9" s="334"/>
      <c r="X9" s="334"/>
      <c r="Y9" s="335"/>
      <c r="Z9" s="334"/>
      <c r="AA9" s="334"/>
      <c r="AB9" s="420" t="s">
        <v>70</v>
      </c>
      <c r="AC9" s="231"/>
      <c r="AD9" s="231">
        <v>1351684000</v>
      </c>
      <c r="AE9" s="398" t="s">
        <v>55</v>
      </c>
      <c r="AF9" s="505"/>
      <c r="AG9" s="505"/>
      <c r="AH9" s="505"/>
    </row>
    <row r="10" spans="1:37" s="7" customFormat="1" ht="21" customHeight="1">
      <c r="A10" s="26"/>
      <c r="B10" s="27"/>
      <c r="C10" s="27"/>
      <c r="D10" s="86"/>
      <c r="E10" s="64"/>
      <c r="F10" s="64"/>
      <c r="G10" s="64"/>
      <c r="H10" s="64"/>
      <c r="I10" s="64"/>
      <c r="J10" s="64"/>
      <c r="K10" s="64"/>
      <c r="L10" s="64"/>
      <c r="M10" s="64"/>
      <c r="N10" s="43"/>
      <c r="O10" s="328"/>
      <c r="P10" s="328"/>
      <c r="Q10" s="328"/>
      <c r="R10" s="328"/>
      <c r="S10" s="332"/>
      <c r="T10" s="288"/>
      <c r="U10" s="334"/>
      <c r="V10" s="332"/>
      <c r="W10" s="288"/>
      <c r="X10" s="334"/>
      <c r="Y10" s="335"/>
      <c r="Z10" s="334"/>
      <c r="AA10" s="334"/>
      <c r="AB10" s="334"/>
      <c r="AC10" s="332"/>
      <c r="AD10" s="332"/>
      <c r="AE10" s="397"/>
      <c r="AF10" s="505"/>
      <c r="AG10" s="505"/>
      <c r="AH10" s="505"/>
    </row>
    <row r="11" spans="1:37" s="7" customFormat="1" ht="21" customHeight="1">
      <c r="A11" s="26"/>
      <c r="B11" s="27"/>
      <c r="C11" s="27"/>
      <c r="D11" s="86"/>
      <c r="E11" s="64"/>
      <c r="F11" s="64"/>
      <c r="G11" s="64"/>
      <c r="H11" s="64"/>
      <c r="I11" s="64"/>
      <c r="J11" s="64"/>
      <c r="K11" s="64"/>
      <c r="L11" s="64"/>
      <c r="M11" s="64"/>
      <c r="N11" s="43"/>
      <c r="O11" s="576" t="s">
        <v>809</v>
      </c>
      <c r="P11" s="576"/>
      <c r="Q11" s="576"/>
      <c r="R11" s="576"/>
      <c r="S11" s="333"/>
      <c r="T11" s="334"/>
      <c r="U11" s="334"/>
      <c r="V11" s="332"/>
      <c r="W11" s="334"/>
      <c r="X11" s="334"/>
      <c r="Y11" s="335"/>
      <c r="Z11" s="334"/>
      <c r="AA11" s="334"/>
      <c r="AB11" s="420" t="s">
        <v>773</v>
      </c>
      <c r="AC11" s="231"/>
      <c r="AD11" s="231">
        <v>77637000</v>
      </c>
      <c r="AE11" s="398" t="s">
        <v>55</v>
      </c>
      <c r="AF11" s="505"/>
      <c r="AG11" s="505"/>
      <c r="AH11" s="505"/>
    </row>
    <row r="12" spans="1:37" s="7" customFormat="1" ht="21" customHeight="1">
      <c r="A12" s="26"/>
      <c r="B12" s="27"/>
      <c r="C12" s="27"/>
      <c r="D12" s="86"/>
      <c r="E12" s="64"/>
      <c r="F12" s="64"/>
      <c r="G12" s="64"/>
      <c r="H12" s="64"/>
      <c r="I12" s="64"/>
      <c r="J12" s="64"/>
      <c r="K12" s="64"/>
      <c r="L12" s="64"/>
      <c r="M12" s="64"/>
      <c r="N12" s="43"/>
      <c r="O12" s="333"/>
      <c r="P12" s="333"/>
      <c r="Q12" s="333"/>
      <c r="R12" s="333"/>
      <c r="S12" s="333"/>
      <c r="T12" s="334"/>
      <c r="U12" s="334"/>
      <c r="V12" s="332"/>
      <c r="W12" s="334"/>
      <c r="X12" s="334"/>
      <c r="Y12" s="335"/>
      <c r="Z12" s="334"/>
      <c r="AA12" s="334"/>
      <c r="AB12" s="334"/>
      <c r="AC12" s="335"/>
      <c r="AD12" s="335"/>
      <c r="AE12" s="397"/>
      <c r="AF12" s="505"/>
      <c r="AG12" s="505"/>
      <c r="AH12" s="505"/>
    </row>
    <row r="13" spans="1:37" s="7" customFormat="1" ht="21" customHeight="1">
      <c r="A13" s="26"/>
      <c r="B13" s="27"/>
      <c r="C13" s="27"/>
      <c r="D13" s="86"/>
      <c r="E13" s="64"/>
      <c r="F13" s="64"/>
      <c r="G13" s="64"/>
      <c r="H13" s="64"/>
      <c r="I13" s="64"/>
      <c r="J13" s="64"/>
      <c r="K13" s="64"/>
      <c r="L13" s="64"/>
      <c r="M13" s="64"/>
      <c r="N13" s="43"/>
      <c r="O13" s="333" t="s">
        <v>292</v>
      </c>
      <c r="P13" s="333"/>
      <c r="Q13" s="333"/>
      <c r="R13" s="333"/>
      <c r="S13" s="333"/>
      <c r="T13" s="334"/>
      <c r="U13" s="334"/>
      <c r="V13" s="332"/>
      <c r="W13" s="334"/>
      <c r="X13" s="334"/>
      <c r="Y13" s="335"/>
      <c r="Z13" s="334"/>
      <c r="AA13" s="334"/>
      <c r="AB13" s="420" t="s">
        <v>70</v>
      </c>
      <c r="AC13" s="231"/>
      <c r="AD13" s="231">
        <v>0</v>
      </c>
      <c r="AE13" s="398" t="s">
        <v>55</v>
      </c>
      <c r="AF13" s="505"/>
      <c r="AG13" s="505"/>
      <c r="AH13" s="505"/>
    </row>
    <row r="14" spans="1:37" s="7" customFormat="1" ht="21" customHeight="1">
      <c r="A14" s="26"/>
      <c r="B14" s="27"/>
      <c r="C14" s="27"/>
      <c r="D14" s="86"/>
      <c r="E14" s="64"/>
      <c r="F14" s="64"/>
      <c r="G14" s="64"/>
      <c r="H14" s="64"/>
      <c r="I14" s="64"/>
      <c r="J14" s="64"/>
      <c r="K14" s="64"/>
      <c r="L14" s="64"/>
      <c r="M14" s="64"/>
      <c r="N14" s="43"/>
      <c r="O14" s="333"/>
      <c r="P14" s="333"/>
      <c r="Q14" s="333"/>
      <c r="R14" s="333"/>
      <c r="S14" s="333"/>
      <c r="T14" s="334"/>
      <c r="U14" s="334"/>
      <c r="V14" s="332"/>
      <c r="W14" s="334"/>
      <c r="X14" s="334"/>
      <c r="Y14" s="335"/>
      <c r="Z14" s="334"/>
      <c r="AA14" s="334"/>
      <c r="AB14" s="421"/>
      <c r="AC14" s="299"/>
      <c r="AD14" s="299"/>
      <c r="AE14" s="559"/>
      <c r="AF14" s="505"/>
      <c r="AG14" s="505"/>
      <c r="AH14" s="505"/>
    </row>
    <row r="15" spans="1:37" s="7" customFormat="1" ht="21" customHeight="1">
      <c r="A15" s="26"/>
      <c r="B15" s="27"/>
      <c r="C15" s="27"/>
      <c r="D15" s="86"/>
      <c r="E15" s="64"/>
      <c r="F15" s="64"/>
      <c r="G15" s="64"/>
      <c r="H15" s="64"/>
      <c r="I15" s="64"/>
      <c r="J15" s="64"/>
      <c r="K15" s="64"/>
      <c r="L15" s="64"/>
      <c r="M15" s="64"/>
      <c r="N15" s="43"/>
      <c r="O15" s="576" t="s">
        <v>584</v>
      </c>
      <c r="P15" s="333"/>
      <c r="Q15" s="333"/>
      <c r="R15" s="333"/>
      <c r="S15" s="333"/>
      <c r="T15" s="334"/>
      <c r="U15" s="334"/>
      <c r="V15" s="332"/>
      <c r="W15" s="334"/>
      <c r="X15" s="334"/>
      <c r="Y15" s="335"/>
      <c r="Z15" s="334"/>
      <c r="AA15" s="420"/>
      <c r="AB15" s="420"/>
      <c r="AC15" s="231"/>
      <c r="AD15" s="231">
        <v>38652000</v>
      </c>
      <c r="AE15" s="398" t="s">
        <v>55</v>
      </c>
      <c r="AF15" s="505"/>
      <c r="AG15" s="505"/>
      <c r="AH15" s="505"/>
    </row>
    <row r="16" spans="1:37" s="7" customFormat="1" ht="21" customHeight="1">
      <c r="A16" s="26"/>
      <c r="B16" s="27"/>
      <c r="C16" s="27"/>
      <c r="D16" s="86"/>
      <c r="E16" s="64"/>
      <c r="F16" s="64"/>
      <c r="G16" s="64"/>
      <c r="H16" s="64"/>
      <c r="I16" s="64"/>
      <c r="J16" s="64"/>
      <c r="K16" s="64"/>
      <c r="L16" s="64"/>
      <c r="M16" s="64"/>
      <c r="N16" s="43"/>
      <c r="O16" s="333" t="s">
        <v>641</v>
      </c>
      <c r="P16" s="333"/>
      <c r="Q16" s="333"/>
      <c r="R16" s="333"/>
      <c r="S16" s="332">
        <v>1100000</v>
      </c>
      <c r="T16" s="334" t="s">
        <v>642</v>
      </c>
      <c r="U16" s="288" t="s">
        <v>643</v>
      </c>
      <c r="V16" s="295">
        <v>12</v>
      </c>
      <c r="W16" s="221" t="s">
        <v>644</v>
      </c>
      <c r="X16" s="334"/>
      <c r="Y16" s="335"/>
      <c r="Z16" s="334"/>
      <c r="AA16" s="334" t="s">
        <v>645</v>
      </c>
      <c r="AB16" s="334" t="s">
        <v>646</v>
      </c>
      <c r="AC16" s="335"/>
      <c r="AD16" s="335">
        <v>13200000</v>
      </c>
      <c r="AE16" s="397" t="s">
        <v>55</v>
      </c>
      <c r="AF16" s="505"/>
      <c r="AG16" s="505"/>
      <c r="AH16" s="505"/>
    </row>
    <row r="17" spans="1:34" s="7" customFormat="1" ht="21" customHeight="1">
      <c r="A17" s="26"/>
      <c r="B17" s="27"/>
      <c r="C17" s="27"/>
      <c r="D17" s="86"/>
      <c r="E17" s="64"/>
      <c r="F17" s="64"/>
      <c r="G17" s="64"/>
      <c r="H17" s="64"/>
      <c r="I17" s="64"/>
      <c r="J17" s="64"/>
      <c r="K17" s="64"/>
      <c r="L17" s="64"/>
      <c r="M17" s="64"/>
      <c r="N17" s="43"/>
      <c r="O17" s="333" t="s">
        <v>810</v>
      </c>
      <c r="P17" s="333"/>
      <c r="Q17" s="333"/>
      <c r="R17" s="333"/>
      <c r="S17" s="332">
        <v>2121000</v>
      </c>
      <c r="T17" s="334" t="s">
        <v>642</v>
      </c>
      <c r="U17" s="288" t="s">
        <v>643</v>
      </c>
      <c r="V17" s="295">
        <v>12</v>
      </c>
      <c r="W17" s="221" t="s">
        <v>644</v>
      </c>
      <c r="X17" s="334"/>
      <c r="Y17" s="335"/>
      <c r="Z17" s="334"/>
      <c r="AA17" s="334" t="s">
        <v>645</v>
      </c>
      <c r="AB17" s="334" t="s">
        <v>646</v>
      </c>
      <c r="AC17" s="335"/>
      <c r="AD17" s="335">
        <v>25452000</v>
      </c>
      <c r="AE17" s="397" t="s">
        <v>55</v>
      </c>
      <c r="AF17" s="505"/>
      <c r="AG17" s="505"/>
      <c r="AH17" s="505"/>
    </row>
    <row r="18" spans="1:34" s="7" customFormat="1" ht="21" customHeight="1">
      <c r="A18" s="26"/>
      <c r="B18" s="27"/>
      <c r="C18" s="27"/>
      <c r="D18" s="86"/>
      <c r="E18" s="64"/>
      <c r="F18" s="64"/>
      <c r="G18" s="64"/>
      <c r="H18" s="64"/>
      <c r="I18" s="64"/>
      <c r="J18" s="64"/>
      <c r="K18" s="64"/>
      <c r="L18" s="64"/>
      <c r="M18" s="64"/>
      <c r="N18" s="43"/>
      <c r="O18" s="333" t="s">
        <v>647</v>
      </c>
      <c r="P18" s="333"/>
      <c r="Q18" s="333"/>
      <c r="R18" s="333"/>
      <c r="S18" s="332">
        <v>0</v>
      </c>
      <c r="T18" s="334" t="s">
        <v>642</v>
      </c>
      <c r="U18" s="288" t="s">
        <v>643</v>
      </c>
      <c r="V18" s="295">
        <v>12</v>
      </c>
      <c r="W18" s="221" t="s">
        <v>644</v>
      </c>
      <c r="X18" s="334"/>
      <c r="Y18" s="335"/>
      <c r="Z18" s="334"/>
      <c r="AA18" s="334" t="s">
        <v>645</v>
      </c>
      <c r="AB18" s="334" t="s">
        <v>646</v>
      </c>
      <c r="AC18" s="335"/>
      <c r="AD18" s="335">
        <v>0</v>
      </c>
      <c r="AE18" s="397" t="s">
        <v>55</v>
      </c>
      <c r="AF18" s="505"/>
      <c r="AG18" s="505"/>
      <c r="AH18" s="505"/>
    </row>
    <row r="19" spans="1:34" s="7" customFormat="1" ht="21" customHeight="1">
      <c r="A19" s="26"/>
      <c r="B19" s="27"/>
      <c r="C19" s="27"/>
      <c r="D19" s="86"/>
      <c r="E19" s="64"/>
      <c r="F19" s="64"/>
      <c r="G19" s="64"/>
      <c r="H19" s="64"/>
      <c r="I19" s="64"/>
      <c r="J19" s="64"/>
      <c r="K19" s="64"/>
      <c r="L19" s="64"/>
      <c r="M19" s="64"/>
      <c r="N19" s="43"/>
      <c r="O19" s="333"/>
      <c r="P19" s="333"/>
      <c r="Q19" s="333"/>
      <c r="R19" s="333"/>
      <c r="S19" s="333"/>
      <c r="T19" s="334"/>
      <c r="U19" s="334"/>
      <c r="V19" s="575"/>
      <c r="W19" s="420"/>
      <c r="X19" s="420"/>
      <c r="Y19" s="231"/>
      <c r="Z19" s="420"/>
      <c r="AA19" s="420"/>
      <c r="AB19" s="420"/>
      <c r="AC19" s="231"/>
      <c r="AD19" s="231"/>
      <c r="AE19" s="393"/>
      <c r="AF19" s="505"/>
      <c r="AG19" s="505"/>
      <c r="AH19" s="505"/>
    </row>
    <row r="20" spans="1:34" s="7" customFormat="1" ht="21" customHeight="1">
      <c r="A20" s="26"/>
      <c r="B20" s="27"/>
      <c r="C20" s="18" t="s">
        <v>62</v>
      </c>
      <c r="D20" s="88">
        <v>800</v>
      </c>
      <c r="E20" s="69">
        <f>ROUND(AD20/1000,0)</f>
        <v>240</v>
      </c>
      <c r="F20" s="69">
        <f>SUMIF($AB$21:$AB$24,"보조",$AD$21:$AD$24)/1000</f>
        <v>0</v>
      </c>
      <c r="G20" s="69">
        <f>SUMIF($AB$21:$AB$24,"6종",$AD$21:$AD$24)/1000</f>
        <v>0</v>
      </c>
      <c r="H20" s="69">
        <f>SUMIF($AB$21:$AB$24,"4종",$AD$21:$AD$24)/1000</f>
        <v>0</v>
      </c>
      <c r="I20" s="69">
        <f>SUMIF($AB$21:$AB$24,"후원",$AD$21:$AD$24)/1000</f>
        <v>0</v>
      </c>
      <c r="J20" s="69">
        <f>SUMIF($AB$21:$AB$24,"입소",$AD$21:$AD$24)/1000</f>
        <v>0</v>
      </c>
      <c r="K20" s="69">
        <f>SUMIF($AB$21:$AB$24,"법인",$AD$21:$AD$24)/1000</f>
        <v>240</v>
      </c>
      <c r="L20" s="69">
        <f>SUMIF($AB$21:$AB$24,"잡수",$AD$21:$AD$24)/1000</f>
        <v>0</v>
      </c>
      <c r="M20" s="75">
        <f>E20-D20</f>
        <v>-560</v>
      </c>
      <c r="N20" s="73">
        <f>IF(D20=0,0,M20/D20)</f>
        <v>-0.7</v>
      </c>
      <c r="O20" s="182" t="s">
        <v>64</v>
      </c>
      <c r="P20" s="572"/>
      <c r="Q20" s="183"/>
      <c r="R20" s="183"/>
      <c r="S20" s="183"/>
      <c r="T20" s="437"/>
      <c r="U20" s="437"/>
      <c r="V20" s="363"/>
      <c r="W20" s="442" t="s">
        <v>116</v>
      </c>
      <c r="X20" s="442"/>
      <c r="Y20" s="365"/>
      <c r="Z20" s="442"/>
      <c r="AA20" s="442"/>
      <c r="AB20" s="442"/>
      <c r="AC20" s="365"/>
      <c r="AD20" s="365">
        <f>SUM(AD22:AD23)</f>
        <v>240000</v>
      </c>
      <c r="AE20" s="403" t="s">
        <v>55</v>
      </c>
      <c r="AF20" s="505"/>
      <c r="AG20" s="505"/>
      <c r="AH20" s="505"/>
    </row>
    <row r="21" spans="1:34" s="7" customFormat="1" ht="21" customHeight="1">
      <c r="A21" s="26"/>
      <c r="B21" s="27"/>
      <c r="C21" s="27"/>
      <c r="D21" s="86"/>
      <c r="E21" s="64"/>
      <c r="F21" s="64"/>
      <c r="G21" s="64"/>
      <c r="H21" s="64"/>
      <c r="I21" s="64"/>
      <c r="J21" s="64"/>
      <c r="K21" s="64"/>
      <c r="L21" s="64"/>
      <c r="M21" s="64"/>
      <c r="N21" s="43"/>
      <c r="O21" s="229"/>
      <c r="P21" s="229"/>
      <c r="Q21" s="229"/>
      <c r="R21" s="229"/>
      <c r="S21" s="229"/>
      <c r="T21" s="438"/>
      <c r="U21" s="438"/>
      <c r="V21" s="363"/>
      <c r="W21" s="438"/>
      <c r="X21" s="438"/>
      <c r="Y21" s="495"/>
      <c r="Z21" s="438"/>
      <c r="AA21" s="438"/>
      <c r="AB21" s="438"/>
      <c r="AC21" s="495"/>
      <c r="AD21" s="495"/>
      <c r="AE21" s="476"/>
      <c r="AF21" s="505"/>
      <c r="AG21" s="505"/>
      <c r="AH21" s="505"/>
    </row>
    <row r="22" spans="1:34" s="7" customFormat="1" ht="21" customHeight="1">
      <c r="A22" s="26"/>
      <c r="B22" s="27"/>
      <c r="C22" s="27"/>
      <c r="D22" s="86"/>
      <c r="E22" s="64"/>
      <c r="F22" s="64"/>
      <c r="G22" s="64"/>
      <c r="H22" s="64"/>
      <c r="I22" s="64"/>
      <c r="J22" s="64"/>
      <c r="K22" s="64"/>
      <c r="L22" s="64"/>
      <c r="M22" s="64"/>
      <c r="N22" s="43"/>
      <c r="O22" s="172" t="s">
        <v>159</v>
      </c>
      <c r="P22" s="333"/>
      <c r="Q22" s="333"/>
      <c r="R22" s="333"/>
      <c r="S22" s="332">
        <v>45000</v>
      </c>
      <c r="T22" s="334" t="s">
        <v>55</v>
      </c>
      <c r="U22" s="288" t="s">
        <v>56</v>
      </c>
      <c r="V22" s="332">
        <v>0</v>
      </c>
      <c r="W22" s="334" t="s">
        <v>54</v>
      </c>
      <c r="X22" s="288" t="s">
        <v>56</v>
      </c>
      <c r="Y22" s="491">
        <v>0</v>
      </c>
      <c r="Z22" s="334" t="s">
        <v>84</v>
      </c>
      <c r="AA22" s="334" t="s">
        <v>53</v>
      </c>
      <c r="AB22" s="334" t="s">
        <v>773</v>
      </c>
      <c r="AC22" s="335"/>
      <c r="AD22" s="332">
        <f>S22*V22*Y22</f>
        <v>0</v>
      </c>
      <c r="AE22" s="391" t="s">
        <v>55</v>
      </c>
      <c r="AF22" s="505"/>
      <c r="AG22" s="505"/>
      <c r="AH22" s="505"/>
    </row>
    <row r="23" spans="1:34" s="7" customFormat="1" ht="21" customHeight="1">
      <c r="A23" s="26"/>
      <c r="B23" s="27"/>
      <c r="C23" s="27"/>
      <c r="D23" s="86"/>
      <c r="E23" s="64"/>
      <c r="F23" s="64"/>
      <c r="G23" s="64"/>
      <c r="H23" s="64"/>
      <c r="I23" s="64"/>
      <c r="J23" s="64"/>
      <c r="K23" s="64"/>
      <c r="L23" s="64"/>
      <c r="M23" s="64"/>
      <c r="N23" s="43"/>
      <c r="O23" s="333" t="s">
        <v>230</v>
      </c>
      <c r="P23" s="333"/>
      <c r="Q23" s="333"/>
      <c r="R23" s="333"/>
      <c r="S23" s="332">
        <v>80000</v>
      </c>
      <c r="T23" s="334" t="s">
        <v>55</v>
      </c>
      <c r="U23" s="288" t="s">
        <v>56</v>
      </c>
      <c r="V23" s="332">
        <v>3</v>
      </c>
      <c r="W23" s="334" t="s">
        <v>54</v>
      </c>
      <c r="X23" s="288" t="s">
        <v>56</v>
      </c>
      <c r="Y23" s="491"/>
      <c r="Z23" s="334" t="s">
        <v>84</v>
      </c>
      <c r="AA23" s="334" t="s">
        <v>53</v>
      </c>
      <c r="AB23" s="334" t="s">
        <v>151</v>
      </c>
      <c r="AC23" s="335"/>
      <c r="AD23" s="335">
        <f>ROUNDUP(S23*V23,-3)</f>
        <v>240000</v>
      </c>
      <c r="AE23" s="385" t="s">
        <v>55</v>
      </c>
      <c r="AF23" s="505"/>
      <c r="AG23" s="505"/>
      <c r="AH23" s="505"/>
    </row>
    <row r="24" spans="1:34" s="7" customFormat="1" ht="21" customHeight="1">
      <c r="A24" s="26"/>
      <c r="B24" s="27"/>
      <c r="C24" s="27"/>
      <c r="D24" s="86"/>
      <c r="E24" s="64"/>
      <c r="F24" s="64"/>
      <c r="G24" s="64"/>
      <c r="H24" s="64"/>
      <c r="I24" s="64"/>
      <c r="J24" s="64"/>
      <c r="K24" s="64"/>
      <c r="L24" s="64"/>
      <c r="M24" s="64"/>
      <c r="N24" s="43"/>
      <c r="O24" s="333"/>
      <c r="P24" s="333"/>
      <c r="Q24" s="333"/>
      <c r="R24" s="333"/>
      <c r="S24" s="332"/>
      <c r="T24" s="334"/>
      <c r="U24" s="288"/>
      <c r="V24" s="332"/>
      <c r="W24" s="334"/>
      <c r="X24" s="288"/>
      <c r="Y24" s="496"/>
      <c r="Z24" s="334"/>
      <c r="AA24" s="334"/>
      <c r="AB24" s="334"/>
      <c r="AC24" s="335"/>
      <c r="AD24" s="332"/>
      <c r="AE24" s="391"/>
      <c r="AF24" s="505"/>
      <c r="AG24" s="505"/>
      <c r="AH24" s="505"/>
    </row>
    <row r="25" spans="1:34" s="7" customFormat="1" ht="21" customHeight="1">
      <c r="A25" s="26"/>
      <c r="B25" s="27"/>
      <c r="C25" s="18" t="s">
        <v>33</v>
      </c>
      <c r="D25" s="88">
        <v>478721</v>
      </c>
      <c r="E25" s="69">
        <f>ROUND(AD25/1000,0)</f>
        <v>520783</v>
      </c>
      <c r="F25" s="69">
        <f>SUMIF($AB$26:$AB$52,"보조",$AD$26:$AD$52)/1000</f>
        <v>467112</v>
      </c>
      <c r="G25" s="69">
        <f>SUMIF($AB$26:$AB$52,"6종",$AD$26:$AD$52)/1000</f>
        <v>48346</v>
      </c>
      <c r="H25" s="69">
        <f>SUMIF($AB$26:$AB$52,"4종",$AD$26:$AD$52)/1000</f>
        <v>0</v>
      </c>
      <c r="I25" s="69">
        <f>SUMIF($AB$26:$AB$52,"후원",$AD$26:$AD$52)/1000</f>
        <v>0</v>
      </c>
      <c r="J25" s="69">
        <f>SUMIF($AB$26:$AB$52,"입소",$AD$26:$AD$52)/1000</f>
        <v>0</v>
      </c>
      <c r="K25" s="69">
        <f>SUMIF($AB$26:$AB$52,"법인",$AD$26:$AD$52)/1000</f>
        <v>5325</v>
      </c>
      <c r="L25" s="69">
        <f>SUMIF($AB$26:$AB$52,"잡수",$AD$26:$AD$52)/1000</f>
        <v>0</v>
      </c>
      <c r="M25" s="68">
        <f>E25-D25</f>
        <v>42062</v>
      </c>
      <c r="N25" s="73">
        <f>IF(D25=0,0,M25/D25)</f>
        <v>8.7863285713390471E-2</v>
      </c>
      <c r="O25" s="182" t="s">
        <v>34</v>
      </c>
      <c r="P25" s="572"/>
      <c r="Q25" s="183"/>
      <c r="R25" s="183"/>
      <c r="S25" s="183"/>
      <c r="T25" s="437"/>
      <c r="U25" s="437"/>
      <c r="V25" s="184"/>
      <c r="W25" s="441" t="s">
        <v>116</v>
      </c>
      <c r="X25" s="441"/>
      <c r="Y25" s="185"/>
      <c r="Z25" s="441"/>
      <c r="AA25" s="441"/>
      <c r="AB25" s="441"/>
      <c r="AC25" s="185"/>
      <c r="AD25" s="185">
        <f>명절휴가비+가족수당+연장근로수당+AD46+AD49</f>
        <v>520783000</v>
      </c>
      <c r="AE25" s="477" t="s">
        <v>55</v>
      </c>
      <c r="AF25" s="505"/>
      <c r="AG25" s="505"/>
      <c r="AH25" s="505"/>
    </row>
    <row r="26" spans="1:34" s="7" customFormat="1" ht="21" customHeight="1">
      <c r="A26" s="26"/>
      <c r="B26" s="27"/>
      <c r="C26" s="27"/>
      <c r="D26" s="347"/>
      <c r="E26" s="345"/>
      <c r="F26" s="345"/>
      <c r="G26" s="345"/>
      <c r="H26" s="345"/>
      <c r="I26" s="345"/>
      <c r="J26" s="345"/>
      <c r="K26" s="345"/>
      <c r="L26" s="345"/>
      <c r="M26" s="64"/>
      <c r="N26" s="43"/>
      <c r="O26" s="576" t="s">
        <v>167</v>
      </c>
      <c r="P26" s="333"/>
      <c r="Q26" s="333"/>
      <c r="R26" s="333"/>
      <c r="S26" s="333"/>
      <c r="T26" s="334"/>
      <c r="U26" s="334"/>
      <c r="V26" s="332"/>
      <c r="W26" s="420" t="s">
        <v>152</v>
      </c>
      <c r="X26" s="420"/>
      <c r="Y26" s="231"/>
      <c r="Z26" s="420"/>
      <c r="AA26" s="420"/>
      <c r="AB26" s="420"/>
      <c r="AC26" s="231" t="s">
        <v>153</v>
      </c>
      <c r="AD26" s="231">
        <f>ROUND(SUM(AD27:AD32),-3)</f>
        <v>146390000</v>
      </c>
      <c r="AE26" s="398" t="s">
        <v>55</v>
      </c>
      <c r="AF26" s="505"/>
      <c r="AG26" s="505"/>
      <c r="AH26" s="505"/>
    </row>
    <row r="27" spans="1:34" s="7" customFormat="1" ht="21" customHeight="1">
      <c r="A27" s="26"/>
      <c r="B27" s="27"/>
      <c r="C27" s="27"/>
      <c r="D27" s="348"/>
      <c r="E27" s="346"/>
      <c r="F27" s="346"/>
      <c r="G27" s="346"/>
      <c r="H27" s="346"/>
      <c r="I27" s="346"/>
      <c r="J27" s="346"/>
      <c r="K27" s="346"/>
      <c r="L27" s="346"/>
      <c r="M27" s="64"/>
      <c r="N27" s="43"/>
      <c r="O27" s="333" t="s">
        <v>816</v>
      </c>
      <c r="P27" s="333"/>
      <c r="Q27" s="333"/>
      <c r="R27" s="333"/>
      <c r="S27" s="333"/>
      <c r="T27" s="334"/>
      <c r="U27" s="334"/>
      <c r="V27" s="332"/>
      <c r="W27" s="334"/>
      <c r="X27" s="334"/>
      <c r="Y27" s="335"/>
      <c r="Z27" s="334"/>
      <c r="AA27" s="334"/>
      <c r="AB27" s="334" t="s">
        <v>70</v>
      </c>
      <c r="AC27" s="335"/>
      <c r="AD27" s="335">
        <v>134983000</v>
      </c>
      <c r="AE27" s="397" t="s">
        <v>55</v>
      </c>
      <c r="AF27" s="505"/>
      <c r="AG27" s="505"/>
      <c r="AH27" s="505"/>
    </row>
    <row r="28" spans="1:34" s="7" customFormat="1" ht="21" customHeight="1">
      <c r="A28" s="26"/>
      <c r="B28" s="27"/>
      <c r="C28" s="27"/>
      <c r="D28" s="86"/>
      <c r="E28" s="64"/>
      <c r="F28" s="64"/>
      <c r="G28" s="64"/>
      <c r="H28" s="64"/>
      <c r="I28" s="64"/>
      <c r="J28" s="64"/>
      <c r="K28" s="64"/>
      <c r="L28" s="64"/>
      <c r="M28" s="64"/>
      <c r="N28" s="43"/>
      <c r="O28" s="333" t="s">
        <v>778</v>
      </c>
      <c r="P28" s="333"/>
      <c r="Q28" s="333"/>
      <c r="R28" s="333"/>
      <c r="S28" s="333"/>
      <c r="T28" s="334"/>
      <c r="U28" s="334"/>
      <c r="V28" s="332"/>
      <c r="W28" s="334"/>
      <c r="X28" s="334"/>
      <c r="Y28" s="335"/>
      <c r="Z28" s="334"/>
      <c r="AA28" s="334"/>
      <c r="AB28" s="334" t="s">
        <v>773</v>
      </c>
      <c r="AC28" s="335"/>
      <c r="AD28" s="335">
        <v>7762000</v>
      </c>
      <c r="AE28" s="397" t="s">
        <v>55</v>
      </c>
      <c r="AF28" s="505"/>
      <c r="AG28" s="505"/>
      <c r="AH28" s="505"/>
    </row>
    <row r="29" spans="1:34" s="7" customFormat="1" ht="21" customHeight="1">
      <c r="A29" s="26"/>
      <c r="B29" s="27"/>
      <c r="C29" s="27"/>
      <c r="D29" s="86"/>
      <c r="E29" s="64"/>
      <c r="F29" s="64"/>
      <c r="G29" s="64"/>
      <c r="H29" s="64"/>
      <c r="I29" s="64"/>
      <c r="J29" s="64"/>
      <c r="K29" s="64"/>
      <c r="L29" s="64"/>
      <c r="M29" s="64"/>
      <c r="N29" s="43"/>
      <c r="O29" s="333" t="s">
        <v>293</v>
      </c>
      <c r="P29" s="333"/>
      <c r="Q29" s="333"/>
      <c r="R29" s="333"/>
      <c r="S29" s="333"/>
      <c r="T29" s="334"/>
      <c r="U29" s="334"/>
      <c r="V29" s="332"/>
      <c r="W29" s="334"/>
      <c r="X29" s="334"/>
      <c r="Y29" s="335"/>
      <c r="Z29" s="334"/>
      <c r="AA29" s="334"/>
      <c r="AB29" s="334" t="s">
        <v>70</v>
      </c>
      <c r="AC29" s="335"/>
      <c r="AD29" s="335">
        <v>0</v>
      </c>
      <c r="AE29" s="397" t="s">
        <v>55</v>
      </c>
      <c r="AF29" s="505"/>
      <c r="AG29" s="505"/>
      <c r="AH29" s="505"/>
    </row>
    <row r="30" spans="1:34" s="7" customFormat="1" ht="21" customHeight="1">
      <c r="A30" s="26"/>
      <c r="B30" s="27"/>
      <c r="C30" s="27"/>
      <c r="D30" s="86"/>
      <c r="E30" s="64"/>
      <c r="F30" s="64"/>
      <c r="G30" s="64"/>
      <c r="H30" s="64"/>
      <c r="I30" s="64"/>
      <c r="J30" s="64"/>
      <c r="K30" s="64"/>
      <c r="L30" s="64"/>
      <c r="M30" s="64"/>
      <c r="N30" s="43"/>
      <c r="O30" s="333" t="s">
        <v>551</v>
      </c>
      <c r="P30" s="333"/>
      <c r="Q30" s="333"/>
      <c r="R30" s="333"/>
      <c r="S30" s="333"/>
      <c r="T30" s="334"/>
      <c r="U30" s="334"/>
      <c r="V30" s="332"/>
      <c r="W30" s="334"/>
      <c r="X30" s="334"/>
      <c r="Y30" s="335"/>
      <c r="Z30" s="334"/>
      <c r="AA30" s="334"/>
      <c r="AB30" s="334" t="s">
        <v>151</v>
      </c>
      <c r="AC30" s="335"/>
      <c r="AD30" s="335">
        <v>0</v>
      </c>
      <c r="AE30" s="397" t="s">
        <v>55</v>
      </c>
      <c r="AF30" s="505"/>
      <c r="AG30" s="505"/>
      <c r="AH30" s="505"/>
    </row>
    <row r="31" spans="1:34" s="7" customFormat="1" ht="21" customHeight="1">
      <c r="A31" s="26"/>
      <c r="B31" s="27"/>
      <c r="C31" s="27"/>
      <c r="D31" s="86"/>
      <c r="E31" s="64"/>
      <c r="F31" s="64"/>
      <c r="G31" s="64"/>
      <c r="H31" s="64"/>
      <c r="I31" s="64"/>
      <c r="J31" s="64"/>
      <c r="K31" s="64"/>
      <c r="L31" s="64"/>
      <c r="M31" s="64"/>
      <c r="N31" s="43"/>
      <c r="O31" s="333" t="s">
        <v>812</v>
      </c>
      <c r="P31" s="333"/>
      <c r="Q31" s="333"/>
      <c r="R31" s="333"/>
      <c r="S31" s="333"/>
      <c r="T31" s="334"/>
      <c r="U31" s="334"/>
      <c r="V31" s="332"/>
      <c r="W31" s="334"/>
      <c r="X31" s="334"/>
      <c r="Y31" s="335"/>
      <c r="Z31" s="334"/>
      <c r="AA31" s="334"/>
      <c r="AB31" s="334" t="s">
        <v>151</v>
      </c>
      <c r="AC31" s="335"/>
      <c r="AD31" s="335">
        <v>2545000</v>
      </c>
      <c r="AE31" s="397" t="s">
        <v>55</v>
      </c>
      <c r="AF31" s="505"/>
      <c r="AG31" s="505"/>
      <c r="AH31" s="505"/>
    </row>
    <row r="32" spans="1:34" s="7" customFormat="1" ht="21" customHeight="1">
      <c r="A32" s="26"/>
      <c r="B32" s="27"/>
      <c r="C32" s="27"/>
      <c r="D32" s="86"/>
      <c r="E32" s="64"/>
      <c r="F32" s="64"/>
      <c r="G32" s="64"/>
      <c r="H32" s="64"/>
      <c r="I32" s="64"/>
      <c r="J32" s="64"/>
      <c r="K32" s="64"/>
      <c r="L32" s="64"/>
      <c r="M32" s="64"/>
      <c r="N32" s="43"/>
      <c r="O32" s="333" t="s">
        <v>605</v>
      </c>
      <c r="P32" s="333"/>
      <c r="Q32" s="333"/>
      <c r="R32" s="333"/>
      <c r="S32" s="333"/>
      <c r="T32" s="334"/>
      <c r="U32" s="334"/>
      <c r="V32" s="332"/>
      <c r="W32" s="334"/>
      <c r="X32" s="334"/>
      <c r="Y32" s="335"/>
      <c r="Z32" s="334"/>
      <c r="AA32" s="334"/>
      <c r="AB32" s="334" t="s">
        <v>151</v>
      </c>
      <c r="AC32" s="335"/>
      <c r="AD32" s="335">
        <v>1100000</v>
      </c>
      <c r="AE32" s="397" t="s">
        <v>55</v>
      </c>
      <c r="AF32" s="505"/>
      <c r="AG32" s="505"/>
      <c r="AH32" s="505"/>
    </row>
    <row r="33" spans="1:34" s="7" customFormat="1" ht="21" customHeight="1">
      <c r="A33" s="26"/>
      <c r="B33" s="27"/>
      <c r="C33" s="27"/>
      <c r="D33" s="86"/>
      <c r="E33" s="64"/>
      <c r="F33" s="64"/>
      <c r="G33" s="64"/>
      <c r="H33" s="64"/>
      <c r="I33" s="64"/>
      <c r="J33" s="64"/>
      <c r="K33" s="64"/>
      <c r="L33" s="64"/>
      <c r="M33" s="64"/>
      <c r="N33" s="43"/>
      <c r="O33" s="333"/>
      <c r="P33" s="333"/>
      <c r="Q33" s="333"/>
      <c r="R33" s="333"/>
      <c r="S33" s="333"/>
      <c r="T33" s="334"/>
      <c r="U33" s="334"/>
      <c r="V33" s="332"/>
      <c r="W33" s="334"/>
      <c r="X33" s="334"/>
      <c r="Y33" s="335"/>
      <c r="Z33" s="334"/>
      <c r="AA33" s="334"/>
      <c r="AB33" s="334"/>
      <c r="AC33" s="335"/>
      <c r="AD33" s="335"/>
      <c r="AE33" s="397"/>
      <c r="AF33" s="505"/>
      <c r="AG33" s="505"/>
      <c r="AH33" s="505"/>
    </row>
    <row r="34" spans="1:34" s="7" customFormat="1" ht="21" customHeight="1">
      <c r="A34" s="26"/>
      <c r="B34" s="27"/>
      <c r="C34" s="27"/>
      <c r="D34" s="86"/>
      <c r="E34" s="64"/>
      <c r="F34" s="64"/>
      <c r="G34" s="64"/>
      <c r="H34" s="64"/>
      <c r="I34" s="64"/>
      <c r="J34" s="64"/>
      <c r="K34" s="64"/>
      <c r="L34" s="64"/>
      <c r="M34" s="64"/>
      <c r="N34" s="43"/>
      <c r="O34" s="576" t="s">
        <v>168</v>
      </c>
      <c r="P34" s="333"/>
      <c r="Q34" s="333"/>
      <c r="R34" s="333"/>
      <c r="S34" s="333"/>
      <c r="T34" s="334"/>
      <c r="U34" s="334"/>
      <c r="V34" s="332"/>
      <c r="W34" s="420" t="s">
        <v>152</v>
      </c>
      <c r="X34" s="420"/>
      <c r="Y34" s="231"/>
      <c r="Z34" s="420"/>
      <c r="AA34" s="420"/>
      <c r="AB34" s="420"/>
      <c r="AC34" s="231" t="s">
        <v>153</v>
      </c>
      <c r="AD34" s="231">
        <f>SUM(AD35:AD37)</f>
        <v>24960000</v>
      </c>
      <c r="AE34" s="398" t="s">
        <v>55</v>
      </c>
      <c r="AF34" s="505"/>
      <c r="AG34" s="505"/>
      <c r="AH34" s="505"/>
    </row>
    <row r="35" spans="1:34" s="7" customFormat="1" ht="21" customHeight="1">
      <c r="A35" s="26"/>
      <c r="B35" s="27"/>
      <c r="C35" s="27"/>
      <c r="D35" s="86"/>
      <c r="E35" s="64"/>
      <c r="F35" s="64"/>
      <c r="G35" s="64"/>
      <c r="H35" s="64"/>
      <c r="I35" s="64"/>
      <c r="J35" s="64"/>
      <c r="K35" s="64"/>
      <c r="L35" s="64"/>
      <c r="M35" s="64"/>
      <c r="N35" s="43"/>
      <c r="O35" s="333" t="s">
        <v>816</v>
      </c>
      <c r="P35" s="333"/>
      <c r="Q35" s="333"/>
      <c r="R35" s="333"/>
      <c r="S35" s="333"/>
      <c r="T35" s="334"/>
      <c r="U35" s="334"/>
      <c r="V35" s="332"/>
      <c r="W35" s="334"/>
      <c r="X35" s="334"/>
      <c r="Y35" s="335"/>
      <c r="Z35" s="334"/>
      <c r="AA35" s="334"/>
      <c r="AB35" s="334" t="s">
        <v>70</v>
      </c>
      <c r="AC35" s="335"/>
      <c r="AD35" s="335">
        <v>24000000</v>
      </c>
      <c r="AE35" s="397" t="s">
        <v>55</v>
      </c>
      <c r="AF35" s="505"/>
      <c r="AG35" s="505"/>
      <c r="AH35" s="505"/>
    </row>
    <row r="36" spans="1:34" s="7" customFormat="1" ht="21" customHeight="1">
      <c r="A36" s="26"/>
      <c r="B36" s="27"/>
      <c r="C36" s="27"/>
      <c r="D36" s="86"/>
      <c r="E36" s="64"/>
      <c r="F36" s="64"/>
      <c r="G36" s="64"/>
      <c r="H36" s="64"/>
      <c r="I36" s="64"/>
      <c r="J36" s="64"/>
      <c r="K36" s="64"/>
      <c r="L36" s="64"/>
      <c r="M36" s="64"/>
      <c r="N36" s="43"/>
      <c r="O36" s="333" t="s">
        <v>778</v>
      </c>
      <c r="P36" s="333"/>
      <c r="Q36" s="333"/>
      <c r="R36" s="333"/>
      <c r="S36" s="333"/>
      <c r="T36" s="334"/>
      <c r="U36" s="334"/>
      <c r="V36" s="332"/>
      <c r="W36" s="334"/>
      <c r="X36" s="334"/>
      <c r="Y36" s="335"/>
      <c r="Z36" s="334"/>
      <c r="AA36" s="334"/>
      <c r="AB36" s="334" t="s">
        <v>773</v>
      </c>
      <c r="AC36" s="335"/>
      <c r="AD36" s="335">
        <v>960000</v>
      </c>
      <c r="AE36" s="397" t="s">
        <v>55</v>
      </c>
      <c r="AF36" s="505"/>
      <c r="AG36" s="505"/>
      <c r="AH36" s="505"/>
    </row>
    <row r="37" spans="1:34" s="7" customFormat="1" ht="21" customHeight="1">
      <c r="A37" s="26"/>
      <c r="B37" s="27"/>
      <c r="C37" s="27"/>
      <c r="D37" s="86"/>
      <c r="E37" s="64"/>
      <c r="F37" s="64"/>
      <c r="G37" s="64"/>
      <c r="H37" s="64"/>
      <c r="I37" s="64"/>
      <c r="J37" s="64"/>
      <c r="K37" s="64"/>
      <c r="L37" s="64"/>
      <c r="M37" s="64"/>
      <c r="N37" s="43"/>
      <c r="O37" s="333" t="s">
        <v>293</v>
      </c>
      <c r="P37" s="333"/>
      <c r="Q37" s="333"/>
      <c r="R37" s="333"/>
      <c r="S37" s="333"/>
      <c r="T37" s="334"/>
      <c r="U37" s="334"/>
      <c r="V37" s="332"/>
      <c r="W37" s="334"/>
      <c r="X37" s="334"/>
      <c r="Y37" s="335"/>
      <c r="Z37" s="334"/>
      <c r="AA37" s="334"/>
      <c r="AB37" s="334" t="s">
        <v>70</v>
      </c>
      <c r="AC37" s="335"/>
      <c r="AD37" s="335">
        <v>0</v>
      </c>
      <c r="AE37" s="397" t="s">
        <v>55</v>
      </c>
      <c r="AF37" s="505"/>
      <c r="AG37" s="505"/>
      <c r="AH37" s="505"/>
    </row>
    <row r="38" spans="1:34" s="7" customFormat="1" ht="21" customHeight="1">
      <c r="A38" s="26"/>
      <c r="B38" s="27"/>
      <c r="C38" s="27"/>
      <c r="D38" s="86"/>
      <c r="E38" s="64"/>
      <c r="F38" s="64"/>
      <c r="G38" s="64"/>
      <c r="H38" s="64"/>
      <c r="I38" s="64"/>
      <c r="J38" s="64"/>
      <c r="K38" s="64"/>
      <c r="L38" s="64"/>
      <c r="M38" s="64"/>
      <c r="N38" s="43"/>
      <c r="O38" s="333"/>
      <c r="P38" s="333"/>
      <c r="Q38" s="333"/>
      <c r="R38" s="333"/>
      <c r="S38" s="333"/>
      <c r="T38" s="334"/>
      <c r="U38" s="334"/>
      <c r="V38" s="332"/>
      <c r="W38" s="334"/>
      <c r="X38" s="334"/>
      <c r="Y38" s="335"/>
      <c r="Z38" s="334"/>
      <c r="AA38" s="334"/>
      <c r="AB38" s="334"/>
      <c r="AC38" s="335"/>
      <c r="AD38" s="335"/>
      <c r="AE38" s="397"/>
      <c r="AF38" s="505"/>
      <c r="AG38" s="505"/>
      <c r="AH38" s="505"/>
    </row>
    <row r="39" spans="1:34" s="7" customFormat="1" ht="21" customHeight="1">
      <c r="A39" s="26"/>
      <c r="B39" s="27"/>
      <c r="C39" s="27"/>
      <c r="D39" s="86"/>
      <c r="E39" s="64"/>
      <c r="F39" s="64"/>
      <c r="G39" s="64"/>
      <c r="H39" s="64"/>
      <c r="I39" s="64"/>
      <c r="J39" s="64"/>
      <c r="K39" s="64"/>
      <c r="L39" s="64"/>
      <c r="M39" s="64"/>
      <c r="N39" s="43"/>
      <c r="O39" s="576" t="s">
        <v>169</v>
      </c>
      <c r="P39" s="333"/>
      <c r="Q39" s="333"/>
      <c r="R39" s="333"/>
      <c r="S39" s="333"/>
      <c r="T39" s="334"/>
      <c r="U39" s="334"/>
      <c r="V39" s="332"/>
      <c r="W39" s="420" t="s">
        <v>152</v>
      </c>
      <c r="X39" s="420"/>
      <c r="Y39" s="231"/>
      <c r="Z39" s="420"/>
      <c r="AA39" s="420"/>
      <c r="AB39" s="420"/>
      <c r="AC39" s="231" t="s">
        <v>153</v>
      </c>
      <c r="AD39" s="231">
        <f>ROUND(SUM(AD40:AD44),-3)</f>
        <v>342753000</v>
      </c>
      <c r="AE39" s="398" t="s">
        <v>55</v>
      </c>
      <c r="AF39" s="505"/>
      <c r="AG39" s="505"/>
      <c r="AH39" s="505"/>
    </row>
    <row r="40" spans="1:34" s="7" customFormat="1" ht="21" customHeight="1">
      <c r="A40" s="26"/>
      <c r="B40" s="27"/>
      <c r="C40" s="27"/>
      <c r="D40" s="86"/>
      <c r="E40" s="64"/>
      <c r="F40" s="64"/>
      <c r="G40" s="64"/>
      <c r="H40" s="64"/>
      <c r="I40" s="64"/>
      <c r="J40" s="64"/>
      <c r="K40" s="64"/>
      <c r="L40" s="64"/>
      <c r="M40" s="64"/>
      <c r="N40" s="43"/>
      <c r="O40" s="333" t="s">
        <v>816</v>
      </c>
      <c r="P40" s="333"/>
      <c r="Q40" s="333"/>
      <c r="R40" s="333"/>
      <c r="S40" s="333"/>
      <c r="T40" s="334"/>
      <c r="U40" s="334"/>
      <c r="V40" s="332"/>
      <c r="W40" s="334"/>
      <c r="X40" s="334"/>
      <c r="Y40" s="335"/>
      <c r="Z40" s="334"/>
      <c r="AA40" s="334"/>
      <c r="AB40" s="334" t="s">
        <v>70</v>
      </c>
      <c r="AC40" s="335"/>
      <c r="AD40" s="335">
        <v>303129000</v>
      </c>
      <c r="AE40" s="397" t="s">
        <v>55</v>
      </c>
      <c r="AF40" s="505"/>
      <c r="AG40" s="505"/>
      <c r="AH40" s="505"/>
    </row>
    <row r="41" spans="1:34" s="7" customFormat="1" ht="21" customHeight="1">
      <c r="A41" s="26"/>
      <c r="B41" s="27"/>
      <c r="C41" s="27"/>
      <c r="D41" s="86"/>
      <c r="E41" s="64"/>
      <c r="F41" s="64"/>
      <c r="G41" s="64"/>
      <c r="H41" s="64"/>
      <c r="I41" s="64"/>
      <c r="J41" s="64"/>
      <c r="K41" s="64"/>
      <c r="L41" s="64"/>
      <c r="M41" s="64"/>
      <c r="N41" s="43"/>
      <c r="O41" s="333" t="s">
        <v>778</v>
      </c>
      <c r="P41" s="333"/>
      <c r="Q41" s="333"/>
      <c r="R41" s="333"/>
      <c r="S41" s="333"/>
      <c r="T41" s="334"/>
      <c r="U41" s="334"/>
      <c r="V41" s="332"/>
      <c r="W41" s="334"/>
      <c r="X41" s="334"/>
      <c r="Y41" s="335"/>
      <c r="Z41" s="334"/>
      <c r="AA41" s="334"/>
      <c r="AB41" s="334" t="s">
        <v>773</v>
      </c>
      <c r="AC41" s="335"/>
      <c r="AD41" s="335">
        <v>17972000</v>
      </c>
      <c r="AE41" s="397" t="s">
        <v>55</v>
      </c>
      <c r="AF41" s="505"/>
      <c r="AG41" s="505"/>
      <c r="AH41" s="505"/>
    </row>
    <row r="42" spans="1:34" s="7" customFormat="1" ht="21" customHeight="1">
      <c r="A42" s="26"/>
      <c r="B42" s="27"/>
      <c r="C42" s="27"/>
      <c r="D42" s="86"/>
      <c r="E42" s="64"/>
      <c r="F42" s="64"/>
      <c r="G42" s="64"/>
      <c r="H42" s="64"/>
      <c r="I42" s="64"/>
      <c r="J42" s="64"/>
      <c r="K42" s="64"/>
      <c r="L42" s="64"/>
      <c r="M42" s="64"/>
      <c r="N42" s="43"/>
      <c r="O42" s="333" t="s">
        <v>293</v>
      </c>
      <c r="P42" s="333"/>
      <c r="Q42" s="333"/>
      <c r="R42" s="333"/>
      <c r="S42" s="333"/>
      <c r="T42" s="334"/>
      <c r="U42" s="334"/>
      <c r="V42" s="332"/>
      <c r="W42" s="334"/>
      <c r="X42" s="334"/>
      <c r="Y42" s="335"/>
      <c r="Z42" s="334"/>
      <c r="AA42" s="334"/>
      <c r="AB42" s="334" t="s">
        <v>70</v>
      </c>
      <c r="AC42" s="335"/>
      <c r="AD42" s="335">
        <v>0</v>
      </c>
      <c r="AE42" s="397" t="s">
        <v>55</v>
      </c>
      <c r="AF42" s="505"/>
      <c r="AG42" s="505"/>
      <c r="AH42" s="505"/>
    </row>
    <row r="43" spans="1:34" s="7" customFormat="1" ht="21" customHeight="1">
      <c r="A43" s="26"/>
      <c r="B43" s="27"/>
      <c r="C43" s="27"/>
      <c r="D43" s="86"/>
      <c r="E43" s="64"/>
      <c r="F43" s="64"/>
      <c r="G43" s="64"/>
      <c r="H43" s="64"/>
      <c r="I43" s="64"/>
      <c r="J43" s="64"/>
      <c r="K43" s="64"/>
      <c r="L43" s="64"/>
      <c r="M43" s="64"/>
      <c r="N43" s="43"/>
      <c r="O43" s="333" t="s">
        <v>551</v>
      </c>
      <c r="P43" s="333"/>
      <c r="Q43" s="333"/>
      <c r="R43" s="333"/>
      <c r="S43" s="333"/>
      <c r="T43" s="334"/>
      <c r="U43" s="334"/>
      <c r="V43" s="332"/>
      <c r="W43" s="334"/>
      <c r="X43" s="334"/>
      <c r="Y43" s="335"/>
      <c r="Z43" s="334"/>
      <c r="AA43" s="334"/>
      <c r="AB43" s="334" t="s">
        <v>151</v>
      </c>
      <c r="AC43" s="335"/>
      <c r="AD43" s="335">
        <v>0</v>
      </c>
      <c r="AE43" s="397" t="s">
        <v>55</v>
      </c>
      <c r="AF43" s="505"/>
      <c r="AG43" s="505"/>
      <c r="AH43" s="505"/>
    </row>
    <row r="44" spans="1:34" s="7" customFormat="1" ht="21" customHeight="1">
      <c r="A44" s="26"/>
      <c r="B44" s="27"/>
      <c r="C44" s="27"/>
      <c r="D44" s="86"/>
      <c r="E44" s="64"/>
      <c r="F44" s="64"/>
      <c r="G44" s="64"/>
      <c r="H44" s="64"/>
      <c r="I44" s="64"/>
      <c r="J44" s="64"/>
      <c r="K44" s="64"/>
      <c r="L44" s="64"/>
      <c r="M44" s="64"/>
      <c r="N44" s="43"/>
      <c r="O44" s="333" t="s">
        <v>552</v>
      </c>
      <c r="P44" s="333"/>
      <c r="Q44" s="333"/>
      <c r="R44" s="333"/>
      <c r="S44" s="333"/>
      <c r="T44" s="334"/>
      <c r="U44" s="334"/>
      <c r="V44" s="332"/>
      <c r="W44" s="334"/>
      <c r="X44" s="334"/>
      <c r="Y44" s="335"/>
      <c r="Z44" s="334"/>
      <c r="AA44" s="334"/>
      <c r="AB44" s="334" t="s">
        <v>773</v>
      </c>
      <c r="AC44" s="335"/>
      <c r="AD44" s="335">
        <f>ROUNDUP(21651260,-3)</f>
        <v>21652000</v>
      </c>
      <c r="AE44" s="397" t="s">
        <v>55</v>
      </c>
      <c r="AF44" s="505"/>
      <c r="AG44" s="505"/>
      <c r="AH44" s="505"/>
    </row>
    <row r="45" spans="1:34" s="7" customFormat="1" ht="21" customHeight="1">
      <c r="A45" s="26"/>
      <c r="B45" s="27"/>
      <c r="C45" s="27"/>
      <c r="D45" s="86"/>
      <c r="E45" s="64"/>
      <c r="F45" s="64"/>
      <c r="G45" s="64"/>
      <c r="H45" s="64"/>
      <c r="I45" s="64"/>
      <c r="J45" s="64"/>
      <c r="K45" s="64"/>
      <c r="L45" s="64"/>
      <c r="M45" s="64"/>
      <c r="N45" s="43"/>
      <c r="O45" s="333"/>
      <c r="P45" s="333"/>
      <c r="Q45" s="333"/>
      <c r="R45" s="333"/>
      <c r="S45" s="333"/>
      <c r="T45" s="334"/>
      <c r="U45" s="334"/>
      <c r="V45" s="332"/>
      <c r="W45" s="334"/>
      <c r="X45" s="334"/>
      <c r="Y45" s="335"/>
      <c r="Z45" s="334"/>
      <c r="AA45" s="334"/>
      <c r="AB45" s="334"/>
      <c r="AC45" s="335"/>
      <c r="AD45" s="335"/>
      <c r="AE45" s="397"/>
      <c r="AF45" s="505"/>
      <c r="AG45" s="505"/>
      <c r="AH45" s="505"/>
    </row>
    <row r="46" spans="1:34" s="7" customFormat="1" ht="21" customHeight="1">
      <c r="A46" s="26"/>
      <c r="B46" s="27"/>
      <c r="C46" s="27"/>
      <c r="D46" s="86"/>
      <c r="E46" s="64"/>
      <c r="F46" s="64"/>
      <c r="G46" s="64"/>
      <c r="H46" s="64"/>
      <c r="I46" s="64"/>
      <c r="J46" s="64"/>
      <c r="K46" s="64"/>
      <c r="L46" s="64"/>
      <c r="M46" s="64"/>
      <c r="N46" s="43"/>
      <c r="O46" s="576" t="s">
        <v>706</v>
      </c>
      <c r="P46" s="333"/>
      <c r="Q46" s="333"/>
      <c r="R46" s="333"/>
      <c r="S46" s="333"/>
      <c r="T46" s="334"/>
      <c r="U46" s="334"/>
      <c r="V46" s="332"/>
      <c r="W46" s="420" t="s">
        <v>152</v>
      </c>
      <c r="X46" s="420"/>
      <c r="Y46" s="231"/>
      <c r="Z46" s="420"/>
      <c r="AA46" s="420"/>
      <c r="AB46" s="420"/>
      <c r="AC46" s="231" t="s">
        <v>153</v>
      </c>
      <c r="AD46" s="231">
        <f>ROUND(SUM(AD47),-3)</f>
        <v>5000000</v>
      </c>
      <c r="AE46" s="398" t="s">
        <v>55</v>
      </c>
      <c r="AF46" s="505"/>
      <c r="AG46" s="505"/>
      <c r="AH46" s="505"/>
    </row>
    <row r="47" spans="1:34" s="7" customFormat="1" ht="21" customHeight="1">
      <c r="A47" s="26"/>
      <c r="B47" s="27"/>
      <c r="C47" s="27"/>
      <c r="D47" s="86"/>
      <c r="E47" s="64"/>
      <c r="F47" s="64"/>
      <c r="G47" s="64"/>
      <c r="H47" s="64"/>
      <c r="I47" s="64"/>
      <c r="J47" s="64"/>
      <c r="K47" s="64"/>
      <c r="L47" s="64"/>
      <c r="M47" s="64"/>
      <c r="N47" s="43"/>
      <c r="O47" s="333" t="s">
        <v>816</v>
      </c>
      <c r="P47" s="333"/>
      <c r="Q47" s="333"/>
      <c r="R47" s="333"/>
      <c r="S47" s="333"/>
      <c r="T47" s="334"/>
      <c r="U47" s="334"/>
      <c r="V47" s="332"/>
      <c r="W47" s="334"/>
      <c r="X47" s="334"/>
      <c r="Y47" s="335"/>
      <c r="Z47" s="334"/>
      <c r="AA47" s="334"/>
      <c r="AB47" s="334" t="s">
        <v>70</v>
      </c>
      <c r="AC47" s="335"/>
      <c r="AD47" s="335">
        <v>5000000</v>
      </c>
      <c r="AE47" s="397" t="s">
        <v>55</v>
      </c>
      <c r="AF47" s="505"/>
      <c r="AG47" s="505"/>
      <c r="AH47" s="505"/>
    </row>
    <row r="48" spans="1:34" s="7" customFormat="1" ht="21" customHeight="1">
      <c r="A48" s="26"/>
      <c r="B48" s="27"/>
      <c r="C48" s="27"/>
      <c r="D48" s="86"/>
      <c r="E48" s="64"/>
      <c r="F48" s="64"/>
      <c r="G48" s="64"/>
      <c r="H48" s="64"/>
      <c r="I48" s="64"/>
      <c r="J48" s="64"/>
      <c r="K48" s="64"/>
      <c r="L48" s="64"/>
      <c r="M48" s="64"/>
      <c r="N48" s="43"/>
      <c r="O48" s="333"/>
      <c r="P48" s="333"/>
      <c r="Q48" s="333"/>
      <c r="R48" s="333"/>
      <c r="S48" s="333"/>
      <c r="T48" s="334"/>
      <c r="U48" s="334"/>
      <c r="V48" s="332"/>
      <c r="W48" s="334"/>
      <c r="X48" s="334"/>
      <c r="Y48" s="335"/>
      <c r="Z48" s="334"/>
      <c r="AA48" s="334"/>
      <c r="AB48" s="334"/>
      <c r="AC48" s="335"/>
      <c r="AD48" s="335"/>
      <c r="AE48" s="397"/>
      <c r="AF48" s="505"/>
      <c r="AG48" s="505"/>
      <c r="AH48" s="505"/>
    </row>
    <row r="49" spans="1:34" s="7" customFormat="1" ht="21" customHeight="1">
      <c r="A49" s="26"/>
      <c r="B49" s="27"/>
      <c r="C49" s="27"/>
      <c r="D49" s="86"/>
      <c r="E49" s="64"/>
      <c r="F49" s="64"/>
      <c r="G49" s="64"/>
      <c r="H49" s="64"/>
      <c r="I49" s="64"/>
      <c r="J49" s="64"/>
      <c r="K49" s="64"/>
      <c r="L49" s="64"/>
      <c r="M49" s="64"/>
      <c r="N49" s="43"/>
      <c r="O49" s="576" t="s">
        <v>705</v>
      </c>
      <c r="P49" s="333"/>
      <c r="Q49" s="333"/>
      <c r="R49" s="333"/>
      <c r="S49" s="333"/>
      <c r="T49" s="334"/>
      <c r="U49" s="334"/>
      <c r="V49" s="332"/>
      <c r="W49" s="420" t="s">
        <v>152</v>
      </c>
      <c r="X49" s="420"/>
      <c r="Y49" s="231"/>
      <c r="Z49" s="420"/>
      <c r="AA49" s="420"/>
      <c r="AB49" s="420"/>
      <c r="AC49" s="231" t="s">
        <v>153</v>
      </c>
      <c r="AD49" s="231">
        <f>SUM(AD50:AD51)</f>
        <v>1680000</v>
      </c>
      <c r="AE49" s="398" t="s">
        <v>55</v>
      </c>
      <c r="AF49" s="505"/>
      <c r="AG49" s="505"/>
      <c r="AH49" s="505"/>
    </row>
    <row r="50" spans="1:34" s="7" customFormat="1" ht="21" customHeight="1">
      <c r="A50" s="26"/>
      <c r="B50" s="27"/>
      <c r="C50" s="27"/>
      <c r="D50" s="86"/>
      <c r="E50" s="64"/>
      <c r="F50" s="64"/>
      <c r="G50" s="64"/>
      <c r="H50" s="64"/>
      <c r="I50" s="64"/>
      <c r="J50" s="64"/>
      <c r="K50" s="64"/>
      <c r="L50" s="64"/>
      <c r="M50" s="64"/>
      <c r="N50" s="43"/>
      <c r="O50" s="333" t="s">
        <v>585</v>
      </c>
      <c r="P50" s="333"/>
      <c r="Q50" s="333"/>
      <c r="R50" s="333"/>
      <c r="S50" s="332">
        <v>70000</v>
      </c>
      <c r="T50" s="334" t="s">
        <v>55</v>
      </c>
      <c r="U50" s="288" t="s">
        <v>56</v>
      </c>
      <c r="V50" s="332">
        <v>2</v>
      </c>
      <c r="W50" s="334" t="s">
        <v>54</v>
      </c>
      <c r="X50" s="288" t="s">
        <v>56</v>
      </c>
      <c r="Y50" s="491">
        <v>12</v>
      </c>
      <c r="Z50" s="334" t="s">
        <v>0</v>
      </c>
      <c r="AA50" s="334" t="s">
        <v>53</v>
      </c>
      <c r="AB50" s="334" t="s">
        <v>151</v>
      </c>
      <c r="AC50" s="335"/>
      <c r="AD50" s="335">
        <f>S50*V50*Y50</f>
        <v>1680000</v>
      </c>
      <c r="AE50" s="397" t="s">
        <v>55</v>
      </c>
      <c r="AF50" s="505"/>
      <c r="AG50" s="505"/>
      <c r="AH50" s="505"/>
    </row>
    <row r="51" spans="1:34" s="7" customFormat="1" ht="21" customHeight="1">
      <c r="A51" s="26"/>
      <c r="B51" s="27"/>
      <c r="C51" s="27"/>
      <c r="D51" s="86"/>
      <c r="E51" s="64"/>
      <c r="F51" s="64"/>
      <c r="G51" s="64"/>
      <c r="H51" s="64"/>
      <c r="I51" s="64"/>
      <c r="J51" s="64"/>
      <c r="K51" s="64"/>
      <c r="L51" s="64"/>
      <c r="M51" s="64"/>
      <c r="N51" s="43"/>
      <c r="O51" s="333" t="s">
        <v>639</v>
      </c>
      <c r="P51" s="333"/>
      <c r="Q51" s="333"/>
      <c r="R51" s="333"/>
      <c r="S51" s="332">
        <v>9813</v>
      </c>
      <c r="T51" s="334" t="s">
        <v>55</v>
      </c>
      <c r="U51" s="288" t="s">
        <v>56</v>
      </c>
      <c r="V51" s="332">
        <v>0</v>
      </c>
      <c r="W51" s="334" t="s">
        <v>54</v>
      </c>
      <c r="X51" s="288" t="s">
        <v>56</v>
      </c>
      <c r="Y51" s="491">
        <v>12</v>
      </c>
      <c r="Z51" s="334" t="s">
        <v>708</v>
      </c>
      <c r="AA51" s="334" t="s">
        <v>53</v>
      </c>
      <c r="AB51" s="334" t="s">
        <v>638</v>
      </c>
      <c r="AC51" s="335"/>
      <c r="AD51" s="335">
        <f>ROUND(S51*V51*Y51, -3)</f>
        <v>0</v>
      </c>
      <c r="AE51" s="397" t="s">
        <v>635</v>
      </c>
      <c r="AF51" s="505"/>
      <c r="AG51" s="505"/>
      <c r="AH51" s="505"/>
    </row>
    <row r="52" spans="1:34" s="7" customFormat="1" ht="21" customHeight="1">
      <c r="A52" s="26"/>
      <c r="B52" s="27"/>
      <c r="C52" s="27"/>
      <c r="D52" s="86"/>
      <c r="E52" s="64"/>
      <c r="F52" s="64"/>
      <c r="G52" s="64"/>
      <c r="H52" s="64"/>
      <c r="I52" s="64"/>
      <c r="J52" s="64"/>
      <c r="K52" s="64"/>
      <c r="L52" s="64"/>
      <c r="M52" s="64"/>
      <c r="N52" s="43"/>
      <c r="O52" s="333"/>
      <c r="P52" s="333"/>
      <c r="Q52" s="333"/>
      <c r="R52" s="333"/>
      <c r="S52" s="332"/>
      <c r="T52" s="288"/>
      <c r="U52" s="497"/>
      <c r="V52" s="333"/>
      <c r="W52" s="311"/>
      <c r="X52" s="311"/>
      <c r="Y52" s="335"/>
      <c r="Z52" s="334"/>
      <c r="AA52" s="334"/>
      <c r="AB52" s="334"/>
      <c r="AC52" s="332"/>
      <c r="AD52" s="332"/>
      <c r="AE52" s="397"/>
      <c r="AF52" s="505"/>
      <c r="AG52" s="505"/>
      <c r="AH52" s="505"/>
    </row>
    <row r="53" spans="1:34" s="7" customFormat="1" ht="21" customHeight="1">
      <c r="A53" s="26"/>
      <c r="B53" s="27"/>
      <c r="C53" s="18" t="s">
        <v>9</v>
      </c>
      <c r="D53" s="88">
        <v>163191</v>
      </c>
      <c r="E53" s="69">
        <f>ROUND(AD53/1000,0)</f>
        <v>165731</v>
      </c>
      <c r="F53" s="69">
        <f>SUMIF($AB$54:$AB$66,"보조",$AD$54:$AD$66)/1000</f>
        <v>151567</v>
      </c>
      <c r="G53" s="69">
        <f>SUMIF($AB$54:$AB$66,"6종",$AD$54:$AD$66)/1000</f>
        <v>8695</v>
      </c>
      <c r="H53" s="69">
        <f>SUMIF($AB$54:$AB$66,"4종",$AD$54:$AD$66)/1000</f>
        <v>0</v>
      </c>
      <c r="I53" s="69">
        <f>SUMIF($AB$54:$AB$66,"후원",$AD$54:$AD$66)/1000</f>
        <v>0</v>
      </c>
      <c r="J53" s="69">
        <f>SUMIF($AB$54:$AB$66,"입소",$AD$54:$AD$66)/1000</f>
        <v>0</v>
      </c>
      <c r="K53" s="69">
        <f>SUMIF($AB$54:$AB$66,"법인",$AD$54:$AD$66)/1000</f>
        <v>5469</v>
      </c>
      <c r="L53" s="69">
        <f>SUMIF($AB$54:$AB$66,"잡수",$AD$54:$AD$66)/1000</f>
        <v>0</v>
      </c>
      <c r="M53" s="68">
        <f>E53-D53</f>
        <v>2540</v>
      </c>
      <c r="N53" s="73">
        <f>IF(D53=0,0,M53/D53)</f>
        <v>1.5564583831216183E-2</v>
      </c>
      <c r="O53" s="182" t="s">
        <v>35</v>
      </c>
      <c r="P53" s="572"/>
      <c r="Q53" s="183"/>
      <c r="R53" s="183"/>
      <c r="S53" s="183"/>
      <c r="T53" s="437"/>
      <c r="U53" s="437"/>
      <c r="V53" s="184"/>
      <c r="W53" s="441" t="s">
        <v>152</v>
      </c>
      <c r="X53" s="441"/>
      <c r="Y53" s="185"/>
      <c r="Z53" s="441"/>
      <c r="AA53" s="441"/>
      <c r="AB53" s="441"/>
      <c r="AC53" s="185" t="s">
        <v>153</v>
      </c>
      <c r="AD53" s="185">
        <f>SUM(AD54,AD57,AD60,AD63)</f>
        <v>165731000</v>
      </c>
      <c r="AE53" s="477" t="s">
        <v>55</v>
      </c>
      <c r="AF53" s="505"/>
      <c r="AG53" s="505"/>
      <c r="AH53" s="505"/>
    </row>
    <row r="54" spans="1:34" s="7" customFormat="1" ht="21" customHeight="1">
      <c r="A54" s="26"/>
      <c r="B54" s="27"/>
      <c r="C54" s="27"/>
      <c r="D54" s="347"/>
      <c r="E54" s="345"/>
      <c r="F54" s="345"/>
      <c r="G54" s="345"/>
      <c r="H54" s="345"/>
      <c r="I54" s="345"/>
      <c r="J54" s="345"/>
      <c r="K54" s="345"/>
      <c r="L54" s="345"/>
      <c r="M54" s="70"/>
      <c r="N54" s="43"/>
      <c r="O54" s="576" t="s">
        <v>817</v>
      </c>
      <c r="P54" s="333"/>
      <c r="Q54" s="333"/>
      <c r="R54" s="333"/>
      <c r="S54" s="333"/>
      <c r="T54" s="334"/>
      <c r="U54" s="334"/>
      <c r="V54" s="332"/>
      <c r="W54" s="420" t="s">
        <v>152</v>
      </c>
      <c r="X54" s="420"/>
      <c r="Y54" s="231"/>
      <c r="Z54" s="420"/>
      <c r="AA54" s="420"/>
      <c r="AB54" s="420"/>
      <c r="AC54" s="231"/>
      <c r="AD54" s="231">
        <f>SUM(AD55:AD55)</f>
        <v>151567000</v>
      </c>
      <c r="AE54" s="398" t="s">
        <v>55</v>
      </c>
      <c r="AF54" s="505"/>
      <c r="AG54" s="505"/>
      <c r="AH54" s="505"/>
    </row>
    <row r="55" spans="1:34" s="7" customFormat="1" ht="21" customHeight="1">
      <c r="A55" s="26"/>
      <c r="B55" s="27"/>
      <c r="C55" s="27"/>
      <c r="D55" s="348"/>
      <c r="E55" s="346"/>
      <c r="F55" s="346"/>
      <c r="G55" s="346"/>
      <c r="H55" s="346"/>
      <c r="I55" s="346"/>
      <c r="J55" s="346"/>
      <c r="K55" s="346"/>
      <c r="L55" s="346"/>
      <c r="M55" s="70"/>
      <c r="N55" s="43"/>
      <c r="O55" s="333" t="s">
        <v>586</v>
      </c>
      <c r="P55" s="333"/>
      <c r="Q55" s="333"/>
      <c r="R55" s="333"/>
      <c r="S55" s="332">
        <v>1818794650</v>
      </c>
      <c r="T55" s="334" t="s">
        <v>55</v>
      </c>
      <c r="U55" s="334" t="s">
        <v>60</v>
      </c>
      <c r="V55" s="295">
        <v>12</v>
      </c>
      <c r="W55" s="221" t="s">
        <v>0</v>
      </c>
      <c r="X55" s="334"/>
      <c r="Y55" s="335"/>
      <c r="Z55" s="334"/>
      <c r="AA55" s="334" t="s">
        <v>53</v>
      </c>
      <c r="AB55" s="334" t="s">
        <v>70</v>
      </c>
      <c r="AC55" s="335"/>
      <c r="AD55" s="335">
        <f>ROUNDUP(S55/V55,-3)</f>
        <v>151567000</v>
      </c>
      <c r="AE55" s="397" t="s">
        <v>55</v>
      </c>
      <c r="AF55" s="505"/>
      <c r="AG55" s="505"/>
      <c r="AH55" s="505"/>
    </row>
    <row r="56" spans="1:34" s="7" customFormat="1" ht="21" customHeight="1">
      <c r="A56" s="26"/>
      <c r="B56" s="27"/>
      <c r="C56" s="27"/>
      <c r="D56" s="89"/>
      <c r="E56" s="64"/>
      <c r="F56" s="64"/>
      <c r="G56" s="64"/>
      <c r="H56" s="64"/>
      <c r="I56" s="64"/>
      <c r="J56" s="64"/>
      <c r="K56" s="64"/>
      <c r="L56" s="64"/>
      <c r="M56" s="70"/>
      <c r="N56" s="43"/>
      <c r="O56" s="333"/>
      <c r="P56" s="333"/>
      <c r="Q56" s="333"/>
      <c r="R56" s="333"/>
      <c r="S56" s="332"/>
      <c r="T56" s="334"/>
      <c r="U56" s="334"/>
      <c r="V56" s="295"/>
      <c r="W56" s="221"/>
      <c r="X56" s="334"/>
      <c r="Y56" s="335"/>
      <c r="Z56" s="334"/>
      <c r="AA56" s="334"/>
      <c r="AB56" s="334"/>
      <c r="AC56" s="335"/>
      <c r="AD56" s="335"/>
      <c r="AE56" s="397"/>
      <c r="AF56" s="505"/>
      <c r="AG56" s="505"/>
      <c r="AH56" s="505"/>
    </row>
    <row r="57" spans="1:34" s="7" customFormat="1" ht="21" customHeight="1">
      <c r="A57" s="26"/>
      <c r="B57" s="27"/>
      <c r="C57" s="27"/>
      <c r="D57" s="89"/>
      <c r="E57" s="64"/>
      <c r="F57" s="64"/>
      <c r="G57" s="64"/>
      <c r="H57" s="64"/>
      <c r="I57" s="64"/>
      <c r="J57" s="64"/>
      <c r="K57" s="64"/>
      <c r="L57" s="64"/>
      <c r="M57" s="70"/>
      <c r="N57" s="43"/>
      <c r="O57" s="576" t="s">
        <v>779</v>
      </c>
      <c r="P57" s="333"/>
      <c r="Q57" s="333"/>
      <c r="R57" s="333"/>
      <c r="S57" s="333"/>
      <c r="T57" s="334"/>
      <c r="U57" s="334"/>
      <c r="V57" s="332"/>
      <c r="W57" s="420" t="s">
        <v>152</v>
      </c>
      <c r="X57" s="420"/>
      <c r="Y57" s="231"/>
      <c r="Z57" s="420"/>
      <c r="AA57" s="420"/>
      <c r="AB57" s="420"/>
      <c r="AC57" s="231" t="s">
        <v>153</v>
      </c>
      <c r="AD57" s="231">
        <f>ROUND(AD58,-3)</f>
        <v>8695000</v>
      </c>
      <c r="AE57" s="398" t="s">
        <v>55</v>
      </c>
      <c r="AF57" s="505"/>
      <c r="AG57" s="505"/>
      <c r="AH57" s="505"/>
    </row>
    <row r="58" spans="1:34" s="7" customFormat="1" ht="21" customHeight="1">
      <c r="A58" s="26"/>
      <c r="B58" s="27"/>
      <c r="C58" s="27"/>
      <c r="D58" s="89"/>
      <c r="E58" s="64"/>
      <c r="F58" s="64"/>
      <c r="G58" s="64"/>
      <c r="H58" s="64"/>
      <c r="I58" s="64"/>
      <c r="J58" s="64"/>
      <c r="K58" s="64"/>
      <c r="L58" s="64"/>
      <c r="M58" s="70"/>
      <c r="N58" s="43"/>
      <c r="O58" s="333"/>
      <c r="P58" s="333"/>
      <c r="Q58" s="333"/>
      <c r="R58" s="333"/>
      <c r="S58" s="332">
        <v>104330250</v>
      </c>
      <c r="T58" s="334" t="s">
        <v>55</v>
      </c>
      <c r="U58" s="334" t="s">
        <v>60</v>
      </c>
      <c r="V58" s="295">
        <v>12</v>
      </c>
      <c r="W58" s="221" t="s">
        <v>0</v>
      </c>
      <c r="X58" s="334"/>
      <c r="Y58" s="335"/>
      <c r="Z58" s="334"/>
      <c r="AA58" s="334" t="s">
        <v>53</v>
      </c>
      <c r="AB58" s="334" t="s">
        <v>773</v>
      </c>
      <c r="AC58" s="335"/>
      <c r="AD58" s="335">
        <f>ROUNDUP(S58/V58,-3)</f>
        <v>8695000</v>
      </c>
      <c r="AE58" s="397" t="s">
        <v>55</v>
      </c>
      <c r="AF58" s="505"/>
      <c r="AG58" s="505"/>
      <c r="AH58" s="505"/>
    </row>
    <row r="59" spans="1:34" s="7" customFormat="1" ht="21" customHeight="1">
      <c r="A59" s="26"/>
      <c r="B59" s="27"/>
      <c r="C59" s="27"/>
      <c r="D59" s="89"/>
      <c r="E59" s="64"/>
      <c r="F59" s="64"/>
      <c r="G59" s="64"/>
      <c r="H59" s="64"/>
      <c r="I59" s="64"/>
      <c r="J59" s="64"/>
      <c r="K59" s="64"/>
      <c r="L59" s="64"/>
      <c r="M59" s="70"/>
      <c r="N59" s="43"/>
      <c r="O59" s="333"/>
      <c r="P59" s="333"/>
      <c r="Q59" s="333"/>
      <c r="R59" s="333"/>
      <c r="S59" s="332"/>
      <c r="T59" s="334"/>
      <c r="U59" s="334"/>
      <c r="V59" s="295"/>
      <c r="W59" s="221"/>
      <c r="X59" s="334"/>
      <c r="Y59" s="335"/>
      <c r="Z59" s="334"/>
      <c r="AA59" s="334"/>
      <c r="AB59" s="334"/>
      <c r="AC59" s="335"/>
      <c r="AD59" s="335"/>
      <c r="AE59" s="397"/>
      <c r="AF59" s="505"/>
      <c r="AG59" s="505"/>
      <c r="AH59" s="505"/>
    </row>
    <row r="60" spans="1:34" s="7" customFormat="1" ht="21" customHeight="1">
      <c r="A60" s="26"/>
      <c r="B60" s="27"/>
      <c r="C60" s="27"/>
      <c r="D60" s="89"/>
      <c r="E60" s="64"/>
      <c r="F60" s="64"/>
      <c r="G60" s="64"/>
      <c r="H60" s="64"/>
      <c r="I60" s="64"/>
      <c r="J60" s="64"/>
      <c r="K60" s="64"/>
      <c r="L60" s="64"/>
      <c r="M60" s="70"/>
      <c r="N60" s="43"/>
      <c r="O60" s="576" t="s">
        <v>295</v>
      </c>
      <c r="P60" s="333"/>
      <c r="Q60" s="333"/>
      <c r="R60" s="333"/>
      <c r="S60" s="333"/>
      <c r="T60" s="334"/>
      <c r="U60" s="334"/>
      <c r="V60" s="332"/>
      <c r="W60" s="420" t="s">
        <v>152</v>
      </c>
      <c r="X60" s="420"/>
      <c r="Y60" s="231"/>
      <c r="Z60" s="420"/>
      <c r="AA60" s="420"/>
      <c r="AB60" s="420"/>
      <c r="AC60" s="231" t="s">
        <v>153</v>
      </c>
      <c r="AD60" s="231">
        <f>SUM(AD61:AD62)</f>
        <v>0</v>
      </c>
      <c r="AE60" s="398" t="s">
        <v>55</v>
      </c>
      <c r="AF60" s="505"/>
      <c r="AG60" s="505"/>
      <c r="AH60" s="505"/>
    </row>
    <row r="61" spans="1:34" s="7" customFormat="1" ht="21" customHeight="1">
      <c r="A61" s="26"/>
      <c r="B61" s="27"/>
      <c r="C61" s="27"/>
      <c r="D61" s="89"/>
      <c r="E61" s="64"/>
      <c r="F61" s="64"/>
      <c r="G61" s="64"/>
      <c r="H61" s="64"/>
      <c r="I61" s="64"/>
      <c r="J61" s="64"/>
      <c r="K61" s="64"/>
      <c r="L61" s="64"/>
      <c r="M61" s="70"/>
      <c r="N61" s="43"/>
      <c r="O61" s="333"/>
      <c r="P61" s="333"/>
      <c r="Q61" s="333"/>
      <c r="R61" s="333"/>
      <c r="S61" s="332">
        <v>0</v>
      </c>
      <c r="T61" s="334" t="s">
        <v>55</v>
      </c>
      <c r="U61" s="334" t="s">
        <v>60</v>
      </c>
      <c r="V61" s="295">
        <v>12</v>
      </c>
      <c r="W61" s="221" t="s">
        <v>0</v>
      </c>
      <c r="X61" s="334"/>
      <c r="Y61" s="335"/>
      <c r="Z61" s="334"/>
      <c r="AA61" s="334" t="s">
        <v>53</v>
      </c>
      <c r="AB61" s="334" t="s">
        <v>70</v>
      </c>
      <c r="AC61" s="335"/>
      <c r="AD61" s="335">
        <f>ROUNDUP(S61/V61,-3)</f>
        <v>0</v>
      </c>
      <c r="AE61" s="397" t="s">
        <v>55</v>
      </c>
      <c r="AF61" s="505"/>
      <c r="AG61" s="505"/>
      <c r="AH61" s="505"/>
    </row>
    <row r="62" spans="1:34" s="7" customFormat="1" ht="21" customHeight="1">
      <c r="A62" s="26"/>
      <c r="B62" s="27"/>
      <c r="C62" s="27"/>
      <c r="D62" s="89"/>
      <c r="E62" s="64"/>
      <c r="F62" s="64"/>
      <c r="G62" s="64"/>
      <c r="H62" s="64"/>
      <c r="I62" s="64"/>
      <c r="J62" s="64"/>
      <c r="K62" s="64"/>
      <c r="L62" s="64"/>
      <c r="M62" s="70"/>
      <c r="N62" s="43"/>
      <c r="O62" s="333"/>
      <c r="P62" s="333"/>
      <c r="Q62" s="333"/>
      <c r="R62" s="333"/>
      <c r="S62" s="332"/>
      <c r="T62" s="334"/>
      <c r="U62" s="334"/>
      <c r="V62" s="295"/>
      <c r="W62" s="221"/>
      <c r="X62" s="334"/>
      <c r="Y62" s="335"/>
      <c r="Z62" s="334"/>
      <c r="AA62" s="334"/>
      <c r="AB62" s="334"/>
      <c r="AC62" s="335"/>
      <c r="AD62" s="335"/>
      <c r="AE62" s="397"/>
      <c r="AF62" s="505"/>
      <c r="AG62" s="505"/>
      <c r="AH62" s="505"/>
    </row>
    <row r="63" spans="1:34" s="7" customFormat="1" ht="21" customHeight="1">
      <c r="A63" s="26"/>
      <c r="B63" s="27"/>
      <c r="C63" s="27"/>
      <c r="D63" s="89"/>
      <c r="E63" s="64"/>
      <c r="F63" s="64"/>
      <c r="G63" s="64"/>
      <c r="H63" s="64"/>
      <c r="I63" s="64"/>
      <c r="J63" s="64"/>
      <c r="K63" s="64"/>
      <c r="L63" s="64"/>
      <c r="M63" s="70"/>
      <c r="N63" s="43"/>
      <c r="O63" s="576" t="s">
        <v>294</v>
      </c>
      <c r="P63" s="333"/>
      <c r="Q63" s="333"/>
      <c r="R63" s="333"/>
      <c r="S63" s="333"/>
      <c r="T63" s="334"/>
      <c r="U63" s="334"/>
      <c r="V63" s="332"/>
      <c r="W63" s="420" t="s">
        <v>152</v>
      </c>
      <c r="X63" s="420"/>
      <c r="Y63" s="231"/>
      <c r="Z63" s="420"/>
      <c r="AA63" s="420"/>
      <c r="AB63" s="420"/>
      <c r="AC63" s="231" t="s">
        <v>153</v>
      </c>
      <c r="AD63" s="231">
        <f>SUM(AD64:AD66)</f>
        <v>5469000</v>
      </c>
      <c r="AE63" s="398" t="s">
        <v>55</v>
      </c>
      <c r="AF63" s="505"/>
      <c r="AG63" s="505"/>
      <c r="AH63" s="505"/>
    </row>
    <row r="64" spans="1:34" s="7" customFormat="1" ht="21" customHeight="1">
      <c r="A64" s="26"/>
      <c r="B64" s="27"/>
      <c r="C64" s="27"/>
      <c r="D64" s="89"/>
      <c r="E64" s="64"/>
      <c r="F64" s="64"/>
      <c r="G64" s="64"/>
      <c r="H64" s="64"/>
      <c r="I64" s="64"/>
      <c r="J64" s="64"/>
      <c r="K64" s="64"/>
      <c r="L64" s="64"/>
      <c r="M64" s="70"/>
      <c r="N64" s="43"/>
      <c r="O64" s="333" t="s">
        <v>240</v>
      </c>
      <c r="P64" s="333"/>
      <c r="Q64" s="333"/>
      <c r="R64" s="333"/>
      <c r="S64" s="332">
        <v>21652000</v>
      </c>
      <c r="T64" s="334" t="s">
        <v>55</v>
      </c>
      <c r="U64" s="334" t="s">
        <v>60</v>
      </c>
      <c r="V64" s="295">
        <v>12</v>
      </c>
      <c r="W64" s="221" t="s">
        <v>0</v>
      </c>
      <c r="X64" s="334"/>
      <c r="Y64" s="335"/>
      <c r="Z64" s="334"/>
      <c r="AA64" s="334" t="s">
        <v>53</v>
      </c>
      <c r="AB64" s="334" t="s">
        <v>151</v>
      </c>
      <c r="AC64" s="335"/>
      <c r="AD64" s="335">
        <f>ROUND(S64/V64,-3)</f>
        <v>1804000</v>
      </c>
      <c r="AE64" s="385" t="s">
        <v>55</v>
      </c>
      <c r="AF64" s="505"/>
      <c r="AG64" s="505"/>
      <c r="AH64" s="505"/>
    </row>
    <row r="65" spans="1:34" s="7" customFormat="1" ht="21" customHeight="1">
      <c r="A65" s="26"/>
      <c r="B65" s="27"/>
      <c r="C65" s="27"/>
      <c r="D65" s="89"/>
      <c r="E65" s="64"/>
      <c r="F65" s="64"/>
      <c r="G65" s="64"/>
      <c r="H65" s="64"/>
      <c r="I65" s="64"/>
      <c r="J65" s="64"/>
      <c r="K65" s="64"/>
      <c r="L65" s="64"/>
      <c r="M65" s="70"/>
      <c r="N65" s="43"/>
      <c r="O65" s="333" t="s">
        <v>780</v>
      </c>
      <c r="P65" s="333"/>
      <c r="Q65" s="333"/>
      <c r="R65" s="333"/>
      <c r="S65" s="332">
        <v>43977000</v>
      </c>
      <c r="T65" s="334" t="s">
        <v>55</v>
      </c>
      <c r="U65" s="334" t="s">
        <v>60</v>
      </c>
      <c r="V65" s="295">
        <v>12</v>
      </c>
      <c r="W65" s="221" t="s">
        <v>0</v>
      </c>
      <c r="X65" s="334"/>
      <c r="Y65" s="335"/>
      <c r="Z65" s="334"/>
      <c r="AA65" s="334" t="s">
        <v>53</v>
      </c>
      <c r="AB65" s="334" t="s">
        <v>151</v>
      </c>
      <c r="AC65" s="335"/>
      <c r="AD65" s="335">
        <f>ROUNDUP(S65/V65,-3)</f>
        <v>3665000</v>
      </c>
      <c r="AE65" s="385" t="s">
        <v>55</v>
      </c>
      <c r="AF65" s="505"/>
      <c r="AG65" s="505"/>
      <c r="AH65" s="505"/>
    </row>
    <row r="66" spans="1:34" s="7" customFormat="1" ht="21" customHeight="1">
      <c r="A66" s="26"/>
      <c r="B66" s="27"/>
      <c r="C66" s="27"/>
      <c r="D66" s="90"/>
      <c r="E66" s="64"/>
      <c r="F66" s="64"/>
      <c r="G66" s="64"/>
      <c r="H66" s="64"/>
      <c r="I66" s="64"/>
      <c r="J66" s="64"/>
      <c r="K66" s="64"/>
      <c r="L66" s="64"/>
      <c r="M66" s="70"/>
      <c r="N66" s="43"/>
      <c r="O66" s="333"/>
      <c r="P66" s="229"/>
      <c r="Q66" s="229"/>
      <c r="R66" s="229"/>
      <c r="S66" s="229"/>
      <c r="T66" s="438"/>
      <c r="U66" s="438"/>
      <c r="V66" s="363"/>
      <c r="W66" s="438"/>
      <c r="X66" s="438"/>
      <c r="Y66" s="495"/>
      <c r="Z66" s="438"/>
      <c r="AA66" s="438"/>
      <c r="AB66" s="334"/>
      <c r="AC66" s="495"/>
      <c r="AD66" s="335"/>
      <c r="AE66" s="476"/>
      <c r="AF66" s="505"/>
      <c r="AG66" s="505"/>
      <c r="AH66" s="505"/>
    </row>
    <row r="67" spans="1:34" s="7" customFormat="1" ht="21" customHeight="1">
      <c r="A67" s="26"/>
      <c r="B67" s="27"/>
      <c r="C67" s="74" t="s">
        <v>65</v>
      </c>
      <c r="D67" s="88">
        <v>200066</v>
      </c>
      <c r="E67" s="69">
        <f>ROUND(AD67/1000,0)</f>
        <v>202933</v>
      </c>
      <c r="F67" s="69">
        <f>SUMIF($AB$68:$AB$100,"보조",$AD$68:$AD$100)/1000</f>
        <v>187631</v>
      </c>
      <c r="G67" s="69">
        <f>SUMIF($AB$68:$AB$100,"6종",$AD$68:$AD$100)/1000</f>
        <v>10764</v>
      </c>
      <c r="H67" s="69">
        <f>SUMIF($AB$68:$AB$100,"4종",$AD$68:$AD$100)/1000</f>
        <v>0</v>
      </c>
      <c r="I67" s="69">
        <f>SUMIF($AB$68:$AB$100,"후원",$AD$68:$AD$100)/1000</f>
        <v>0</v>
      </c>
      <c r="J67" s="69">
        <f>SUMIF($AB$68:$AB$100,"입소",$AD$68:$AD$100)/1000</f>
        <v>0</v>
      </c>
      <c r="K67" s="69">
        <f>SUMIF($AB$68:$AB$100,"법인",$AD$68:$AD$100)/1000</f>
        <v>4538</v>
      </c>
      <c r="L67" s="69">
        <f>SUMIF($AB$68:$AB$100,"잡수",$AD$68:$AD$100)/1000</f>
        <v>0</v>
      </c>
      <c r="M67" s="75">
        <f>E67-D67</f>
        <v>2867</v>
      </c>
      <c r="N67" s="73">
        <f>IF(D67=0,0,M67/D67)</f>
        <v>1.4330271010566513E-2</v>
      </c>
      <c r="O67" s="182" t="s">
        <v>36</v>
      </c>
      <c r="P67" s="572"/>
      <c r="Q67" s="183"/>
      <c r="R67" s="183"/>
      <c r="S67" s="183"/>
      <c r="T67" s="437"/>
      <c r="U67" s="437"/>
      <c r="V67" s="184"/>
      <c r="W67" s="441" t="s">
        <v>116</v>
      </c>
      <c r="X67" s="441"/>
      <c r="Y67" s="185"/>
      <c r="Z67" s="441"/>
      <c r="AA67" s="441"/>
      <c r="AB67" s="441"/>
      <c r="AC67" s="185"/>
      <c r="AD67" s="185">
        <f>SUM(AD69,AD75,AD81,AD87,AD93,AD99)</f>
        <v>202933000</v>
      </c>
      <c r="AE67" s="477" t="s">
        <v>25</v>
      </c>
      <c r="AF67" s="505"/>
      <c r="AG67" s="505"/>
      <c r="AH67" s="505"/>
    </row>
    <row r="68" spans="1:34" s="7" customFormat="1" ht="21" customHeight="1">
      <c r="A68" s="26"/>
      <c r="B68" s="27"/>
      <c r="C68" s="27" t="s">
        <v>117</v>
      </c>
      <c r="D68" s="347"/>
      <c r="E68" s="345"/>
      <c r="F68" s="345"/>
      <c r="G68" s="345"/>
      <c r="H68" s="345"/>
      <c r="I68" s="345"/>
      <c r="J68" s="345"/>
      <c r="K68" s="345"/>
      <c r="L68" s="345"/>
      <c r="M68" s="70"/>
      <c r="N68" s="43"/>
      <c r="O68" s="229"/>
      <c r="P68" s="229"/>
      <c r="Q68" s="229"/>
      <c r="R68" s="229"/>
      <c r="S68" s="229"/>
      <c r="T68" s="438"/>
      <c r="U68" s="438"/>
      <c r="V68" s="363"/>
      <c r="W68" s="438"/>
      <c r="X68" s="438"/>
      <c r="Y68" s="495"/>
      <c r="Z68" s="438"/>
      <c r="AA68" s="438"/>
      <c r="AB68" s="438"/>
      <c r="AC68" s="495"/>
      <c r="AD68" s="495"/>
      <c r="AE68" s="476"/>
      <c r="AF68" s="505"/>
      <c r="AG68" s="505"/>
      <c r="AH68" s="505"/>
    </row>
    <row r="69" spans="1:34" s="7" customFormat="1" ht="21" customHeight="1">
      <c r="A69" s="26"/>
      <c r="B69" s="27"/>
      <c r="C69" s="27"/>
      <c r="D69" s="348"/>
      <c r="E69" s="346"/>
      <c r="F69" s="346"/>
      <c r="G69" s="346"/>
      <c r="H69" s="346"/>
      <c r="I69" s="346"/>
      <c r="J69" s="346"/>
      <c r="K69" s="346"/>
      <c r="L69" s="346"/>
      <c r="M69" s="70"/>
      <c r="N69" s="43"/>
      <c r="O69" s="576" t="s">
        <v>170</v>
      </c>
      <c r="P69" s="333"/>
      <c r="Q69" s="333"/>
      <c r="R69" s="333"/>
      <c r="S69" s="333"/>
      <c r="T69" s="334"/>
      <c r="U69" s="334"/>
      <c r="V69" s="332"/>
      <c r="W69" s="420" t="s">
        <v>152</v>
      </c>
      <c r="X69" s="420"/>
      <c r="Y69" s="231"/>
      <c r="Z69" s="420"/>
      <c r="AA69" s="420"/>
      <c r="AB69" s="420"/>
      <c r="AC69" s="231"/>
      <c r="AD69" s="231">
        <f>ROUND(SUM(AD70:AD73),-3)</f>
        <v>88520000</v>
      </c>
      <c r="AE69" s="398" t="s">
        <v>55</v>
      </c>
      <c r="AF69" s="505"/>
      <c r="AG69" s="505"/>
      <c r="AH69" s="505"/>
    </row>
    <row r="70" spans="1:34" s="7" customFormat="1" ht="21" customHeight="1">
      <c r="A70" s="26"/>
      <c r="B70" s="27"/>
      <c r="C70" s="27"/>
      <c r="D70" s="86"/>
      <c r="E70" s="64"/>
      <c r="F70" s="64"/>
      <c r="G70" s="64"/>
      <c r="H70" s="64"/>
      <c r="I70" s="64"/>
      <c r="J70" s="64"/>
      <c r="K70" s="64"/>
      <c r="L70" s="64"/>
      <c r="M70" s="64"/>
      <c r="N70" s="43"/>
      <c r="O70" s="333" t="s">
        <v>816</v>
      </c>
      <c r="P70" s="333"/>
      <c r="Q70" s="333"/>
      <c r="R70" s="333"/>
      <c r="S70" s="332">
        <v>1818794650</v>
      </c>
      <c r="T70" s="334" t="s">
        <v>55</v>
      </c>
      <c r="U70" s="221" t="s">
        <v>56</v>
      </c>
      <c r="V70" s="531">
        <v>0.09</v>
      </c>
      <c r="W70" s="334" t="s">
        <v>60</v>
      </c>
      <c r="X70" s="376">
        <v>2</v>
      </c>
      <c r="Y70" s="498"/>
      <c r="Z70" s="457"/>
      <c r="AA70" s="334" t="s">
        <v>53</v>
      </c>
      <c r="AB70" s="334" t="s">
        <v>70</v>
      </c>
      <c r="AC70" s="335"/>
      <c r="AD70" s="335">
        <f>ROUNDUP(S70*V70/X70,-3)</f>
        <v>81846000</v>
      </c>
      <c r="AE70" s="397" t="s">
        <v>55</v>
      </c>
      <c r="AF70" s="505"/>
      <c r="AG70" s="505"/>
      <c r="AH70" s="505"/>
    </row>
    <row r="71" spans="1:34" s="7" customFormat="1" ht="21" customHeight="1">
      <c r="A71" s="26"/>
      <c r="B71" s="27"/>
      <c r="C71" s="27"/>
      <c r="D71" s="86"/>
      <c r="E71" s="64"/>
      <c r="F71" s="64"/>
      <c r="G71" s="64"/>
      <c r="H71" s="64"/>
      <c r="I71" s="64"/>
      <c r="J71" s="64"/>
      <c r="K71" s="64"/>
      <c r="L71" s="64"/>
      <c r="M71" s="64"/>
      <c r="N71" s="43"/>
      <c r="O71" s="333" t="s">
        <v>781</v>
      </c>
      <c r="P71" s="333"/>
      <c r="Q71" s="333"/>
      <c r="R71" s="333"/>
      <c r="S71" s="332">
        <v>104330250</v>
      </c>
      <c r="T71" s="334" t="s">
        <v>55</v>
      </c>
      <c r="U71" s="221" t="s">
        <v>56</v>
      </c>
      <c r="V71" s="531">
        <v>0.09</v>
      </c>
      <c r="W71" s="334" t="s">
        <v>60</v>
      </c>
      <c r="X71" s="376">
        <v>2</v>
      </c>
      <c r="Y71" s="498"/>
      <c r="Z71" s="457"/>
      <c r="AA71" s="334" t="s">
        <v>53</v>
      </c>
      <c r="AB71" s="334" t="s">
        <v>773</v>
      </c>
      <c r="AC71" s="335"/>
      <c r="AD71" s="335">
        <f>ROUNDUP(S71*V71/X71,-3)</f>
        <v>4695000</v>
      </c>
      <c r="AE71" s="397" t="s">
        <v>55</v>
      </c>
      <c r="AF71" s="505"/>
      <c r="AG71" s="505"/>
      <c r="AH71" s="505"/>
    </row>
    <row r="72" spans="1:34" s="7" customFormat="1" ht="21" customHeight="1">
      <c r="A72" s="26"/>
      <c r="B72" s="27"/>
      <c r="C72" s="27"/>
      <c r="D72" s="86"/>
      <c r="E72" s="64"/>
      <c r="F72" s="64"/>
      <c r="G72" s="64"/>
      <c r="H72" s="64"/>
      <c r="I72" s="64"/>
      <c r="J72" s="64"/>
      <c r="K72" s="64"/>
      <c r="L72" s="64"/>
      <c r="M72" s="64"/>
      <c r="N72" s="43"/>
      <c r="O72" s="333" t="s">
        <v>293</v>
      </c>
      <c r="P72" s="333"/>
      <c r="Q72" s="333"/>
      <c r="R72" s="333"/>
      <c r="S72" s="332">
        <v>0</v>
      </c>
      <c r="T72" s="334" t="s">
        <v>55</v>
      </c>
      <c r="U72" s="221" t="s">
        <v>56</v>
      </c>
      <c r="V72" s="531">
        <v>0.09</v>
      </c>
      <c r="W72" s="334" t="s">
        <v>60</v>
      </c>
      <c r="X72" s="376">
        <v>2</v>
      </c>
      <c r="Y72" s="498"/>
      <c r="Z72" s="457"/>
      <c r="AA72" s="334" t="s">
        <v>53</v>
      </c>
      <c r="AB72" s="334" t="s">
        <v>70</v>
      </c>
      <c r="AC72" s="335"/>
      <c r="AD72" s="335">
        <f>ROUNDUP(S72*V72/X72,-3)</f>
        <v>0</v>
      </c>
      <c r="AE72" s="397" t="s">
        <v>55</v>
      </c>
      <c r="AF72" s="505"/>
      <c r="AG72" s="505"/>
      <c r="AH72" s="505"/>
    </row>
    <row r="73" spans="1:34" s="7" customFormat="1" ht="21" customHeight="1">
      <c r="A73" s="26"/>
      <c r="B73" s="27"/>
      <c r="C73" s="27"/>
      <c r="D73" s="86"/>
      <c r="E73" s="64"/>
      <c r="F73" s="64"/>
      <c r="G73" s="64"/>
      <c r="H73" s="64"/>
      <c r="I73" s="64"/>
      <c r="J73" s="64"/>
      <c r="K73" s="64"/>
      <c r="L73" s="64"/>
      <c r="M73" s="64"/>
      <c r="N73" s="43"/>
      <c r="O73" s="333" t="s">
        <v>587</v>
      </c>
      <c r="P73" s="333"/>
      <c r="Q73" s="333"/>
      <c r="R73" s="333"/>
      <c r="S73" s="332">
        <v>43977000</v>
      </c>
      <c r="T73" s="334" t="s">
        <v>55</v>
      </c>
      <c r="U73" s="221" t="s">
        <v>56</v>
      </c>
      <c r="V73" s="531">
        <v>0.09</v>
      </c>
      <c r="W73" s="334" t="s">
        <v>60</v>
      </c>
      <c r="X73" s="376">
        <v>2</v>
      </c>
      <c r="Y73" s="498"/>
      <c r="Z73" s="457"/>
      <c r="AA73" s="334" t="s">
        <v>53</v>
      </c>
      <c r="AB73" s="334" t="s">
        <v>151</v>
      </c>
      <c r="AC73" s="335"/>
      <c r="AD73" s="335">
        <f>ROUND(S73*V73/X73,-3)</f>
        <v>1979000</v>
      </c>
      <c r="AE73" s="397" t="s">
        <v>55</v>
      </c>
      <c r="AF73" s="505"/>
      <c r="AG73" s="505"/>
      <c r="AH73" s="505"/>
    </row>
    <row r="74" spans="1:34" s="7" customFormat="1" ht="21" customHeight="1">
      <c r="A74" s="26"/>
      <c r="B74" s="27"/>
      <c r="C74" s="27"/>
      <c r="D74" s="86"/>
      <c r="E74" s="64"/>
      <c r="F74" s="64"/>
      <c r="G74" s="64"/>
      <c r="H74" s="64"/>
      <c r="I74" s="64"/>
      <c r="J74" s="64"/>
      <c r="K74" s="64"/>
      <c r="L74" s="64"/>
      <c r="M74" s="64"/>
      <c r="N74" s="43"/>
      <c r="O74" s="333"/>
      <c r="P74" s="333"/>
      <c r="Q74" s="333"/>
      <c r="R74" s="333"/>
      <c r="S74" s="333"/>
      <c r="T74" s="334"/>
      <c r="U74" s="334"/>
      <c r="V74" s="332"/>
      <c r="W74" s="334"/>
      <c r="X74" s="334"/>
      <c r="Y74" s="335"/>
      <c r="Z74" s="334"/>
      <c r="AA74" s="334"/>
      <c r="AB74" s="334"/>
      <c r="AC74" s="335"/>
      <c r="AD74" s="335"/>
      <c r="AE74" s="397"/>
      <c r="AF74" s="505"/>
      <c r="AG74" s="505"/>
      <c r="AH74" s="505"/>
    </row>
    <row r="75" spans="1:34" s="7" customFormat="1" ht="21" customHeight="1">
      <c r="A75" s="26"/>
      <c r="B75" s="27"/>
      <c r="C75" s="27"/>
      <c r="D75" s="86"/>
      <c r="E75" s="64"/>
      <c r="F75" s="64"/>
      <c r="G75" s="64"/>
      <c r="H75" s="64"/>
      <c r="I75" s="64"/>
      <c r="J75" s="64"/>
      <c r="K75" s="64"/>
      <c r="L75" s="64"/>
      <c r="M75" s="64"/>
      <c r="N75" s="43"/>
      <c r="O75" s="576" t="s">
        <v>171</v>
      </c>
      <c r="P75" s="333"/>
      <c r="Q75" s="333"/>
      <c r="R75" s="333"/>
      <c r="S75" s="333"/>
      <c r="T75" s="334"/>
      <c r="U75" s="334"/>
      <c r="V75" s="332"/>
      <c r="W75" s="420" t="s">
        <v>152</v>
      </c>
      <c r="X75" s="420"/>
      <c r="Y75" s="231"/>
      <c r="Z75" s="420"/>
      <c r="AA75" s="420"/>
      <c r="AB75" s="420"/>
      <c r="AC75" s="231" t="s">
        <v>153</v>
      </c>
      <c r="AD75" s="231">
        <f>ROUND(SUM(AD76:AD79),-3)</f>
        <v>69735000</v>
      </c>
      <c r="AE75" s="398" t="s">
        <v>55</v>
      </c>
      <c r="AF75" s="505"/>
      <c r="AG75" s="505"/>
      <c r="AH75" s="505"/>
    </row>
    <row r="76" spans="1:34" s="7" customFormat="1" ht="21" customHeight="1">
      <c r="A76" s="26"/>
      <c r="B76" s="27"/>
      <c r="C76" s="27"/>
      <c r="D76" s="86"/>
      <c r="E76" s="64"/>
      <c r="F76" s="64"/>
      <c r="G76" s="64"/>
      <c r="H76" s="64"/>
      <c r="I76" s="64"/>
      <c r="J76" s="64"/>
      <c r="K76" s="64"/>
      <c r="L76" s="64"/>
      <c r="M76" s="64"/>
      <c r="N76" s="43"/>
      <c r="O76" s="333" t="s">
        <v>816</v>
      </c>
      <c r="P76" s="333"/>
      <c r="Q76" s="333"/>
      <c r="R76" s="333"/>
      <c r="S76" s="332">
        <v>1818794650</v>
      </c>
      <c r="T76" s="334" t="s">
        <v>55</v>
      </c>
      <c r="U76" s="221" t="s">
        <v>56</v>
      </c>
      <c r="V76" s="532">
        <v>7.0900000000000005E-2</v>
      </c>
      <c r="W76" s="334" t="s">
        <v>60</v>
      </c>
      <c r="X76" s="376">
        <v>2</v>
      </c>
      <c r="Y76" s="498"/>
      <c r="Z76" s="457"/>
      <c r="AA76" s="334" t="s">
        <v>53</v>
      </c>
      <c r="AB76" s="334" t="s">
        <v>70</v>
      </c>
      <c r="AC76" s="335"/>
      <c r="AD76" s="335">
        <f>ROUNDUP(S76*V76/X76,-3)</f>
        <v>64477000</v>
      </c>
      <c r="AE76" s="397" t="s">
        <v>55</v>
      </c>
      <c r="AF76" s="505"/>
      <c r="AG76" s="505"/>
      <c r="AH76" s="505"/>
    </row>
    <row r="77" spans="1:34" s="7" customFormat="1" ht="21" customHeight="1">
      <c r="A77" s="26"/>
      <c r="B77" s="27"/>
      <c r="C77" s="27"/>
      <c r="D77" s="86"/>
      <c r="E77" s="64"/>
      <c r="F77" s="64"/>
      <c r="G77" s="64"/>
      <c r="H77" s="64"/>
      <c r="I77" s="64"/>
      <c r="J77" s="64"/>
      <c r="K77" s="64"/>
      <c r="L77" s="64"/>
      <c r="M77" s="64"/>
      <c r="N77" s="43"/>
      <c r="O77" s="333" t="s">
        <v>781</v>
      </c>
      <c r="P77" s="333"/>
      <c r="Q77" s="333"/>
      <c r="R77" s="333"/>
      <c r="S77" s="332">
        <v>104330250</v>
      </c>
      <c r="T77" s="334" t="s">
        <v>25</v>
      </c>
      <c r="U77" s="334" t="s">
        <v>26</v>
      </c>
      <c r="V77" s="532">
        <v>7.0900000000000005E-2</v>
      </c>
      <c r="W77" s="334" t="s">
        <v>123</v>
      </c>
      <c r="X77" s="334">
        <v>2</v>
      </c>
      <c r="Y77" s="335"/>
      <c r="Z77" s="334"/>
      <c r="AA77" s="334" t="s">
        <v>27</v>
      </c>
      <c r="AB77" s="334" t="s">
        <v>773</v>
      </c>
      <c r="AC77" s="335"/>
      <c r="AD77" s="335">
        <f>ROUND(S77*V77/X77,-3)</f>
        <v>3699000</v>
      </c>
      <c r="AE77" s="397" t="s">
        <v>55</v>
      </c>
      <c r="AF77" s="505"/>
      <c r="AG77" s="505"/>
      <c r="AH77" s="505"/>
    </row>
    <row r="78" spans="1:34" s="7" customFormat="1" ht="21" customHeight="1">
      <c r="A78" s="26"/>
      <c r="B78" s="27"/>
      <c r="C78" s="27"/>
      <c r="D78" s="86"/>
      <c r="E78" s="64"/>
      <c r="F78" s="64"/>
      <c r="G78" s="64"/>
      <c r="H78" s="64"/>
      <c r="I78" s="64"/>
      <c r="J78" s="64"/>
      <c r="K78" s="64"/>
      <c r="L78" s="64"/>
      <c r="M78" s="64"/>
      <c r="N78" s="43"/>
      <c r="O78" s="333" t="s">
        <v>293</v>
      </c>
      <c r="P78" s="333"/>
      <c r="Q78" s="333"/>
      <c r="R78" s="333"/>
      <c r="S78" s="332">
        <v>0</v>
      </c>
      <c r="T78" s="334" t="s">
        <v>55</v>
      </c>
      <c r="U78" s="221" t="s">
        <v>56</v>
      </c>
      <c r="V78" s="532">
        <v>7.0900000000000005E-2</v>
      </c>
      <c r="W78" s="334" t="s">
        <v>60</v>
      </c>
      <c r="X78" s="376">
        <v>2</v>
      </c>
      <c r="Y78" s="498"/>
      <c r="Z78" s="457"/>
      <c r="AA78" s="334" t="s">
        <v>53</v>
      </c>
      <c r="AB78" s="334" t="s">
        <v>70</v>
      </c>
      <c r="AC78" s="335"/>
      <c r="AD78" s="335">
        <f>ROUNDDOWN(S78*V78/X78,-3)</f>
        <v>0</v>
      </c>
      <c r="AE78" s="397" t="s">
        <v>55</v>
      </c>
      <c r="AF78" s="505"/>
      <c r="AG78" s="505"/>
      <c r="AH78" s="505"/>
    </row>
    <row r="79" spans="1:34" s="7" customFormat="1" ht="21" customHeight="1">
      <c r="A79" s="26"/>
      <c r="B79" s="27"/>
      <c r="C79" s="27"/>
      <c r="D79" s="86"/>
      <c r="E79" s="64"/>
      <c r="F79" s="64"/>
      <c r="G79" s="64"/>
      <c r="H79" s="64"/>
      <c r="I79" s="64"/>
      <c r="J79" s="64"/>
      <c r="K79" s="64"/>
      <c r="L79" s="64"/>
      <c r="M79" s="64"/>
      <c r="N79" s="43"/>
      <c r="O79" s="333" t="s">
        <v>587</v>
      </c>
      <c r="P79" s="333"/>
      <c r="Q79" s="333"/>
      <c r="R79" s="333"/>
      <c r="S79" s="332">
        <v>43977000</v>
      </c>
      <c r="T79" s="334" t="s">
        <v>55</v>
      </c>
      <c r="U79" s="221" t="s">
        <v>56</v>
      </c>
      <c r="V79" s="532">
        <v>7.0900000000000005E-2</v>
      </c>
      <c r="W79" s="334" t="s">
        <v>60</v>
      </c>
      <c r="X79" s="376">
        <v>2</v>
      </c>
      <c r="Y79" s="498"/>
      <c r="Z79" s="457"/>
      <c r="AA79" s="334" t="s">
        <v>53</v>
      </c>
      <c r="AB79" s="334" t="s">
        <v>151</v>
      </c>
      <c r="AC79" s="335"/>
      <c r="AD79" s="335">
        <f>ROUNDUP(S79*V79/X79,-3)</f>
        <v>1559000</v>
      </c>
      <c r="AE79" s="397" t="s">
        <v>55</v>
      </c>
      <c r="AF79" s="505"/>
      <c r="AG79" s="505"/>
      <c r="AH79" s="505"/>
    </row>
    <row r="80" spans="1:34" s="7" customFormat="1" ht="21" customHeight="1">
      <c r="A80" s="26"/>
      <c r="B80" s="27"/>
      <c r="C80" s="27"/>
      <c r="D80" s="86"/>
      <c r="E80" s="64"/>
      <c r="F80" s="64"/>
      <c r="G80" s="64"/>
      <c r="H80" s="64"/>
      <c r="I80" s="64"/>
      <c r="J80" s="64"/>
      <c r="K80" s="64"/>
      <c r="L80" s="64"/>
      <c r="M80" s="64"/>
      <c r="N80" s="43"/>
      <c r="O80" s="333"/>
      <c r="P80" s="333"/>
      <c r="Q80" s="333"/>
      <c r="R80" s="333"/>
      <c r="S80" s="333"/>
      <c r="T80" s="334"/>
      <c r="U80" s="334"/>
      <c r="V80" s="332"/>
      <c r="W80" s="334"/>
      <c r="X80" s="334"/>
      <c r="Y80" s="335"/>
      <c r="Z80" s="334"/>
      <c r="AA80" s="334"/>
      <c r="AB80" s="334"/>
      <c r="AC80" s="335"/>
      <c r="AD80" s="335"/>
      <c r="AE80" s="397"/>
      <c r="AF80" s="505"/>
      <c r="AG80" s="505"/>
      <c r="AH80" s="505"/>
    </row>
    <row r="81" spans="1:34" s="7" customFormat="1" ht="21" customHeight="1">
      <c r="A81" s="26"/>
      <c r="B81" s="27"/>
      <c r="C81" s="27"/>
      <c r="D81" s="86"/>
      <c r="E81" s="64"/>
      <c r="F81" s="64"/>
      <c r="G81" s="64"/>
      <c r="H81" s="64"/>
      <c r="I81" s="64"/>
      <c r="J81" s="64"/>
      <c r="K81" s="64"/>
      <c r="L81" s="64"/>
      <c r="M81" s="64"/>
      <c r="N81" s="43"/>
      <c r="O81" s="576" t="s">
        <v>172</v>
      </c>
      <c r="P81" s="333"/>
      <c r="Q81" s="333"/>
      <c r="R81" s="333"/>
      <c r="S81" s="333"/>
      <c r="T81" s="334"/>
      <c r="U81" s="334"/>
      <c r="V81" s="332"/>
      <c r="W81" s="420" t="s">
        <v>152</v>
      </c>
      <c r="X81" s="420"/>
      <c r="Y81" s="231"/>
      <c r="Z81" s="420"/>
      <c r="AA81" s="420"/>
      <c r="AB81" s="420"/>
      <c r="AC81" s="231" t="s">
        <v>153</v>
      </c>
      <c r="AD81" s="231">
        <f>ROUND(SUM(AD82:AD85),-3)</f>
        <v>8934000</v>
      </c>
      <c r="AE81" s="398" t="s">
        <v>55</v>
      </c>
      <c r="AF81" s="505"/>
      <c r="AG81" s="505"/>
      <c r="AH81" s="505"/>
    </row>
    <row r="82" spans="1:34" s="7" customFormat="1" ht="21" customHeight="1">
      <c r="A82" s="26"/>
      <c r="B82" s="27"/>
      <c r="C82" s="27"/>
      <c r="D82" s="86"/>
      <c r="E82" s="64"/>
      <c r="F82" s="64"/>
      <c r="G82" s="64"/>
      <c r="H82" s="64"/>
      <c r="I82" s="64"/>
      <c r="J82" s="64"/>
      <c r="K82" s="64"/>
      <c r="L82" s="64"/>
      <c r="M82" s="64"/>
      <c r="N82" s="43"/>
      <c r="O82" s="333" t="s">
        <v>816</v>
      </c>
      <c r="P82" s="333"/>
      <c r="Q82" s="333"/>
      <c r="R82" s="333"/>
      <c r="S82" s="181">
        <v>64477000</v>
      </c>
      <c r="T82" s="334" t="s">
        <v>55</v>
      </c>
      <c r="U82" s="221" t="s">
        <v>56</v>
      </c>
      <c r="V82" s="533">
        <v>0.12809999999999999</v>
      </c>
      <c r="W82" s="221"/>
      <c r="X82" s="224"/>
      <c r="Y82" s="498"/>
      <c r="Z82" s="457"/>
      <c r="AA82" s="334" t="s">
        <v>53</v>
      </c>
      <c r="AB82" s="334" t="s">
        <v>70</v>
      </c>
      <c r="AC82" s="335"/>
      <c r="AD82" s="335">
        <f>ROUNDUP(S82*V82,-3)</f>
        <v>8260000</v>
      </c>
      <c r="AE82" s="397" t="s">
        <v>55</v>
      </c>
      <c r="AF82" s="505"/>
      <c r="AG82" s="505"/>
      <c r="AH82" s="505"/>
    </row>
    <row r="83" spans="1:34" s="7" customFormat="1" ht="21" customHeight="1">
      <c r="A83" s="26"/>
      <c r="B83" s="27"/>
      <c r="C83" s="27"/>
      <c r="D83" s="86"/>
      <c r="E83" s="64"/>
      <c r="F83" s="64"/>
      <c r="G83" s="64"/>
      <c r="H83" s="64"/>
      <c r="I83" s="64"/>
      <c r="J83" s="64"/>
      <c r="K83" s="64"/>
      <c r="L83" s="64"/>
      <c r="M83" s="64"/>
      <c r="N83" s="43"/>
      <c r="O83" s="333" t="s">
        <v>781</v>
      </c>
      <c r="P83" s="333"/>
      <c r="Q83" s="333"/>
      <c r="R83" s="333"/>
      <c r="S83" s="181">
        <v>3699000</v>
      </c>
      <c r="T83" s="334" t="s">
        <v>55</v>
      </c>
      <c r="U83" s="221" t="s">
        <v>56</v>
      </c>
      <c r="V83" s="533">
        <v>0.12809999999999999</v>
      </c>
      <c r="W83" s="221"/>
      <c r="X83" s="224"/>
      <c r="Y83" s="498"/>
      <c r="Z83" s="457"/>
      <c r="AA83" s="334" t="s">
        <v>53</v>
      </c>
      <c r="AB83" s="334" t="s">
        <v>773</v>
      </c>
      <c r="AC83" s="335"/>
      <c r="AD83" s="335">
        <f>ROUND(S83*V83,-3)</f>
        <v>474000</v>
      </c>
      <c r="AE83" s="397" t="s">
        <v>55</v>
      </c>
      <c r="AF83" s="505"/>
      <c r="AG83" s="505"/>
      <c r="AH83" s="505"/>
    </row>
    <row r="84" spans="1:34" s="7" customFormat="1" ht="21" customHeight="1">
      <c r="A84" s="26"/>
      <c r="B84" s="27"/>
      <c r="C84" s="27"/>
      <c r="D84" s="86"/>
      <c r="E84" s="64"/>
      <c r="F84" s="64"/>
      <c r="G84" s="64"/>
      <c r="H84" s="64"/>
      <c r="I84" s="64"/>
      <c r="J84" s="64"/>
      <c r="K84" s="64"/>
      <c r="L84" s="64"/>
      <c r="M84" s="64"/>
      <c r="N84" s="43"/>
      <c r="O84" s="333" t="s">
        <v>293</v>
      </c>
      <c r="P84" s="333"/>
      <c r="Q84" s="333"/>
      <c r="R84" s="333"/>
      <c r="S84" s="181">
        <v>0</v>
      </c>
      <c r="T84" s="334" t="s">
        <v>55</v>
      </c>
      <c r="U84" s="221" t="s">
        <v>56</v>
      </c>
      <c r="V84" s="533">
        <v>0.12809999999999999</v>
      </c>
      <c r="W84" s="221"/>
      <c r="X84" s="224"/>
      <c r="Y84" s="498"/>
      <c r="Z84" s="457"/>
      <c r="AA84" s="334" t="s">
        <v>53</v>
      </c>
      <c r="AB84" s="334" t="s">
        <v>70</v>
      </c>
      <c r="AC84" s="335"/>
      <c r="AD84" s="335">
        <f>ROUNDUP(S84*V84,-3)</f>
        <v>0</v>
      </c>
      <c r="AE84" s="397" t="s">
        <v>55</v>
      </c>
      <c r="AF84" s="505"/>
      <c r="AG84" s="505"/>
      <c r="AH84" s="505"/>
    </row>
    <row r="85" spans="1:34" s="7" customFormat="1" ht="21" customHeight="1">
      <c r="A85" s="26"/>
      <c r="B85" s="27"/>
      <c r="C85" s="27"/>
      <c r="D85" s="86"/>
      <c r="E85" s="64"/>
      <c r="F85" s="64"/>
      <c r="G85" s="64"/>
      <c r="H85" s="64"/>
      <c r="I85" s="64"/>
      <c r="J85" s="64"/>
      <c r="K85" s="64"/>
      <c r="L85" s="64"/>
      <c r="M85" s="64"/>
      <c r="N85" s="43"/>
      <c r="O85" s="333" t="s">
        <v>587</v>
      </c>
      <c r="P85" s="333"/>
      <c r="Q85" s="333"/>
      <c r="R85" s="333"/>
      <c r="S85" s="181">
        <v>1559000</v>
      </c>
      <c r="T85" s="334" t="s">
        <v>55</v>
      </c>
      <c r="U85" s="221" t="s">
        <v>56</v>
      </c>
      <c r="V85" s="533">
        <v>0.12809999999999999</v>
      </c>
      <c r="W85" s="221"/>
      <c r="X85" s="224"/>
      <c r="Y85" s="498"/>
      <c r="Z85" s="457"/>
      <c r="AA85" s="334" t="s">
        <v>53</v>
      </c>
      <c r="AB85" s="334" t="s">
        <v>151</v>
      </c>
      <c r="AC85" s="335"/>
      <c r="AD85" s="335">
        <f>ROUNDUP(S85*V85,-3)</f>
        <v>200000</v>
      </c>
      <c r="AE85" s="397" t="s">
        <v>55</v>
      </c>
      <c r="AF85" s="505"/>
      <c r="AG85" s="505"/>
      <c r="AH85" s="505"/>
    </row>
    <row r="86" spans="1:34" s="7" customFormat="1" ht="21" customHeight="1">
      <c r="A86" s="26"/>
      <c r="B86" s="27"/>
      <c r="C86" s="27"/>
      <c r="D86" s="86"/>
      <c r="E86" s="64"/>
      <c r="F86" s="64"/>
      <c r="G86" s="64"/>
      <c r="H86" s="64"/>
      <c r="I86" s="64"/>
      <c r="J86" s="64"/>
      <c r="K86" s="64"/>
      <c r="L86" s="64"/>
      <c r="M86" s="64"/>
      <c r="N86" s="43"/>
      <c r="O86" s="333"/>
      <c r="P86" s="333"/>
      <c r="Q86" s="333"/>
      <c r="R86" s="333"/>
      <c r="S86" s="333"/>
      <c r="T86" s="334"/>
      <c r="U86" s="334"/>
      <c r="V86" s="332"/>
      <c r="W86" s="334"/>
      <c r="X86" s="334"/>
      <c r="Y86" s="335"/>
      <c r="Z86" s="334"/>
      <c r="AA86" s="334"/>
      <c r="AB86" s="334"/>
      <c r="AC86" s="335"/>
      <c r="AD86" s="335"/>
      <c r="AE86" s="397"/>
      <c r="AF86" s="505"/>
      <c r="AG86" s="505"/>
      <c r="AH86" s="505"/>
    </row>
    <row r="87" spans="1:34" s="7" customFormat="1" ht="21" customHeight="1">
      <c r="A87" s="26"/>
      <c r="B87" s="27"/>
      <c r="C87" s="27"/>
      <c r="D87" s="86"/>
      <c r="E87" s="64"/>
      <c r="F87" s="64"/>
      <c r="G87" s="64"/>
      <c r="H87" s="64"/>
      <c r="I87" s="64"/>
      <c r="J87" s="64"/>
      <c r="K87" s="64"/>
      <c r="L87" s="64"/>
      <c r="M87" s="64"/>
      <c r="N87" s="43"/>
      <c r="O87" s="576" t="s">
        <v>173</v>
      </c>
      <c r="P87" s="333"/>
      <c r="Q87" s="333"/>
      <c r="R87" s="333"/>
      <c r="S87" s="333"/>
      <c r="T87" s="334"/>
      <c r="U87" s="334"/>
      <c r="V87" s="332"/>
      <c r="W87" s="420" t="s">
        <v>152</v>
      </c>
      <c r="X87" s="420"/>
      <c r="Y87" s="231"/>
      <c r="Z87" s="420"/>
      <c r="AA87" s="420"/>
      <c r="AB87" s="420"/>
      <c r="AC87" s="231" t="s">
        <v>153</v>
      </c>
      <c r="AD87" s="231">
        <f>ROUND(SUM(AD88:AD92),-3)</f>
        <v>22623000</v>
      </c>
      <c r="AE87" s="398" t="s">
        <v>55</v>
      </c>
      <c r="AF87" s="505"/>
      <c r="AG87" s="505"/>
      <c r="AH87" s="505"/>
    </row>
    <row r="88" spans="1:34" s="7" customFormat="1" ht="21" customHeight="1">
      <c r="A88" s="26"/>
      <c r="B88" s="27"/>
      <c r="C88" s="27"/>
      <c r="D88" s="86"/>
      <c r="E88" s="64"/>
      <c r="F88" s="64"/>
      <c r="G88" s="64"/>
      <c r="H88" s="64"/>
      <c r="I88" s="64"/>
      <c r="J88" s="64"/>
      <c r="K88" s="64"/>
      <c r="L88" s="64"/>
      <c r="M88" s="64"/>
      <c r="N88" s="43"/>
      <c r="O88" s="333" t="s">
        <v>816</v>
      </c>
      <c r="P88" s="333"/>
      <c r="Q88" s="333"/>
      <c r="R88" s="333"/>
      <c r="S88" s="332">
        <v>1818794650</v>
      </c>
      <c r="T88" s="334" t="s">
        <v>55</v>
      </c>
      <c r="U88" s="221" t="s">
        <v>56</v>
      </c>
      <c r="V88" s="533">
        <v>1.15E-2</v>
      </c>
      <c r="W88" s="221"/>
      <c r="X88" s="224"/>
      <c r="Y88" s="498"/>
      <c r="Z88" s="457"/>
      <c r="AA88" s="334" t="s">
        <v>53</v>
      </c>
      <c r="AB88" s="334" t="s">
        <v>70</v>
      </c>
      <c r="AC88" s="335"/>
      <c r="AD88" s="335">
        <f>ROUNDUP(S88*V88,-3)</f>
        <v>20917000</v>
      </c>
      <c r="AE88" s="397" t="s">
        <v>55</v>
      </c>
      <c r="AF88" s="505"/>
      <c r="AG88" s="505"/>
      <c r="AH88" s="505"/>
    </row>
    <row r="89" spans="1:34" s="7" customFormat="1" ht="21" customHeight="1">
      <c r="A89" s="26"/>
      <c r="B89" s="27"/>
      <c r="C89" s="27"/>
      <c r="D89" s="86"/>
      <c r="E89" s="64"/>
      <c r="F89" s="64"/>
      <c r="G89" s="64"/>
      <c r="H89" s="64"/>
      <c r="I89" s="64"/>
      <c r="J89" s="64"/>
      <c r="K89" s="64"/>
      <c r="L89" s="64"/>
      <c r="M89" s="64"/>
      <c r="N89" s="43"/>
      <c r="O89" s="333" t="s">
        <v>781</v>
      </c>
      <c r="P89" s="333"/>
      <c r="Q89" s="333"/>
      <c r="R89" s="333"/>
      <c r="S89" s="332">
        <v>104330250</v>
      </c>
      <c r="T89" s="334" t="s">
        <v>55</v>
      </c>
      <c r="U89" s="221" t="s">
        <v>56</v>
      </c>
      <c r="V89" s="533">
        <v>1.15E-2</v>
      </c>
      <c r="W89" s="221"/>
      <c r="X89" s="224"/>
      <c r="Y89" s="498"/>
      <c r="Z89" s="457"/>
      <c r="AA89" s="334" t="s">
        <v>53</v>
      </c>
      <c r="AB89" s="334" t="s">
        <v>773</v>
      </c>
      <c r="AC89" s="335"/>
      <c r="AD89" s="335">
        <f>ROUNDUP(S89*V89,-3)</f>
        <v>1200000</v>
      </c>
      <c r="AE89" s="397" t="s">
        <v>55</v>
      </c>
      <c r="AF89" s="505"/>
      <c r="AG89" s="505"/>
      <c r="AH89" s="505"/>
    </row>
    <row r="90" spans="1:34" s="7" customFormat="1" ht="21" customHeight="1">
      <c r="A90" s="26"/>
      <c r="B90" s="27"/>
      <c r="C90" s="27"/>
      <c r="D90" s="86"/>
      <c r="E90" s="64"/>
      <c r="F90" s="64"/>
      <c r="G90" s="64"/>
      <c r="H90" s="64"/>
      <c r="I90" s="64"/>
      <c r="J90" s="64"/>
      <c r="K90" s="64"/>
      <c r="L90" s="64"/>
      <c r="M90" s="64"/>
      <c r="N90" s="43"/>
      <c r="O90" s="333" t="s">
        <v>293</v>
      </c>
      <c r="P90" s="333"/>
      <c r="Q90" s="333"/>
      <c r="R90" s="333"/>
      <c r="S90" s="332">
        <v>0</v>
      </c>
      <c r="T90" s="334" t="s">
        <v>55</v>
      </c>
      <c r="U90" s="221" t="s">
        <v>56</v>
      </c>
      <c r="V90" s="533">
        <v>1.15E-2</v>
      </c>
      <c r="W90" s="221"/>
      <c r="X90" s="224"/>
      <c r="Y90" s="498"/>
      <c r="Z90" s="457"/>
      <c r="AA90" s="334" t="s">
        <v>53</v>
      </c>
      <c r="AB90" s="334" t="s">
        <v>70</v>
      </c>
      <c r="AC90" s="335"/>
      <c r="AD90" s="335">
        <f>ROUNDUP(S90*V90,-3)</f>
        <v>0</v>
      </c>
      <c r="AE90" s="397" t="s">
        <v>55</v>
      </c>
      <c r="AF90" s="505"/>
      <c r="AG90" s="505"/>
      <c r="AH90" s="505"/>
    </row>
    <row r="91" spans="1:34" s="7" customFormat="1" ht="21" customHeight="1">
      <c r="A91" s="26"/>
      <c r="B91" s="27"/>
      <c r="C91" s="27"/>
      <c r="D91" s="86"/>
      <c r="E91" s="64"/>
      <c r="F91" s="64"/>
      <c r="G91" s="64"/>
      <c r="H91" s="64"/>
      <c r="I91" s="64"/>
      <c r="J91" s="64"/>
      <c r="K91" s="64"/>
      <c r="L91" s="64"/>
      <c r="M91" s="64"/>
      <c r="N91" s="43"/>
      <c r="O91" s="333" t="s">
        <v>587</v>
      </c>
      <c r="P91" s="333"/>
      <c r="Q91" s="333"/>
      <c r="R91" s="333"/>
      <c r="S91" s="332">
        <v>43977000</v>
      </c>
      <c r="T91" s="334" t="s">
        <v>55</v>
      </c>
      <c r="U91" s="221" t="s">
        <v>56</v>
      </c>
      <c r="V91" s="533">
        <v>1.15E-2</v>
      </c>
      <c r="W91" s="221"/>
      <c r="X91" s="224"/>
      <c r="Y91" s="498"/>
      <c r="Z91" s="457"/>
      <c r="AA91" s="334" t="s">
        <v>53</v>
      </c>
      <c r="AB91" s="334" t="s">
        <v>151</v>
      </c>
      <c r="AC91" s="335"/>
      <c r="AD91" s="335">
        <f>ROUND(S91*V91,-3)</f>
        <v>506000</v>
      </c>
      <c r="AE91" s="397" t="s">
        <v>55</v>
      </c>
      <c r="AF91" s="505"/>
      <c r="AG91" s="505"/>
      <c r="AH91" s="505"/>
    </row>
    <row r="92" spans="1:34" s="7" customFormat="1" ht="21" customHeight="1">
      <c r="A92" s="26"/>
      <c r="B92" s="27"/>
      <c r="C92" s="27"/>
      <c r="D92" s="86"/>
      <c r="E92" s="64"/>
      <c r="F92" s="64"/>
      <c r="G92" s="64"/>
      <c r="H92" s="64"/>
      <c r="I92" s="64"/>
      <c r="J92" s="64"/>
      <c r="K92" s="64"/>
      <c r="L92" s="64"/>
      <c r="M92" s="64"/>
      <c r="N92" s="43"/>
      <c r="O92" s="333"/>
      <c r="P92" s="333"/>
      <c r="Q92" s="333"/>
      <c r="R92" s="333"/>
      <c r="S92" s="333"/>
      <c r="T92" s="334"/>
      <c r="U92" s="334"/>
      <c r="V92" s="332"/>
      <c r="W92" s="334"/>
      <c r="X92" s="334"/>
      <c r="Y92" s="335"/>
      <c r="Z92" s="334"/>
      <c r="AA92" s="334"/>
      <c r="AB92" s="334"/>
      <c r="AC92" s="335"/>
      <c r="AD92" s="335"/>
      <c r="AE92" s="395"/>
      <c r="AF92" s="505"/>
      <c r="AG92" s="505"/>
      <c r="AH92" s="505"/>
    </row>
    <row r="93" spans="1:34" s="7" customFormat="1" ht="21" customHeight="1">
      <c r="A93" s="26"/>
      <c r="B93" s="27"/>
      <c r="C93" s="27"/>
      <c r="D93" s="86"/>
      <c r="E93" s="64"/>
      <c r="F93" s="64"/>
      <c r="G93" s="64"/>
      <c r="H93" s="64"/>
      <c r="I93" s="64"/>
      <c r="J93" s="64"/>
      <c r="K93" s="64"/>
      <c r="L93" s="64"/>
      <c r="M93" s="64"/>
      <c r="N93" s="43"/>
      <c r="O93" s="576" t="s">
        <v>174</v>
      </c>
      <c r="P93" s="333"/>
      <c r="Q93" s="333"/>
      <c r="R93" s="333"/>
      <c r="S93" s="333"/>
      <c r="T93" s="334"/>
      <c r="U93" s="334"/>
      <c r="V93" s="332"/>
      <c r="W93" s="420" t="s">
        <v>152</v>
      </c>
      <c r="X93" s="420"/>
      <c r="Y93" s="231"/>
      <c r="Z93" s="420"/>
      <c r="AA93" s="420"/>
      <c r="AB93" s="420"/>
      <c r="AC93" s="231" t="s">
        <v>153</v>
      </c>
      <c r="AD93" s="231">
        <f>ROUND(SUM(AD94:AD97),-3)</f>
        <v>13121000</v>
      </c>
      <c r="AE93" s="398" t="s">
        <v>55</v>
      </c>
      <c r="AF93" s="505"/>
      <c r="AG93" s="505"/>
      <c r="AH93" s="505"/>
    </row>
    <row r="94" spans="1:34" s="7" customFormat="1" ht="21" customHeight="1">
      <c r="A94" s="26"/>
      <c r="B94" s="27"/>
      <c r="C94" s="27"/>
      <c r="D94" s="86"/>
      <c r="E94" s="64"/>
      <c r="F94" s="64"/>
      <c r="G94" s="64"/>
      <c r="H94" s="64"/>
      <c r="I94" s="64"/>
      <c r="J94" s="64"/>
      <c r="K94" s="64"/>
      <c r="L94" s="64"/>
      <c r="M94" s="64"/>
      <c r="N94" s="43"/>
      <c r="O94" s="333" t="s">
        <v>816</v>
      </c>
      <c r="P94" s="333"/>
      <c r="Q94" s="333"/>
      <c r="R94" s="333"/>
      <c r="S94" s="332">
        <v>1818794650</v>
      </c>
      <c r="T94" s="334" t="s">
        <v>55</v>
      </c>
      <c r="U94" s="221" t="s">
        <v>56</v>
      </c>
      <c r="V94" s="534">
        <v>6.6699999999999997E-3</v>
      </c>
      <c r="W94" s="221"/>
      <c r="X94" s="224"/>
      <c r="Y94" s="498"/>
      <c r="Z94" s="457"/>
      <c r="AA94" s="334" t="s">
        <v>53</v>
      </c>
      <c r="AB94" s="334" t="s">
        <v>70</v>
      </c>
      <c r="AC94" s="335"/>
      <c r="AD94" s="335">
        <f>ROUND(S94*V94,-3)</f>
        <v>12131000</v>
      </c>
      <c r="AE94" s="397" t="s">
        <v>55</v>
      </c>
      <c r="AF94" s="505"/>
      <c r="AG94" s="505"/>
      <c r="AH94" s="505"/>
    </row>
    <row r="95" spans="1:34" s="7" customFormat="1" ht="21" customHeight="1">
      <c r="A95" s="26"/>
      <c r="B95" s="27"/>
      <c r="C95" s="27"/>
      <c r="D95" s="86"/>
      <c r="E95" s="64"/>
      <c r="F95" s="64"/>
      <c r="G95" s="64"/>
      <c r="H95" s="64"/>
      <c r="I95" s="64"/>
      <c r="J95" s="64"/>
      <c r="K95" s="64"/>
      <c r="L95" s="64"/>
      <c r="M95" s="64"/>
      <c r="N95" s="43"/>
      <c r="O95" s="333" t="s">
        <v>781</v>
      </c>
      <c r="P95" s="333"/>
      <c r="Q95" s="333"/>
      <c r="R95" s="333"/>
      <c r="S95" s="332">
        <v>104330250</v>
      </c>
      <c r="T95" s="334" t="s">
        <v>55</v>
      </c>
      <c r="U95" s="221" t="s">
        <v>56</v>
      </c>
      <c r="V95" s="534">
        <v>6.6699999999999997E-3</v>
      </c>
      <c r="W95" s="221"/>
      <c r="X95" s="224"/>
      <c r="Y95" s="498"/>
      <c r="Z95" s="457"/>
      <c r="AA95" s="334" t="s">
        <v>53</v>
      </c>
      <c r="AB95" s="334" t="s">
        <v>773</v>
      </c>
      <c r="AC95" s="335"/>
      <c r="AD95" s="335">
        <f>ROUNDUP(S95*V95,-3)</f>
        <v>696000</v>
      </c>
      <c r="AE95" s="397" t="s">
        <v>55</v>
      </c>
      <c r="AF95" s="505"/>
      <c r="AG95" s="505"/>
      <c r="AH95" s="505"/>
    </row>
    <row r="96" spans="1:34" s="7" customFormat="1" ht="21" customHeight="1">
      <c r="A96" s="26"/>
      <c r="B96" s="27"/>
      <c r="C96" s="27"/>
      <c r="D96" s="86"/>
      <c r="E96" s="64"/>
      <c r="F96" s="64"/>
      <c r="G96" s="64"/>
      <c r="H96" s="64"/>
      <c r="I96" s="64"/>
      <c r="J96" s="64"/>
      <c r="K96" s="64"/>
      <c r="L96" s="64"/>
      <c r="M96" s="64"/>
      <c r="N96" s="43"/>
      <c r="O96" s="333" t="s">
        <v>293</v>
      </c>
      <c r="P96" s="333"/>
      <c r="Q96" s="333"/>
      <c r="R96" s="333"/>
      <c r="S96" s="332">
        <v>0</v>
      </c>
      <c r="T96" s="334" t="s">
        <v>55</v>
      </c>
      <c r="U96" s="221" t="s">
        <v>56</v>
      </c>
      <c r="V96" s="534">
        <v>6.6699999999999997E-3</v>
      </c>
      <c r="W96" s="221"/>
      <c r="X96" s="224"/>
      <c r="Y96" s="498"/>
      <c r="Z96" s="457"/>
      <c r="AA96" s="334" t="s">
        <v>53</v>
      </c>
      <c r="AB96" s="334" t="s">
        <v>70</v>
      </c>
      <c r="AC96" s="335"/>
      <c r="AD96" s="335">
        <f>ROUNDUP(S96*V96,-3)</f>
        <v>0</v>
      </c>
      <c r="AE96" s="397" t="s">
        <v>55</v>
      </c>
      <c r="AF96" s="505"/>
      <c r="AG96" s="505"/>
      <c r="AH96" s="505"/>
    </row>
    <row r="97" spans="1:34" s="7" customFormat="1" ht="21" customHeight="1">
      <c r="A97" s="26"/>
      <c r="B97" s="27"/>
      <c r="C97" s="27"/>
      <c r="D97" s="86"/>
      <c r="E97" s="64"/>
      <c r="F97" s="64"/>
      <c r="G97" s="64"/>
      <c r="H97" s="64"/>
      <c r="I97" s="64"/>
      <c r="J97" s="64"/>
      <c r="K97" s="64"/>
      <c r="L97" s="64"/>
      <c r="M97" s="64"/>
      <c r="N97" s="43"/>
      <c r="O97" s="333" t="s">
        <v>587</v>
      </c>
      <c r="P97" s="333"/>
      <c r="Q97" s="333"/>
      <c r="R97" s="333"/>
      <c r="S97" s="332">
        <v>43977000</v>
      </c>
      <c r="T97" s="334" t="s">
        <v>55</v>
      </c>
      <c r="U97" s="221" t="s">
        <v>56</v>
      </c>
      <c r="V97" s="534">
        <v>6.6699999999999997E-3</v>
      </c>
      <c r="W97" s="221"/>
      <c r="X97" s="224"/>
      <c r="Y97" s="498"/>
      <c r="Z97" s="457"/>
      <c r="AA97" s="334" t="s">
        <v>53</v>
      </c>
      <c r="AB97" s="334" t="s">
        <v>151</v>
      </c>
      <c r="AC97" s="335"/>
      <c r="AD97" s="335">
        <f>ROUNDUP(S97*V97,-3)</f>
        <v>294000</v>
      </c>
      <c r="AE97" s="397" t="s">
        <v>55</v>
      </c>
      <c r="AF97" s="505"/>
      <c r="AG97" s="505"/>
      <c r="AH97" s="505"/>
    </row>
    <row r="98" spans="1:34" s="7" customFormat="1" ht="21" customHeight="1">
      <c r="A98" s="26"/>
      <c r="B98" s="27"/>
      <c r="C98" s="27"/>
      <c r="D98" s="86"/>
      <c r="E98" s="64"/>
      <c r="F98" s="64"/>
      <c r="G98" s="64"/>
      <c r="H98" s="64"/>
      <c r="I98" s="64"/>
      <c r="J98" s="64"/>
      <c r="K98" s="64"/>
      <c r="L98" s="64"/>
      <c r="M98" s="64"/>
      <c r="N98" s="43"/>
      <c r="O98" s="333"/>
      <c r="P98" s="333"/>
      <c r="Q98" s="333"/>
      <c r="R98" s="333"/>
      <c r="S98" s="332"/>
      <c r="T98" s="334"/>
      <c r="U98" s="221"/>
      <c r="V98" s="534"/>
      <c r="W98" s="221"/>
      <c r="X98" s="224"/>
      <c r="Y98" s="498"/>
      <c r="Z98" s="457"/>
      <c r="AA98" s="334"/>
      <c r="AB98" s="334"/>
      <c r="AC98" s="335"/>
      <c r="AD98" s="335"/>
      <c r="AE98" s="397"/>
      <c r="AF98" s="505"/>
      <c r="AG98" s="505"/>
      <c r="AH98" s="505"/>
    </row>
    <row r="99" spans="1:34" s="7" customFormat="1" ht="21" customHeight="1">
      <c r="A99" s="26"/>
      <c r="B99" s="27"/>
      <c r="C99" s="27"/>
      <c r="D99" s="86"/>
      <c r="E99" s="64"/>
      <c r="F99" s="64"/>
      <c r="G99" s="64"/>
      <c r="H99" s="64"/>
      <c r="I99" s="64"/>
      <c r="J99" s="64"/>
      <c r="K99" s="64"/>
      <c r="L99" s="64"/>
      <c r="M99" s="64"/>
      <c r="N99" s="43"/>
      <c r="O99" s="333" t="s">
        <v>640</v>
      </c>
      <c r="P99" s="333"/>
      <c r="Q99" s="333"/>
      <c r="R99" s="333"/>
      <c r="S99" s="332"/>
      <c r="T99" s="334"/>
      <c r="U99" s="221"/>
      <c r="V99" s="534"/>
      <c r="W99" s="221"/>
      <c r="X99" s="224"/>
      <c r="Y99" s="498"/>
      <c r="Z99" s="457"/>
      <c r="AA99" s="334"/>
      <c r="AB99" s="334" t="s">
        <v>151</v>
      </c>
      <c r="AC99" s="335"/>
      <c r="AD99" s="335">
        <v>0</v>
      </c>
      <c r="AE99" s="397" t="s">
        <v>55</v>
      </c>
      <c r="AF99" s="505"/>
      <c r="AG99" s="505"/>
      <c r="AH99" s="505"/>
    </row>
    <row r="100" spans="1:34" s="7" customFormat="1" ht="21" customHeight="1">
      <c r="A100" s="26"/>
      <c r="B100" s="27"/>
      <c r="C100" s="27"/>
      <c r="D100" s="86"/>
      <c r="E100" s="64"/>
      <c r="F100" s="64"/>
      <c r="G100" s="64"/>
      <c r="H100" s="64"/>
      <c r="I100" s="64"/>
      <c r="J100" s="64"/>
      <c r="K100" s="64"/>
      <c r="L100" s="64"/>
      <c r="M100" s="64"/>
      <c r="N100" s="43"/>
      <c r="O100" s="333"/>
      <c r="P100" s="333"/>
      <c r="Q100" s="333"/>
      <c r="R100" s="333"/>
      <c r="S100" s="333"/>
      <c r="T100" s="334"/>
      <c r="U100" s="334"/>
      <c r="V100" s="332"/>
      <c r="W100" s="334"/>
      <c r="X100" s="334"/>
      <c r="Y100" s="335"/>
      <c r="Z100" s="334"/>
      <c r="AA100" s="334"/>
      <c r="AB100" s="334"/>
      <c r="AC100" s="335"/>
      <c r="AD100" s="335"/>
      <c r="AE100" s="397"/>
      <c r="AF100" s="505"/>
      <c r="AG100" s="505"/>
      <c r="AH100" s="505"/>
    </row>
    <row r="101" spans="1:34" s="7" customFormat="1" ht="21" customHeight="1">
      <c r="A101" s="26"/>
      <c r="B101" s="27"/>
      <c r="C101" s="18" t="s">
        <v>66</v>
      </c>
      <c r="D101" s="88">
        <v>7787</v>
      </c>
      <c r="E101" s="69">
        <f>ROUND(AD101/1000,0)</f>
        <v>10787</v>
      </c>
      <c r="F101" s="69">
        <f>SUMIF($AB$102:$AB$107,"보조",$AD$102:$AD$107)/1000</f>
        <v>0</v>
      </c>
      <c r="G101" s="69">
        <f>SUMIF($AB$102:$AB$107,"6종",$AD$102:$AD$107)/1000</f>
        <v>8100</v>
      </c>
      <c r="H101" s="69">
        <f>SUMIF($AB$102:$AB$107,"4종",$AD$102:$AD$107)/1000</f>
        <v>0</v>
      </c>
      <c r="I101" s="69">
        <f>SUMIF($AB$102:$AB$107,"후원",$AD$102:$AD$107)/1000</f>
        <v>2387</v>
      </c>
      <c r="J101" s="69">
        <f>SUMIF($AB$102:$AB$107,"입소",$AD$102:$AD$107)/1000</f>
        <v>0</v>
      </c>
      <c r="K101" s="69">
        <f>SUMIF($AB$102:$AB$107,"법인",$AD$102:$AD$107)/1000</f>
        <v>300</v>
      </c>
      <c r="L101" s="69">
        <f>SUMIF($AB$102:$AB$107,"잡수",$AD$102:$AD$107)/1000</f>
        <v>0</v>
      </c>
      <c r="M101" s="68">
        <f>E101-D101</f>
        <v>3000</v>
      </c>
      <c r="N101" s="73">
        <f>IF(D101=0,0,M101/D101)</f>
        <v>0.3852574804160781</v>
      </c>
      <c r="O101" s="182" t="s">
        <v>67</v>
      </c>
      <c r="P101" s="572"/>
      <c r="Q101" s="183"/>
      <c r="R101" s="183"/>
      <c r="S101" s="183"/>
      <c r="T101" s="437"/>
      <c r="U101" s="437"/>
      <c r="V101" s="184"/>
      <c r="W101" s="441" t="s">
        <v>116</v>
      </c>
      <c r="X101" s="441"/>
      <c r="Y101" s="185"/>
      <c r="Z101" s="441"/>
      <c r="AA101" s="441"/>
      <c r="AB101" s="441"/>
      <c r="AC101" s="185"/>
      <c r="AD101" s="185">
        <f>SUM(AD102:AD107)</f>
        <v>10787000</v>
      </c>
      <c r="AE101" s="477" t="s">
        <v>25</v>
      </c>
      <c r="AF101" s="505"/>
      <c r="AG101" s="505"/>
      <c r="AH101" s="505"/>
    </row>
    <row r="102" spans="1:34" s="7" customFormat="1" ht="21" customHeight="1">
      <c r="A102" s="26"/>
      <c r="B102" s="27"/>
      <c r="C102" s="27"/>
      <c r="D102" s="86"/>
      <c r="E102" s="64"/>
      <c r="F102" s="64"/>
      <c r="G102" s="64"/>
      <c r="H102" s="64"/>
      <c r="I102" s="64"/>
      <c r="J102" s="64"/>
      <c r="K102" s="64"/>
      <c r="L102" s="64"/>
      <c r="M102" s="64"/>
      <c r="N102" s="43"/>
      <c r="O102" s="333" t="s">
        <v>282</v>
      </c>
      <c r="P102" s="333"/>
      <c r="Q102" s="333"/>
      <c r="R102" s="333"/>
      <c r="S102" s="332">
        <v>300000</v>
      </c>
      <c r="T102" s="334" t="s">
        <v>55</v>
      </c>
      <c r="U102" s="221" t="s">
        <v>56</v>
      </c>
      <c r="V102" s="274">
        <v>27</v>
      </c>
      <c r="W102" s="221" t="s">
        <v>54</v>
      </c>
      <c r="X102" s="224"/>
      <c r="Y102" s="498"/>
      <c r="Z102" s="457"/>
      <c r="AA102" s="334" t="s">
        <v>53</v>
      </c>
      <c r="AB102" s="334" t="s">
        <v>773</v>
      </c>
      <c r="AC102" s="335"/>
      <c r="AD102" s="335">
        <f>ROUNDUP(S102*V102,-3)</f>
        <v>8100000</v>
      </c>
      <c r="AE102" s="385" t="s">
        <v>55</v>
      </c>
      <c r="AF102" s="505"/>
      <c r="AG102" s="505"/>
      <c r="AH102" s="505"/>
    </row>
    <row r="103" spans="1:34" s="7" customFormat="1" ht="21" customHeight="1">
      <c r="A103" s="26"/>
      <c r="B103" s="27"/>
      <c r="C103" s="27"/>
      <c r="D103" s="86"/>
      <c r="E103" s="64"/>
      <c r="F103" s="64"/>
      <c r="G103" s="64"/>
      <c r="H103" s="64"/>
      <c r="I103" s="64"/>
      <c r="J103" s="64"/>
      <c r="K103" s="64"/>
      <c r="L103" s="64"/>
      <c r="M103" s="64"/>
      <c r="N103" s="43"/>
      <c r="O103" s="333"/>
      <c r="P103" s="333"/>
      <c r="Q103" s="333"/>
      <c r="R103" s="333"/>
      <c r="S103" s="332">
        <v>300000</v>
      </c>
      <c r="T103" s="334" t="s">
        <v>55</v>
      </c>
      <c r="U103" s="221" t="s">
        <v>56</v>
      </c>
      <c r="V103" s="274">
        <v>1</v>
      </c>
      <c r="W103" s="221" t="s">
        <v>54</v>
      </c>
      <c r="X103" s="224"/>
      <c r="Y103" s="498"/>
      <c r="Z103" s="457"/>
      <c r="AA103" s="334" t="s">
        <v>53</v>
      </c>
      <c r="AB103" s="334" t="s">
        <v>853</v>
      </c>
      <c r="AC103" s="335"/>
      <c r="AD103" s="335">
        <f>ROUNDUP(S103*V103,-3)</f>
        <v>300000</v>
      </c>
      <c r="AE103" s="385" t="s">
        <v>55</v>
      </c>
      <c r="AF103" s="505"/>
      <c r="AG103" s="505"/>
      <c r="AH103" s="505"/>
    </row>
    <row r="104" spans="1:34" s="7" customFormat="1" ht="21" customHeight="1">
      <c r="A104" s="26"/>
      <c r="B104" s="27"/>
      <c r="C104" s="27"/>
      <c r="D104" s="86"/>
      <c r="E104" s="64"/>
      <c r="F104" s="64"/>
      <c r="G104" s="64"/>
      <c r="H104" s="64"/>
      <c r="I104" s="64"/>
      <c r="J104" s="64"/>
      <c r="K104" s="64"/>
      <c r="L104" s="64"/>
      <c r="M104" s="64"/>
      <c r="N104" s="43"/>
      <c r="O104" s="333" t="s">
        <v>283</v>
      </c>
      <c r="P104" s="333"/>
      <c r="Q104" s="333"/>
      <c r="R104" s="333"/>
      <c r="S104" s="332"/>
      <c r="T104" s="334"/>
      <c r="U104" s="221"/>
      <c r="V104" s="274"/>
      <c r="W104" s="221" t="s">
        <v>153</v>
      </c>
      <c r="X104" s="224"/>
      <c r="Y104" s="498"/>
      <c r="Z104" s="457"/>
      <c r="AA104" s="334"/>
      <c r="AB104" s="334" t="s">
        <v>137</v>
      </c>
      <c r="AC104" s="335"/>
      <c r="AD104" s="335">
        <v>800000</v>
      </c>
      <c r="AE104" s="385" t="s">
        <v>55</v>
      </c>
      <c r="AF104" s="505"/>
      <c r="AG104" s="505"/>
      <c r="AH104" s="505"/>
    </row>
    <row r="105" spans="1:34" s="7" customFormat="1" ht="21" customHeight="1">
      <c r="A105" s="26"/>
      <c r="B105" s="27"/>
      <c r="C105" s="27"/>
      <c r="D105" s="86"/>
      <c r="E105" s="64"/>
      <c r="F105" s="64"/>
      <c r="G105" s="64"/>
      <c r="H105" s="64"/>
      <c r="I105" s="64"/>
      <c r="J105" s="64"/>
      <c r="K105" s="64"/>
      <c r="L105" s="64"/>
      <c r="M105" s="64"/>
      <c r="N105" s="43"/>
      <c r="O105" s="333" t="s">
        <v>284</v>
      </c>
      <c r="P105" s="333"/>
      <c r="Q105" s="333"/>
      <c r="R105" s="333"/>
      <c r="S105" s="332">
        <v>40000</v>
      </c>
      <c r="T105" s="334" t="s">
        <v>55</v>
      </c>
      <c r="U105" s="221" t="s">
        <v>56</v>
      </c>
      <c r="V105" s="274">
        <v>45</v>
      </c>
      <c r="W105" s="221" t="s">
        <v>54</v>
      </c>
      <c r="X105" s="224"/>
      <c r="Y105" s="498"/>
      <c r="Z105" s="457"/>
      <c r="AA105" s="334" t="s">
        <v>53</v>
      </c>
      <c r="AB105" s="225" t="s">
        <v>137</v>
      </c>
      <c r="AC105" s="222"/>
      <c r="AD105" s="335">
        <v>1177000</v>
      </c>
      <c r="AE105" s="400" t="s">
        <v>55</v>
      </c>
      <c r="AF105" s="505"/>
      <c r="AG105" s="505"/>
      <c r="AH105" s="505"/>
    </row>
    <row r="106" spans="1:34" s="7" customFormat="1" ht="21" customHeight="1">
      <c r="A106" s="26"/>
      <c r="B106" s="27"/>
      <c r="C106" s="27"/>
      <c r="D106" s="86"/>
      <c r="E106" s="64"/>
      <c r="F106" s="64"/>
      <c r="G106" s="64"/>
      <c r="H106" s="64"/>
      <c r="I106" s="64"/>
      <c r="J106" s="64"/>
      <c r="K106" s="64"/>
      <c r="L106" s="64"/>
      <c r="M106" s="64"/>
      <c r="N106" s="43"/>
      <c r="O106" s="333" t="s">
        <v>231</v>
      </c>
      <c r="P106" s="333"/>
      <c r="Q106" s="332"/>
      <c r="R106" s="332"/>
      <c r="S106" s="332"/>
      <c r="T106" s="334"/>
      <c r="U106" s="334"/>
      <c r="V106" s="332"/>
      <c r="W106" s="334"/>
      <c r="X106" s="334"/>
      <c r="Y106" s="335"/>
      <c r="Z106" s="334"/>
      <c r="AA106" s="334"/>
      <c r="AB106" s="225" t="s">
        <v>137</v>
      </c>
      <c r="AC106" s="335"/>
      <c r="AD106" s="335">
        <v>350000</v>
      </c>
      <c r="AE106" s="385" t="s">
        <v>55</v>
      </c>
      <c r="AF106" s="505"/>
      <c r="AG106" s="505"/>
      <c r="AH106" s="505"/>
    </row>
    <row r="107" spans="1:34" s="7" customFormat="1" ht="21" customHeight="1">
      <c r="A107" s="26"/>
      <c r="B107" s="35"/>
      <c r="C107" s="35"/>
      <c r="D107" s="87"/>
      <c r="E107" s="66"/>
      <c r="F107" s="66"/>
      <c r="G107" s="66"/>
      <c r="H107" s="66"/>
      <c r="I107" s="66"/>
      <c r="J107" s="66"/>
      <c r="K107" s="66"/>
      <c r="L107" s="66"/>
      <c r="M107" s="66"/>
      <c r="N107" s="52"/>
      <c r="O107" s="576" t="s">
        <v>631</v>
      </c>
      <c r="P107" s="576"/>
      <c r="Q107" s="575"/>
      <c r="R107" s="575"/>
      <c r="S107" s="332">
        <v>12000</v>
      </c>
      <c r="T107" s="334" t="s">
        <v>55</v>
      </c>
      <c r="U107" s="221" t="s">
        <v>56</v>
      </c>
      <c r="V107" s="274">
        <v>5</v>
      </c>
      <c r="W107" s="221" t="s">
        <v>54</v>
      </c>
      <c r="X107" s="224"/>
      <c r="Y107" s="498"/>
      <c r="Z107" s="457"/>
      <c r="AA107" s="334" t="s">
        <v>53</v>
      </c>
      <c r="AB107" s="225" t="s">
        <v>137</v>
      </c>
      <c r="AC107" s="222"/>
      <c r="AD107" s="335">
        <f>S107*V107</f>
        <v>60000</v>
      </c>
      <c r="AE107" s="400" t="s">
        <v>55</v>
      </c>
      <c r="AF107" s="505"/>
      <c r="AG107" s="505"/>
      <c r="AH107" s="505"/>
    </row>
    <row r="108" spans="1:34" s="7" customFormat="1" ht="21" customHeight="1">
      <c r="A108" s="26"/>
      <c r="B108" s="18" t="s">
        <v>118</v>
      </c>
      <c r="C108" s="18" t="s">
        <v>5</v>
      </c>
      <c r="D108" s="68">
        <f t="shared" ref="D108:J108" si="3">SUM(D109,D116,D118)</f>
        <v>16586</v>
      </c>
      <c r="E108" s="68">
        <f t="shared" si="3"/>
        <v>20003</v>
      </c>
      <c r="F108" s="68">
        <f t="shared" si="3"/>
        <v>0</v>
      </c>
      <c r="G108" s="68">
        <f t="shared" si="3"/>
        <v>0</v>
      </c>
      <c r="H108" s="68">
        <f t="shared" si="3"/>
        <v>0</v>
      </c>
      <c r="I108" s="68">
        <f t="shared" si="3"/>
        <v>7771</v>
      </c>
      <c r="J108" s="68">
        <f t="shared" si="3"/>
        <v>0</v>
      </c>
      <c r="K108" s="68">
        <f>SUM(K109,K116,K118)</f>
        <v>12232</v>
      </c>
      <c r="L108" s="68">
        <f>SUM(L109,L116,L118)</f>
        <v>0</v>
      </c>
      <c r="M108" s="68">
        <f>E108-D108</f>
        <v>3417</v>
      </c>
      <c r="N108" s="73">
        <f>IF(D108=0,0,M108/D108)</f>
        <v>0.2060171228747136</v>
      </c>
      <c r="O108" s="183" t="s">
        <v>125</v>
      </c>
      <c r="P108" s="183"/>
      <c r="Q108" s="183"/>
      <c r="R108" s="183"/>
      <c r="S108" s="184"/>
      <c r="T108" s="437"/>
      <c r="U108" s="437"/>
      <c r="V108" s="184"/>
      <c r="W108" s="437"/>
      <c r="X108" s="437"/>
      <c r="Y108" s="331"/>
      <c r="Z108" s="437"/>
      <c r="AA108" s="437"/>
      <c r="AB108" s="437"/>
      <c r="AC108" s="331"/>
      <c r="AD108" s="331">
        <f>SUM(AD109,AD116,AD118)</f>
        <v>20003000</v>
      </c>
      <c r="AE108" s="478" t="s">
        <v>25</v>
      </c>
      <c r="AF108" s="505"/>
      <c r="AG108" s="505"/>
      <c r="AH108" s="505"/>
    </row>
    <row r="109" spans="1:34" s="7" customFormat="1" ht="21" customHeight="1">
      <c r="A109" s="26"/>
      <c r="B109" s="27" t="s">
        <v>124</v>
      </c>
      <c r="C109" s="18" t="s">
        <v>10</v>
      </c>
      <c r="D109" s="88">
        <v>15264</v>
      </c>
      <c r="E109" s="68">
        <f>AD109/1000</f>
        <v>18671</v>
      </c>
      <c r="F109" s="69">
        <f>SUMIF($AB$110:$AB$115,"보조",$AD$110:$AD$115)/1000</f>
        <v>0</v>
      </c>
      <c r="G109" s="69">
        <f>SUMIF($AB$110:$AB$115,"6종",$AD$110:$AD$115)/1000</f>
        <v>0</v>
      </c>
      <c r="H109" s="69">
        <f>SUMIF($AB$110:$AB$115,"4종",$AD$110:$AD$115)/1000</f>
        <v>0</v>
      </c>
      <c r="I109" s="69">
        <f>SUMIF($AB$110:$AB$115,"후원",$AD$110:$AD$115)/1000</f>
        <v>7771</v>
      </c>
      <c r="J109" s="69">
        <f>SUMIF($AB$110:$AB$115,"입소",$AD$110:$AD$115)/1000</f>
        <v>0</v>
      </c>
      <c r="K109" s="69">
        <f>SUMIF($AB$110:$AB$115,"법인",$AD$110:$AD$115)/1000</f>
        <v>10900</v>
      </c>
      <c r="L109" s="69">
        <f>SUMIF($AB$110:$AB$115,"잡수",$AD$110:$AD$115)/1000</f>
        <v>0</v>
      </c>
      <c r="M109" s="68">
        <f>E109-D109</f>
        <v>3407</v>
      </c>
      <c r="N109" s="73">
        <f>IF(D109=0,0,M109/D109)</f>
        <v>0.22320492662473795</v>
      </c>
      <c r="O109" s="182" t="s">
        <v>37</v>
      </c>
      <c r="P109" s="499"/>
      <c r="Q109" s="186"/>
      <c r="R109" s="186"/>
      <c r="S109" s="186"/>
      <c r="T109" s="421"/>
      <c r="U109" s="421"/>
      <c r="V109" s="178"/>
      <c r="W109" s="421"/>
      <c r="X109" s="421"/>
      <c r="Y109" s="185" t="s">
        <v>127</v>
      </c>
      <c r="Z109" s="441"/>
      <c r="AA109" s="441"/>
      <c r="AB109" s="441"/>
      <c r="AC109" s="185"/>
      <c r="AD109" s="185">
        <f>SUM(AD110:AD115)</f>
        <v>18671000</v>
      </c>
      <c r="AE109" s="479" t="s">
        <v>25</v>
      </c>
      <c r="AF109" s="505"/>
      <c r="AG109" s="505"/>
      <c r="AH109" s="505"/>
    </row>
    <row r="110" spans="1:34" s="7" customFormat="1" ht="21" customHeight="1">
      <c r="A110" s="26"/>
      <c r="B110" s="27"/>
      <c r="C110" s="27"/>
      <c r="D110" s="86"/>
      <c r="E110" s="64"/>
      <c r="F110" s="297"/>
      <c r="G110" s="297"/>
      <c r="H110" s="297"/>
      <c r="I110" s="297"/>
      <c r="J110" s="297"/>
      <c r="K110" s="297"/>
      <c r="L110" s="297"/>
      <c r="M110" s="64"/>
      <c r="N110" s="43"/>
      <c r="O110" s="172" t="s">
        <v>232</v>
      </c>
      <c r="P110" s="333"/>
      <c r="Q110" s="333"/>
      <c r="R110" s="333"/>
      <c r="S110" s="332"/>
      <c r="T110" s="288"/>
      <c r="U110" s="288"/>
      <c r="V110" s="332"/>
      <c r="W110" s="288"/>
      <c r="X110" s="334"/>
      <c r="Y110" s="335"/>
      <c r="Z110" s="334"/>
      <c r="AA110" s="334"/>
      <c r="AB110" s="334" t="s">
        <v>151</v>
      </c>
      <c r="AC110" s="332"/>
      <c r="AD110" s="332">
        <v>1000000</v>
      </c>
      <c r="AE110" s="385" t="s">
        <v>55</v>
      </c>
      <c r="AF110" s="505"/>
      <c r="AG110" s="505"/>
      <c r="AH110" s="505"/>
    </row>
    <row r="111" spans="1:34" s="7" customFormat="1" ht="21" customHeight="1">
      <c r="A111" s="26"/>
      <c r="B111" s="27"/>
      <c r="C111" s="27"/>
      <c r="D111" s="86"/>
      <c r="E111" s="64"/>
      <c r="F111" s="297"/>
      <c r="G111" s="297"/>
      <c r="H111" s="297"/>
      <c r="I111" s="297"/>
      <c r="J111" s="297"/>
      <c r="K111" s="297"/>
      <c r="L111" s="297"/>
      <c r="M111" s="64"/>
      <c r="N111" s="43"/>
      <c r="O111" s="333" t="s">
        <v>563</v>
      </c>
      <c r="P111" s="333"/>
      <c r="Q111" s="333"/>
      <c r="R111" s="333"/>
      <c r="S111" s="332"/>
      <c r="T111" s="334"/>
      <c r="U111" s="221"/>
      <c r="V111" s="274"/>
      <c r="W111" s="221"/>
      <c r="X111" s="224"/>
      <c r="Y111" s="498"/>
      <c r="Z111" s="457"/>
      <c r="AA111" s="334"/>
      <c r="AB111" s="334" t="s">
        <v>151</v>
      </c>
      <c r="AC111" s="222"/>
      <c r="AD111" s="332">
        <v>1700000</v>
      </c>
      <c r="AE111" s="385" t="s">
        <v>55</v>
      </c>
      <c r="AF111" s="505"/>
      <c r="AG111" s="505"/>
      <c r="AH111" s="505"/>
    </row>
    <row r="112" spans="1:34" s="7" customFormat="1" ht="21" customHeight="1">
      <c r="A112" s="26"/>
      <c r="B112" s="27"/>
      <c r="C112" s="27"/>
      <c r="D112" s="86"/>
      <c r="E112" s="64"/>
      <c r="F112" s="297"/>
      <c r="G112" s="297"/>
      <c r="H112" s="297"/>
      <c r="I112" s="297"/>
      <c r="J112" s="297"/>
      <c r="K112" s="297"/>
      <c r="L112" s="297"/>
      <c r="M112" s="64"/>
      <c r="N112" s="43"/>
      <c r="O112" s="333" t="s">
        <v>564</v>
      </c>
      <c r="P112" s="333"/>
      <c r="Q112" s="333"/>
      <c r="R112" s="333"/>
      <c r="S112" s="332"/>
      <c r="T112" s="334"/>
      <c r="U112" s="221"/>
      <c r="V112" s="274"/>
      <c r="W112" s="221"/>
      <c r="X112" s="224"/>
      <c r="Y112" s="498"/>
      <c r="Z112" s="457"/>
      <c r="AA112" s="334"/>
      <c r="AB112" s="334" t="s">
        <v>151</v>
      </c>
      <c r="AC112" s="222"/>
      <c r="AD112" s="332">
        <v>5000000</v>
      </c>
      <c r="AE112" s="385" t="s">
        <v>55</v>
      </c>
      <c r="AF112" s="505"/>
      <c r="AG112" s="505"/>
      <c r="AH112" s="505"/>
    </row>
    <row r="113" spans="1:34" s="7" customFormat="1" ht="21" customHeight="1">
      <c r="A113" s="26"/>
      <c r="B113" s="27"/>
      <c r="C113" s="27"/>
      <c r="D113" s="86"/>
      <c r="E113" s="64"/>
      <c r="F113" s="297"/>
      <c r="G113" s="297"/>
      <c r="H113" s="297"/>
      <c r="I113" s="297"/>
      <c r="J113" s="297"/>
      <c r="K113" s="297"/>
      <c r="L113" s="297"/>
      <c r="M113" s="64"/>
      <c r="N113" s="43"/>
      <c r="O113" s="333" t="s">
        <v>793</v>
      </c>
      <c r="P113" s="333"/>
      <c r="Q113" s="333"/>
      <c r="R113" s="333"/>
      <c r="S113" s="332">
        <v>20000</v>
      </c>
      <c r="T113" s="334" t="s">
        <v>55</v>
      </c>
      <c r="U113" s="221" t="s">
        <v>56</v>
      </c>
      <c r="V113" s="332">
        <v>45</v>
      </c>
      <c r="W113" s="334" t="s">
        <v>54</v>
      </c>
      <c r="X113" s="221"/>
      <c r="Y113" s="492"/>
      <c r="Z113" s="457"/>
      <c r="AA113" s="334" t="s">
        <v>53</v>
      </c>
      <c r="AB113" s="334" t="s">
        <v>151</v>
      </c>
      <c r="AC113" s="335"/>
      <c r="AD113" s="335">
        <f>S113*V113</f>
        <v>900000</v>
      </c>
      <c r="AE113" s="385" t="s">
        <v>55</v>
      </c>
      <c r="AF113" s="505"/>
      <c r="AG113" s="505"/>
      <c r="AH113" s="505"/>
    </row>
    <row r="114" spans="1:34" s="7" customFormat="1" ht="21" customHeight="1">
      <c r="A114" s="26"/>
      <c r="B114" s="27"/>
      <c r="C114" s="27"/>
      <c r="D114" s="86"/>
      <c r="E114" s="64"/>
      <c r="F114" s="297"/>
      <c r="G114" s="297"/>
      <c r="H114" s="297"/>
      <c r="I114" s="297"/>
      <c r="J114" s="297"/>
      <c r="K114" s="297"/>
      <c r="L114" s="297"/>
      <c r="M114" s="64"/>
      <c r="N114" s="43"/>
      <c r="O114" s="333" t="s">
        <v>590</v>
      </c>
      <c r="P114" s="333"/>
      <c r="Q114" s="333"/>
      <c r="R114" s="333"/>
      <c r="S114" s="332"/>
      <c r="T114" s="334"/>
      <c r="U114" s="221"/>
      <c r="V114" s="332"/>
      <c r="W114" s="334"/>
      <c r="X114" s="221"/>
      <c r="Y114" s="335" t="s">
        <v>589</v>
      </c>
      <c r="Z114" s="334"/>
      <c r="AA114" s="334"/>
      <c r="AB114" s="334" t="s">
        <v>137</v>
      </c>
      <c r="AC114" s="222"/>
      <c r="AD114" s="335">
        <v>7771000</v>
      </c>
      <c r="AE114" s="400" t="s">
        <v>55</v>
      </c>
      <c r="AF114" s="505"/>
      <c r="AG114" s="505"/>
      <c r="AH114" s="505"/>
    </row>
    <row r="115" spans="1:34" s="7" customFormat="1" ht="21" customHeight="1">
      <c r="A115" s="26"/>
      <c r="B115" s="27"/>
      <c r="C115" s="27"/>
      <c r="D115" s="86"/>
      <c r="E115" s="64"/>
      <c r="F115" s="64"/>
      <c r="G115" s="64"/>
      <c r="H115" s="64"/>
      <c r="I115" s="64"/>
      <c r="J115" s="64"/>
      <c r="K115" s="64"/>
      <c r="L115" s="64"/>
      <c r="M115" s="64"/>
      <c r="N115" s="43"/>
      <c r="O115" s="173"/>
      <c r="P115" s="576"/>
      <c r="Q115" s="576"/>
      <c r="R115" s="576"/>
      <c r="S115" s="575"/>
      <c r="T115" s="228"/>
      <c r="U115" s="228"/>
      <c r="V115" s="575"/>
      <c r="W115" s="228"/>
      <c r="X115" s="420"/>
      <c r="Y115" s="231"/>
      <c r="Z115" s="420"/>
      <c r="AA115" s="420"/>
      <c r="AB115" s="420" t="s">
        <v>824</v>
      </c>
      <c r="AC115" s="575"/>
      <c r="AD115" s="597">
        <v>2300000</v>
      </c>
      <c r="AE115" s="405" t="s">
        <v>825</v>
      </c>
      <c r="AF115" s="505"/>
      <c r="AG115" s="505"/>
      <c r="AH115" s="505"/>
    </row>
    <row r="116" spans="1:34" s="7" customFormat="1" ht="21" customHeight="1">
      <c r="A116" s="26"/>
      <c r="B116" s="27"/>
      <c r="C116" s="18" t="s">
        <v>11</v>
      </c>
      <c r="D116" s="88">
        <v>0</v>
      </c>
      <c r="E116" s="68">
        <f>AD116/1000</f>
        <v>0</v>
      </c>
      <c r="F116" s="69">
        <f>SUMIF($AB$117:$AB$117,"보조",$AD$117:$AD$117)/1000</f>
        <v>0</v>
      </c>
      <c r="G116" s="69">
        <f>SUMIF($AB$117:$AB$117,"6종",$AD$117:$AD$117)/1000</f>
        <v>0</v>
      </c>
      <c r="H116" s="69">
        <f>SUMIF($AB$117:$AB$117,"4종",$AD$117:$AD$117)/1000</f>
        <v>0</v>
      </c>
      <c r="I116" s="69">
        <f>SUMIF($AB$117:$AB$117,"후원",$AD$117:$AD$117)/1000</f>
        <v>0</v>
      </c>
      <c r="J116" s="69">
        <f>SUMIF($AB$117:$AB$117,"입소",$AD$117:$AD$117)/1000</f>
        <v>0</v>
      </c>
      <c r="K116" s="69">
        <f>SUMIF($AB$117:$AB$117,"법인",$AD$117:$AD$117)/1000</f>
        <v>0</v>
      </c>
      <c r="L116" s="69">
        <f>SUMIF($AB$117:$AB$117,"잡수",$AD$117:$AD$117)/1000</f>
        <v>0</v>
      </c>
      <c r="M116" s="68">
        <f>E116-D116</f>
        <v>0</v>
      </c>
      <c r="N116" s="73">
        <f>IF(D116=0,0,M116/D116)</f>
        <v>0</v>
      </c>
      <c r="O116" s="366" t="s">
        <v>126</v>
      </c>
      <c r="P116" s="177"/>
      <c r="Q116" s="229"/>
      <c r="R116" s="229"/>
      <c r="S116" s="229"/>
      <c r="T116" s="438"/>
      <c r="U116" s="438"/>
      <c r="V116" s="363"/>
      <c r="W116" s="438"/>
      <c r="X116" s="438"/>
      <c r="Y116" s="365" t="s">
        <v>127</v>
      </c>
      <c r="Z116" s="442"/>
      <c r="AA116" s="442"/>
      <c r="AB116" s="442"/>
      <c r="AC116" s="365"/>
      <c r="AD116" s="365">
        <v>0</v>
      </c>
      <c r="AE116" s="480" t="s">
        <v>25</v>
      </c>
      <c r="AF116" s="505"/>
      <c r="AG116" s="505"/>
      <c r="AH116" s="505"/>
    </row>
    <row r="117" spans="1:34" s="7" customFormat="1" ht="21" customHeight="1">
      <c r="A117" s="26"/>
      <c r="B117" s="27"/>
      <c r="C117" s="35"/>
      <c r="D117" s="87"/>
      <c r="E117" s="66"/>
      <c r="F117" s="66"/>
      <c r="G117" s="66"/>
      <c r="H117" s="66"/>
      <c r="I117" s="66"/>
      <c r="J117" s="66"/>
      <c r="K117" s="66"/>
      <c r="L117" s="66"/>
      <c r="M117" s="66"/>
      <c r="N117" s="52"/>
      <c r="O117" s="576"/>
      <c r="P117" s="576"/>
      <c r="Q117" s="576"/>
      <c r="R117" s="576"/>
      <c r="S117" s="575"/>
      <c r="T117" s="228"/>
      <c r="U117" s="228"/>
      <c r="V117" s="575"/>
      <c r="W117" s="228"/>
      <c r="X117" s="420"/>
      <c r="Y117" s="231"/>
      <c r="Z117" s="420"/>
      <c r="AA117" s="420"/>
      <c r="AB117" s="420"/>
      <c r="AC117" s="575"/>
      <c r="AD117" s="597"/>
      <c r="AE117" s="405"/>
      <c r="AF117" s="505"/>
      <c r="AG117" s="505"/>
      <c r="AH117" s="505"/>
    </row>
    <row r="118" spans="1:34" s="7" customFormat="1" ht="21" customHeight="1">
      <c r="A118" s="26"/>
      <c r="B118" s="27"/>
      <c r="C118" s="27" t="s">
        <v>68</v>
      </c>
      <c r="D118" s="86">
        <v>1322</v>
      </c>
      <c r="E118" s="64">
        <f>AD118/1000</f>
        <v>1332</v>
      </c>
      <c r="F118" s="69">
        <f>SUMIF($AB$119:$AB$120,"보조",$AD$119:$AD$120)/1000</f>
        <v>0</v>
      </c>
      <c r="G118" s="69">
        <f>SUMIF($AB$119:$AB$120,"6종",$AD$119:$AD$120)/1000</f>
        <v>0</v>
      </c>
      <c r="H118" s="69">
        <f>SUMIF($AB$119:$AB$120,"4종",$AD$119:$AD$120)/1000</f>
        <v>0</v>
      </c>
      <c r="I118" s="69">
        <f>SUMIF($AB$119:$AB$120,"후원",$AD$119:$AD$120)/1000</f>
        <v>0</v>
      </c>
      <c r="J118" s="69">
        <f>SUMIF($AB$119:$AB$120,"입소",$AD$119:$AD$120)/1000</f>
        <v>0</v>
      </c>
      <c r="K118" s="69">
        <f>SUMIF($AB$119:$AB$120,"법인",$AD$119:$AD$120)/1000</f>
        <v>1332</v>
      </c>
      <c r="L118" s="69">
        <f>SUMIF($AB$119:$AB$120,"잡수",$AD$119:$AD$120)/1000</f>
        <v>0</v>
      </c>
      <c r="M118" s="64">
        <f>E118-D118</f>
        <v>10</v>
      </c>
      <c r="N118" s="43">
        <f>IF(D118=0,0,M118/D118)</f>
        <v>7.5642965204236008E-3</v>
      </c>
      <c r="O118" s="177" t="s">
        <v>38</v>
      </c>
      <c r="P118" s="229"/>
      <c r="Q118" s="229"/>
      <c r="R118" s="229"/>
      <c r="S118" s="229"/>
      <c r="T118" s="438"/>
      <c r="U118" s="438"/>
      <c r="V118" s="363"/>
      <c r="W118" s="438"/>
      <c r="X118" s="438"/>
      <c r="Y118" s="185" t="s">
        <v>127</v>
      </c>
      <c r="Z118" s="441"/>
      <c r="AA118" s="441"/>
      <c r="AB118" s="441"/>
      <c r="AC118" s="185"/>
      <c r="AD118" s="185">
        <f>SUM(AD119:AD120)</f>
        <v>1332000</v>
      </c>
      <c r="AE118" s="479" t="s">
        <v>25</v>
      </c>
      <c r="AF118" s="505"/>
      <c r="AG118" s="505"/>
      <c r="AH118" s="505"/>
    </row>
    <row r="119" spans="1:34" s="7" customFormat="1" ht="21" customHeight="1">
      <c r="A119" s="26"/>
      <c r="B119" s="27"/>
      <c r="C119" s="27"/>
      <c r="D119" s="86"/>
      <c r="E119" s="64"/>
      <c r="F119" s="64"/>
      <c r="G119" s="64"/>
      <c r="H119" s="64"/>
      <c r="I119" s="64"/>
      <c r="J119" s="64"/>
      <c r="K119" s="64"/>
      <c r="L119" s="64"/>
      <c r="M119" s="64"/>
      <c r="N119" s="43"/>
      <c r="O119" s="333" t="s">
        <v>229</v>
      </c>
      <c r="P119" s="333"/>
      <c r="Q119" s="333"/>
      <c r="R119" s="333"/>
      <c r="S119" s="332"/>
      <c r="T119" s="288"/>
      <c r="U119" s="288"/>
      <c r="V119" s="332"/>
      <c r="W119" s="288"/>
      <c r="X119" s="334"/>
      <c r="Y119" s="335"/>
      <c r="Z119" s="334"/>
      <c r="AA119" s="334"/>
      <c r="AB119" s="334" t="s">
        <v>151</v>
      </c>
      <c r="AC119" s="332"/>
      <c r="AD119" s="332">
        <v>532000</v>
      </c>
      <c r="AE119" s="385" t="s">
        <v>55</v>
      </c>
      <c r="AF119" s="505"/>
      <c r="AG119" s="505"/>
      <c r="AH119" s="505"/>
    </row>
    <row r="120" spans="1:34" s="7" customFormat="1" ht="21" customHeight="1">
      <c r="A120" s="26"/>
      <c r="B120" s="27"/>
      <c r="C120" s="35"/>
      <c r="D120" s="87"/>
      <c r="E120" s="66"/>
      <c r="F120" s="66"/>
      <c r="G120" s="66"/>
      <c r="H120" s="66"/>
      <c r="I120" s="66"/>
      <c r="J120" s="66"/>
      <c r="K120" s="66"/>
      <c r="L120" s="66"/>
      <c r="M120" s="66"/>
      <c r="N120" s="52"/>
      <c r="O120" s="576" t="s">
        <v>764</v>
      </c>
      <c r="P120" s="576"/>
      <c r="Q120" s="576"/>
      <c r="R120" s="576"/>
      <c r="S120" s="575">
        <v>50000</v>
      </c>
      <c r="T120" s="420" t="s">
        <v>55</v>
      </c>
      <c r="U120" s="228" t="s">
        <v>56</v>
      </c>
      <c r="V120" s="575">
        <v>4</v>
      </c>
      <c r="W120" s="420" t="s">
        <v>54</v>
      </c>
      <c r="X120" s="228" t="s">
        <v>56</v>
      </c>
      <c r="Y120" s="493">
        <v>4</v>
      </c>
      <c r="Z120" s="420" t="s">
        <v>61</v>
      </c>
      <c r="AA120" s="420" t="s">
        <v>53</v>
      </c>
      <c r="AB120" s="420" t="s">
        <v>151</v>
      </c>
      <c r="AC120" s="576"/>
      <c r="AD120" s="597">
        <f>S120*V120*Y120</f>
        <v>800000</v>
      </c>
      <c r="AE120" s="405" t="s">
        <v>55</v>
      </c>
      <c r="AF120" s="505"/>
      <c r="AG120" s="505"/>
      <c r="AH120" s="505"/>
    </row>
    <row r="121" spans="1:34" s="7" customFormat="1" ht="21" customHeight="1">
      <c r="A121" s="26"/>
      <c r="B121" s="18" t="s">
        <v>12</v>
      </c>
      <c r="C121" s="95" t="s">
        <v>5</v>
      </c>
      <c r="D121" s="96">
        <f t="shared" ref="D121:L121" si="4">SUM(D122,D125,D148,D156,D168,D174)</f>
        <v>237341</v>
      </c>
      <c r="E121" s="96">
        <f t="shared" si="4"/>
        <v>205996</v>
      </c>
      <c r="F121" s="96">
        <f t="shared" si="4"/>
        <v>63377</v>
      </c>
      <c r="G121" s="96">
        <f t="shared" si="4"/>
        <v>3600</v>
      </c>
      <c r="H121" s="96">
        <f t="shared" si="4"/>
        <v>0</v>
      </c>
      <c r="I121" s="96">
        <f t="shared" si="4"/>
        <v>33685</v>
      </c>
      <c r="J121" s="318">
        <f t="shared" si="4"/>
        <v>0</v>
      </c>
      <c r="K121" s="96">
        <f t="shared" si="4"/>
        <v>40994</v>
      </c>
      <c r="L121" s="96">
        <f t="shared" si="4"/>
        <v>64340</v>
      </c>
      <c r="M121" s="318">
        <f>E121-D121</f>
        <v>-31345</v>
      </c>
      <c r="N121" s="97">
        <f>IF(D121=0,0,M121/D121)</f>
        <v>-0.13206736299248761</v>
      </c>
      <c r="O121" s="572" t="s">
        <v>76</v>
      </c>
      <c r="P121" s="572"/>
      <c r="Q121" s="572"/>
      <c r="R121" s="572"/>
      <c r="S121" s="571"/>
      <c r="T121" s="500"/>
      <c r="U121" s="441"/>
      <c r="V121" s="645"/>
      <c r="W121" s="646"/>
      <c r="X121" s="441"/>
      <c r="Y121" s="185"/>
      <c r="Z121" s="441"/>
      <c r="AA121" s="441"/>
      <c r="AB121" s="441"/>
      <c r="AC121" s="571"/>
      <c r="AD121" s="596">
        <f>SUM(AD122,AD125,AD148,AD156,AD168,AD174)</f>
        <v>205996000</v>
      </c>
      <c r="AE121" s="479" t="s">
        <v>25</v>
      </c>
      <c r="AF121" s="505"/>
      <c r="AG121" s="505"/>
      <c r="AH121" s="505"/>
    </row>
    <row r="122" spans="1:34" s="7" customFormat="1" ht="21" customHeight="1">
      <c r="A122" s="26"/>
      <c r="B122" s="27"/>
      <c r="C122" s="27" t="s">
        <v>69</v>
      </c>
      <c r="D122" s="86">
        <v>1500</v>
      </c>
      <c r="E122" s="64">
        <f>AD122/1000</f>
        <v>1500</v>
      </c>
      <c r="F122" s="69">
        <f>SUMIF($AB$123:$AB$124,"보조",$AD$123:$AD$124)/1000</f>
        <v>0</v>
      </c>
      <c r="G122" s="69">
        <f>SUMIF($AB$123:$AB$124,"6종",$AD$123:$AD$124)/1000</f>
        <v>0</v>
      </c>
      <c r="H122" s="69">
        <f>SUMIF($AB$123:$AB$124,"4종",$AD$123:$AD$124)/1000</f>
        <v>0</v>
      </c>
      <c r="I122" s="69">
        <f>SUMIF($AB$123:$AB$124,"후원",$AD$123:$AD$124)/1000</f>
        <v>0</v>
      </c>
      <c r="J122" s="69">
        <f>SUMIF($AB$123:$AB$124,"입소",$AD$123:$AD$124)/1000</f>
        <v>0</v>
      </c>
      <c r="K122" s="69">
        <f>SUMIF($AB$123:$AB$124,"법인",$AD$123:$AD$124)/1000</f>
        <v>1500</v>
      </c>
      <c r="L122" s="69">
        <f>SUMIF($AB$123:$AB$124,"잡수",$AD$123:$AD$124)/1000</f>
        <v>0</v>
      </c>
      <c r="M122" s="64">
        <f>E122-D122</f>
        <v>0</v>
      </c>
      <c r="N122" s="43">
        <f>IF(D122=0,0,M122/D122)</f>
        <v>0</v>
      </c>
      <c r="O122" s="177" t="s">
        <v>40</v>
      </c>
      <c r="P122" s="229"/>
      <c r="Q122" s="229"/>
      <c r="R122" s="229"/>
      <c r="S122" s="229"/>
      <c r="T122" s="438"/>
      <c r="U122" s="438"/>
      <c r="V122" s="363"/>
      <c r="W122" s="438"/>
      <c r="X122" s="438"/>
      <c r="Y122" s="185" t="s">
        <v>127</v>
      </c>
      <c r="Z122" s="441"/>
      <c r="AA122" s="441"/>
      <c r="AB122" s="441"/>
      <c r="AC122" s="185"/>
      <c r="AD122" s="185">
        <f>SUM(AD123:AD124)</f>
        <v>1500000</v>
      </c>
      <c r="AE122" s="479" t="s">
        <v>25</v>
      </c>
      <c r="AF122" s="505"/>
      <c r="AG122" s="505"/>
      <c r="AH122" s="505"/>
    </row>
    <row r="123" spans="1:34" s="7" customFormat="1" ht="21" customHeight="1">
      <c r="A123" s="26"/>
      <c r="B123" s="27"/>
      <c r="C123" s="27"/>
      <c r="D123" s="86"/>
      <c r="E123" s="64"/>
      <c r="F123" s="64"/>
      <c r="G123" s="64"/>
      <c r="H123" s="64"/>
      <c r="I123" s="64"/>
      <c r="J123" s="64"/>
      <c r="K123" s="64"/>
      <c r="L123" s="64"/>
      <c r="M123" s="64"/>
      <c r="N123" s="43"/>
      <c r="O123" s="333" t="s">
        <v>233</v>
      </c>
      <c r="P123" s="333"/>
      <c r="Q123" s="333"/>
      <c r="R123" s="333"/>
      <c r="S123" s="332"/>
      <c r="T123" s="288"/>
      <c r="U123" s="288"/>
      <c r="V123" s="332"/>
      <c r="W123" s="288"/>
      <c r="X123" s="334"/>
      <c r="Y123" s="335"/>
      <c r="Z123" s="334"/>
      <c r="AA123" s="334"/>
      <c r="AB123" s="334" t="s">
        <v>151</v>
      </c>
      <c r="AC123" s="332"/>
      <c r="AD123" s="332">
        <v>1000000</v>
      </c>
      <c r="AE123" s="385" t="s">
        <v>55</v>
      </c>
      <c r="AF123" s="505"/>
      <c r="AG123" s="505"/>
      <c r="AH123" s="505"/>
    </row>
    <row r="124" spans="1:34" s="7" customFormat="1" ht="21" customHeight="1">
      <c r="A124" s="26"/>
      <c r="B124" s="27"/>
      <c r="C124" s="27"/>
      <c r="D124" s="86"/>
      <c r="E124" s="64"/>
      <c r="F124" s="64"/>
      <c r="G124" s="64"/>
      <c r="H124" s="64"/>
      <c r="I124" s="64"/>
      <c r="J124" s="64"/>
      <c r="K124" s="64"/>
      <c r="L124" s="64"/>
      <c r="M124" s="64"/>
      <c r="N124" s="43"/>
      <c r="O124" s="333" t="s">
        <v>234</v>
      </c>
      <c r="P124" s="333"/>
      <c r="Q124" s="333"/>
      <c r="R124" s="333"/>
      <c r="S124" s="332"/>
      <c r="T124" s="288"/>
      <c r="U124" s="288"/>
      <c r="V124" s="332"/>
      <c r="W124" s="288"/>
      <c r="X124" s="334"/>
      <c r="Y124" s="335"/>
      <c r="Z124" s="334"/>
      <c r="AA124" s="334"/>
      <c r="AB124" s="334" t="s">
        <v>151</v>
      </c>
      <c r="AC124" s="332"/>
      <c r="AD124" s="332">
        <v>500000</v>
      </c>
      <c r="AE124" s="385" t="s">
        <v>55</v>
      </c>
      <c r="AF124" s="505"/>
      <c r="AG124" s="505"/>
      <c r="AH124" s="505"/>
    </row>
    <row r="125" spans="1:34" s="7" customFormat="1" ht="21" customHeight="1">
      <c r="A125" s="26"/>
      <c r="B125" s="27"/>
      <c r="C125" s="18" t="s">
        <v>41</v>
      </c>
      <c r="D125" s="88">
        <v>39271</v>
      </c>
      <c r="E125" s="68">
        <f>ROUND(AD125/1000,0)</f>
        <v>36869</v>
      </c>
      <c r="F125" s="69">
        <f>SUMIF($AB$126:$AB$144,"보조",$AD$126:$AD$144)/1000</f>
        <v>23484</v>
      </c>
      <c r="G125" s="69">
        <f>SUMIF($AB$126:$AB$144,"6종",$AD$126:$AD$144)/1000</f>
        <v>0</v>
      </c>
      <c r="H125" s="69">
        <f>SUMIF($AB$126:$AB$144,"4종",$AD$126:$AD$144)/1000</f>
        <v>0</v>
      </c>
      <c r="I125" s="69">
        <f>SUMIF($AB$126:$AB$144,"후원",$AD$126:$AD$144)/1000</f>
        <v>13385</v>
      </c>
      <c r="J125" s="69">
        <f>SUMIF($AB$126:$AB$144,"입소",$AD$126:$AD$144)/1000</f>
        <v>0</v>
      </c>
      <c r="K125" s="69">
        <f>SUMIF($AB$126:$AB$144,"법인",$AD$126:$AD$144)/1000</f>
        <v>0</v>
      </c>
      <c r="L125" s="69">
        <f>SUMIF($AB$126:$AB$144,"잡수",$AD$126:$AD$144)/1000</f>
        <v>0</v>
      </c>
      <c r="M125" s="75">
        <f>E125-D125</f>
        <v>-2402</v>
      </c>
      <c r="N125" s="73">
        <f>IF(D125=0,0,M125/D125)</f>
        <v>-6.1164727152351606E-2</v>
      </c>
      <c r="O125" s="182" t="s">
        <v>42</v>
      </c>
      <c r="P125" s="183"/>
      <c r="Q125" s="183"/>
      <c r="R125" s="183"/>
      <c r="S125" s="183"/>
      <c r="T125" s="437"/>
      <c r="U125" s="437"/>
      <c r="V125" s="184"/>
      <c r="W125" s="437"/>
      <c r="X125" s="437"/>
      <c r="Y125" s="185" t="s">
        <v>28</v>
      </c>
      <c r="Z125" s="441"/>
      <c r="AA125" s="441"/>
      <c r="AB125" s="441"/>
      <c r="AC125" s="185"/>
      <c r="AD125" s="185">
        <f>SUM(AD126:AD144)</f>
        <v>36869000</v>
      </c>
      <c r="AE125" s="479" t="s">
        <v>25</v>
      </c>
      <c r="AF125" s="505"/>
      <c r="AG125" s="505"/>
      <c r="AH125" s="505"/>
    </row>
    <row r="126" spans="1:34" s="7" customFormat="1" ht="21" customHeight="1">
      <c r="A126" s="26"/>
      <c r="B126" s="27"/>
      <c r="C126" s="27" t="s">
        <v>132</v>
      </c>
      <c r="D126" s="347"/>
      <c r="E126" s="345"/>
      <c r="F126" s="345"/>
      <c r="G126" s="345"/>
      <c r="H126" s="345"/>
      <c r="I126" s="345"/>
      <c r="J126" s="345"/>
      <c r="K126" s="345"/>
      <c r="L126" s="345"/>
      <c r="M126" s="64"/>
      <c r="N126" s="43"/>
      <c r="O126" s="186" t="s">
        <v>783</v>
      </c>
      <c r="P126" s="333"/>
      <c r="Q126" s="333"/>
      <c r="R126" s="333"/>
      <c r="S126" s="332"/>
      <c r="T126" s="288"/>
      <c r="U126" s="334"/>
      <c r="V126" s="187">
        <v>100000</v>
      </c>
      <c r="W126" s="330" t="s">
        <v>55</v>
      </c>
      <c r="X126" s="330" t="s">
        <v>26</v>
      </c>
      <c r="Y126" s="489">
        <v>12</v>
      </c>
      <c r="Z126" s="330" t="s">
        <v>29</v>
      </c>
      <c r="AA126" s="329" t="s">
        <v>27</v>
      </c>
      <c r="AB126" s="421" t="s">
        <v>70</v>
      </c>
      <c r="AC126" s="178"/>
      <c r="AD126" s="332">
        <f t="shared" ref="AD126:AD132" si="5">V126*Y126</f>
        <v>1200000</v>
      </c>
      <c r="AE126" s="407" t="s">
        <v>25</v>
      </c>
      <c r="AF126" s="505"/>
      <c r="AG126" s="505"/>
      <c r="AH126" s="505"/>
    </row>
    <row r="127" spans="1:34" s="7" customFormat="1" ht="21" customHeight="1">
      <c r="A127" s="26"/>
      <c r="B127" s="27"/>
      <c r="C127" s="27"/>
      <c r="D127" s="348"/>
      <c r="E127" s="346"/>
      <c r="F127" s="346"/>
      <c r="G127" s="346"/>
      <c r="H127" s="346"/>
      <c r="I127" s="346"/>
      <c r="J127" s="346"/>
      <c r="K127" s="346"/>
      <c r="L127" s="346"/>
      <c r="M127" s="64"/>
      <c r="N127" s="43"/>
      <c r="O127" s="333" t="s">
        <v>175</v>
      </c>
      <c r="P127" s="333"/>
      <c r="Q127" s="333"/>
      <c r="R127" s="333"/>
      <c r="S127" s="332"/>
      <c r="T127" s="288"/>
      <c r="U127" s="288"/>
      <c r="V127" s="187">
        <v>200000</v>
      </c>
      <c r="W127" s="330" t="s">
        <v>55</v>
      </c>
      <c r="X127" s="330" t="s">
        <v>26</v>
      </c>
      <c r="Y127" s="489">
        <v>5</v>
      </c>
      <c r="Z127" s="330" t="s">
        <v>732</v>
      </c>
      <c r="AA127" s="329" t="s">
        <v>27</v>
      </c>
      <c r="AB127" s="334" t="s">
        <v>70</v>
      </c>
      <c r="AC127" s="332"/>
      <c r="AD127" s="332">
        <f t="shared" si="5"/>
        <v>1000000</v>
      </c>
      <c r="AE127" s="385" t="s">
        <v>55</v>
      </c>
      <c r="AF127" s="505"/>
      <c r="AG127" s="505"/>
      <c r="AH127" s="505"/>
    </row>
    <row r="128" spans="1:34" s="7" customFormat="1" ht="21" customHeight="1">
      <c r="A128" s="26"/>
      <c r="B128" s="27"/>
      <c r="C128" s="27"/>
      <c r="D128" s="86"/>
      <c r="E128" s="64"/>
      <c r="F128" s="64"/>
      <c r="G128" s="64"/>
      <c r="H128" s="64"/>
      <c r="I128" s="64"/>
      <c r="J128" s="64"/>
      <c r="K128" s="64"/>
      <c r="L128" s="64"/>
      <c r="M128" s="64"/>
      <c r="N128" s="43"/>
      <c r="O128" s="333" t="s">
        <v>632</v>
      </c>
      <c r="P128" s="333"/>
      <c r="Q128" s="333"/>
      <c r="R128" s="333"/>
      <c r="S128" s="332"/>
      <c r="T128" s="288"/>
      <c r="U128" s="288"/>
      <c r="V128" s="187">
        <v>370000</v>
      </c>
      <c r="W128" s="330" t="s">
        <v>55</v>
      </c>
      <c r="X128" s="330" t="s">
        <v>26</v>
      </c>
      <c r="Y128" s="489">
        <v>12</v>
      </c>
      <c r="Z128" s="330" t="s">
        <v>29</v>
      </c>
      <c r="AA128" s="329" t="s">
        <v>27</v>
      </c>
      <c r="AB128" s="334" t="s">
        <v>70</v>
      </c>
      <c r="AC128" s="332"/>
      <c r="AD128" s="332">
        <f t="shared" si="5"/>
        <v>4440000</v>
      </c>
      <c r="AE128" s="385" t="s">
        <v>55</v>
      </c>
      <c r="AF128" s="505"/>
      <c r="AG128" s="505"/>
      <c r="AH128" s="505"/>
    </row>
    <row r="129" spans="1:34" s="7" customFormat="1" ht="21" customHeight="1">
      <c r="A129" s="26"/>
      <c r="B129" s="27"/>
      <c r="C129" s="27"/>
      <c r="D129" s="86"/>
      <c r="E129" s="64"/>
      <c r="F129" s="64"/>
      <c r="G129" s="64"/>
      <c r="H129" s="64"/>
      <c r="I129" s="64"/>
      <c r="J129" s="64"/>
      <c r="K129" s="64"/>
      <c r="L129" s="64"/>
      <c r="M129" s="64"/>
      <c r="N129" s="43"/>
      <c r="O129" s="333" t="s">
        <v>217</v>
      </c>
      <c r="P129" s="333"/>
      <c r="Q129" s="333"/>
      <c r="R129" s="333"/>
      <c r="S129" s="332"/>
      <c r="T129" s="288"/>
      <c r="U129" s="288"/>
      <c r="V129" s="187">
        <v>200000</v>
      </c>
      <c r="W129" s="330" t="s">
        <v>55</v>
      </c>
      <c r="X129" s="330" t="s">
        <v>26</v>
      </c>
      <c r="Y129" s="489">
        <v>4</v>
      </c>
      <c r="Z129" s="330" t="s">
        <v>61</v>
      </c>
      <c r="AA129" s="329" t="s">
        <v>27</v>
      </c>
      <c r="AB129" s="334" t="s">
        <v>70</v>
      </c>
      <c r="AC129" s="332"/>
      <c r="AD129" s="332">
        <f t="shared" si="5"/>
        <v>800000</v>
      </c>
      <c r="AE129" s="385" t="s">
        <v>55</v>
      </c>
      <c r="AF129" s="505"/>
      <c r="AG129" s="505"/>
      <c r="AH129" s="505"/>
    </row>
    <row r="130" spans="1:34" s="7" customFormat="1" ht="21" customHeight="1">
      <c r="A130" s="26"/>
      <c r="B130" s="27"/>
      <c r="C130" s="27"/>
      <c r="D130" s="86"/>
      <c r="E130" s="64"/>
      <c r="F130" s="64"/>
      <c r="G130" s="64"/>
      <c r="H130" s="64"/>
      <c r="I130" s="64"/>
      <c r="J130" s="64"/>
      <c r="K130" s="64"/>
      <c r="L130" s="64"/>
      <c r="M130" s="64"/>
      <c r="N130" s="43"/>
      <c r="O130" s="333" t="s">
        <v>207</v>
      </c>
      <c r="P130" s="333"/>
      <c r="Q130" s="333"/>
      <c r="R130" s="333"/>
      <c r="S130" s="332"/>
      <c r="T130" s="288"/>
      <c r="U130" s="288"/>
      <c r="V130" s="187">
        <v>250000</v>
      </c>
      <c r="W130" s="330" t="s">
        <v>55</v>
      </c>
      <c r="X130" s="330" t="s">
        <v>26</v>
      </c>
      <c r="Y130" s="489">
        <v>6</v>
      </c>
      <c r="Z130" s="330" t="s">
        <v>29</v>
      </c>
      <c r="AA130" s="329" t="s">
        <v>27</v>
      </c>
      <c r="AB130" s="334" t="s">
        <v>70</v>
      </c>
      <c r="AC130" s="332"/>
      <c r="AD130" s="332">
        <f t="shared" si="5"/>
        <v>1500000</v>
      </c>
      <c r="AE130" s="385" t="s">
        <v>55</v>
      </c>
      <c r="AF130" s="505"/>
      <c r="AG130" s="505"/>
      <c r="AH130" s="505"/>
    </row>
    <row r="131" spans="1:34" s="7" customFormat="1" ht="21" customHeight="1">
      <c r="A131" s="26"/>
      <c r="B131" s="27"/>
      <c r="C131" s="27"/>
      <c r="D131" s="86"/>
      <c r="E131" s="64"/>
      <c r="F131" s="64"/>
      <c r="G131" s="64"/>
      <c r="H131" s="64"/>
      <c r="I131" s="64"/>
      <c r="J131" s="64"/>
      <c r="K131" s="64"/>
      <c r="L131" s="64"/>
      <c r="M131" s="64"/>
      <c r="N131" s="43"/>
      <c r="O131" s="333" t="s">
        <v>208</v>
      </c>
      <c r="P131" s="333"/>
      <c r="Q131" s="333"/>
      <c r="R131" s="333"/>
      <c r="S131" s="332"/>
      <c r="T131" s="288"/>
      <c r="U131" s="288"/>
      <c r="V131" s="187">
        <v>200000</v>
      </c>
      <c r="W131" s="330" t="s">
        <v>55</v>
      </c>
      <c r="X131" s="330" t="s">
        <v>26</v>
      </c>
      <c r="Y131" s="489">
        <v>12</v>
      </c>
      <c r="Z131" s="330" t="s">
        <v>29</v>
      </c>
      <c r="AA131" s="329" t="s">
        <v>27</v>
      </c>
      <c r="AB131" s="334" t="s">
        <v>70</v>
      </c>
      <c r="AC131" s="332"/>
      <c r="AD131" s="332">
        <f t="shared" si="5"/>
        <v>2400000</v>
      </c>
      <c r="AE131" s="385" t="s">
        <v>55</v>
      </c>
      <c r="AF131" s="505"/>
      <c r="AG131" s="505"/>
      <c r="AH131" s="505"/>
    </row>
    <row r="132" spans="1:34" s="7" customFormat="1" ht="21" customHeight="1">
      <c r="A132" s="26"/>
      <c r="B132" s="27"/>
      <c r="C132" s="27"/>
      <c r="D132" s="86"/>
      <c r="E132" s="64"/>
      <c r="F132" s="64"/>
      <c r="G132" s="64"/>
      <c r="H132" s="64"/>
      <c r="I132" s="64"/>
      <c r="J132" s="64"/>
      <c r="K132" s="64"/>
      <c r="L132" s="64"/>
      <c r="M132" s="64"/>
      <c r="N132" s="43"/>
      <c r="O132" s="333" t="s">
        <v>782</v>
      </c>
      <c r="P132" s="333"/>
      <c r="Q132" s="333"/>
      <c r="R132" s="333"/>
      <c r="S132" s="332"/>
      <c r="T132" s="288"/>
      <c r="U132" s="288"/>
      <c r="V132" s="187">
        <v>200000</v>
      </c>
      <c r="W132" s="330" t="s">
        <v>55</v>
      </c>
      <c r="X132" s="330" t="s">
        <v>26</v>
      </c>
      <c r="Y132" s="489">
        <v>12</v>
      </c>
      <c r="Z132" s="330" t="s">
        <v>29</v>
      </c>
      <c r="AA132" s="329" t="s">
        <v>27</v>
      </c>
      <c r="AB132" s="334" t="s">
        <v>70</v>
      </c>
      <c r="AC132" s="332"/>
      <c r="AD132" s="332">
        <f t="shared" si="5"/>
        <v>2400000</v>
      </c>
      <c r="AE132" s="385" t="s">
        <v>55</v>
      </c>
      <c r="AF132" s="505"/>
      <c r="AG132" s="505"/>
      <c r="AH132" s="505"/>
    </row>
    <row r="133" spans="1:34" s="7" customFormat="1" ht="21" customHeight="1">
      <c r="A133" s="26"/>
      <c r="B133" s="27"/>
      <c r="C133" s="27"/>
      <c r="D133" s="86"/>
      <c r="E133" s="64"/>
      <c r="F133" s="64"/>
      <c r="G133" s="64"/>
      <c r="H133" s="64"/>
      <c r="I133" s="64"/>
      <c r="J133" s="64"/>
      <c r="K133" s="64"/>
      <c r="L133" s="64"/>
      <c r="M133" s="64"/>
      <c r="N133" s="43"/>
      <c r="O133" s="333"/>
      <c r="P133" s="333"/>
      <c r="Q133" s="333"/>
      <c r="R133" s="333"/>
      <c r="S133" s="332"/>
      <c r="T133" s="288"/>
      <c r="U133" s="288"/>
      <c r="V133" s="187">
        <v>150000</v>
      </c>
      <c r="W133" s="330" t="s">
        <v>55</v>
      </c>
      <c r="X133" s="330" t="s">
        <v>26</v>
      </c>
      <c r="Y133" s="489">
        <v>12</v>
      </c>
      <c r="Z133" s="330" t="s">
        <v>29</v>
      </c>
      <c r="AA133" s="329" t="s">
        <v>27</v>
      </c>
      <c r="AB133" s="334" t="s">
        <v>137</v>
      </c>
      <c r="AC133" s="332"/>
      <c r="AD133" s="332">
        <f t="shared" ref="AD133" si="6">V133*Y133</f>
        <v>1800000</v>
      </c>
      <c r="AE133" s="385" t="s">
        <v>55</v>
      </c>
      <c r="AF133" s="505"/>
      <c r="AG133" s="505"/>
      <c r="AH133" s="505"/>
    </row>
    <row r="134" spans="1:34" s="7" customFormat="1" ht="21" customHeight="1">
      <c r="A134" s="26"/>
      <c r="B134" s="27"/>
      <c r="C134" s="27"/>
      <c r="D134" s="86"/>
      <c r="E134" s="64"/>
      <c r="F134" s="64"/>
      <c r="G134" s="64"/>
      <c r="H134" s="64"/>
      <c r="I134" s="64"/>
      <c r="J134" s="64"/>
      <c r="K134" s="64"/>
      <c r="L134" s="64"/>
      <c r="M134" s="64"/>
      <c r="N134" s="43"/>
      <c r="O134" s="333" t="s">
        <v>829</v>
      </c>
      <c r="P134" s="333"/>
      <c r="Q134" s="333"/>
      <c r="R134" s="333"/>
      <c r="S134" s="332"/>
      <c r="T134" s="288"/>
      <c r="U134" s="288"/>
      <c r="V134" s="187"/>
      <c r="W134" s="330" t="s">
        <v>55</v>
      </c>
      <c r="X134" s="330" t="s">
        <v>26</v>
      </c>
      <c r="Y134" s="489"/>
      <c r="Z134" s="330" t="s">
        <v>29</v>
      </c>
      <c r="AA134" s="329" t="s">
        <v>27</v>
      </c>
      <c r="AB134" s="334" t="s">
        <v>70</v>
      </c>
      <c r="AC134" s="332"/>
      <c r="AD134" s="332">
        <v>2400000</v>
      </c>
      <c r="AE134" s="385" t="s">
        <v>55</v>
      </c>
      <c r="AF134" s="505"/>
      <c r="AG134" s="505"/>
      <c r="AH134" s="505"/>
    </row>
    <row r="135" spans="1:34" s="7" customFormat="1" ht="21" customHeight="1">
      <c r="A135" s="26"/>
      <c r="B135" s="27"/>
      <c r="C135" s="27"/>
      <c r="D135" s="86"/>
      <c r="E135" s="64"/>
      <c r="F135" s="64"/>
      <c r="G135" s="64"/>
      <c r="H135" s="64"/>
      <c r="I135" s="64"/>
      <c r="J135" s="64"/>
      <c r="K135" s="64"/>
      <c r="L135" s="64"/>
      <c r="M135" s="64"/>
      <c r="N135" s="43"/>
      <c r="O135" s="333" t="s">
        <v>243</v>
      </c>
      <c r="P135" s="333"/>
      <c r="Q135" s="333"/>
      <c r="R135" s="333"/>
      <c r="S135" s="332"/>
      <c r="T135" s="288"/>
      <c r="U135" s="334"/>
      <c r="V135" s="332"/>
      <c r="W135" s="288"/>
      <c r="X135" s="334"/>
      <c r="Y135" s="335"/>
      <c r="Z135" s="334"/>
      <c r="AA135" s="334"/>
      <c r="AB135" s="334" t="s">
        <v>70</v>
      </c>
      <c r="AC135" s="332"/>
      <c r="AD135" s="332">
        <v>0</v>
      </c>
      <c r="AE135" s="385" t="s">
        <v>25</v>
      </c>
      <c r="AF135" s="505"/>
      <c r="AG135" s="505"/>
      <c r="AH135" s="505"/>
    </row>
    <row r="136" spans="1:34" s="7" customFormat="1" ht="21" customHeight="1">
      <c r="A136" s="26"/>
      <c r="B136" s="27"/>
      <c r="C136" s="27"/>
      <c r="D136" s="86"/>
      <c r="E136" s="64"/>
      <c r="F136" s="64"/>
      <c r="G136" s="64"/>
      <c r="H136" s="64"/>
      <c r="I136" s="64"/>
      <c r="J136" s="64"/>
      <c r="K136" s="64"/>
      <c r="L136" s="64"/>
      <c r="M136" s="64"/>
      <c r="N136" s="43"/>
      <c r="O136" s="333"/>
      <c r="P136" s="333"/>
      <c r="Q136" s="333"/>
      <c r="R136" s="333"/>
      <c r="S136" s="332"/>
      <c r="T136" s="288"/>
      <c r="U136" s="334"/>
      <c r="V136" s="332"/>
      <c r="W136" s="288"/>
      <c r="X136" s="334"/>
      <c r="Y136" s="335"/>
      <c r="Z136" s="334"/>
      <c r="AA136" s="334"/>
      <c r="AB136" s="334" t="s">
        <v>137</v>
      </c>
      <c r="AC136" s="332"/>
      <c r="AD136" s="332">
        <v>1780000</v>
      </c>
      <c r="AE136" s="385" t="s">
        <v>25</v>
      </c>
      <c r="AF136" s="505"/>
      <c r="AG136" s="505"/>
      <c r="AH136" s="505"/>
    </row>
    <row r="137" spans="1:34" s="7" customFormat="1" ht="21" customHeight="1">
      <c r="A137" s="26"/>
      <c r="B137" s="27"/>
      <c r="C137" s="27"/>
      <c r="D137" s="86"/>
      <c r="E137" s="64"/>
      <c r="F137" s="64"/>
      <c r="G137" s="64"/>
      <c r="H137" s="64"/>
      <c r="I137" s="64"/>
      <c r="J137" s="64"/>
      <c r="K137" s="64"/>
      <c r="L137" s="64"/>
      <c r="M137" s="64"/>
      <c r="N137" s="43"/>
      <c r="O137" s="333" t="s">
        <v>244</v>
      </c>
      <c r="P137" s="333"/>
      <c r="Q137" s="333"/>
      <c r="R137" s="333"/>
      <c r="S137" s="332"/>
      <c r="T137" s="288"/>
      <c r="U137" s="288"/>
      <c r="V137" s="332"/>
      <c r="W137" s="288"/>
      <c r="X137" s="334"/>
      <c r="Y137" s="335"/>
      <c r="Z137" s="334"/>
      <c r="AA137" s="334"/>
      <c r="AB137" s="334" t="s">
        <v>70</v>
      </c>
      <c r="AC137" s="332"/>
      <c r="AD137" s="332">
        <v>300000</v>
      </c>
      <c r="AE137" s="385" t="s">
        <v>25</v>
      </c>
      <c r="AF137" s="505"/>
      <c r="AG137" s="505"/>
      <c r="AH137" s="505"/>
    </row>
    <row r="138" spans="1:34" s="7" customFormat="1" ht="21" customHeight="1">
      <c r="A138" s="26"/>
      <c r="B138" s="27"/>
      <c r="C138" s="27"/>
      <c r="D138" s="86"/>
      <c r="E138" s="64"/>
      <c r="F138" s="64"/>
      <c r="G138" s="64"/>
      <c r="H138" s="64"/>
      <c r="I138" s="64"/>
      <c r="J138" s="64"/>
      <c r="K138" s="64"/>
      <c r="L138" s="64"/>
      <c r="M138" s="64"/>
      <c r="N138" s="43"/>
      <c r="O138" s="333"/>
      <c r="P138" s="333"/>
      <c r="Q138" s="333"/>
      <c r="R138" s="333"/>
      <c r="S138" s="332"/>
      <c r="T138" s="288"/>
      <c r="U138" s="288"/>
      <c r="V138" s="332"/>
      <c r="W138" s="288"/>
      <c r="X138" s="334"/>
      <c r="Y138" s="335"/>
      <c r="Z138" s="334"/>
      <c r="AA138" s="334"/>
      <c r="AB138" s="334" t="s">
        <v>137</v>
      </c>
      <c r="AC138" s="332"/>
      <c r="AD138" s="332">
        <v>500000</v>
      </c>
      <c r="AE138" s="385" t="s">
        <v>55</v>
      </c>
      <c r="AF138" s="505"/>
      <c r="AG138" s="505"/>
      <c r="AH138" s="505"/>
    </row>
    <row r="139" spans="1:34" s="7" customFormat="1" ht="21" customHeight="1">
      <c r="A139" s="26"/>
      <c r="B139" s="27"/>
      <c r="C139" s="27"/>
      <c r="D139" s="86"/>
      <c r="E139" s="64"/>
      <c r="F139" s="64"/>
      <c r="G139" s="64"/>
      <c r="H139" s="64"/>
      <c r="I139" s="64"/>
      <c r="J139" s="64"/>
      <c r="K139" s="64"/>
      <c r="L139" s="64"/>
      <c r="M139" s="64"/>
      <c r="N139" s="43"/>
      <c r="O139" s="333" t="s">
        <v>763</v>
      </c>
      <c r="P139" s="333"/>
      <c r="Q139" s="333"/>
      <c r="R139" s="333"/>
      <c r="S139" s="332"/>
      <c r="T139" s="288"/>
      <c r="U139" s="288"/>
      <c r="V139" s="187">
        <v>300000</v>
      </c>
      <c r="W139" s="330" t="s">
        <v>55</v>
      </c>
      <c r="X139" s="330" t="s">
        <v>26</v>
      </c>
      <c r="Y139" s="489">
        <v>12</v>
      </c>
      <c r="Z139" s="330" t="s">
        <v>29</v>
      </c>
      <c r="AA139" s="329" t="s">
        <v>27</v>
      </c>
      <c r="AB139" s="334" t="s">
        <v>70</v>
      </c>
      <c r="AC139" s="332"/>
      <c r="AD139" s="332">
        <f t="shared" ref="AD139" si="7">V139*Y139</f>
        <v>3600000</v>
      </c>
      <c r="AE139" s="385" t="s">
        <v>55</v>
      </c>
      <c r="AF139" s="505"/>
      <c r="AG139" s="505"/>
      <c r="AH139" s="505"/>
    </row>
    <row r="140" spans="1:34" s="7" customFormat="1" ht="21" customHeight="1">
      <c r="A140" s="26"/>
      <c r="B140" s="27"/>
      <c r="C140" s="27"/>
      <c r="D140" s="86"/>
      <c r="E140" s="64"/>
      <c r="F140" s="64"/>
      <c r="G140" s="64"/>
      <c r="H140" s="64"/>
      <c r="I140" s="64"/>
      <c r="J140" s="64"/>
      <c r="K140" s="64"/>
      <c r="L140" s="64"/>
      <c r="M140" s="64"/>
      <c r="N140" s="43"/>
      <c r="O140" s="333"/>
      <c r="P140" s="333"/>
      <c r="Q140" s="333"/>
      <c r="R140" s="333"/>
      <c r="S140" s="332"/>
      <c r="T140" s="288"/>
      <c r="U140" s="288"/>
      <c r="V140" s="332"/>
      <c r="W140" s="334"/>
      <c r="X140" s="334"/>
      <c r="Y140" s="335"/>
      <c r="Z140" s="334"/>
      <c r="AA140" s="334"/>
      <c r="AB140" s="334" t="s">
        <v>137</v>
      </c>
      <c r="AC140" s="332"/>
      <c r="AD140" s="332">
        <v>1200000</v>
      </c>
      <c r="AE140" s="385" t="s">
        <v>55</v>
      </c>
      <c r="AF140" s="505"/>
      <c r="AG140" s="505"/>
      <c r="AH140" s="505"/>
    </row>
    <row r="141" spans="1:34" s="7" customFormat="1" ht="21" customHeight="1">
      <c r="A141" s="26"/>
      <c r="B141" s="27"/>
      <c r="C141" s="27"/>
      <c r="D141" s="86"/>
      <c r="E141" s="64"/>
      <c r="F141" s="64"/>
      <c r="G141" s="64"/>
      <c r="H141" s="64"/>
      <c r="I141" s="64"/>
      <c r="J141" s="64"/>
      <c r="K141" s="64"/>
      <c r="L141" s="64"/>
      <c r="M141" s="64"/>
      <c r="N141" s="43"/>
      <c r="O141" s="333" t="s">
        <v>245</v>
      </c>
      <c r="P141" s="333"/>
      <c r="Q141" s="333"/>
      <c r="R141" s="333"/>
      <c r="S141" s="332"/>
      <c r="T141" s="288"/>
      <c r="U141" s="288"/>
      <c r="V141" s="187">
        <v>150000</v>
      </c>
      <c r="W141" s="330" t="s">
        <v>55</v>
      </c>
      <c r="X141" s="330" t="s">
        <v>26</v>
      </c>
      <c r="Y141" s="489">
        <v>12</v>
      </c>
      <c r="Z141" s="330" t="s">
        <v>29</v>
      </c>
      <c r="AA141" s="329" t="s">
        <v>27</v>
      </c>
      <c r="AB141" s="334" t="s">
        <v>70</v>
      </c>
      <c r="AC141" s="332"/>
      <c r="AD141" s="332">
        <f>V141*Y141</f>
        <v>1800000</v>
      </c>
      <c r="AE141" s="560" t="s">
        <v>55</v>
      </c>
      <c r="AF141" s="505"/>
      <c r="AG141" s="505"/>
      <c r="AH141" s="505"/>
    </row>
    <row r="142" spans="1:34" s="7" customFormat="1" ht="21" customHeight="1">
      <c r="A142" s="26"/>
      <c r="B142" s="27"/>
      <c r="C142" s="27"/>
      <c r="D142" s="86"/>
      <c r="E142" s="64"/>
      <c r="F142" s="64"/>
      <c r="G142" s="64"/>
      <c r="H142" s="64"/>
      <c r="I142" s="64"/>
      <c r="J142" s="64"/>
      <c r="K142" s="64"/>
      <c r="L142" s="64"/>
      <c r="M142" s="64"/>
      <c r="N142" s="43"/>
      <c r="O142" s="333" t="s">
        <v>296</v>
      </c>
      <c r="P142" s="333"/>
      <c r="Q142" s="333"/>
      <c r="R142" s="333"/>
      <c r="S142" s="332"/>
      <c r="T142" s="288"/>
      <c r="U142" s="288"/>
      <c r="V142" s="332"/>
      <c r="W142" s="288"/>
      <c r="X142" s="334"/>
      <c r="Y142" s="335"/>
      <c r="Z142" s="334"/>
      <c r="AA142" s="334"/>
      <c r="AB142" s="334" t="s">
        <v>137</v>
      </c>
      <c r="AC142" s="332"/>
      <c r="AD142" s="332">
        <v>7067000</v>
      </c>
      <c r="AE142" s="560" t="s">
        <v>55</v>
      </c>
      <c r="AF142" s="505"/>
      <c r="AG142" s="505"/>
      <c r="AH142" s="505"/>
    </row>
    <row r="143" spans="1:34" s="7" customFormat="1" ht="21" customHeight="1">
      <c r="A143" s="26"/>
      <c r="B143" s="27"/>
      <c r="C143" s="27"/>
      <c r="D143" s="86"/>
      <c r="E143" s="64"/>
      <c r="F143" s="64"/>
      <c r="G143" s="64"/>
      <c r="H143" s="64"/>
      <c r="I143" s="64"/>
      <c r="J143" s="64"/>
      <c r="K143" s="64"/>
      <c r="L143" s="64"/>
      <c r="M143" s="64"/>
      <c r="N143" s="43"/>
      <c r="O143" s="333" t="s">
        <v>280</v>
      </c>
      <c r="P143" s="333"/>
      <c r="Q143" s="333"/>
      <c r="R143" s="333"/>
      <c r="S143" s="332"/>
      <c r="T143" s="288"/>
      <c r="U143" s="288"/>
      <c r="V143" s="187">
        <v>137000</v>
      </c>
      <c r="W143" s="330" t="s">
        <v>55</v>
      </c>
      <c r="X143" s="330" t="s">
        <v>26</v>
      </c>
      <c r="Y143" s="489">
        <v>12</v>
      </c>
      <c r="Z143" s="330" t="s">
        <v>29</v>
      </c>
      <c r="AA143" s="329" t="s">
        <v>27</v>
      </c>
      <c r="AB143" s="334" t="s">
        <v>70</v>
      </c>
      <c r="AC143" s="332"/>
      <c r="AD143" s="332">
        <f>V143*Y143</f>
        <v>1644000</v>
      </c>
      <c r="AE143" s="385" t="s">
        <v>55</v>
      </c>
      <c r="AF143" s="505"/>
      <c r="AG143" s="505"/>
      <c r="AH143" s="505"/>
    </row>
    <row r="144" spans="1:34" s="7" customFormat="1" ht="21" customHeight="1">
      <c r="A144" s="26"/>
      <c r="B144" s="27"/>
      <c r="C144" s="27"/>
      <c r="D144" s="86"/>
      <c r="E144" s="64"/>
      <c r="F144" s="64"/>
      <c r="G144" s="64"/>
      <c r="H144" s="64"/>
      <c r="I144" s="64"/>
      <c r="J144" s="64"/>
      <c r="K144" s="64"/>
      <c r="L144" s="64"/>
      <c r="M144" s="64"/>
      <c r="N144" s="43"/>
      <c r="O144" s="333" t="s">
        <v>281</v>
      </c>
      <c r="P144" s="333"/>
      <c r="Q144" s="333"/>
      <c r="R144" s="333"/>
      <c r="S144" s="332"/>
      <c r="T144" s="288"/>
      <c r="U144" s="334"/>
      <c r="V144" s="332"/>
      <c r="W144" s="288"/>
      <c r="X144" s="334"/>
      <c r="Y144" s="335"/>
      <c r="Z144" s="334"/>
      <c r="AA144" s="334"/>
      <c r="AB144" s="334" t="s">
        <v>137</v>
      </c>
      <c r="AC144" s="332"/>
      <c r="AD144" s="332">
        <f>SUM(AD145:AD147)</f>
        <v>1038000</v>
      </c>
      <c r="AE144" s="385" t="s">
        <v>55</v>
      </c>
      <c r="AF144" s="505"/>
      <c r="AG144" s="505"/>
      <c r="AH144" s="505"/>
    </row>
    <row r="145" spans="1:34" s="7" customFormat="1" ht="21" customHeight="1">
      <c r="A145" s="26"/>
      <c r="B145" s="27"/>
      <c r="C145" s="27"/>
      <c r="D145" s="86"/>
      <c r="E145" s="64"/>
      <c r="F145" s="64"/>
      <c r="G145" s="64"/>
      <c r="H145" s="64"/>
      <c r="I145" s="64"/>
      <c r="J145" s="64"/>
      <c r="K145" s="64"/>
      <c r="L145" s="64"/>
      <c r="M145" s="64"/>
      <c r="N145" s="43"/>
      <c r="O145" s="188" t="s">
        <v>219</v>
      </c>
      <c r="P145" s="188"/>
      <c r="Q145" s="188"/>
      <c r="R145" s="188"/>
      <c r="S145" s="187">
        <v>44000</v>
      </c>
      <c r="T145" s="330" t="s">
        <v>55</v>
      </c>
      <c r="U145" s="330" t="s">
        <v>26</v>
      </c>
      <c r="V145" s="187">
        <v>12</v>
      </c>
      <c r="W145" s="330" t="s">
        <v>29</v>
      </c>
      <c r="X145" s="329" t="s">
        <v>27</v>
      </c>
      <c r="Y145" s="489"/>
      <c r="Z145" s="329"/>
      <c r="AA145" s="329"/>
      <c r="AB145" s="329"/>
      <c r="AC145" s="187"/>
      <c r="AD145" s="332">
        <v>528000</v>
      </c>
      <c r="AE145" s="560" t="s">
        <v>55</v>
      </c>
      <c r="AF145" s="505"/>
      <c r="AG145" s="505"/>
      <c r="AH145" s="505"/>
    </row>
    <row r="146" spans="1:34" s="7" customFormat="1" ht="21" customHeight="1">
      <c r="A146" s="26"/>
      <c r="B146" s="27"/>
      <c r="C146" s="27"/>
      <c r="D146" s="86"/>
      <c r="E146" s="64"/>
      <c r="F146" s="64"/>
      <c r="G146" s="64"/>
      <c r="H146" s="64"/>
      <c r="I146" s="64"/>
      <c r="J146" s="64"/>
      <c r="K146" s="64"/>
      <c r="L146" s="64"/>
      <c r="M146" s="64"/>
      <c r="N146" s="43"/>
      <c r="O146" s="188" t="s">
        <v>220</v>
      </c>
      <c r="P146" s="188"/>
      <c r="Q146" s="188"/>
      <c r="R146" s="188"/>
      <c r="S146" s="187">
        <v>40000</v>
      </c>
      <c r="T146" s="330" t="s">
        <v>55</v>
      </c>
      <c r="U146" s="330" t="s">
        <v>26</v>
      </c>
      <c r="V146" s="187">
        <v>12</v>
      </c>
      <c r="W146" s="330" t="s">
        <v>29</v>
      </c>
      <c r="X146" s="329" t="s">
        <v>27</v>
      </c>
      <c r="Y146" s="489"/>
      <c r="Z146" s="329"/>
      <c r="AA146" s="329"/>
      <c r="AB146" s="329"/>
      <c r="AC146" s="187"/>
      <c r="AD146" s="332">
        <v>480000</v>
      </c>
      <c r="AE146" s="560" t="s">
        <v>55</v>
      </c>
      <c r="AF146" s="505"/>
      <c r="AG146" s="505"/>
      <c r="AH146" s="505"/>
    </row>
    <row r="147" spans="1:34" s="7" customFormat="1" ht="21" customHeight="1">
      <c r="A147" s="26"/>
      <c r="B147" s="27"/>
      <c r="C147" s="35"/>
      <c r="D147" s="87"/>
      <c r="E147" s="66"/>
      <c r="F147" s="66"/>
      <c r="G147" s="66"/>
      <c r="H147" s="66"/>
      <c r="I147" s="66"/>
      <c r="J147" s="66"/>
      <c r="K147" s="66"/>
      <c r="L147" s="66"/>
      <c r="M147" s="66"/>
      <c r="N147" s="52"/>
      <c r="O147" s="292" t="s">
        <v>221</v>
      </c>
      <c r="P147" s="292"/>
      <c r="Q147" s="292"/>
      <c r="R147" s="292"/>
      <c r="S147" s="292"/>
      <c r="T147" s="431"/>
      <c r="U147" s="431"/>
      <c r="V147" s="292"/>
      <c r="W147" s="431"/>
      <c r="X147" s="431"/>
      <c r="Y147" s="487"/>
      <c r="Z147" s="431"/>
      <c r="AA147" s="431"/>
      <c r="AB147" s="431"/>
      <c r="AC147" s="292"/>
      <c r="AD147" s="555">
        <v>30000</v>
      </c>
      <c r="AE147" s="561" t="s">
        <v>55</v>
      </c>
      <c r="AF147" s="505"/>
      <c r="AG147" s="505"/>
      <c r="AH147" s="505"/>
    </row>
    <row r="148" spans="1:34" s="7" customFormat="1" ht="21" customHeight="1">
      <c r="A148" s="26"/>
      <c r="B148" s="27"/>
      <c r="C148" s="27" t="s">
        <v>39</v>
      </c>
      <c r="D148" s="86">
        <v>36386</v>
      </c>
      <c r="E148" s="64">
        <f>ROUND(AD148/1000,0)</f>
        <v>35080</v>
      </c>
      <c r="F148" s="69">
        <f>SUMIF($AB$149:$AB$155,"보조",$AD$149:$AD$155)/1000</f>
        <v>26880</v>
      </c>
      <c r="G148" s="69">
        <f>SUMIF($AB$149:$AB$155,"6종",$AD$149:$AD$155)/1000</f>
        <v>0</v>
      </c>
      <c r="H148" s="69">
        <f>SUMIF($AB$149:$AB$155,"4종",$AD$149:$AD$155)/1000</f>
        <v>0</v>
      </c>
      <c r="I148" s="69">
        <f>SUMIF($AB$149:$AB$155,"후원",$AD$149:$AD$155)/1000</f>
        <v>8200</v>
      </c>
      <c r="J148" s="69">
        <f>SUMIF($AB$149:$AB$155,"입소",$AD$149:$AD$155)/1000</f>
        <v>0</v>
      </c>
      <c r="K148" s="69">
        <f>SUMIF($AB$149:$AB$155,"법인",$AD$149:$AD$155)/1000</f>
        <v>0</v>
      </c>
      <c r="L148" s="69">
        <f>SUMIF($AB$149:$AB$155,"잡수",$AD$149:$AD$155)/1000</f>
        <v>0</v>
      </c>
      <c r="M148" s="319">
        <f>E148-D148</f>
        <v>-1306</v>
      </c>
      <c r="N148" s="43">
        <f>IF(D148=0,0,M148/D148)</f>
        <v>-3.589292585060188E-2</v>
      </c>
      <c r="O148" s="177" t="s">
        <v>43</v>
      </c>
      <c r="P148" s="229"/>
      <c r="Q148" s="229"/>
      <c r="R148" s="229"/>
      <c r="S148" s="229"/>
      <c r="T148" s="438"/>
      <c r="U148" s="438"/>
      <c r="V148" s="363"/>
      <c r="W148" s="438"/>
      <c r="X148" s="438"/>
      <c r="Y148" s="185" t="s">
        <v>127</v>
      </c>
      <c r="Z148" s="441"/>
      <c r="AA148" s="441"/>
      <c r="AB148" s="441"/>
      <c r="AC148" s="185"/>
      <c r="AD148" s="185">
        <f>ROUND(SUM(AD149:AD155),-3)</f>
        <v>35080000</v>
      </c>
      <c r="AE148" s="479" t="s">
        <v>25</v>
      </c>
      <c r="AF148" s="505"/>
      <c r="AG148" s="505"/>
      <c r="AH148" s="505"/>
    </row>
    <row r="149" spans="1:34" s="7" customFormat="1" ht="21" customHeight="1">
      <c r="A149" s="26"/>
      <c r="B149" s="27"/>
      <c r="C149" s="27"/>
      <c r="D149" s="347"/>
      <c r="E149" s="345"/>
      <c r="F149" s="345"/>
      <c r="G149" s="345"/>
      <c r="H149" s="345"/>
      <c r="I149" s="345"/>
      <c r="J149" s="345"/>
      <c r="K149" s="345"/>
      <c r="L149" s="345"/>
      <c r="M149" s="64"/>
      <c r="N149" s="43"/>
      <c r="O149" s="186" t="s">
        <v>194</v>
      </c>
      <c r="P149" s="333"/>
      <c r="Q149" s="333"/>
      <c r="R149" s="333"/>
      <c r="S149" s="332">
        <v>190000</v>
      </c>
      <c r="T149" s="330" t="s">
        <v>25</v>
      </c>
      <c r="U149" s="330" t="s">
        <v>26</v>
      </c>
      <c r="V149" s="187">
        <v>12</v>
      </c>
      <c r="W149" s="330" t="s">
        <v>29</v>
      </c>
      <c r="X149" s="329" t="s">
        <v>27</v>
      </c>
      <c r="Y149" s="335"/>
      <c r="Z149" s="334"/>
      <c r="AA149" s="334"/>
      <c r="AB149" s="334" t="s">
        <v>70</v>
      </c>
      <c r="AC149" s="332"/>
      <c r="AD149" s="332">
        <f>S149*V149</f>
        <v>2280000</v>
      </c>
      <c r="AE149" s="385" t="s">
        <v>25</v>
      </c>
      <c r="AF149" s="505"/>
      <c r="AG149" s="505"/>
      <c r="AH149" s="505"/>
    </row>
    <row r="150" spans="1:34" s="7" customFormat="1" ht="21" customHeight="1">
      <c r="A150" s="26"/>
      <c r="B150" s="27"/>
      <c r="C150" s="27"/>
      <c r="D150" s="348"/>
      <c r="E150" s="346"/>
      <c r="F150" s="346"/>
      <c r="G150" s="346"/>
      <c r="H150" s="346"/>
      <c r="I150" s="346"/>
      <c r="J150" s="346"/>
      <c r="K150" s="346"/>
      <c r="L150" s="346"/>
      <c r="M150" s="64"/>
      <c r="N150" s="43"/>
      <c r="O150" s="333" t="s">
        <v>193</v>
      </c>
      <c r="P150" s="333"/>
      <c r="Q150" s="333"/>
      <c r="R150" s="333"/>
      <c r="S150" s="332">
        <v>1150000</v>
      </c>
      <c r="T150" s="288" t="s">
        <v>55</v>
      </c>
      <c r="U150" s="288" t="s">
        <v>26</v>
      </c>
      <c r="V150" s="332">
        <v>12</v>
      </c>
      <c r="W150" s="288" t="s">
        <v>0</v>
      </c>
      <c r="X150" s="334" t="s">
        <v>27</v>
      </c>
      <c r="Y150" s="335"/>
      <c r="Z150" s="334"/>
      <c r="AA150" s="334"/>
      <c r="AB150" s="334" t="s">
        <v>70</v>
      </c>
      <c r="AC150" s="332"/>
      <c r="AD150" s="332">
        <f>S150*V150</f>
        <v>13800000</v>
      </c>
      <c r="AE150" s="385" t="s">
        <v>25</v>
      </c>
      <c r="AF150" s="505"/>
      <c r="AG150" s="505"/>
      <c r="AH150" s="505"/>
    </row>
    <row r="151" spans="1:34" s="7" customFormat="1" ht="21" customHeight="1">
      <c r="A151" s="26"/>
      <c r="B151" s="27"/>
      <c r="C151" s="27"/>
      <c r="D151" s="86"/>
      <c r="E151" s="64"/>
      <c r="F151" s="64"/>
      <c r="G151" s="64"/>
      <c r="H151" s="64"/>
      <c r="I151" s="64"/>
      <c r="J151" s="64"/>
      <c r="K151" s="64"/>
      <c r="L151" s="64"/>
      <c r="M151" s="64"/>
      <c r="N151" s="43"/>
      <c r="O151" s="333" t="s">
        <v>192</v>
      </c>
      <c r="P151" s="333"/>
      <c r="Q151" s="333"/>
      <c r="R151" s="333"/>
      <c r="S151" s="332">
        <v>850000</v>
      </c>
      <c r="T151" s="288" t="s">
        <v>55</v>
      </c>
      <c r="U151" s="288" t="s">
        <v>26</v>
      </c>
      <c r="V151" s="332">
        <v>12</v>
      </c>
      <c r="W151" s="288" t="s">
        <v>0</v>
      </c>
      <c r="X151" s="334" t="s">
        <v>27</v>
      </c>
      <c r="Y151" s="335"/>
      <c r="Z151" s="334"/>
      <c r="AA151" s="334"/>
      <c r="AB151" s="334" t="s">
        <v>70</v>
      </c>
      <c r="AC151" s="332"/>
      <c r="AD151" s="332">
        <f>S151*V151</f>
        <v>10200000</v>
      </c>
      <c r="AE151" s="385" t="s">
        <v>25</v>
      </c>
      <c r="AF151" s="505"/>
      <c r="AG151" s="505"/>
      <c r="AH151" s="505"/>
    </row>
    <row r="152" spans="1:34" s="7" customFormat="1" ht="21" customHeight="1">
      <c r="A152" s="26"/>
      <c r="B152" s="27"/>
      <c r="C152" s="27"/>
      <c r="D152" s="86"/>
      <c r="E152" s="64"/>
      <c r="F152" s="64"/>
      <c r="G152" s="64"/>
      <c r="H152" s="64"/>
      <c r="I152" s="64"/>
      <c r="J152" s="64"/>
      <c r="K152" s="64"/>
      <c r="L152" s="64"/>
      <c r="M152" s="64"/>
      <c r="N152" s="43"/>
      <c r="O152" s="333" t="s">
        <v>277</v>
      </c>
      <c r="P152" s="333"/>
      <c r="Q152" s="333"/>
      <c r="R152" s="333"/>
      <c r="S152" s="332">
        <v>50000</v>
      </c>
      <c r="T152" s="288" t="s">
        <v>55</v>
      </c>
      <c r="U152" s="288" t="s">
        <v>26</v>
      </c>
      <c r="V152" s="332">
        <v>12</v>
      </c>
      <c r="W152" s="288" t="s">
        <v>0</v>
      </c>
      <c r="X152" s="334" t="s">
        <v>27</v>
      </c>
      <c r="Y152" s="335"/>
      <c r="Z152" s="334"/>
      <c r="AA152" s="334"/>
      <c r="AB152" s="334" t="s">
        <v>70</v>
      </c>
      <c r="AC152" s="332"/>
      <c r="AD152" s="332">
        <f>S152*V152</f>
        <v>600000</v>
      </c>
      <c r="AE152" s="385" t="s">
        <v>25</v>
      </c>
      <c r="AF152" s="505"/>
      <c r="AG152" s="505"/>
      <c r="AH152" s="505"/>
    </row>
    <row r="153" spans="1:34" s="7" customFormat="1" ht="21" customHeight="1">
      <c r="A153" s="26"/>
      <c r="B153" s="27"/>
      <c r="C153" s="27"/>
      <c r="D153" s="86"/>
      <c r="E153" s="64"/>
      <c r="F153" s="64"/>
      <c r="G153" s="64"/>
      <c r="H153" s="64"/>
      <c r="I153" s="64"/>
      <c r="J153" s="64"/>
      <c r="K153" s="64"/>
      <c r="L153" s="64"/>
      <c r="M153" s="64"/>
      <c r="N153" s="43"/>
      <c r="O153" s="333" t="s">
        <v>216</v>
      </c>
      <c r="P153" s="333"/>
      <c r="Q153" s="333"/>
      <c r="R153" s="333"/>
      <c r="S153" s="187">
        <v>350000</v>
      </c>
      <c r="T153" s="330" t="s">
        <v>55</v>
      </c>
      <c r="U153" s="330" t="s">
        <v>26</v>
      </c>
      <c r="V153" s="187">
        <v>12</v>
      </c>
      <c r="W153" s="330" t="s">
        <v>29</v>
      </c>
      <c r="X153" s="329" t="s">
        <v>27</v>
      </c>
      <c r="Y153" s="489"/>
      <c r="Z153" s="330"/>
      <c r="AA153" s="329"/>
      <c r="AB153" s="334" t="s">
        <v>137</v>
      </c>
      <c r="AC153" s="332"/>
      <c r="AD153" s="332">
        <f>S153*V153</f>
        <v>4200000</v>
      </c>
      <c r="AE153" s="385" t="s">
        <v>55</v>
      </c>
      <c r="AF153" s="505"/>
      <c r="AG153" s="505"/>
      <c r="AH153" s="505"/>
    </row>
    <row r="154" spans="1:34" s="7" customFormat="1" ht="21" customHeight="1">
      <c r="A154" s="26"/>
      <c r="B154" s="27"/>
      <c r="C154" s="27"/>
      <c r="D154" s="86"/>
      <c r="E154" s="64"/>
      <c r="F154" s="64"/>
      <c r="G154" s="64"/>
      <c r="H154" s="64"/>
      <c r="I154" s="64"/>
      <c r="J154" s="64"/>
      <c r="K154" s="64"/>
      <c r="L154" s="64"/>
      <c r="M154" s="64"/>
      <c r="N154" s="43"/>
      <c r="O154" s="333" t="s">
        <v>237</v>
      </c>
      <c r="P154" s="333"/>
      <c r="Q154" s="333"/>
      <c r="R154" s="333"/>
      <c r="S154" s="332"/>
      <c r="T154" s="288"/>
      <c r="U154" s="288"/>
      <c r="V154" s="332"/>
      <c r="W154" s="288"/>
      <c r="X154" s="334"/>
      <c r="Y154" s="335"/>
      <c r="Z154" s="334"/>
      <c r="AA154" s="334"/>
      <c r="AB154" s="334" t="s">
        <v>137</v>
      </c>
      <c r="AC154" s="332"/>
      <c r="AD154" s="332">
        <v>4000000</v>
      </c>
      <c r="AE154" s="385" t="s">
        <v>55</v>
      </c>
      <c r="AF154" s="505"/>
      <c r="AG154" s="505"/>
      <c r="AH154" s="505"/>
    </row>
    <row r="155" spans="1:34" s="7" customFormat="1" ht="21" customHeight="1">
      <c r="A155" s="26"/>
      <c r="B155" s="27"/>
      <c r="C155" s="27"/>
      <c r="D155" s="86"/>
      <c r="E155" s="64"/>
      <c r="F155" s="64"/>
      <c r="G155" s="64"/>
      <c r="H155" s="64"/>
      <c r="I155" s="64"/>
      <c r="J155" s="64"/>
      <c r="K155" s="64"/>
      <c r="L155" s="64"/>
      <c r="M155" s="64"/>
      <c r="N155" s="43"/>
      <c r="O155" s="328"/>
      <c r="P155" s="333"/>
      <c r="Q155" s="333"/>
      <c r="R155" s="333"/>
      <c r="S155" s="332"/>
      <c r="T155" s="288"/>
      <c r="U155" s="288"/>
      <c r="V155" s="332"/>
      <c r="W155" s="288"/>
      <c r="X155" s="334"/>
      <c r="Y155" s="335"/>
      <c r="Z155" s="334"/>
      <c r="AA155" s="334"/>
      <c r="AB155" s="334"/>
      <c r="AC155" s="332"/>
      <c r="AD155" s="332"/>
      <c r="AE155" s="385"/>
      <c r="AF155" s="505"/>
      <c r="AG155" s="505"/>
      <c r="AH155" s="505"/>
    </row>
    <row r="156" spans="1:34" ht="21" customHeight="1">
      <c r="A156" s="26"/>
      <c r="B156" s="27"/>
      <c r="C156" s="18" t="s">
        <v>15</v>
      </c>
      <c r="D156" s="88">
        <v>11632</v>
      </c>
      <c r="E156" s="68">
        <f>ROUND(AD156/1000,0)</f>
        <v>10113</v>
      </c>
      <c r="F156" s="69">
        <f>SUMIF($AB$157:$AB$167,"보조",$AD$157:$AD$167)/1000</f>
        <v>8813</v>
      </c>
      <c r="G156" s="69">
        <f>SUMIF($AB$157:$AB$167,"6종",$AD$157:$AD$167)/1000</f>
        <v>0</v>
      </c>
      <c r="H156" s="69">
        <f>SUMIF($AB$157:$AB$167,"4종",$AD$157:$AD$167)/1000</f>
        <v>0</v>
      </c>
      <c r="I156" s="69">
        <f>SUMIF($AB$157:$AB$167,"후원",$AD$157:$AD$167)/1000</f>
        <v>1300</v>
      </c>
      <c r="J156" s="69">
        <f>SUMIF($AB$157:$AB$167,"입소",$AD$157:$AD$167)/1000</f>
        <v>0</v>
      </c>
      <c r="K156" s="69">
        <f>SUMIF($AB$157:$AB$167,"법인",$AD$157:$AD$167)/1000</f>
        <v>0</v>
      </c>
      <c r="L156" s="69">
        <f>SUMIF($AB$157:$AB$167,"잡수",$AD$157:$AD$167)/1000</f>
        <v>0</v>
      </c>
      <c r="M156" s="75">
        <f>E156-D156</f>
        <v>-1519</v>
      </c>
      <c r="N156" s="73">
        <f>IF(D156=0,0,M156/D156)</f>
        <v>-0.13058803301237965</v>
      </c>
      <c r="O156" s="182" t="s">
        <v>44</v>
      </c>
      <c r="P156" s="183"/>
      <c r="Q156" s="183"/>
      <c r="R156" s="183"/>
      <c r="S156" s="183"/>
      <c r="T156" s="437"/>
      <c r="U156" s="437"/>
      <c r="V156" s="184"/>
      <c r="W156" s="437"/>
      <c r="X156" s="437"/>
      <c r="Y156" s="185" t="s">
        <v>127</v>
      </c>
      <c r="Z156" s="441"/>
      <c r="AA156" s="441"/>
      <c r="AB156" s="441"/>
      <c r="AC156" s="185"/>
      <c r="AD156" s="185">
        <f>SUM(AD158:AD167)</f>
        <v>10113000</v>
      </c>
      <c r="AE156" s="479" t="s">
        <v>25</v>
      </c>
    </row>
    <row r="157" spans="1:34" s="7" customFormat="1" ht="21" customHeight="1">
      <c r="A157" s="26"/>
      <c r="B157" s="27"/>
      <c r="C157" s="27"/>
      <c r="D157" s="347"/>
      <c r="E157" s="345"/>
      <c r="F157" s="345"/>
      <c r="G157" s="345"/>
      <c r="H157" s="345"/>
      <c r="I157" s="345"/>
      <c r="J157" s="345"/>
      <c r="K157" s="345"/>
      <c r="L157" s="345"/>
      <c r="M157" s="64"/>
      <c r="N157" s="43"/>
      <c r="O157" s="333" t="s">
        <v>160</v>
      </c>
      <c r="P157" s="333"/>
      <c r="Q157" s="333"/>
      <c r="R157" s="333"/>
      <c r="S157" s="333"/>
      <c r="T157" s="334"/>
      <c r="U157" s="334"/>
      <c r="V157" s="332"/>
      <c r="W157" s="334"/>
      <c r="X157" s="334"/>
      <c r="Y157" s="335"/>
      <c r="Z157" s="334"/>
      <c r="AA157" s="334"/>
      <c r="AB157" s="334"/>
      <c r="AC157" s="335"/>
      <c r="AD157" s="335"/>
      <c r="AE157" s="385"/>
      <c r="AF157" s="505"/>
      <c r="AG157" s="505"/>
      <c r="AH157" s="505"/>
    </row>
    <row r="158" spans="1:34" s="7" customFormat="1" ht="21" customHeight="1">
      <c r="A158" s="26"/>
      <c r="B158" s="27"/>
      <c r="C158" s="27"/>
      <c r="D158" s="348"/>
      <c r="E158" s="346"/>
      <c r="F158" s="346"/>
      <c r="G158" s="346"/>
      <c r="H158" s="346"/>
      <c r="I158" s="346"/>
      <c r="J158" s="346"/>
      <c r="K158" s="346"/>
      <c r="L158" s="346"/>
      <c r="M158" s="64"/>
      <c r="N158" s="43"/>
      <c r="O158" s="333" t="s">
        <v>161</v>
      </c>
      <c r="P158" s="573"/>
      <c r="Q158" s="573"/>
      <c r="R158" s="573"/>
      <c r="S158" s="332">
        <v>120000</v>
      </c>
      <c r="T158" s="288" t="s">
        <v>55</v>
      </c>
      <c r="U158" s="288" t="s">
        <v>26</v>
      </c>
      <c r="V158" s="332">
        <v>12</v>
      </c>
      <c r="W158" s="288" t="s">
        <v>0</v>
      </c>
      <c r="X158" s="334" t="s">
        <v>27</v>
      </c>
      <c r="Y158" s="335"/>
      <c r="Z158" s="334"/>
      <c r="AA158" s="334"/>
      <c r="AB158" s="334" t="s">
        <v>70</v>
      </c>
      <c r="AC158" s="332"/>
      <c r="AD158" s="332">
        <f>S158*V158</f>
        <v>1440000</v>
      </c>
      <c r="AE158" s="385" t="s">
        <v>25</v>
      </c>
      <c r="AF158" s="505"/>
      <c r="AG158" s="505"/>
      <c r="AH158" s="505"/>
    </row>
    <row r="159" spans="1:34" s="7" customFormat="1" ht="21" customHeight="1">
      <c r="A159" s="26"/>
      <c r="B159" s="27"/>
      <c r="C159" s="27"/>
      <c r="D159" s="86"/>
      <c r="E159" s="64"/>
      <c r="F159" s="64"/>
      <c r="G159" s="64"/>
      <c r="H159" s="64"/>
      <c r="I159" s="64"/>
      <c r="J159" s="64"/>
      <c r="K159" s="64"/>
      <c r="L159" s="64"/>
      <c r="M159" s="64"/>
      <c r="N159" s="43"/>
      <c r="O159" s="333" t="s">
        <v>162</v>
      </c>
      <c r="P159" s="573"/>
      <c r="Q159" s="573"/>
      <c r="R159" s="573"/>
      <c r="S159" s="332">
        <v>120000</v>
      </c>
      <c r="T159" s="288" t="s">
        <v>55</v>
      </c>
      <c r="U159" s="288" t="s">
        <v>26</v>
      </c>
      <c r="V159" s="332">
        <v>12</v>
      </c>
      <c r="W159" s="288" t="s">
        <v>0</v>
      </c>
      <c r="X159" s="334" t="s">
        <v>27</v>
      </c>
      <c r="Y159" s="335"/>
      <c r="Z159" s="334"/>
      <c r="AA159" s="334"/>
      <c r="AB159" s="334" t="s">
        <v>70</v>
      </c>
      <c r="AC159" s="332"/>
      <c r="AD159" s="332">
        <f>S159*V159</f>
        <v>1440000</v>
      </c>
      <c r="AE159" s="385" t="s">
        <v>25</v>
      </c>
      <c r="AF159" s="505"/>
      <c r="AG159" s="505"/>
      <c r="AH159" s="505"/>
    </row>
    <row r="160" spans="1:34" s="7" customFormat="1" ht="21" customHeight="1">
      <c r="A160" s="26"/>
      <c r="B160" s="27"/>
      <c r="C160" s="27"/>
      <c r="D160" s="86"/>
      <c r="E160" s="64"/>
      <c r="F160" s="64"/>
      <c r="G160" s="64"/>
      <c r="H160" s="64"/>
      <c r="I160" s="64"/>
      <c r="J160" s="64"/>
      <c r="K160" s="64"/>
      <c r="L160" s="64"/>
      <c r="M160" s="64"/>
      <c r="N160" s="43"/>
      <c r="O160" s="333" t="s">
        <v>195</v>
      </c>
      <c r="P160" s="573"/>
      <c r="Q160" s="573"/>
      <c r="R160" s="573"/>
      <c r="S160" s="332">
        <v>313000</v>
      </c>
      <c r="T160" s="288" t="s">
        <v>55</v>
      </c>
      <c r="U160" s="288" t="s">
        <v>26</v>
      </c>
      <c r="V160" s="332">
        <v>1</v>
      </c>
      <c r="W160" s="288" t="s">
        <v>0</v>
      </c>
      <c r="X160" s="334" t="s">
        <v>27</v>
      </c>
      <c r="Y160" s="335"/>
      <c r="Z160" s="334"/>
      <c r="AA160" s="334"/>
      <c r="AB160" s="334" t="s">
        <v>70</v>
      </c>
      <c r="AC160" s="332"/>
      <c r="AD160" s="332">
        <f>S160*V160</f>
        <v>313000</v>
      </c>
      <c r="AE160" s="385" t="s">
        <v>25</v>
      </c>
      <c r="AF160" s="505"/>
      <c r="AG160" s="505"/>
      <c r="AH160" s="505"/>
    </row>
    <row r="161" spans="1:34" s="7" customFormat="1" ht="21" customHeight="1">
      <c r="A161" s="26"/>
      <c r="B161" s="27"/>
      <c r="C161" s="27"/>
      <c r="D161" s="86"/>
      <c r="E161" s="64"/>
      <c r="F161" s="64"/>
      <c r="G161" s="64"/>
      <c r="H161" s="64"/>
      <c r="I161" s="64"/>
      <c r="J161" s="64"/>
      <c r="K161" s="64"/>
      <c r="L161" s="64"/>
      <c r="M161" s="64"/>
      <c r="N161" s="43"/>
      <c r="O161" s="333"/>
      <c r="P161" s="573"/>
      <c r="Q161" s="573"/>
      <c r="R161" s="573"/>
      <c r="S161" s="573"/>
      <c r="T161" s="334"/>
      <c r="U161" s="225"/>
      <c r="V161" s="333"/>
      <c r="W161" s="288"/>
      <c r="X161" s="334"/>
      <c r="Y161" s="335"/>
      <c r="Z161" s="334"/>
      <c r="AA161" s="288"/>
      <c r="AB161" s="334"/>
      <c r="AC161" s="332"/>
      <c r="AD161" s="332"/>
      <c r="AE161" s="385"/>
      <c r="AF161" s="505"/>
      <c r="AG161" s="505"/>
      <c r="AH161" s="505"/>
    </row>
    <row r="162" spans="1:34" s="7" customFormat="1" ht="21" customHeight="1">
      <c r="A162" s="26"/>
      <c r="B162" s="27"/>
      <c r="C162" s="27"/>
      <c r="D162" s="86"/>
      <c r="E162" s="64"/>
      <c r="F162" s="64"/>
      <c r="G162" s="64"/>
      <c r="H162" s="64"/>
      <c r="I162" s="64"/>
      <c r="J162" s="64"/>
      <c r="K162" s="64"/>
      <c r="L162" s="64"/>
      <c r="M162" s="64"/>
      <c r="N162" s="43"/>
      <c r="O162" s="647" t="s">
        <v>163</v>
      </c>
      <c r="P162" s="647"/>
      <c r="Q162" s="647"/>
      <c r="R162" s="647"/>
      <c r="S162" s="647"/>
      <c r="T162" s="288"/>
      <c r="U162" s="334"/>
      <c r="V162" s="333"/>
      <c r="W162" s="288"/>
      <c r="X162" s="334"/>
      <c r="Y162" s="335"/>
      <c r="Z162" s="334"/>
      <c r="AA162" s="288"/>
      <c r="AB162" s="334"/>
      <c r="AC162" s="332"/>
      <c r="AD162" s="332"/>
      <c r="AE162" s="385"/>
      <c r="AF162" s="505"/>
      <c r="AG162" s="505"/>
      <c r="AH162" s="505"/>
    </row>
    <row r="163" spans="1:34" s="7" customFormat="1" ht="21" customHeight="1">
      <c r="A163" s="26"/>
      <c r="B163" s="27"/>
      <c r="C163" s="27"/>
      <c r="D163" s="86"/>
      <c r="E163" s="64"/>
      <c r="F163" s="64"/>
      <c r="G163" s="64"/>
      <c r="H163" s="64"/>
      <c r="I163" s="64"/>
      <c r="J163" s="64"/>
      <c r="K163" s="64"/>
      <c r="L163" s="64"/>
      <c r="M163" s="64"/>
      <c r="N163" s="43"/>
      <c r="O163" s="333" t="s">
        <v>278</v>
      </c>
      <c r="P163" s="226"/>
      <c r="Q163" s="226"/>
      <c r="R163" s="226"/>
      <c r="S163" s="333"/>
      <c r="T163" s="334"/>
      <c r="U163" s="225"/>
      <c r="V163" s="333"/>
      <c r="W163" s="288"/>
      <c r="X163" s="334"/>
      <c r="Y163" s="335"/>
      <c r="Z163" s="334"/>
      <c r="AA163" s="288"/>
      <c r="AB163" s="334" t="s">
        <v>70</v>
      </c>
      <c r="AC163" s="332"/>
      <c r="AD163" s="332">
        <v>4320000</v>
      </c>
      <c r="AE163" s="385" t="s">
        <v>25</v>
      </c>
      <c r="AF163" s="505"/>
      <c r="AG163" s="505"/>
      <c r="AH163" s="505"/>
    </row>
    <row r="164" spans="1:34" s="7" customFormat="1" ht="21" customHeight="1">
      <c r="A164" s="26"/>
      <c r="B164" s="27"/>
      <c r="C164" s="27"/>
      <c r="D164" s="86"/>
      <c r="E164" s="64"/>
      <c r="F164" s="64"/>
      <c r="G164" s="64"/>
      <c r="H164" s="64"/>
      <c r="I164" s="64"/>
      <c r="J164" s="64"/>
      <c r="K164" s="64"/>
      <c r="L164" s="64"/>
      <c r="M164" s="64"/>
      <c r="N164" s="43"/>
      <c r="O164" s="333" t="s">
        <v>222</v>
      </c>
      <c r="P164" s="573"/>
      <c r="Q164" s="573"/>
      <c r="R164" s="573"/>
      <c r="S164" s="573"/>
      <c r="T164" s="439"/>
      <c r="U164" s="439"/>
      <c r="V164" s="226"/>
      <c r="W164" s="439"/>
      <c r="X164" s="439"/>
      <c r="Y164" s="335"/>
      <c r="Z164" s="334"/>
      <c r="AA164" s="288"/>
      <c r="AB164" s="334" t="s">
        <v>70</v>
      </c>
      <c r="AC164" s="332"/>
      <c r="AD164" s="332">
        <v>1300000</v>
      </c>
      <c r="AE164" s="385" t="s">
        <v>25</v>
      </c>
      <c r="AF164" s="505"/>
      <c r="AG164" s="505"/>
      <c r="AH164" s="505"/>
    </row>
    <row r="165" spans="1:34" s="7" customFormat="1" ht="21" customHeight="1">
      <c r="A165" s="26"/>
      <c r="B165" s="27"/>
      <c r="C165" s="27"/>
      <c r="D165" s="86"/>
      <c r="E165" s="64"/>
      <c r="F165" s="64"/>
      <c r="G165" s="64"/>
      <c r="H165" s="64"/>
      <c r="I165" s="64"/>
      <c r="J165" s="64"/>
      <c r="K165" s="64"/>
      <c r="L165" s="64"/>
      <c r="M165" s="64"/>
      <c r="N165" s="43"/>
      <c r="O165" s="333" t="s">
        <v>225</v>
      </c>
      <c r="P165" s="226"/>
      <c r="Q165" s="226"/>
      <c r="R165" s="226"/>
      <c r="S165" s="333"/>
      <c r="T165" s="334"/>
      <c r="U165" s="225"/>
      <c r="V165" s="333"/>
      <c r="W165" s="288"/>
      <c r="X165" s="334"/>
      <c r="Y165" s="335"/>
      <c r="Z165" s="334"/>
      <c r="AA165" s="288"/>
      <c r="AB165" s="334" t="s">
        <v>137</v>
      </c>
      <c r="AC165" s="332"/>
      <c r="AD165" s="332">
        <v>1000000</v>
      </c>
      <c r="AE165" s="385" t="s">
        <v>55</v>
      </c>
      <c r="AF165" s="505"/>
      <c r="AG165" s="505"/>
      <c r="AH165" s="505"/>
    </row>
    <row r="166" spans="1:34" s="7" customFormat="1" ht="21" customHeight="1">
      <c r="A166" s="26"/>
      <c r="B166" s="27"/>
      <c r="C166" s="27"/>
      <c r="D166" s="86"/>
      <c r="E166" s="64"/>
      <c r="F166" s="64"/>
      <c r="G166" s="64"/>
      <c r="H166" s="64"/>
      <c r="I166" s="64"/>
      <c r="J166" s="64"/>
      <c r="K166" s="64"/>
      <c r="L166" s="64"/>
      <c r="M166" s="64"/>
      <c r="N166" s="43"/>
      <c r="O166" s="333" t="s">
        <v>228</v>
      </c>
      <c r="P166" s="226"/>
      <c r="Q166" s="226"/>
      <c r="R166" s="226"/>
      <c r="S166" s="333"/>
      <c r="T166" s="334"/>
      <c r="U166" s="225"/>
      <c r="V166" s="333"/>
      <c r="W166" s="288"/>
      <c r="X166" s="334"/>
      <c r="Y166" s="335"/>
      <c r="Z166" s="334"/>
      <c r="AA166" s="288"/>
      <c r="AB166" s="288" t="s">
        <v>137</v>
      </c>
      <c r="AC166" s="332"/>
      <c r="AD166" s="332">
        <v>300000</v>
      </c>
      <c r="AE166" s="385" t="s">
        <v>25</v>
      </c>
      <c r="AF166" s="505"/>
      <c r="AG166" s="505"/>
      <c r="AH166" s="505"/>
    </row>
    <row r="167" spans="1:34" s="7" customFormat="1" ht="21" customHeight="1">
      <c r="A167" s="26"/>
      <c r="B167" s="27"/>
      <c r="C167" s="27"/>
      <c r="D167" s="86"/>
      <c r="E167" s="64"/>
      <c r="F167" s="64"/>
      <c r="G167" s="64"/>
      <c r="H167" s="64"/>
      <c r="I167" s="64"/>
      <c r="J167" s="64"/>
      <c r="K167" s="64"/>
      <c r="L167" s="64"/>
      <c r="M167" s="64"/>
      <c r="N167" s="43"/>
      <c r="O167" s="501" t="s">
        <v>797</v>
      </c>
      <c r="P167" s="573"/>
      <c r="Q167" s="573"/>
      <c r="R167" s="573"/>
      <c r="S167" s="573"/>
      <c r="T167" s="439"/>
      <c r="U167" s="439"/>
      <c r="V167" s="226"/>
      <c r="W167" s="439"/>
      <c r="X167" s="439"/>
      <c r="Y167" s="227"/>
      <c r="Z167" s="225"/>
      <c r="AA167" s="225"/>
      <c r="AB167" s="225" t="s">
        <v>151</v>
      </c>
      <c r="AC167" s="222"/>
      <c r="AD167" s="332"/>
      <c r="AE167" s="385" t="s">
        <v>25</v>
      </c>
      <c r="AF167" s="505"/>
      <c r="AG167" s="505"/>
      <c r="AH167" s="505"/>
    </row>
    <row r="168" spans="1:34" s="7" customFormat="1" ht="21" customHeight="1">
      <c r="A168" s="26"/>
      <c r="B168" s="27"/>
      <c r="C168" s="18" t="s">
        <v>45</v>
      </c>
      <c r="D168" s="88">
        <v>12020</v>
      </c>
      <c r="E168" s="68">
        <f>ROUND(AD168/1000,0)</f>
        <v>11400</v>
      </c>
      <c r="F168" s="69">
        <f>SUMIF($AB$169:$AB$173,"보조",$AD$169:$AD$173)/1000</f>
        <v>4200</v>
      </c>
      <c r="G168" s="69">
        <f>SUMIF($AB$169:$AB$173,"6종",$AD$169:$AD$173)/1000</f>
        <v>3600</v>
      </c>
      <c r="H168" s="69">
        <f>SUMIF($AB$169:$AB$173,"4종",$AD$169:$AD$173)/1000</f>
        <v>0</v>
      </c>
      <c r="I168" s="69">
        <f>SUMIF($AB$169:$AB$173,"후원",$AD$169:$AD$173)/1000</f>
        <v>3600</v>
      </c>
      <c r="J168" s="69">
        <f>SUMIF($AB$169:$AB$173,"입소",$AD$169:$AD$173)/1000</f>
        <v>0</v>
      </c>
      <c r="K168" s="69">
        <f>SUMIF($AB$169:$AB$173,"법인",$AD$169:$AD$173)/1000</f>
        <v>0</v>
      </c>
      <c r="L168" s="69">
        <f>SUMIF($AB$169:$AB$173,"잡수",$AD$169:$AD$173)/1000</f>
        <v>0</v>
      </c>
      <c r="M168" s="101">
        <f>E168-D168</f>
        <v>-620</v>
      </c>
      <c r="N168" s="73">
        <f>IF(D168=0,0,M168/D168)</f>
        <v>-5.1580698835274545E-2</v>
      </c>
      <c r="O168" s="182" t="s">
        <v>46</v>
      </c>
      <c r="P168" s="183"/>
      <c r="Q168" s="183"/>
      <c r="R168" s="183"/>
      <c r="S168" s="183"/>
      <c r="T168" s="437"/>
      <c r="U168" s="437"/>
      <c r="V168" s="184"/>
      <c r="W168" s="437"/>
      <c r="X168" s="437"/>
      <c r="Y168" s="185" t="s">
        <v>127</v>
      </c>
      <c r="Z168" s="441"/>
      <c r="AA168" s="441"/>
      <c r="AB168" s="441"/>
      <c r="AC168" s="185"/>
      <c r="AD168" s="185">
        <f>SUM(AD169:AD172)</f>
        <v>11400000</v>
      </c>
      <c r="AE168" s="479" t="s">
        <v>25</v>
      </c>
      <c r="AF168" s="505"/>
      <c r="AG168" s="505"/>
      <c r="AH168" s="505"/>
    </row>
    <row r="169" spans="1:34" s="7" customFormat="1" ht="21" customHeight="1">
      <c r="A169" s="26"/>
      <c r="B169" s="27"/>
      <c r="C169" s="27"/>
      <c r="D169" s="347"/>
      <c r="E169" s="345"/>
      <c r="F169" s="345"/>
      <c r="G169" s="345"/>
      <c r="H169" s="345"/>
      <c r="I169" s="345"/>
      <c r="J169" s="345"/>
      <c r="K169" s="345"/>
      <c r="L169" s="345"/>
      <c r="M169" s="64"/>
      <c r="N169" s="43"/>
      <c r="O169" s="333" t="s">
        <v>784</v>
      </c>
      <c r="P169" s="333"/>
      <c r="Q169" s="333"/>
      <c r="R169" s="333"/>
      <c r="S169" s="332">
        <v>350000</v>
      </c>
      <c r="T169" s="288" t="s">
        <v>55</v>
      </c>
      <c r="U169" s="288" t="s">
        <v>26</v>
      </c>
      <c r="V169" s="332">
        <v>12</v>
      </c>
      <c r="W169" s="288" t="s">
        <v>0</v>
      </c>
      <c r="X169" s="334" t="s">
        <v>27</v>
      </c>
      <c r="Y169" s="335"/>
      <c r="Z169" s="334"/>
      <c r="AA169" s="334"/>
      <c r="AB169" s="334" t="s">
        <v>70</v>
      </c>
      <c r="AC169" s="332"/>
      <c r="AD169" s="332">
        <f>S169*V169</f>
        <v>4200000</v>
      </c>
      <c r="AE169" s="385" t="s">
        <v>25</v>
      </c>
      <c r="AF169" s="505"/>
      <c r="AG169" s="505"/>
      <c r="AH169" s="505"/>
    </row>
    <row r="170" spans="1:34" s="7" customFormat="1" ht="21" customHeight="1">
      <c r="A170" s="26"/>
      <c r="B170" s="27"/>
      <c r="C170" s="27"/>
      <c r="D170" s="348"/>
      <c r="E170" s="346"/>
      <c r="F170" s="346"/>
      <c r="G170" s="346"/>
      <c r="H170" s="346"/>
      <c r="I170" s="346"/>
      <c r="J170" s="346"/>
      <c r="K170" s="346"/>
      <c r="L170" s="346"/>
      <c r="M170" s="64"/>
      <c r="N170" s="43"/>
      <c r="O170" s="333" t="s">
        <v>785</v>
      </c>
      <c r="P170" s="333"/>
      <c r="Q170" s="333"/>
      <c r="R170" s="333"/>
      <c r="S170" s="332">
        <v>300000</v>
      </c>
      <c r="T170" s="288" t="s">
        <v>55</v>
      </c>
      <c r="U170" s="288" t="s">
        <v>26</v>
      </c>
      <c r="V170" s="332">
        <v>12</v>
      </c>
      <c r="W170" s="288" t="s">
        <v>0</v>
      </c>
      <c r="X170" s="334" t="s">
        <v>27</v>
      </c>
      <c r="Y170" s="335"/>
      <c r="Z170" s="334"/>
      <c r="AA170" s="334"/>
      <c r="AB170" s="334" t="s">
        <v>773</v>
      </c>
      <c r="AC170" s="332"/>
      <c r="AD170" s="332">
        <f>S170*V170</f>
        <v>3600000</v>
      </c>
      <c r="AE170" s="385" t="s">
        <v>25</v>
      </c>
      <c r="AF170" s="505"/>
      <c r="AG170" s="505"/>
      <c r="AH170" s="505"/>
    </row>
    <row r="171" spans="1:34" s="7" customFormat="1" ht="21" customHeight="1">
      <c r="A171" s="26"/>
      <c r="B171" s="27"/>
      <c r="C171" s="27"/>
      <c r="D171" s="349"/>
      <c r="E171" s="346"/>
      <c r="F171" s="346"/>
      <c r="G171" s="346"/>
      <c r="H171" s="346"/>
      <c r="I171" s="346"/>
      <c r="J171" s="346"/>
      <c r="K171" s="346"/>
      <c r="L171" s="346"/>
      <c r="M171" s="64"/>
      <c r="N171" s="43"/>
      <c r="O171" s="333"/>
      <c r="P171" s="333"/>
      <c r="Q171" s="333"/>
      <c r="R171" s="333"/>
      <c r="S171" s="332"/>
      <c r="T171" s="288"/>
      <c r="U171" s="288"/>
      <c r="V171" s="332"/>
      <c r="W171" s="288"/>
      <c r="X171" s="334"/>
      <c r="Y171" s="335"/>
      <c r="Z171" s="334"/>
      <c r="AA171" s="334"/>
      <c r="AB171" s="334" t="s">
        <v>137</v>
      </c>
      <c r="AC171" s="332"/>
      <c r="AD171" s="332">
        <v>1200000</v>
      </c>
      <c r="AE171" s="385" t="s">
        <v>55</v>
      </c>
      <c r="AF171" s="505"/>
      <c r="AG171" s="505"/>
      <c r="AH171" s="505"/>
    </row>
    <row r="172" spans="1:34" s="7" customFormat="1" ht="21" customHeight="1">
      <c r="A172" s="26"/>
      <c r="B172" s="27"/>
      <c r="C172" s="27"/>
      <c r="D172" s="65"/>
      <c r="E172" s="64"/>
      <c r="F172" s="64"/>
      <c r="G172" s="64"/>
      <c r="H172" s="64"/>
      <c r="I172" s="64"/>
      <c r="J172" s="64"/>
      <c r="K172" s="64"/>
      <c r="L172" s="64"/>
      <c r="M172" s="64"/>
      <c r="N172" s="43"/>
      <c r="O172" s="333" t="s">
        <v>176</v>
      </c>
      <c r="P172" s="333"/>
      <c r="Q172" s="333"/>
      <c r="R172" s="333"/>
      <c r="S172" s="332">
        <v>200000</v>
      </c>
      <c r="T172" s="288" t="s">
        <v>55</v>
      </c>
      <c r="U172" s="288" t="s">
        <v>26</v>
      </c>
      <c r="V172" s="332">
        <v>12</v>
      </c>
      <c r="W172" s="288" t="s">
        <v>0</v>
      </c>
      <c r="X172" s="334" t="s">
        <v>27</v>
      </c>
      <c r="Y172" s="335"/>
      <c r="Z172" s="334"/>
      <c r="AA172" s="334"/>
      <c r="AB172" s="334" t="s">
        <v>137</v>
      </c>
      <c r="AC172" s="332"/>
      <c r="AD172" s="332">
        <f>S172*V172</f>
        <v>2400000</v>
      </c>
      <c r="AE172" s="385" t="s">
        <v>25</v>
      </c>
      <c r="AF172" s="505"/>
      <c r="AG172" s="505"/>
      <c r="AH172" s="505"/>
    </row>
    <row r="173" spans="1:34" s="7" customFormat="1" ht="21" customHeight="1">
      <c r="A173" s="26"/>
      <c r="B173" s="27"/>
      <c r="C173" s="35"/>
      <c r="D173" s="76"/>
      <c r="E173" s="66"/>
      <c r="F173" s="66"/>
      <c r="G173" s="66"/>
      <c r="H173" s="66"/>
      <c r="I173" s="66"/>
      <c r="J173" s="66"/>
      <c r="K173" s="66"/>
      <c r="L173" s="66"/>
      <c r="M173" s="66"/>
      <c r="N173" s="52"/>
      <c r="O173" s="576"/>
      <c r="P173" s="576"/>
      <c r="Q173" s="576"/>
      <c r="R173" s="576"/>
      <c r="S173" s="575"/>
      <c r="T173" s="228"/>
      <c r="U173" s="420"/>
      <c r="V173" s="659"/>
      <c r="W173" s="660"/>
      <c r="X173" s="420"/>
      <c r="Y173" s="231"/>
      <c r="Z173" s="420"/>
      <c r="AA173" s="420"/>
      <c r="AB173" s="420"/>
      <c r="AC173" s="575"/>
      <c r="AD173" s="597"/>
      <c r="AE173" s="405"/>
      <c r="AF173" s="505"/>
      <c r="AG173" s="505"/>
      <c r="AH173" s="505"/>
    </row>
    <row r="174" spans="1:34" s="7" customFormat="1" ht="21" customHeight="1">
      <c r="A174" s="26"/>
      <c r="B174" s="27"/>
      <c r="C174" s="18" t="s">
        <v>71</v>
      </c>
      <c r="D174" s="77">
        <v>136532</v>
      </c>
      <c r="E174" s="68">
        <f>ROUND(AD174/1000,0)</f>
        <v>111034</v>
      </c>
      <c r="F174" s="69">
        <f>SUMIF($AB$176:$AB$202,"보조",$AD$176:$AD$202)/1000</f>
        <v>0</v>
      </c>
      <c r="G174" s="69">
        <f>SUMIF($AB$176:$AB$202,"6종",$AD$176:$AD$202)/1000</f>
        <v>0</v>
      </c>
      <c r="H174" s="69">
        <f>SUMIF($AB$176:$AB$202,"4종",$AD$176:$AD$202)/1000</f>
        <v>0</v>
      </c>
      <c r="I174" s="69">
        <f>SUMIF($AB$176:$AB$202,"후원",$AD$176:$AD$202)/1000</f>
        <v>7200</v>
      </c>
      <c r="J174" s="69">
        <f>SUMIF($AB$176:$AB$202,"입소",$AD$176:$AD$202)/1000</f>
        <v>0</v>
      </c>
      <c r="K174" s="69">
        <f>SUMIF($AB$176:$AB$202,"법인",$AD$176:$AD$202)/1000</f>
        <v>39494</v>
      </c>
      <c r="L174" s="69">
        <f>SUMIF($AB$176:$AB$202,"잡수",$AD$176:$AD$202)/1000</f>
        <v>64340</v>
      </c>
      <c r="M174" s="75">
        <f>E174-D174</f>
        <v>-25498</v>
      </c>
      <c r="N174" s="73">
        <f>IF(D174=0,0,M174/D174)</f>
        <v>-0.1867547534643893</v>
      </c>
      <c r="O174" s="177" t="s">
        <v>226</v>
      </c>
      <c r="P174" s="183"/>
      <c r="Q174" s="183"/>
      <c r="R174" s="183"/>
      <c r="S174" s="183"/>
      <c r="T174" s="437"/>
      <c r="U174" s="437"/>
      <c r="V174" s="184"/>
      <c r="W174" s="437"/>
      <c r="X174" s="437"/>
      <c r="Y174" s="185" t="s">
        <v>130</v>
      </c>
      <c r="Z174" s="441"/>
      <c r="AA174" s="441"/>
      <c r="AB174" s="441"/>
      <c r="AC174" s="185"/>
      <c r="AD174" s="185">
        <f>SUM(AD175,AD191)</f>
        <v>111034000</v>
      </c>
      <c r="AE174" s="479" t="s">
        <v>25</v>
      </c>
      <c r="AF174" s="505"/>
      <c r="AG174" s="505"/>
      <c r="AH174" s="505"/>
    </row>
    <row r="175" spans="1:34" s="7" customFormat="1" ht="21" customHeight="1">
      <c r="A175" s="26"/>
      <c r="B175" s="27"/>
      <c r="C175" s="27"/>
      <c r="D175" s="347"/>
      <c r="E175" s="345"/>
      <c r="F175" s="345"/>
      <c r="G175" s="345"/>
      <c r="H175" s="345"/>
      <c r="I175" s="345"/>
      <c r="J175" s="345"/>
      <c r="K175" s="345"/>
      <c r="L175" s="345"/>
      <c r="M175" s="64"/>
      <c r="N175" s="43"/>
      <c r="O175" s="177" t="s">
        <v>72</v>
      </c>
      <c r="P175" s="229"/>
      <c r="Q175" s="229"/>
      <c r="R175" s="229"/>
      <c r="S175" s="229"/>
      <c r="T175" s="438"/>
      <c r="U175" s="438"/>
      <c r="V175" s="363"/>
      <c r="W175" s="438"/>
      <c r="X175" s="438"/>
      <c r="Y175" s="185" t="s">
        <v>127</v>
      </c>
      <c r="Z175" s="441"/>
      <c r="AA175" s="441"/>
      <c r="AB175" s="441"/>
      <c r="AC175" s="185"/>
      <c r="AD175" s="185">
        <f>SUM(AD177:AD190)</f>
        <v>45694000</v>
      </c>
      <c r="AE175" s="479" t="s">
        <v>25</v>
      </c>
      <c r="AF175" s="505"/>
      <c r="AG175" s="505"/>
      <c r="AH175" s="505"/>
    </row>
    <row r="176" spans="1:34" s="7" customFormat="1" ht="20.25" customHeight="1">
      <c r="A176" s="26"/>
      <c r="B176" s="27"/>
      <c r="C176" s="27"/>
      <c r="D176" s="347"/>
      <c r="E176" s="345"/>
      <c r="F176" s="345"/>
      <c r="G176" s="346"/>
      <c r="H176" s="345"/>
      <c r="I176" s="345"/>
      <c r="J176" s="346"/>
      <c r="K176" s="345"/>
      <c r="L176" s="345"/>
      <c r="M176" s="64"/>
      <c r="N176" s="43"/>
      <c r="O176" s="333" t="s">
        <v>741</v>
      </c>
      <c r="P176" s="333"/>
      <c r="Q176" s="333"/>
      <c r="R176" s="333"/>
      <c r="S176" s="222"/>
      <c r="T176" s="334"/>
      <c r="U176" s="334"/>
      <c r="V176" s="332"/>
      <c r="W176" s="334"/>
      <c r="X176" s="334"/>
      <c r="Y176" s="335"/>
      <c r="Z176" s="334"/>
      <c r="AA176" s="334"/>
      <c r="AB176" s="334"/>
      <c r="AC176" s="335"/>
      <c r="AD176" s="335"/>
      <c r="AE176" s="385"/>
      <c r="AF176" s="505"/>
      <c r="AG176" s="505"/>
      <c r="AH176" s="505"/>
    </row>
    <row r="177" spans="1:34" s="7" customFormat="1" ht="20.25" customHeight="1">
      <c r="A177" s="26"/>
      <c r="B177" s="27"/>
      <c r="C177" s="27"/>
      <c r="D177" s="348"/>
      <c r="E177" s="346"/>
      <c r="F177" s="346"/>
      <c r="G177" s="346"/>
      <c r="H177" s="346"/>
      <c r="I177" s="346"/>
      <c r="J177" s="346"/>
      <c r="K177" s="346"/>
      <c r="L177" s="346"/>
      <c r="M177" s="64"/>
      <c r="N177" s="43"/>
      <c r="O177" s="333" t="s">
        <v>742</v>
      </c>
      <c r="P177" s="333"/>
      <c r="Q177" s="333"/>
      <c r="R177" s="333"/>
      <c r="S177" s="335"/>
      <c r="T177" s="334"/>
      <c r="U177" s="221"/>
      <c r="V177" s="332"/>
      <c r="W177" s="334"/>
      <c r="X177" s="221"/>
      <c r="Y177" s="335"/>
      <c r="Z177" s="334"/>
      <c r="AA177" s="334"/>
      <c r="AB177" s="334" t="s">
        <v>151</v>
      </c>
      <c r="AC177" s="335"/>
      <c r="AD177" s="335">
        <v>4500000</v>
      </c>
      <c r="AE177" s="385" t="s">
        <v>55</v>
      </c>
      <c r="AF177" s="505"/>
      <c r="AG177" s="505"/>
      <c r="AH177" s="505"/>
    </row>
    <row r="178" spans="1:34" s="7" customFormat="1" ht="20.25" customHeight="1">
      <c r="A178" s="26"/>
      <c r="B178" s="27"/>
      <c r="C178" s="27"/>
      <c r="D178" s="78"/>
      <c r="E178" s="64"/>
      <c r="F178" s="64"/>
      <c r="G178" s="64"/>
      <c r="H178" s="64"/>
      <c r="I178" s="64"/>
      <c r="J178" s="64"/>
      <c r="K178" s="64"/>
      <c r="L178" s="64"/>
      <c r="M178" s="64"/>
      <c r="N178" s="43"/>
      <c r="O178" s="333" t="s">
        <v>743</v>
      </c>
      <c r="P178" s="333"/>
      <c r="Q178" s="333"/>
      <c r="R178" s="333"/>
      <c r="S178" s="332">
        <v>50000</v>
      </c>
      <c r="T178" s="334" t="s">
        <v>55</v>
      </c>
      <c r="U178" s="221" t="s">
        <v>56</v>
      </c>
      <c r="V178" s="332">
        <v>10</v>
      </c>
      <c r="W178" s="334" t="s">
        <v>54</v>
      </c>
      <c r="X178" s="221"/>
      <c r="Y178" s="335"/>
      <c r="Z178" s="334"/>
      <c r="AA178" s="334" t="s">
        <v>53</v>
      </c>
      <c r="AB178" s="334" t="s">
        <v>151</v>
      </c>
      <c r="AC178" s="335"/>
      <c r="AD178" s="335">
        <f>S178*V178</f>
        <v>500000</v>
      </c>
      <c r="AE178" s="385" t="s">
        <v>55</v>
      </c>
      <c r="AF178" s="505"/>
      <c r="AG178" s="505"/>
      <c r="AH178" s="505"/>
    </row>
    <row r="179" spans="1:34" s="7" customFormat="1" ht="20.25" customHeight="1">
      <c r="A179" s="26"/>
      <c r="B179" s="27"/>
      <c r="C179" s="27"/>
      <c r="D179" s="78"/>
      <c r="E179" s="64"/>
      <c r="F179" s="64"/>
      <c r="G179" s="64"/>
      <c r="H179" s="64"/>
      <c r="I179" s="64"/>
      <c r="J179" s="64"/>
      <c r="K179" s="64"/>
      <c r="L179" s="64"/>
      <c r="M179" s="64"/>
      <c r="N179" s="43"/>
      <c r="O179" s="333" t="s">
        <v>744</v>
      </c>
      <c r="P179" s="333"/>
      <c r="Q179" s="333"/>
      <c r="R179" s="333"/>
      <c r="S179" s="222"/>
      <c r="T179" s="334"/>
      <c r="U179" s="334"/>
      <c r="V179" s="332"/>
      <c r="W179" s="334"/>
      <c r="X179" s="334"/>
      <c r="Y179" s="335"/>
      <c r="Z179" s="334"/>
      <c r="AA179" s="334"/>
      <c r="AB179" s="334"/>
      <c r="AC179" s="335"/>
      <c r="AD179" s="335"/>
      <c r="AE179" s="385"/>
      <c r="AF179" s="505"/>
      <c r="AG179" s="505"/>
      <c r="AH179" s="505"/>
    </row>
    <row r="180" spans="1:34" s="7" customFormat="1" ht="20.25" customHeight="1">
      <c r="A180" s="26"/>
      <c r="B180" s="27"/>
      <c r="C180" s="27"/>
      <c r="D180" s="78"/>
      <c r="E180" s="64"/>
      <c r="F180" s="64"/>
      <c r="G180" s="64"/>
      <c r="H180" s="64"/>
      <c r="I180" s="64"/>
      <c r="J180" s="64"/>
      <c r="K180" s="64"/>
      <c r="L180" s="64"/>
      <c r="M180" s="64"/>
      <c r="N180" s="43"/>
      <c r="O180" s="333" t="s">
        <v>745</v>
      </c>
      <c r="P180" s="333"/>
      <c r="Q180" s="333"/>
      <c r="R180" s="333"/>
      <c r="S180" s="332"/>
      <c r="T180" s="334"/>
      <c r="U180" s="221"/>
      <c r="V180" s="332"/>
      <c r="W180" s="334"/>
      <c r="X180" s="221"/>
      <c r="Y180" s="335"/>
      <c r="Z180" s="334"/>
      <c r="AA180" s="334" t="s">
        <v>53</v>
      </c>
      <c r="AB180" s="334" t="s">
        <v>151</v>
      </c>
      <c r="AC180" s="335"/>
      <c r="AD180" s="335">
        <v>5000000</v>
      </c>
      <c r="AE180" s="385" t="s">
        <v>55</v>
      </c>
      <c r="AF180" s="505"/>
      <c r="AG180" s="505"/>
      <c r="AH180" s="505"/>
    </row>
    <row r="181" spans="1:34" s="7" customFormat="1" ht="20.25" customHeight="1">
      <c r="A181" s="26"/>
      <c r="B181" s="27"/>
      <c r="C181" s="27"/>
      <c r="D181" s="78"/>
      <c r="E181" s="64"/>
      <c r="F181" s="64"/>
      <c r="G181" s="64"/>
      <c r="H181" s="64"/>
      <c r="I181" s="64"/>
      <c r="J181" s="64"/>
      <c r="K181" s="64"/>
      <c r="L181" s="64"/>
      <c r="M181" s="64"/>
      <c r="N181" s="43"/>
      <c r="O181" s="333" t="s">
        <v>746</v>
      </c>
      <c r="P181" s="333"/>
      <c r="Q181" s="333"/>
      <c r="R181" s="333"/>
      <c r="S181" s="332"/>
      <c r="T181" s="334"/>
      <c r="U181" s="221"/>
      <c r="V181" s="332"/>
      <c r="W181" s="334"/>
      <c r="X181" s="221"/>
      <c r="Y181" s="335"/>
      <c r="Z181" s="334"/>
      <c r="AA181" s="334" t="s">
        <v>53</v>
      </c>
      <c r="AB181" s="334" t="s">
        <v>151</v>
      </c>
      <c r="AC181" s="335"/>
      <c r="AD181" s="335">
        <v>15000000</v>
      </c>
      <c r="AE181" s="385" t="s">
        <v>55</v>
      </c>
      <c r="AF181" s="505"/>
      <c r="AG181" s="505"/>
      <c r="AH181" s="505"/>
    </row>
    <row r="182" spans="1:34" s="7" customFormat="1" ht="20.25" customHeight="1">
      <c r="A182" s="26"/>
      <c r="B182" s="27"/>
      <c r="C182" s="27"/>
      <c r="D182" s="78"/>
      <c r="E182" s="64"/>
      <c r="F182" s="64"/>
      <c r="G182" s="64"/>
      <c r="H182" s="64"/>
      <c r="I182" s="64"/>
      <c r="J182" s="64"/>
      <c r="K182" s="64"/>
      <c r="L182" s="64"/>
      <c r="M182" s="64"/>
      <c r="N182" s="43"/>
      <c r="O182" s="333" t="s">
        <v>579</v>
      </c>
      <c r="P182" s="333"/>
      <c r="Q182" s="333"/>
      <c r="R182" s="333"/>
      <c r="S182" s="332">
        <v>2500000</v>
      </c>
      <c r="T182" s="288" t="s">
        <v>55</v>
      </c>
      <c r="U182" s="288" t="s">
        <v>26</v>
      </c>
      <c r="V182" s="332"/>
      <c r="W182" s="288"/>
      <c r="X182" s="221"/>
      <c r="Y182" s="335">
        <v>1</v>
      </c>
      <c r="Z182" s="334" t="s">
        <v>61</v>
      </c>
      <c r="AA182" s="334" t="s">
        <v>53</v>
      </c>
      <c r="AB182" s="334" t="s">
        <v>151</v>
      </c>
      <c r="AC182" s="335"/>
      <c r="AD182" s="332">
        <f>S182*Y182</f>
        <v>2500000</v>
      </c>
      <c r="AE182" s="385" t="s">
        <v>55</v>
      </c>
      <c r="AF182" s="505"/>
      <c r="AG182" s="505"/>
      <c r="AH182" s="505"/>
    </row>
    <row r="183" spans="1:34" s="7" customFormat="1" ht="20.25" customHeight="1">
      <c r="A183" s="26"/>
      <c r="B183" s="27"/>
      <c r="C183" s="27"/>
      <c r="D183" s="78"/>
      <c r="E183" s="64"/>
      <c r="F183" s="64"/>
      <c r="G183" s="64"/>
      <c r="H183" s="64"/>
      <c r="I183" s="64"/>
      <c r="J183" s="64"/>
      <c r="K183" s="64"/>
      <c r="L183" s="64"/>
      <c r="M183" s="64"/>
      <c r="N183" s="43"/>
      <c r="O183" s="333" t="s">
        <v>700</v>
      </c>
      <c r="P183" s="333"/>
      <c r="Q183" s="333"/>
      <c r="R183" s="333"/>
      <c r="S183" s="332">
        <v>20000</v>
      </c>
      <c r="T183" s="288" t="s">
        <v>55</v>
      </c>
      <c r="U183" s="288" t="s">
        <v>26</v>
      </c>
      <c r="V183" s="332">
        <v>14</v>
      </c>
      <c r="W183" s="288" t="s">
        <v>54</v>
      </c>
      <c r="X183" s="221" t="s">
        <v>56</v>
      </c>
      <c r="Y183" s="335">
        <v>2</v>
      </c>
      <c r="Z183" s="334" t="s">
        <v>61</v>
      </c>
      <c r="AA183" s="334" t="s">
        <v>53</v>
      </c>
      <c r="AB183" s="225" t="s">
        <v>151</v>
      </c>
      <c r="AC183" s="222"/>
      <c r="AD183" s="332">
        <f>S183*V183*Y183</f>
        <v>560000</v>
      </c>
      <c r="AE183" s="400" t="s">
        <v>25</v>
      </c>
      <c r="AF183" s="505"/>
      <c r="AG183" s="505"/>
      <c r="AH183" s="505"/>
    </row>
    <row r="184" spans="1:34" s="7" customFormat="1" ht="20.25" customHeight="1">
      <c r="A184" s="26"/>
      <c r="B184" s="27"/>
      <c r="C184" s="27"/>
      <c r="D184" s="78"/>
      <c r="E184" s="64"/>
      <c r="F184" s="64"/>
      <c r="G184" s="64"/>
      <c r="H184" s="64"/>
      <c r="I184" s="64"/>
      <c r="J184" s="64"/>
      <c r="K184" s="64"/>
      <c r="L184" s="64"/>
      <c r="M184" s="64"/>
      <c r="N184" s="43"/>
      <c r="O184" s="333" t="s">
        <v>701</v>
      </c>
      <c r="P184" s="333"/>
      <c r="Q184" s="333"/>
      <c r="R184" s="333"/>
      <c r="S184" s="332"/>
      <c r="T184" s="288"/>
      <c r="U184" s="288" t="s">
        <v>26</v>
      </c>
      <c r="V184" s="332"/>
      <c r="W184" s="288"/>
      <c r="X184" s="334" t="s">
        <v>27</v>
      </c>
      <c r="Y184" s="227"/>
      <c r="Z184" s="334"/>
      <c r="AA184" s="225"/>
      <c r="AB184" s="225" t="s">
        <v>151</v>
      </c>
      <c r="AC184" s="222"/>
      <c r="AD184" s="332">
        <v>200000</v>
      </c>
      <c r="AE184" s="400" t="s">
        <v>55</v>
      </c>
      <c r="AF184" s="505"/>
      <c r="AG184" s="505"/>
      <c r="AH184" s="505"/>
    </row>
    <row r="185" spans="1:34" s="7" customFormat="1" ht="20.25" customHeight="1">
      <c r="A185" s="26"/>
      <c r="B185" s="27"/>
      <c r="C185" s="27"/>
      <c r="D185" s="78"/>
      <c r="E185" s="64"/>
      <c r="F185" s="64"/>
      <c r="G185" s="64"/>
      <c r="H185" s="64"/>
      <c r="I185" s="64"/>
      <c r="J185" s="64"/>
      <c r="K185" s="64"/>
      <c r="L185" s="64"/>
      <c r="M185" s="64"/>
      <c r="N185" s="43"/>
      <c r="O185" s="333" t="s">
        <v>702</v>
      </c>
      <c r="P185" s="333"/>
      <c r="Q185" s="333"/>
      <c r="R185" s="333"/>
      <c r="S185" s="332">
        <v>50000</v>
      </c>
      <c r="T185" s="334" t="s">
        <v>55</v>
      </c>
      <c r="U185" s="221" t="s">
        <v>56</v>
      </c>
      <c r="V185" s="332">
        <v>45</v>
      </c>
      <c r="W185" s="334" t="s">
        <v>54</v>
      </c>
      <c r="X185" s="221" t="s">
        <v>56</v>
      </c>
      <c r="Y185" s="335">
        <v>1</v>
      </c>
      <c r="Z185" s="334" t="s">
        <v>61</v>
      </c>
      <c r="AA185" s="334" t="s">
        <v>53</v>
      </c>
      <c r="AB185" s="334" t="s">
        <v>151</v>
      </c>
      <c r="AC185" s="335"/>
      <c r="AD185" s="335">
        <f>S185*V185*Y185</f>
        <v>2250000</v>
      </c>
      <c r="AE185" s="385" t="s">
        <v>55</v>
      </c>
      <c r="AF185" s="505"/>
      <c r="AG185" s="505"/>
      <c r="AH185" s="505"/>
    </row>
    <row r="186" spans="1:34" s="7" customFormat="1" ht="20.25" customHeight="1">
      <c r="A186" s="26"/>
      <c r="B186" s="27"/>
      <c r="C186" s="28"/>
      <c r="D186" s="78"/>
      <c r="E186" s="64"/>
      <c r="F186" s="64"/>
      <c r="G186" s="64"/>
      <c r="H186" s="64"/>
      <c r="I186" s="64"/>
      <c r="J186" s="64"/>
      <c r="K186" s="64"/>
      <c r="L186" s="64"/>
      <c r="M186" s="64"/>
      <c r="N186" s="43"/>
      <c r="O186" s="333" t="s">
        <v>767</v>
      </c>
      <c r="P186" s="333"/>
      <c r="Q186" s="333"/>
      <c r="R186" s="333"/>
      <c r="S186" s="332"/>
      <c r="T186" s="334"/>
      <c r="U186" s="221"/>
      <c r="V186" s="332"/>
      <c r="W186" s="334"/>
      <c r="X186" s="221"/>
      <c r="Y186" s="335"/>
      <c r="Z186" s="334"/>
      <c r="AA186" s="334"/>
      <c r="AB186" s="334" t="s">
        <v>739</v>
      </c>
      <c r="AC186" s="335"/>
      <c r="AD186" s="335">
        <v>1500000</v>
      </c>
      <c r="AE186" s="385" t="s">
        <v>25</v>
      </c>
      <c r="AF186" s="505"/>
      <c r="AG186" s="505"/>
      <c r="AH186" s="505"/>
    </row>
    <row r="187" spans="1:34" s="7" customFormat="1" ht="20.25" customHeight="1">
      <c r="A187" s="26"/>
      <c r="B187" s="27"/>
      <c r="C187" s="28"/>
      <c r="D187" s="78"/>
      <c r="E187" s="64"/>
      <c r="F187" s="64"/>
      <c r="G187" s="64"/>
      <c r="H187" s="64"/>
      <c r="I187" s="64"/>
      <c r="J187" s="64"/>
      <c r="K187" s="64"/>
      <c r="L187" s="64"/>
      <c r="M187" s="64"/>
      <c r="N187" s="43"/>
      <c r="O187" s="333" t="s">
        <v>768</v>
      </c>
      <c r="P187" s="333"/>
      <c r="Q187" s="333"/>
      <c r="R187" s="333"/>
      <c r="S187" s="332"/>
      <c r="T187" s="334"/>
      <c r="U187" s="221"/>
      <c r="V187" s="332"/>
      <c r="W187" s="334"/>
      <c r="X187" s="221"/>
      <c r="Y187" s="335"/>
      <c r="Z187" s="334"/>
      <c r="AA187" s="334"/>
      <c r="AB187" s="334" t="s">
        <v>739</v>
      </c>
      <c r="AC187" s="335"/>
      <c r="AD187" s="335">
        <f>1600000+884000</f>
        <v>2484000</v>
      </c>
      <c r="AE187" s="385" t="s">
        <v>25</v>
      </c>
      <c r="AF187" s="505"/>
      <c r="AG187" s="505"/>
      <c r="AH187" s="505"/>
    </row>
    <row r="188" spans="1:34" s="7" customFormat="1" ht="20.25" customHeight="1">
      <c r="A188" s="26"/>
      <c r="B188" s="27"/>
      <c r="C188" s="28"/>
      <c r="D188" s="78"/>
      <c r="E188" s="64"/>
      <c r="F188" s="64"/>
      <c r="G188" s="64"/>
      <c r="H188" s="64"/>
      <c r="I188" s="64"/>
      <c r="J188" s="64"/>
      <c r="K188" s="64"/>
      <c r="L188" s="64"/>
      <c r="M188" s="64"/>
      <c r="N188" s="43"/>
      <c r="O188" s="333" t="s">
        <v>769</v>
      </c>
      <c r="P188" s="333"/>
      <c r="Q188" s="333"/>
      <c r="R188" s="333"/>
      <c r="S188" s="332"/>
      <c r="T188" s="334"/>
      <c r="U188" s="221"/>
      <c r="V188" s="332"/>
      <c r="W188" s="334"/>
      <c r="X188" s="221"/>
      <c r="Y188" s="335"/>
      <c r="Z188" s="334"/>
      <c r="AA188" s="334"/>
      <c r="AB188" s="334" t="s">
        <v>739</v>
      </c>
      <c r="AC188" s="335"/>
      <c r="AD188" s="335">
        <v>0</v>
      </c>
      <c r="AE188" s="385" t="s">
        <v>25</v>
      </c>
      <c r="AF188" s="505"/>
      <c r="AG188" s="505"/>
      <c r="AH188" s="505"/>
    </row>
    <row r="189" spans="1:34" s="7" customFormat="1" ht="20.25" customHeight="1">
      <c r="A189" s="26"/>
      <c r="B189" s="27"/>
      <c r="C189" s="28"/>
      <c r="D189" s="78"/>
      <c r="E189" s="64"/>
      <c r="F189" s="64"/>
      <c r="G189" s="64"/>
      <c r="H189" s="64"/>
      <c r="I189" s="64"/>
      <c r="J189" s="64"/>
      <c r="K189" s="64"/>
      <c r="L189" s="64"/>
      <c r="M189" s="64"/>
      <c r="N189" s="43"/>
      <c r="O189" s="333" t="s">
        <v>796</v>
      </c>
      <c r="P189" s="333"/>
      <c r="Q189" s="333"/>
      <c r="R189" s="333"/>
      <c r="S189" s="332"/>
      <c r="T189" s="334"/>
      <c r="U189" s="221"/>
      <c r="V189" s="332"/>
      <c r="W189" s="334" t="s">
        <v>795</v>
      </c>
      <c r="X189" s="221"/>
      <c r="Y189" s="335"/>
      <c r="Z189" s="334"/>
      <c r="AA189" s="334"/>
      <c r="AB189" s="334" t="s">
        <v>794</v>
      </c>
      <c r="AC189" s="335"/>
      <c r="AD189" s="335">
        <v>7200000</v>
      </c>
      <c r="AE189" s="385" t="s">
        <v>25</v>
      </c>
      <c r="AF189" s="505"/>
      <c r="AG189" s="505"/>
      <c r="AH189" s="505"/>
    </row>
    <row r="190" spans="1:34" s="7" customFormat="1" ht="20.25" customHeight="1">
      <c r="A190" s="26"/>
      <c r="B190" s="27"/>
      <c r="C190" s="28"/>
      <c r="D190" s="78"/>
      <c r="E190" s="64"/>
      <c r="F190" s="64"/>
      <c r="G190" s="64"/>
      <c r="H190" s="64"/>
      <c r="I190" s="64"/>
      <c r="J190" s="64"/>
      <c r="K190" s="64"/>
      <c r="L190" s="64"/>
      <c r="M190" s="64"/>
      <c r="N190" s="43"/>
      <c r="O190" s="333"/>
      <c r="P190" s="333"/>
      <c r="Q190" s="333"/>
      <c r="R190" s="333"/>
      <c r="S190" s="332"/>
      <c r="T190" s="288"/>
      <c r="U190" s="288"/>
      <c r="V190" s="332"/>
      <c r="W190" s="288"/>
      <c r="X190" s="334"/>
      <c r="Y190" s="227"/>
      <c r="Z190" s="334"/>
      <c r="AA190" s="225"/>
      <c r="AB190" s="225" t="s">
        <v>824</v>
      </c>
      <c r="AC190" s="222"/>
      <c r="AD190" s="332">
        <v>4000000</v>
      </c>
      <c r="AE190" s="400" t="s">
        <v>825</v>
      </c>
      <c r="AF190" s="505"/>
      <c r="AG190" s="505"/>
      <c r="AH190" s="505"/>
    </row>
    <row r="191" spans="1:34" s="7" customFormat="1" ht="20.25" customHeight="1">
      <c r="A191" s="26"/>
      <c r="B191" s="27"/>
      <c r="C191" s="28"/>
      <c r="D191" s="78"/>
      <c r="E191" s="64"/>
      <c r="F191" s="64"/>
      <c r="G191" s="64"/>
      <c r="H191" s="64"/>
      <c r="I191" s="64"/>
      <c r="J191" s="64"/>
      <c r="K191" s="64"/>
      <c r="L191" s="64"/>
      <c r="M191" s="64"/>
      <c r="N191" s="43"/>
      <c r="O191" s="177" t="s">
        <v>226</v>
      </c>
      <c r="P191" s="333"/>
      <c r="Q191" s="333"/>
      <c r="R191" s="333"/>
      <c r="S191" s="332"/>
      <c r="T191" s="288"/>
      <c r="U191" s="288"/>
      <c r="V191" s="332"/>
      <c r="W191" s="288"/>
      <c r="X191" s="334"/>
      <c r="Y191" s="185" t="s">
        <v>127</v>
      </c>
      <c r="Z191" s="441"/>
      <c r="AA191" s="441"/>
      <c r="AB191" s="441"/>
      <c r="AC191" s="185"/>
      <c r="AD191" s="185">
        <f>SUM(AD192:AD202)</f>
        <v>65340000</v>
      </c>
      <c r="AE191" s="479" t="s">
        <v>25</v>
      </c>
      <c r="AF191" s="505"/>
      <c r="AG191" s="505"/>
      <c r="AH191" s="505"/>
    </row>
    <row r="192" spans="1:34" s="7" customFormat="1" ht="21" customHeight="1">
      <c r="A192" s="26"/>
      <c r="B192" s="27"/>
      <c r="C192" s="27"/>
      <c r="D192" s="86"/>
      <c r="E192" s="64"/>
      <c r="F192" s="64"/>
      <c r="G192" s="64"/>
      <c r="H192" s="64"/>
      <c r="I192" s="64"/>
      <c r="J192" s="64"/>
      <c r="K192" s="64"/>
      <c r="L192" s="64"/>
      <c r="M192" s="64"/>
      <c r="N192" s="43"/>
      <c r="O192" s="333" t="s">
        <v>285</v>
      </c>
      <c r="P192" s="333"/>
      <c r="Q192" s="332"/>
      <c r="R192" s="332"/>
      <c r="S192" s="332">
        <v>20000</v>
      </c>
      <c r="T192" s="225" t="s">
        <v>55</v>
      </c>
      <c r="U192" s="221" t="s">
        <v>56</v>
      </c>
      <c r="V192" s="222">
        <v>5</v>
      </c>
      <c r="W192" s="334" t="s">
        <v>54</v>
      </c>
      <c r="X192" s="221" t="s">
        <v>56</v>
      </c>
      <c r="Y192" s="227">
        <v>2</v>
      </c>
      <c r="Z192" s="225" t="s">
        <v>61</v>
      </c>
      <c r="AA192" s="445" t="s">
        <v>53</v>
      </c>
      <c r="AB192" s="225" t="s">
        <v>85</v>
      </c>
      <c r="AC192" s="222"/>
      <c r="AD192" s="335">
        <f>S192*V192*Y192</f>
        <v>200000</v>
      </c>
      <c r="AE192" s="400" t="s">
        <v>55</v>
      </c>
      <c r="AF192" s="505"/>
      <c r="AG192" s="505"/>
      <c r="AH192" s="505"/>
    </row>
    <row r="193" spans="1:34" s="7" customFormat="1" ht="21" customHeight="1">
      <c r="A193" s="26"/>
      <c r="B193" s="27"/>
      <c r="C193" s="27"/>
      <c r="D193" s="86"/>
      <c r="E193" s="64"/>
      <c r="F193" s="64"/>
      <c r="G193" s="64"/>
      <c r="H193" s="64"/>
      <c r="I193" s="64"/>
      <c r="J193" s="64"/>
      <c r="K193" s="64"/>
      <c r="L193" s="64"/>
      <c r="M193" s="64"/>
      <c r="N193" s="43"/>
      <c r="O193" s="333" t="s">
        <v>286</v>
      </c>
      <c r="P193" s="333"/>
      <c r="Q193" s="333"/>
      <c r="R193" s="333"/>
      <c r="S193" s="332"/>
      <c r="T193" s="225"/>
      <c r="U193" s="225"/>
      <c r="V193" s="222"/>
      <c r="W193" s="334"/>
      <c r="X193" s="225"/>
      <c r="Y193" s="227"/>
      <c r="Z193" s="225"/>
      <c r="AA193" s="334"/>
      <c r="AB193" s="225" t="s">
        <v>85</v>
      </c>
      <c r="AC193" s="222"/>
      <c r="AD193" s="332">
        <v>200000</v>
      </c>
      <c r="AE193" s="385" t="s">
        <v>55</v>
      </c>
      <c r="AF193" s="505"/>
      <c r="AG193" s="505"/>
      <c r="AH193" s="505"/>
    </row>
    <row r="194" spans="1:34" s="7" customFormat="1" ht="21" customHeight="1">
      <c r="A194" s="26"/>
      <c r="B194" s="27"/>
      <c r="C194" s="27"/>
      <c r="D194" s="86"/>
      <c r="E194" s="64"/>
      <c r="F194" s="64"/>
      <c r="G194" s="64"/>
      <c r="H194" s="64"/>
      <c r="I194" s="64"/>
      <c r="J194" s="64"/>
      <c r="K194" s="64"/>
      <c r="L194" s="64"/>
      <c r="M194" s="64"/>
      <c r="N194" s="43"/>
      <c r="O194" s="333" t="s">
        <v>830</v>
      </c>
      <c r="P194" s="333"/>
      <c r="Q194" s="333"/>
      <c r="R194" s="333"/>
      <c r="S194" s="332"/>
      <c r="T194" s="225"/>
      <c r="U194" s="225"/>
      <c r="V194" s="222"/>
      <c r="W194" s="334"/>
      <c r="X194" s="225"/>
      <c r="Y194" s="227"/>
      <c r="Z194" s="225"/>
      <c r="AA194" s="334"/>
      <c r="AB194" s="225" t="s">
        <v>85</v>
      </c>
      <c r="AC194" s="222"/>
      <c r="AD194" s="332">
        <v>100000</v>
      </c>
      <c r="AE194" s="385" t="s">
        <v>55</v>
      </c>
      <c r="AF194" s="505"/>
      <c r="AG194" s="505"/>
      <c r="AH194" s="505"/>
    </row>
    <row r="195" spans="1:34" s="7" customFormat="1" ht="21" customHeight="1">
      <c r="A195" s="26"/>
      <c r="B195" s="27"/>
      <c r="C195" s="27"/>
      <c r="D195" s="86"/>
      <c r="E195" s="64"/>
      <c r="F195" s="64"/>
      <c r="G195" s="64"/>
      <c r="H195" s="64"/>
      <c r="I195" s="64"/>
      <c r="J195" s="64"/>
      <c r="K195" s="64"/>
      <c r="L195" s="64"/>
      <c r="M195" s="64"/>
      <c r="N195" s="43"/>
      <c r="O195" s="172" t="s">
        <v>558</v>
      </c>
      <c r="P195" s="332"/>
      <c r="Q195" s="332"/>
      <c r="R195" s="332"/>
      <c r="S195" s="332">
        <v>70000</v>
      </c>
      <c r="T195" s="334" t="s">
        <v>55</v>
      </c>
      <c r="U195" s="288" t="s">
        <v>56</v>
      </c>
      <c r="V195" s="332">
        <v>44</v>
      </c>
      <c r="W195" s="288" t="s">
        <v>54</v>
      </c>
      <c r="X195" s="288" t="s">
        <v>56</v>
      </c>
      <c r="Y195" s="335">
        <v>12</v>
      </c>
      <c r="Z195" s="334" t="s">
        <v>0</v>
      </c>
      <c r="AA195" s="334" t="s">
        <v>53</v>
      </c>
      <c r="AB195" s="334" t="s">
        <v>85</v>
      </c>
      <c r="AC195" s="333"/>
      <c r="AD195" s="332">
        <f>ROUND(S195*V195*Y195,-3)</f>
        <v>36960000</v>
      </c>
      <c r="AE195" s="385" t="s">
        <v>55</v>
      </c>
      <c r="AF195" s="505"/>
      <c r="AG195" s="505"/>
      <c r="AH195" s="505"/>
    </row>
    <row r="196" spans="1:34" s="7" customFormat="1" ht="21" customHeight="1">
      <c r="A196" s="26"/>
      <c r="B196" s="27"/>
      <c r="C196" s="27"/>
      <c r="D196" s="86"/>
      <c r="E196" s="64"/>
      <c r="F196" s="64"/>
      <c r="G196" s="64"/>
      <c r="H196" s="64"/>
      <c r="I196" s="64"/>
      <c r="J196" s="64"/>
      <c r="K196" s="64"/>
      <c r="L196" s="64"/>
      <c r="M196" s="64"/>
      <c r="N196" s="43"/>
      <c r="O196" s="333"/>
      <c r="P196" s="332"/>
      <c r="Q196" s="332"/>
      <c r="R196" s="332"/>
      <c r="S196" s="332"/>
      <c r="T196" s="334"/>
      <c r="U196" s="288"/>
      <c r="V196" s="332"/>
      <c r="W196" s="288"/>
      <c r="X196" s="288"/>
      <c r="Y196" s="335"/>
      <c r="Z196" s="334"/>
      <c r="AA196" s="334"/>
      <c r="AB196" s="334" t="s">
        <v>85</v>
      </c>
      <c r="AC196" s="333"/>
      <c r="AD196" s="332">
        <v>0</v>
      </c>
      <c r="AE196" s="385" t="s">
        <v>55</v>
      </c>
      <c r="AF196" s="505"/>
      <c r="AG196" s="505"/>
      <c r="AH196" s="505"/>
    </row>
    <row r="197" spans="1:34" s="7" customFormat="1" ht="21" customHeight="1">
      <c r="A197" s="26"/>
      <c r="B197" s="27"/>
      <c r="C197" s="27"/>
      <c r="D197" s="86"/>
      <c r="E197" s="64"/>
      <c r="F197" s="64"/>
      <c r="G197" s="64"/>
      <c r="H197" s="64"/>
      <c r="I197" s="64"/>
      <c r="J197" s="64"/>
      <c r="K197" s="64"/>
      <c r="L197" s="64"/>
      <c r="M197" s="64"/>
      <c r="N197" s="43"/>
      <c r="O197" s="333" t="s">
        <v>287</v>
      </c>
      <c r="P197" s="333"/>
      <c r="Q197" s="333"/>
      <c r="R197" s="333"/>
      <c r="S197" s="332">
        <v>70000</v>
      </c>
      <c r="T197" s="288" t="s">
        <v>55</v>
      </c>
      <c r="U197" s="288" t="s">
        <v>26</v>
      </c>
      <c r="V197" s="332">
        <v>8</v>
      </c>
      <c r="W197" s="334" t="s">
        <v>54</v>
      </c>
      <c r="X197" s="288" t="s">
        <v>26</v>
      </c>
      <c r="Y197" s="335">
        <v>12</v>
      </c>
      <c r="Z197" s="334" t="s">
        <v>0</v>
      </c>
      <c r="AA197" s="334" t="s">
        <v>27</v>
      </c>
      <c r="AB197" s="334" t="s">
        <v>85</v>
      </c>
      <c r="AC197" s="332"/>
      <c r="AD197" s="332">
        <f>S197*V197*Y197</f>
        <v>6720000</v>
      </c>
      <c r="AE197" s="560" t="s">
        <v>55</v>
      </c>
      <c r="AF197" s="505"/>
      <c r="AG197" s="505"/>
      <c r="AH197" s="505"/>
    </row>
    <row r="198" spans="1:34" s="7" customFormat="1" ht="21" customHeight="1">
      <c r="A198" s="26"/>
      <c r="B198" s="27"/>
      <c r="C198" s="27"/>
      <c r="D198" s="86"/>
      <c r="E198" s="64"/>
      <c r="F198" s="64"/>
      <c r="G198" s="64"/>
      <c r="H198" s="64"/>
      <c r="I198" s="64"/>
      <c r="J198" s="64"/>
      <c r="K198" s="64"/>
      <c r="L198" s="64"/>
      <c r="M198" s="64"/>
      <c r="N198" s="43"/>
      <c r="O198" s="333" t="s">
        <v>288</v>
      </c>
      <c r="P198" s="333"/>
      <c r="Q198" s="333"/>
      <c r="R198" s="333"/>
      <c r="S198" s="332">
        <v>70000</v>
      </c>
      <c r="T198" s="288" t="s">
        <v>55</v>
      </c>
      <c r="U198" s="288" t="s">
        <v>26</v>
      </c>
      <c r="V198" s="332">
        <v>21</v>
      </c>
      <c r="W198" s="334" t="s">
        <v>54</v>
      </c>
      <c r="X198" s="288" t="s">
        <v>26</v>
      </c>
      <c r="Y198" s="335">
        <v>12</v>
      </c>
      <c r="Z198" s="334" t="s">
        <v>0</v>
      </c>
      <c r="AA198" s="334" t="s">
        <v>27</v>
      </c>
      <c r="AB198" s="334" t="s">
        <v>85</v>
      </c>
      <c r="AC198" s="332"/>
      <c r="AD198" s="332">
        <f>S198*V198*Y198</f>
        <v>17640000</v>
      </c>
      <c r="AE198" s="560" t="s">
        <v>55</v>
      </c>
      <c r="AF198" s="505"/>
      <c r="AG198" s="505"/>
      <c r="AH198" s="505"/>
    </row>
    <row r="199" spans="1:34" s="7" customFormat="1" ht="21" customHeight="1">
      <c r="A199" s="26"/>
      <c r="B199" s="27"/>
      <c r="C199" s="28"/>
      <c r="D199" s="86"/>
      <c r="E199" s="64"/>
      <c r="F199" s="64"/>
      <c r="G199" s="64"/>
      <c r="H199" s="64"/>
      <c r="I199" s="64"/>
      <c r="J199" s="64"/>
      <c r="K199" s="64"/>
      <c r="L199" s="64"/>
      <c r="M199" s="64"/>
      <c r="N199" s="43"/>
      <c r="O199" s="172" t="s">
        <v>738</v>
      </c>
      <c r="P199" s="332"/>
      <c r="Q199" s="332"/>
      <c r="R199" s="332"/>
      <c r="S199" s="332">
        <v>3500</v>
      </c>
      <c r="T199" s="334" t="s">
        <v>352</v>
      </c>
      <c r="U199" s="288" t="s">
        <v>26</v>
      </c>
      <c r="V199" s="332">
        <v>720</v>
      </c>
      <c r="W199" s="288" t="s">
        <v>762</v>
      </c>
      <c r="X199" s="288"/>
      <c r="Y199" s="335"/>
      <c r="Z199" s="334"/>
      <c r="AA199" s="334" t="s">
        <v>53</v>
      </c>
      <c r="AB199" s="334" t="s">
        <v>85</v>
      </c>
      <c r="AC199" s="333"/>
      <c r="AD199" s="332">
        <f>S199*V199</f>
        <v>2520000</v>
      </c>
      <c r="AE199" s="385" t="s">
        <v>55</v>
      </c>
      <c r="AF199" s="505"/>
      <c r="AG199" s="505"/>
      <c r="AH199" s="505"/>
    </row>
    <row r="200" spans="1:34" s="7" customFormat="1" ht="20.25" customHeight="1">
      <c r="A200" s="26"/>
      <c r="B200" s="27"/>
      <c r="C200" s="28"/>
      <c r="D200" s="78"/>
      <c r="E200" s="64"/>
      <c r="F200" s="64"/>
      <c r="G200" s="64"/>
      <c r="H200" s="64"/>
      <c r="I200" s="64"/>
      <c r="J200" s="64"/>
      <c r="K200" s="64"/>
      <c r="L200" s="64"/>
      <c r="M200" s="64"/>
      <c r="N200" s="43"/>
      <c r="O200" s="333" t="s">
        <v>770</v>
      </c>
      <c r="P200" s="333"/>
      <c r="Q200" s="333"/>
      <c r="R200" s="333"/>
      <c r="S200" s="332"/>
      <c r="T200" s="334"/>
      <c r="U200" s="221"/>
      <c r="V200" s="332"/>
      <c r="W200" s="334"/>
      <c r="X200" s="221"/>
      <c r="Y200" s="335"/>
      <c r="Z200" s="334"/>
      <c r="AA200" s="334"/>
      <c r="AB200" s="225" t="s">
        <v>151</v>
      </c>
      <c r="AC200" s="335"/>
      <c r="AD200" s="335">
        <v>1000000</v>
      </c>
      <c r="AE200" s="400" t="s">
        <v>55</v>
      </c>
      <c r="AF200" s="505"/>
      <c r="AG200" s="505"/>
      <c r="AH200" s="505"/>
    </row>
    <row r="201" spans="1:34" s="7" customFormat="1" ht="20.25" customHeight="1">
      <c r="A201" s="26"/>
      <c r="B201" s="27"/>
      <c r="C201" s="28"/>
      <c r="D201" s="78"/>
      <c r="E201" s="64"/>
      <c r="F201" s="64"/>
      <c r="G201" s="64"/>
      <c r="H201" s="64"/>
      <c r="I201" s="64"/>
      <c r="J201" s="64"/>
      <c r="K201" s="64"/>
      <c r="L201" s="64"/>
      <c r="M201" s="64"/>
      <c r="N201" s="43"/>
      <c r="O201" s="333" t="s">
        <v>771</v>
      </c>
      <c r="P201" s="333"/>
      <c r="Q201" s="333"/>
      <c r="R201" s="333"/>
      <c r="S201" s="332"/>
      <c r="T201" s="334"/>
      <c r="U201" s="221"/>
      <c r="V201" s="332"/>
      <c r="W201" s="334"/>
      <c r="X201" s="221"/>
      <c r="Y201" s="335"/>
      <c r="Z201" s="334"/>
      <c r="AA201" s="334"/>
      <c r="AB201" s="334" t="s">
        <v>151</v>
      </c>
      <c r="AC201" s="335"/>
      <c r="AD201" s="597">
        <v>0</v>
      </c>
      <c r="AE201" s="385" t="s">
        <v>55</v>
      </c>
      <c r="AF201" s="505"/>
      <c r="AG201" s="505"/>
      <c r="AH201" s="505"/>
    </row>
    <row r="202" spans="1:34" s="7" customFormat="1" ht="21" customHeight="1">
      <c r="A202" s="26"/>
      <c r="B202" s="35"/>
      <c r="C202" s="574"/>
      <c r="D202" s="87"/>
      <c r="E202" s="66"/>
      <c r="F202" s="66"/>
      <c r="G202" s="66"/>
      <c r="H202" s="66"/>
      <c r="I202" s="66"/>
      <c r="J202" s="66"/>
      <c r="K202" s="66"/>
      <c r="L202" s="66"/>
      <c r="M202" s="66"/>
      <c r="N202" s="52"/>
      <c r="O202" s="576"/>
      <c r="P202" s="576"/>
      <c r="Q202" s="576"/>
      <c r="R202" s="576"/>
      <c r="S202" s="575"/>
      <c r="T202" s="228"/>
      <c r="U202" s="420"/>
      <c r="V202" s="575"/>
      <c r="W202" s="420"/>
      <c r="X202" s="420"/>
      <c r="Y202" s="231"/>
      <c r="Z202" s="420"/>
      <c r="AA202" s="420"/>
      <c r="AB202" s="420" t="s">
        <v>826</v>
      </c>
      <c r="AC202" s="575"/>
      <c r="AD202" s="597">
        <v>0</v>
      </c>
      <c r="AE202" s="393" t="s">
        <v>825</v>
      </c>
      <c r="AF202" s="505"/>
      <c r="AG202" s="505"/>
      <c r="AH202" s="505"/>
    </row>
    <row r="203" spans="1:34" s="7" customFormat="1" ht="21" customHeight="1">
      <c r="A203" s="67" t="s">
        <v>47</v>
      </c>
      <c r="B203" s="654" t="s">
        <v>20</v>
      </c>
      <c r="C203" s="654"/>
      <c r="D203" s="104">
        <f>D204</f>
        <v>191300</v>
      </c>
      <c r="E203" s="104">
        <f>E204</f>
        <v>28576</v>
      </c>
      <c r="F203" s="104">
        <f t="shared" ref="F203:L203" si="8">F204</f>
        <v>6113</v>
      </c>
      <c r="G203" s="104">
        <f t="shared" si="8"/>
        <v>0</v>
      </c>
      <c r="H203" s="104">
        <f t="shared" si="8"/>
        <v>0</v>
      </c>
      <c r="I203" s="104">
        <f t="shared" si="8"/>
        <v>22463</v>
      </c>
      <c r="J203" s="104">
        <f t="shared" si="8"/>
        <v>0</v>
      </c>
      <c r="K203" s="104">
        <f t="shared" si="8"/>
        <v>0</v>
      </c>
      <c r="L203" s="104">
        <f t="shared" si="8"/>
        <v>0</v>
      </c>
      <c r="M203" s="320">
        <f>E203-D203</f>
        <v>-162724</v>
      </c>
      <c r="N203" s="93">
        <f>IF(D203=0,0,M203/D203)</f>
        <v>-0.85062205959226345</v>
      </c>
      <c r="O203" s="229" t="s">
        <v>129</v>
      </c>
      <c r="P203" s="229"/>
      <c r="Q203" s="229"/>
      <c r="R203" s="229"/>
      <c r="S203" s="363"/>
      <c r="T203" s="438"/>
      <c r="U203" s="438"/>
      <c r="V203" s="363"/>
      <c r="W203" s="438"/>
      <c r="X203" s="438"/>
      <c r="Y203" s="495"/>
      <c r="Z203" s="438"/>
      <c r="AA203" s="438"/>
      <c r="AB203" s="438"/>
      <c r="AC203" s="363"/>
      <c r="AD203" s="332">
        <f>AD204</f>
        <v>28576000</v>
      </c>
      <c r="AE203" s="476" t="s">
        <v>25</v>
      </c>
      <c r="AF203" s="505"/>
      <c r="AG203" s="505"/>
      <c r="AH203" s="505"/>
    </row>
    <row r="204" spans="1:34" s="7" customFormat="1" ht="21" customHeight="1">
      <c r="A204" s="103" t="s">
        <v>134</v>
      </c>
      <c r="B204" s="27" t="s">
        <v>17</v>
      </c>
      <c r="C204" s="27" t="s">
        <v>130</v>
      </c>
      <c r="D204" s="64">
        <f t="shared" ref="D204" si="9">SUM(D205,D212,D229)</f>
        <v>191300</v>
      </c>
      <c r="E204" s="64">
        <f t="shared" ref="E204:L204" si="10">SUM(E205,E212,E229)</f>
        <v>28576</v>
      </c>
      <c r="F204" s="64">
        <f t="shared" si="10"/>
        <v>6113</v>
      </c>
      <c r="G204" s="64">
        <f t="shared" si="10"/>
        <v>0</v>
      </c>
      <c r="H204" s="64">
        <f t="shared" si="10"/>
        <v>0</v>
      </c>
      <c r="I204" s="64">
        <f t="shared" si="10"/>
        <v>22463</v>
      </c>
      <c r="J204" s="64">
        <f t="shared" si="10"/>
        <v>0</v>
      </c>
      <c r="K204" s="64">
        <f t="shared" si="10"/>
        <v>0</v>
      </c>
      <c r="L204" s="64">
        <f t="shared" si="10"/>
        <v>0</v>
      </c>
      <c r="M204" s="64">
        <f>E204-D204</f>
        <v>-162724</v>
      </c>
      <c r="N204" s="43">
        <f>IF(D204=0,0,M204/D204)</f>
        <v>-0.85062205959226345</v>
      </c>
      <c r="O204" s="183" t="s">
        <v>131</v>
      </c>
      <c r="P204" s="183"/>
      <c r="Q204" s="183"/>
      <c r="R204" s="183"/>
      <c r="S204" s="183"/>
      <c r="T204" s="437"/>
      <c r="U204" s="437"/>
      <c r="V204" s="184"/>
      <c r="W204" s="437"/>
      <c r="X204" s="437"/>
      <c r="Y204" s="331"/>
      <c r="Z204" s="437"/>
      <c r="AA204" s="437"/>
      <c r="AB204" s="437"/>
      <c r="AC204" s="331"/>
      <c r="AD204" s="299">
        <f>AD205+AD212+AD229</f>
        <v>28576000</v>
      </c>
      <c r="AE204" s="481" t="s">
        <v>25</v>
      </c>
      <c r="AF204" s="505"/>
      <c r="AG204" s="505"/>
      <c r="AH204" s="505"/>
    </row>
    <row r="205" spans="1:34" s="7" customFormat="1" ht="21" customHeight="1">
      <c r="A205" s="26"/>
      <c r="B205" s="27"/>
      <c r="C205" s="18" t="s">
        <v>131</v>
      </c>
      <c r="D205" s="101">
        <v>0</v>
      </c>
      <c r="E205" s="101">
        <f>ROUND(AD205/1000,0)</f>
        <v>0</v>
      </c>
      <c r="F205" s="69">
        <f>SUMIF($AB$207:$AB$211,"보조",$AD$207:$AD$211)/1000</f>
        <v>0</v>
      </c>
      <c r="G205" s="69">
        <f>SUMIF($AB$211:$AB$211,"6종",$AD$211:$AD$211)/1000</f>
        <v>0</v>
      </c>
      <c r="H205" s="69">
        <f>SUMIF($AB$211:$AB$211,"4종",$AD$211:$AD$211)/1000</f>
        <v>0</v>
      </c>
      <c r="I205" s="69">
        <f>SUMIF($AB$210:$AB$210,"후원",$AD$210:$AD$210)/1000</f>
        <v>0</v>
      </c>
      <c r="J205" s="69">
        <f>SUMIF($AB$211:$AB$211,"입소",$AD$211:$AD$211)/1000</f>
        <v>0</v>
      </c>
      <c r="K205" s="69">
        <f>SUMIF($AB$207:$AB$211,"법인",$AD$207:$AD$211)/1000</f>
        <v>0</v>
      </c>
      <c r="L205" s="69">
        <f>SUMIF($AB$211:$AB$211,"잡수",$AD$211:$AD$211)/1000</f>
        <v>0</v>
      </c>
      <c r="M205" s="101">
        <f>E205-D205</f>
        <v>0</v>
      </c>
      <c r="N205" s="102">
        <f>IF(D205=0,0,M205/D205)</f>
        <v>0</v>
      </c>
      <c r="O205" s="182" t="s">
        <v>48</v>
      </c>
      <c r="P205" s="183"/>
      <c r="Q205" s="183"/>
      <c r="R205" s="183"/>
      <c r="S205" s="183"/>
      <c r="T205" s="437"/>
      <c r="U205" s="437"/>
      <c r="V205" s="184"/>
      <c r="W205" s="437"/>
      <c r="X205" s="437"/>
      <c r="Y205" s="185" t="s">
        <v>130</v>
      </c>
      <c r="Z205" s="441"/>
      <c r="AA205" s="441"/>
      <c r="AB205" s="441"/>
      <c r="AC205" s="185"/>
      <c r="AD205" s="244">
        <f>AD206+AD209</f>
        <v>0</v>
      </c>
      <c r="AE205" s="477" t="s">
        <v>25</v>
      </c>
      <c r="AF205" s="505"/>
      <c r="AG205" s="505"/>
      <c r="AH205" s="505"/>
    </row>
    <row r="206" spans="1:34" s="7" customFormat="1" ht="21" customHeight="1">
      <c r="A206" s="26"/>
      <c r="B206" s="27"/>
      <c r="C206" s="27"/>
      <c r="D206" s="347"/>
      <c r="E206" s="345"/>
      <c r="F206" s="345"/>
      <c r="G206" s="345"/>
      <c r="H206" s="345"/>
      <c r="I206" s="345"/>
      <c r="J206" s="345"/>
      <c r="K206" s="345"/>
      <c r="L206" s="345"/>
      <c r="M206" s="319"/>
      <c r="N206" s="163"/>
      <c r="O206" s="229"/>
      <c r="P206" s="229"/>
      <c r="Q206" s="229"/>
      <c r="R206" s="229"/>
      <c r="S206" s="229"/>
      <c r="T206" s="438"/>
      <c r="U206" s="438"/>
      <c r="V206" s="363"/>
      <c r="W206" s="438"/>
      <c r="X206" s="438"/>
      <c r="Y206" s="185" t="s">
        <v>127</v>
      </c>
      <c r="Z206" s="441"/>
      <c r="AA206" s="441"/>
      <c r="AB206" s="441"/>
      <c r="AC206" s="185"/>
      <c r="AD206" s="244">
        <f>SUM(AD207:AD208)</f>
        <v>0</v>
      </c>
      <c r="AE206" s="477" t="s">
        <v>25</v>
      </c>
      <c r="AF206" s="505"/>
      <c r="AG206" s="505"/>
      <c r="AH206" s="505"/>
    </row>
    <row r="207" spans="1:34" s="7" customFormat="1" ht="21" customHeight="1">
      <c r="A207" s="26"/>
      <c r="B207" s="27"/>
      <c r="C207" s="27"/>
      <c r="D207" s="348"/>
      <c r="E207" s="346"/>
      <c r="F207" s="346"/>
      <c r="G207" s="346"/>
      <c r="H207" s="346"/>
      <c r="I207" s="346"/>
      <c r="J207" s="346"/>
      <c r="K207" s="346"/>
      <c r="L207" s="346"/>
      <c r="M207" s="319"/>
      <c r="N207" s="163"/>
      <c r="O207" s="333" t="s">
        <v>606</v>
      </c>
      <c r="P207" s="333"/>
      <c r="Q207" s="333"/>
      <c r="R207" s="333"/>
      <c r="S207" s="333"/>
      <c r="T207" s="438"/>
      <c r="U207" s="438"/>
      <c r="V207" s="363"/>
      <c r="W207" s="438"/>
      <c r="X207" s="438"/>
      <c r="Y207" s="495"/>
      <c r="Z207" s="438"/>
      <c r="AA207" s="438"/>
      <c r="AB207" s="334" t="s">
        <v>603</v>
      </c>
      <c r="AC207" s="495"/>
      <c r="AD207" s="335">
        <v>0</v>
      </c>
      <c r="AE207" s="476" t="s">
        <v>55</v>
      </c>
      <c r="AF207" s="505"/>
      <c r="AG207" s="505"/>
      <c r="AH207" s="505"/>
    </row>
    <row r="208" spans="1:34" s="7" customFormat="1" ht="20.25" customHeight="1">
      <c r="A208" s="26"/>
      <c r="B208" s="27"/>
      <c r="C208" s="27"/>
      <c r="D208" s="321"/>
      <c r="E208" s="319"/>
      <c r="F208" s="297"/>
      <c r="G208" s="297"/>
      <c r="H208" s="297"/>
      <c r="I208" s="297"/>
      <c r="J208" s="297"/>
      <c r="K208" s="297"/>
      <c r="L208" s="297"/>
      <c r="M208" s="319"/>
      <c r="N208" s="163"/>
      <c r="O208" s="333"/>
      <c r="P208" s="333"/>
      <c r="Q208" s="333"/>
      <c r="R208" s="333"/>
      <c r="S208" s="333"/>
      <c r="T208" s="438"/>
      <c r="U208" s="438"/>
      <c r="V208" s="363"/>
      <c r="W208" s="438"/>
      <c r="X208" s="438"/>
      <c r="Y208" s="495"/>
      <c r="Z208" s="438"/>
      <c r="AA208" s="438"/>
      <c r="AB208" s="334" t="s">
        <v>602</v>
      </c>
      <c r="AC208" s="495"/>
      <c r="AD208" s="335"/>
      <c r="AE208" s="476" t="s">
        <v>55</v>
      </c>
      <c r="AF208" s="505"/>
      <c r="AG208" s="505"/>
      <c r="AH208" s="505"/>
    </row>
    <row r="209" spans="1:34" s="7" customFormat="1" ht="20.25" customHeight="1">
      <c r="A209" s="26"/>
      <c r="B209" s="27"/>
      <c r="C209" s="27"/>
      <c r="D209" s="321"/>
      <c r="E209" s="319"/>
      <c r="F209" s="297"/>
      <c r="G209" s="297"/>
      <c r="H209" s="297"/>
      <c r="I209" s="297"/>
      <c r="J209" s="297"/>
      <c r="K209" s="297"/>
      <c r="L209" s="297"/>
      <c r="M209" s="319"/>
      <c r="N209" s="163"/>
      <c r="O209" s="333" t="s">
        <v>607</v>
      </c>
      <c r="P209" s="333"/>
      <c r="Q209" s="333"/>
      <c r="R209" s="333"/>
      <c r="S209" s="333"/>
      <c r="T209" s="438"/>
      <c r="U209" s="438"/>
      <c r="V209" s="363"/>
      <c r="W209" s="438"/>
      <c r="X209" s="438"/>
      <c r="Y209" s="185" t="s">
        <v>127</v>
      </c>
      <c r="Z209" s="441"/>
      <c r="AA209" s="441"/>
      <c r="AB209" s="595"/>
      <c r="AC209" s="185"/>
      <c r="AD209" s="244">
        <f>SUM(AD210:AD211)</f>
        <v>0</v>
      </c>
      <c r="AE209" s="477" t="s">
        <v>25</v>
      </c>
      <c r="AF209" s="505"/>
      <c r="AG209" s="505"/>
      <c r="AH209" s="505"/>
    </row>
    <row r="210" spans="1:34" s="7" customFormat="1" ht="21" customHeight="1">
      <c r="A210" s="26"/>
      <c r="B210" s="27"/>
      <c r="C210" s="27"/>
      <c r="D210" s="321"/>
      <c r="E210" s="319"/>
      <c r="F210" s="297"/>
      <c r="G210" s="297"/>
      <c r="H210" s="297"/>
      <c r="I210" s="297"/>
      <c r="J210" s="297"/>
      <c r="K210" s="297"/>
      <c r="L210" s="297"/>
      <c r="M210" s="319"/>
      <c r="N210" s="163"/>
      <c r="O210" s="333"/>
      <c r="P210" s="333"/>
      <c r="Q210" s="333"/>
      <c r="R210" s="333"/>
      <c r="S210" s="333"/>
      <c r="T210" s="438"/>
      <c r="U210" s="438"/>
      <c r="V210" s="363"/>
      <c r="W210" s="438"/>
      <c r="X210" s="438"/>
      <c r="Y210" s="495"/>
      <c r="Z210" s="438"/>
      <c r="AA210" s="438"/>
      <c r="AB210" s="334" t="s">
        <v>604</v>
      </c>
      <c r="AC210" s="495"/>
      <c r="AD210" s="335">
        <v>0</v>
      </c>
      <c r="AE210" s="476" t="s">
        <v>55</v>
      </c>
      <c r="AF210" s="505"/>
      <c r="AG210" s="505"/>
      <c r="AH210" s="505"/>
    </row>
    <row r="211" spans="1:34" s="7" customFormat="1" ht="21" customHeight="1">
      <c r="A211" s="26"/>
      <c r="B211" s="27"/>
      <c r="C211" s="27"/>
      <c r="D211" s="86"/>
      <c r="E211" s="64"/>
      <c r="F211" s="64"/>
      <c r="G211" s="64"/>
      <c r="H211" s="64"/>
      <c r="I211" s="64"/>
      <c r="J211" s="64"/>
      <c r="K211" s="64"/>
      <c r="L211" s="64"/>
      <c r="M211" s="64"/>
      <c r="N211" s="43"/>
      <c r="O211" s="222"/>
      <c r="P211" s="222"/>
      <c r="Q211" s="222"/>
      <c r="R211" s="222"/>
      <c r="S211" s="222"/>
      <c r="T211" s="225"/>
      <c r="U211" s="225"/>
      <c r="V211" s="222"/>
      <c r="W211" s="225"/>
      <c r="X211" s="225"/>
      <c r="Y211" s="227"/>
      <c r="Z211" s="225"/>
      <c r="AA211" s="225"/>
      <c r="AB211" s="225" t="s">
        <v>602</v>
      </c>
      <c r="AC211" s="222"/>
      <c r="AD211" s="556"/>
      <c r="AE211" s="406" t="s">
        <v>55</v>
      </c>
      <c r="AF211" s="505"/>
      <c r="AG211" s="505"/>
      <c r="AH211" s="505"/>
    </row>
    <row r="212" spans="1:34" s="7" customFormat="1" ht="21" customHeight="1">
      <c r="A212" s="26"/>
      <c r="B212" s="27"/>
      <c r="C212" s="18" t="s">
        <v>18</v>
      </c>
      <c r="D212" s="88">
        <v>168691</v>
      </c>
      <c r="E212" s="68">
        <f>ROUND(AD212/1000,0)</f>
        <v>6792</v>
      </c>
      <c r="F212" s="69">
        <f>SUMIF($AB$213:$AB$226,"보조",$AD$213:$AD$226)/1000</f>
        <v>0</v>
      </c>
      <c r="G212" s="69">
        <f>SUMIF($AB$213:$AB$226,"6종",$AD$213:$AD$226)/1000</f>
        <v>0</v>
      </c>
      <c r="H212" s="69">
        <f>SUMIF($AB$213:$AB$226,"4종",$AD$213:$AD$226)/1000</f>
        <v>0</v>
      </c>
      <c r="I212" s="69">
        <f>SUMIF($AB$213:$AB$228,"후원",$AD$213:$AD$228)/1000</f>
        <v>6792</v>
      </c>
      <c r="J212" s="69">
        <f>SUMIF($AB$213:$AB$226,"입소",$AD$213:$AD$226)/1000</f>
        <v>0</v>
      </c>
      <c r="K212" s="69">
        <f>SUMIF($AB$213:$AB$226,"법인",$AD$213:$AD$226)/1000</f>
        <v>0</v>
      </c>
      <c r="L212" s="69">
        <f>SUMIF($AB$213:$AB$226,"잡수",$AD$213:$AD$226)/1000</f>
        <v>0</v>
      </c>
      <c r="M212" s="316">
        <f>E212-D212</f>
        <v>-161899</v>
      </c>
      <c r="N212" s="73">
        <f>IF(D212=0,0,M212/D212)</f>
        <v>-0.95973703398521559</v>
      </c>
      <c r="O212" s="182" t="s">
        <v>49</v>
      </c>
      <c r="P212" s="183"/>
      <c r="Q212" s="183"/>
      <c r="R212" s="183"/>
      <c r="S212" s="183"/>
      <c r="T212" s="437"/>
      <c r="U212" s="437"/>
      <c r="V212" s="184"/>
      <c r="W212" s="437"/>
      <c r="X212" s="437"/>
      <c r="Y212" s="185" t="s">
        <v>127</v>
      </c>
      <c r="Z212" s="441"/>
      <c r="AA212" s="441"/>
      <c r="AB212" s="441"/>
      <c r="AC212" s="185"/>
      <c r="AD212" s="244">
        <f>SUM(AD213:AD228)</f>
        <v>6792000</v>
      </c>
      <c r="AE212" s="477" t="s">
        <v>25</v>
      </c>
      <c r="AF212" s="505"/>
      <c r="AG212" s="505"/>
      <c r="AH212" s="505"/>
    </row>
    <row r="213" spans="1:34" s="7" customFormat="1" ht="21" customHeight="1">
      <c r="A213" s="26"/>
      <c r="B213" s="27"/>
      <c r="C213" s="27"/>
      <c r="D213" s="347"/>
      <c r="E213" s="345"/>
      <c r="F213" s="345"/>
      <c r="G213" s="345"/>
      <c r="H213" s="345"/>
      <c r="I213" s="345"/>
      <c r="J213" s="345"/>
      <c r="K213" s="345"/>
      <c r="L213" s="345"/>
      <c r="M213" s="64"/>
      <c r="N213" s="43"/>
      <c r="O213" s="333" t="s">
        <v>609</v>
      </c>
      <c r="P213" s="333"/>
      <c r="Q213" s="333"/>
      <c r="R213" s="333"/>
      <c r="S213" s="332"/>
      <c r="T213" s="288"/>
      <c r="U213" s="288"/>
      <c r="V213" s="332"/>
      <c r="W213" s="335" t="s">
        <v>841</v>
      </c>
      <c r="X213" s="335"/>
      <c r="Y213" s="335"/>
      <c r="Z213" s="334"/>
      <c r="AA213" s="334"/>
      <c r="AB213" s="334" t="s">
        <v>634</v>
      </c>
      <c r="AC213" s="332"/>
      <c r="AD213" s="332">
        <v>621000</v>
      </c>
      <c r="AE213" s="385" t="s">
        <v>55</v>
      </c>
      <c r="AF213" s="505"/>
      <c r="AG213" s="505"/>
      <c r="AH213" s="505"/>
    </row>
    <row r="214" spans="1:34" s="7" customFormat="1" ht="21" customHeight="1">
      <c r="A214" s="26"/>
      <c r="B214" s="27"/>
      <c r="C214" s="27"/>
      <c r="D214" s="348"/>
      <c r="E214" s="346"/>
      <c r="F214" s="346"/>
      <c r="G214" s="346"/>
      <c r="H214" s="346"/>
      <c r="I214" s="346"/>
      <c r="J214" s="346"/>
      <c r="K214" s="346"/>
      <c r="L214" s="346"/>
      <c r="M214" s="64"/>
      <c r="N214" s="43"/>
      <c r="O214" s="333" t="s">
        <v>561</v>
      </c>
      <c r="P214" s="333"/>
      <c r="Q214" s="333"/>
      <c r="R214" s="333"/>
      <c r="S214" s="332"/>
      <c r="T214" s="288"/>
      <c r="U214" s="288"/>
      <c r="V214" s="332"/>
      <c r="W214" s="335"/>
      <c r="X214" s="335"/>
      <c r="Y214" s="335"/>
      <c r="Z214" s="334"/>
      <c r="AA214" s="334"/>
      <c r="AB214" s="334" t="s">
        <v>137</v>
      </c>
      <c r="AC214" s="332"/>
      <c r="AD214" s="332">
        <v>0</v>
      </c>
      <c r="AE214" s="385" t="s">
        <v>55</v>
      </c>
      <c r="AF214" s="505"/>
      <c r="AG214" s="505"/>
      <c r="AH214" s="505"/>
    </row>
    <row r="215" spans="1:34" s="7" customFormat="1" ht="21" customHeight="1">
      <c r="A215" s="26"/>
      <c r="B215" s="27"/>
      <c r="C215" s="27"/>
      <c r="D215" s="349"/>
      <c r="E215" s="346"/>
      <c r="F215" s="346"/>
      <c r="G215" s="346"/>
      <c r="H215" s="346"/>
      <c r="I215" s="346"/>
      <c r="J215" s="346"/>
      <c r="K215" s="346"/>
      <c r="L215" s="346"/>
      <c r="M215" s="64"/>
      <c r="N215" s="43"/>
      <c r="O215" s="333" t="s">
        <v>562</v>
      </c>
      <c r="P215" s="333"/>
      <c r="Q215" s="333"/>
      <c r="R215" s="333"/>
      <c r="S215" s="332"/>
      <c r="T215" s="225"/>
      <c r="U215" s="288"/>
      <c r="V215" s="332"/>
      <c r="W215" s="335"/>
      <c r="X215" s="335"/>
      <c r="Y215" s="335"/>
      <c r="Z215" s="334"/>
      <c r="AA215" s="334"/>
      <c r="AB215" s="334" t="s">
        <v>137</v>
      </c>
      <c r="AC215" s="332"/>
      <c r="AD215" s="332">
        <v>0</v>
      </c>
      <c r="AE215" s="385" t="s">
        <v>55</v>
      </c>
      <c r="AF215" s="505"/>
      <c r="AG215" s="505"/>
      <c r="AH215" s="505"/>
    </row>
    <row r="216" spans="1:34" s="7" customFormat="1" ht="21" customHeight="1">
      <c r="A216" s="26"/>
      <c r="B216" s="27"/>
      <c r="C216" s="27"/>
      <c r="D216" s="349"/>
      <c r="E216" s="346"/>
      <c r="F216" s="346"/>
      <c r="G216" s="346"/>
      <c r="H216" s="346"/>
      <c r="I216" s="346"/>
      <c r="J216" s="346"/>
      <c r="K216" s="346"/>
      <c r="L216" s="346"/>
      <c r="M216" s="64"/>
      <c r="N216" s="43"/>
      <c r="O216" s="333" t="s">
        <v>608</v>
      </c>
      <c r="P216" s="333"/>
      <c r="Q216" s="333"/>
      <c r="R216" s="333"/>
      <c r="S216" s="332"/>
      <c r="T216" s="225"/>
      <c r="U216" s="288"/>
      <c r="V216" s="332"/>
      <c r="W216" s="335"/>
      <c r="X216" s="335"/>
      <c r="Y216" s="335"/>
      <c r="Z216" s="334"/>
      <c r="AA216" s="334"/>
      <c r="AB216" s="334" t="s">
        <v>137</v>
      </c>
      <c r="AC216" s="332"/>
      <c r="AD216" s="332">
        <v>5000000</v>
      </c>
      <c r="AE216" s="385" t="s">
        <v>55</v>
      </c>
      <c r="AF216" s="505"/>
      <c r="AG216" s="505"/>
      <c r="AH216" s="505"/>
    </row>
    <row r="217" spans="1:34" s="7" customFormat="1" ht="21" customHeight="1">
      <c r="A217" s="26"/>
      <c r="B217" s="27"/>
      <c r="C217" s="27"/>
      <c r="D217" s="349"/>
      <c r="E217" s="346"/>
      <c r="F217" s="346"/>
      <c r="G217" s="346"/>
      <c r="H217" s="346"/>
      <c r="I217" s="346"/>
      <c r="J217" s="346"/>
      <c r="K217" s="346"/>
      <c r="L217" s="346"/>
      <c r="M217" s="64"/>
      <c r="N217" s="43"/>
      <c r="O217" s="333" t="s">
        <v>717</v>
      </c>
      <c r="P217" s="333"/>
      <c r="Q217" s="333"/>
      <c r="R217" s="333"/>
      <c r="S217" s="332"/>
      <c r="T217" s="225"/>
      <c r="U217" s="288"/>
      <c r="V217" s="332"/>
      <c r="W217" s="335"/>
      <c r="X217" s="335"/>
      <c r="Y217" s="335"/>
      <c r="Z217" s="334"/>
      <c r="AA217" s="334"/>
      <c r="AB217" s="334" t="s">
        <v>137</v>
      </c>
      <c r="AC217" s="332"/>
      <c r="AD217" s="332">
        <v>0</v>
      </c>
      <c r="AE217" s="385" t="s">
        <v>55</v>
      </c>
      <c r="AF217" s="505"/>
      <c r="AG217" s="505"/>
      <c r="AH217" s="505"/>
    </row>
    <row r="218" spans="1:34" s="7" customFormat="1" ht="21" customHeight="1">
      <c r="A218" s="26"/>
      <c r="B218" s="27"/>
      <c r="C218" s="27"/>
      <c r="D218" s="65"/>
      <c r="E218" s="64"/>
      <c r="F218" s="64"/>
      <c r="G218" s="64"/>
      <c r="H218" s="64"/>
      <c r="I218" s="64"/>
      <c r="J218" s="64"/>
      <c r="K218" s="64"/>
      <c r="L218" s="64"/>
      <c r="M218" s="64"/>
      <c r="N218" s="43"/>
      <c r="O218" s="333" t="s">
        <v>756</v>
      </c>
      <c r="P218" s="333"/>
      <c r="Q218" s="333"/>
      <c r="R218" s="333"/>
      <c r="S218" s="332"/>
      <c r="T218" s="225"/>
      <c r="U218" s="288"/>
      <c r="V218" s="332"/>
      <c r="W218" s="335" t="s">
        <v>757</v>
      </c>
      <c r="X218" s="335"/>
      <c r="Y218" s="335"/>
      <c r="Z218" s="334"/>
      <c r="AA218" s="334"/>
      <c r="AB218" s="334" t="s">
        <v>137</v>
      </c>
      <c r="AC218" s="332"/>
      <c r="AD218" s="332">
        <v>0</v>
      </c>
      <c r="AE218" s="385" t="s">
        <v>55</v>
      </c>
      <c r="AF218" s="505"/>
      <c r="AG218" s="505"/>
      <c r="AH218" s="505"/>
    </row>
    <row r="219" spans="1:34" s="7" customFormat="1" ht="21" hidden="1" customHeight="1">
      <c r="A219" s="26"/>
      <c r="B219" s="27"/>
      <c r="C219" s="27"/>
      <c r="D219" s="65"/>
      <c r="E219" s="64"/>
      <c r="F219" s="64"/>
      <c r="G219" s="64"/>
      <c r="H219" s="64"/>
      <c r="I219" s="64"/>
      <c r="J219" s="64"/>
      <c r="K219" s="64"/>
      <c r="L219" s="64"/>
      <c r="M219" s="64"/>
      <c r="N219" s="43"/>
      <c r="O219" s="333"/>
      <c r="P219" s="333"/>
      <c r="Q219" s="333"/>
      <c r="R219" s="333"/>
      <c r="S219" s="332"/>
      <c r="T219" s="288"/>
      <c r="U219" s="288"/>
      <c r="V219" s="332"/>
      <c r="W219" s="335"/>
      <c r="X219" s="335"/>
      <c r="Y219" s="335"/>
      <c r="Z219" s="334"/>
      <c r="AA219" s="334"/>
      <c r="AB219" s="334" t="s">
        <v>137</v>
      </c>
      <c r="AC219" s="332"/>
      <c r="AD219" s="332">
        <v>0</v>
      </c>
      <c r="AE219" s="385" t="s">
        <v>55</v>
      </c>
      <c r="AF219" s="505"/>
      <c r="AG219" s="505"/>
      <c r="AH219" s="505"/>
    </row>
    <row r="220" spans="1:34" s="7" customFormat="1" ht="21" hidden="1" customHeight="1">
      <c r="A220" s="26"/>
      <c r="B220" s="27"/>
      <c r="C220" s="27"/>
      <c r="D220" s="65"/>
      <c r="E220" s="64"/>
      <c r="F220" s="64"/>
      <c r="G220" s="64"/>
      <c r="H220" s="64"/>
      <c r="I220" s="64"/>
      <c r="J220" s="64"/>
      <c r="K220" s="64"/>
      <c r="L220" s="64"/>
      <c r="M220" s="64"/>
      <c r="N220" s="43"/>
      <c r="O220" s="333"/>
      <c r="P220" s="333"/>
      <c r="Q220" s="333"/>
      <c r="R220" s="333"/>
      <c r="S220" s="332"/>
      <c r="T220" s="225"/>
      <c r="U220" s="288"/>
      <c r="V220" s="332"/>
      <c r="W220" s="335"/>
      <c r="X220" s="335"/>
      <c r="Y220" s="335"/>
      <c r="Z220" s="334"/>
      <c r="AA220" s="334"/>
      <c r="AB220" s="334" t="s">
        <v>137</v>
      </c>
      <c r="AC220" s="332"/>
      <c r="AD220" s="332">
        <v>0</v>
      </c>
      <c r="AE220" s="385" t="s">
        <v>55</v>
      </c>
      <c r="AF220" s="505"/>
      <c r="AG220" s="505"/>
      <c r="AH220" s="505"/>
    </row>
    <row r="221" spans="1:34" s="7" customFormat="1" ht="21" hidden="1" customHeight="1">
      <c r="A221" s="26"/>
      <c r="B221" s="27"/>
      <c r="C221" s="27"/>
      <c r="D221" s="65"/>
      <c r="E221" s="64"/>
      <c r="F221" s="64"/>
      <c r="G221" s="64"/>
      <c r="H221" s="64"/>
      <c r="I221" s="64"/>
      <c r="J221" s="64"/>
      <c r="K221" s="64"/>
      <c r="L221" s="64"/>
      <c r="M221" s="64"/>
      <c r="N221" s="43"/>
      <c r="O221" s="333"/>
      <c r="P221" s="333"/>
      <c r="Q221" s="333"/>
      <c r="R221" s="333"/>
      <c r="S221" s="332"/>
      <c r="T221" s="225"/>
      <c r="U221" s="288"/>
      <c r="V221" s="332"/>
      <c r="W221" s="335"/>
      <c r="X221" s="335"/>
      <c r="Y221" s="335"/>
      <c r="Z221" s="334"/>
      <c r="AA221" s="334"/>
      <c r="AB221" s="334" t="s">
        <v>137</v>
      </c>
      <c r="AC221" s="332"/>
      <c r="AD221" s="332">
        <v>0</v>
      </c>
      <c r="AE221" s="385" t="s">
        <v>55</v>
      </c>
      <c r="AF221" s="505"/>
      <c r="AG221" s="505"/>
      <c r="AH221" s="505"/>
    </row>
    <row r="222" spans="1:34" s="7" customFormat="1" ht="21" hidden="1" customHeight="1">
      <c r="A222" s="26"/>
      <c r="B222" s="27"/>
      <c r="C222" s="27"/>
      <c r="D222" s="65"/>
      <c r="E222" s="64"/>
      <c r="F222" s="64"/>
      <c r="G222" s="64"/>
      <c r="H222" s="64"/>
      <c r="I222" s="64"/>
      <c r="J222" s="64"/>
      <c r="K222" s="64"/>
      <c r="L222" s="64"/>
      <c r="M222" s="64"/>
      <c r="N222" s="43"/>
      <c r="O222" s="333"/>
      <c r="P222" s="333"/>
      <c r="Q222" s="333"/>
      <c r="R222" s="333"/>
      <c r="S222" s="332"/>
      <c r="T222" s="225"/>
      <c r="U222" s="288"/>
      <c r="V222" s="332"/>
      <c r="W222" s="335"/>
      <c r="X222" s="335"/>
      <c r="Y222" s="335"/>
      <c r="Z222" s="334"/>
      <c r="AA222" s="334"/>
      <c r="AB222" s="334" t="s">
        <v>137</v>
      </c>
      <c r="AC222" s="332"/>
      <c r="AD222" s="332">
        <v>0</v>
      </c>
      <c r="AE222" s="385" t="s">
        <v>55</v>
      </c>
      <c r="AF222" s="505"/>
      <c r="AG222" s="505"/>
      <c r="AH222" s="505"/>
    </row>
    <row r="223" spans="1:34" s="7" customFormat="1" ht="21" hidden="1" customHeight="1">
      <c r="A223" s="26"/>
      <c r="B223" s="27"/>
      <c r="C223" s="27"/>
      <c r="D223" s="65"/>
      <c r="E223" s="64"/>
      <c r="F223" s="64"/>
      <c r="G223" s="64"/>
      <c r="H223" s="64"/>
      <c r="I223" s="64"/>
      <c r="J223" s="64"/>
      <c r="K223" s="64"/>
      <c r="L223" s="64"/>
      <c r="M223" s="64"/>
      <c r="N223" s="43"/>
      <c r="O223" s="333"/>
      <c r="P223" s="333"/>
      <c r="Q223" s="333"/>
      <c r="R223" s="333"/>
      <c r="S223" s="332"/>
      <c r="T223" s="225"/>
      <c r="U223" s="288"/>
      <c r="V223" s="332"/>
      <c r="W223" s="335"/>
      <c r="X223" s="335"/>
      <c r="Y223" s="335"/>
      <c r="Z223" s="334"/>
      <c r="AA223" s="334"/>
      <c r="AB223" s="334" t="s">
        <v>137</v>
      </c>
      <c r="AC223" s="332"/>
      <c r="AD223" s="332">
        <v>0</v>
      </c>
      <c r="AE223" s="385" t="s">
        <v>55</v>
      </c>
      <c r="AF223" s="505"/>
      <c r="AG223" s="505"/>
      <c r="AH223" s="505"/>
    </row>
    <row r="224" spans="1:34" s="7" customFormat="1" ht="21" hidden="1" customHeight="1">
      <c r="A224" s="26"/>
      <c r="B224" s="27"/>
      <c r="C224" s="27"/>
      <c r="D224" s="65"/>
      <c r="E224" s="64"/>
      <c r="F224" s="64"/>
      <c r="G224" s="64"/>
      <c r="H224" s="64"/>
      <c r="I224" s="64"/>
      <c r="J224" s="64"/>
      <c r="K224" s="64"/>
      <c r="L224" s="64"/>
      <c r="M224" s="64"/>
      <c r="N224" s="43"/>
      <c r="O224" s="333"/>
      <c r="P224" s="333"/>
      <c r="Q224" s="333"/>
      <c r="R224" s="333"/>
      <c r="S224" s="332"/>
      <c r="T224" s="225"/>
      <c r="U224" s="288"/>
      <c r="V224" s="332"/>
      <c r="W224" s="335"/>
      <c r="X224" s="335"/>
      <c r="Y224" s="335"/>
      <c r="Z224" s="334"/>
      <c r="AA224" s="334"/>
      <c r="AB224" s="334" t="s">
        <v>137</v>
      </c>
      <c r="AC224" s="332"/>
      <c r="AD224" s="332">
        <v>0</v>
      </c>
      <c r="AE224" s="385" t="s">
        <v>55</v>
      </c>
      <c r="AF224" s="505"/>
      <c r="AG224" s="505"/>
      <c r="AH224" s="505"/>
    </row>
    <row r="225" spans="1:34" s="7" customFormat="1" ht="21" hidden="1" customHeight="1">
      <c r="A225" s="26"/>
      <c r="B225" s="27"/>
      <c r="C225" s="27"/>
      <c r="D225" s="65"/>
      <c r="E225" s="64"/>
      <c r="F225" s="64"/>
      <c r="G225" s="64"/>
      <c r="H225" s="64"/>
      <c r="I225" s="64"/>
      <c r="J225" s="64"/>
      <c r="K225" s="64"/>
      <c r="L225" s="64"/>
      <c r="M225" s="64"/>
      <c r="N225" s="43"/>
      <c r="O225" s="333"/>
      <c r="P225" s="333"/>
      <c r="Q225" s="333"/>
      <c r="R225" s="333"/>
      <c r="S225" s="332"/>
      <c r="T225" s="225"/>
      <c r="U225" s="288"/>
      <c r="V225" s="332"/>
      <c r="W225" s="335"/>
      <c r="X225" s="335"/>
      <c r="Y225" s="335"/>
      <c r="Z225" s="334"/>
      <c r="AA225" s="334"/>
      <c r="AB225" s="334" t="s">
        <v>137</v>
      </c>
      <c r="AC225" s="332"/>
      <c r="AD225" s="332">
        <v>0</v>
      </c>
      <c r="AE225" s="385" t="s">
        <v>55</v>
      </c>
      <c r="AF225" s="505"/>
      <c r="AG225" s="505"/>
      <c r="AH225" s="505"/>
    </row>
    <row r="226" spans="1:34" s="7" customFormat="1" ht="21" hidden="1" customHeight="1">
      <c r="A226" s="26"/>
      <c r="B226" s="27"/>
      <c r="C226" s="27"/>
      <c r="D226" s="65"/>
      <c r="E226" s="64"/>
      <c r="F226" s="64"/>
      <c r="G226" s="64"/>
      <c r="H226" s="64"/>
      <c r="I226" s="64"/>
      <c r="J226" s="64"/>
      <c r="K226" s="64"/>
      <c r="L226" s="64"/>
      <c r="M226" s="64"/>
      <c r="N226" s="43"/>
      <c r="O226" s="333"/>
      <c r="P226" s="333"/>
      <c r="Q226" s="333"/>
      <c r="R226" s="333"/>
      <c r="S226" s="332"/>
      <c r="T226" s="225"/>
      <c r="U226" s="288"/>
      <c r="V226" s="332"/>
      <c r="W226" s="335"/>
      <c r="X226" s="335"/>
      <c r="Y226" s="335"/>
      <c r="Z226" s="334"/>
      <c r="AA226" s="334"/>
      <c r="AB226" s="334" t="s">
        <v>137</v>
      </c>
      <c r="AC226" s="332"/>
      <c r="AD226" s="332">
        <v>0</v>
      </c>
      <c r="AE226" s="385" t="s">
        <v>55</v>
      </c>
      <c r="AF226" s="505"/>
      <c r="AG226" s="505"/>
      <c r="AH226" s="505"/>
    </row>
    <row r="227" spans="1:34" s="7" customFormat="1" ht="21" customHeight="1">
      <c r="A227" s="26"/>
      <c r="B227" s="27"/>
      <c r="C227" s="27"/>
      <c r="D227" s="65"/>
      <c r="E227" s="64"/>
      <c r="F227" s="64"/>
      <c r="G227" s="64"/>
      <c r="H227" s="64"/>
      <c r="I227" s="64"/>
      <c r="J227" s="64"/>
      <c r="K227" s="64"/>
      <c r="L227" s="64"/>
      <c r="M227" s="64"/>
      <c r="N227" s="43"/>
      <c r="O227" s="333"/>
      <c r="P227" s="333"/>
      <c r="Q227" s="333"/>
      <c r="R227" s="333"/>
      <c r="S227" s="332"/>
      <c r="T227" s="225"/>
      <c r="U227" s="288"/>
      <c r="V227" s="332"/>
      <c r="W227" s="335" t="s">
        <v>210</v>
      </c>
      <c r="X227" s="335"/>
      <c r="Y227" s="335"/>
      <c r="Z227" s="334"/>
      <c r="AA227" s="334"/>
      <c r="AB227" s="334" t="s">
        <v>137</v>
      </c>
      <c r="AC227" s="332"/>
      <c r="AD227" s="332">
        <v>0</v>
      </c>
      <c r="AE227" s="385" t="s">
        <v>758</v>
      </c>
      <c r="AF227" s="505"/>
      <c r="AG227" s="505"/>
      <c r="AH227" s="505"/>
    </row>
    <row r="228" spans="1:34" s="7" customFormat="1" ht="21" customHeight="1">
      <c r="A228" s="26"/>
      <c r="B228" s="27"/>
      <c r="C228" s="27"/>
      <c r="D228" s="65"/>
      <c r="E228" s="64"/>
      <c r="F228" s="64"/>
      <c r="G228" s="64"/>
      <c r="H228" s="64"/>
      <c r="I228" s="64"/>
      <c r="J228" s="64"/>
      <c r="K228" s="64"/>
      <c r="L228" s="64"/>
      <c r="M228" s="64"/>
      <c r="N228" s="43"/>
      <c r="O228" s="333" t="s">
        <v>772</v>
      </c>
      <c r="P228" s="333"/>
      <c r="Q228" s="333"/>
      <c r="R228" s="333"/>
      <c r="S228" s="332"/>
      <c r="T228" s="225"/>
      <c r="U228" s="288"/>
      <c r="V228" s="332"/>
      <c r="W228" s="335" t="s">
        <v>210</v>
      </c>
      <c r="X228" s="335"/>
      <c r="Y228" s="335"/>
      <c r="Z228" s="334"/>
      <c r="AA228" s="334"/>
      <c r="AB228" s="334" t="s">
        <v>137</v>
      </c>
      <c r="AC228" s="332"/>
      <c r="AD228" s="332">
        <v>1171000</v>
      </c>
      <c r="AE228" s="385" t="s">
        <v>55</v>
      </c>
      <c r="AF228" s="505"/>
      <c r="AG228" s="505"/>
      <c r="AH228" s="505"/>
    </row>
    <row r="229" spans="1:34" s="7" customFormat="1" ht="21" customHeight="1">
      <c r="A229" s="26"/>
      <c r="B229" s="27"/>
      <c r="C229" s="18" t="s">
        <v>50</v>
      </c>
      <c r="D229" s="88">
        <v>22609</v>
      </c>
      <c r="E229" s="68">
        <f>ROUND(AD229/1000,0)</f>
        <v>21784</v>
      </c>
      <c r="F229" s="69">
        <f>SUMIF($AB$230:$AB$244,"보조",$AD$230:$AD$244)/1000</f>
        <v>6113</v>
      </c>
      <c r="G229" s="69">
        <f>SUMIF($AB$230:$AB$244,"6종",$AD$230:$AD$244)/1000</f>
        <v>0</v>
      </c>
      <c r="H229" s="69">
        <f>SUMIF($AB$230:$AB$244,"4종",$AD$230:$AD$244)/1000</f>
        <v>0</v>
      </c>
      <c r="I229" s="69">
        <f>SUMIF($AB$230:$AB$244,"후원",$AD$230:$AD$244)/1000</f>
        <v>15671</v>
      </c>
      <c r="J229" s="69">
        <f>SUMIF($AB$230:$AB$244,"입소",$AD$230:$AD$244)/1000</f>
        <v>0</v>
      </c>
      <c r="K229" s="69">
        <f>SUMIF($AB$230:$AB$244,"법인",$AD$230:$AD$244)/1000</f>
        <v>0</v>
      </c>
      <c r="L229" s="69">
        <f>SUMIF($AB$230:$AB$244,"잡수",$AD$230:$AD$244)/1000</f>
        <v>0</v>
      </c>
      <c r="M229" s="75">
        <f>E229-D229</f>
        <v>-825</v>
      </c>
      <c r="N229" s="73">
        <f>IF(D229=0,0,M229/D229)</f>
        <v>-3.6489893405281082E-2</v>
      </c>
      <c r="O229" s="182" t="s">
        <v>51</v>
      </c>
      <c r="P229" s="183"/>
      <c r="Q229" s="183"/>
      <c r="R229" s="183"/>
      <c r="S229" s="183"/>
      <c r="T229" s="437"/>
      <c r="U229" s="437"/>
      <c r="V229" s="184"/>
      <c r="W229" s="437"/>
      <c r="X229" s="437"/>
      <c r="Y229" s="185" t="s">
        <v>127</v>
      </c>
      <c r="Z229" s="441"/>
      <c r="AA229" s="441"/>
      <c r="AB229" s="441"/>
      <c r="AC229" s="185"/>
      <c r="AD229" s="185">
        <f>SUM(AD230:AD244)</f>
        <v>21784000</v>
      </c>
      <c r="AE229" s="477" t="s">
        <v>25</v>
      </c>
      <c r="AF229" s="505"/>
      <c r="AG229" s="505"/>
      <c r="AH229" s="505"/>
    </row>
    <row r="230" spans="1:34" ht="21" customHeight="1">
      <c r="A230" s="26"/>
      <c r="B230" s="27"/>
      <c r="C230" s="27" t="s">
        <v>139</v>
      </c>
      <c r="D230" s="347"/>
      <c r="E230" s="345"/>
      <c r="F230" s="345"/>
      <c r="G230" s="345"/>
      <c r="H230" s="345"/>
      <c r="I230" s="345"/>
      <c r="J230" s="345"/>
      <c r="K230" s="345"/>
      <c r="L230" s="345"/>
      <c r="M230" s="64"/>
      <c r="N230" s="43"/>
      <c r="O230" s="333" t="s">
        <v>241</v>
      </c>
      <c r="P230" s="333"/>
      <c r="Q230" s="333"/>
      <c r="R230" s="333"/>
      <c r="S230" s="332">
        <v>220000</v>
      </c>
      <c r="T230" s="288" t="s">
        <v>55</v>
      </c>
      <c r="U230" s="288" t="s">
        <v>26</v>
      </c>
      <c r="V230" s="332">
        <v>12</v>
      </c>
      <c r="W230" s="288" t="s">
        <v>0</v>
      </c>
      <c r="X230" s="334" t="s">
        <v>27</v>
      </c>
      <c r="Y230" s="335"/>
      <c r="Z230" s="334"/>
      <c r="AA230" s="334"/>
      <c r="AB230" s="334" t="s">
        <v>70</v>
      </c>
      <c r="AC230" s="332"/>
      <c r="AD230" s="332">
        <f>S230*V230</f>
        <v>2640000</v>
      </c>
      <c r="AE230" s="385" t="s">
        <v>25</v>
      </c>
    </row>
    <row r="231" spans="1:34" ht="21" customHeight="1">
      <c r="A231" s="26"/>
      <c r="B231" s="27"/>
      <c r="C231" s="27"/>
      <c r="D231" s="348"/>
      <c r="E231" s="346"/>
      <c r="F231" s="346"/>
      <c r="G231" s="346"/>
      <c r="H231" s="346"/>
      <c r="I231" s="346"/>
      <c r="J231" s="346"/>
      <c r="K231" s="346"/>
      <c r="L231" s="346"/>
      <c r="M231" s="64"/>
      <c r="N231" s="43"/>
      <c r="O231" s="333" t="s">
        <v>242</v>
      </c>
      <c r="P231" s="333"/>
      <c r="Q231" s="333"/>
      <c r="R231" s="333"/>
      <c r="S231" s="332">
        <v>140000</v>
      </c>
      <c r="T231" s="288" t="s">
        <v>55</v>
      </c>
      <c r="U231" s="288" t="s">
        <v>26</v>
      </c>
      <c r="V231" s="332">
        <v>12</v>
      </c>
      <c r="W231" s="288" t="s">
        <v>0</v>
      </c>
      <c r="X231" s="334" t="s">
        <v>27</v>
      </c>
      <c r="Y231" s="335"/>
      <c r="Z231" s="334"/>
      <c r="AA231" s="334"/>
      <c r="AB231" s="334" t="s">
        <v>70</v>
      </c>
      <c r="AC231" s="332"/>
      <c r="AD231" s="332">
        <f>S231*V231</f>
        <v>1680000</v>
      </c>
      <c r="AE231" s="385" t="s">
        <v>25</v>
      </c>
    </row>
    <row r="232" spans="1:34" ht="21" customHeight="1">
      <c r="A232" s="26"/>
      <c r="B232" s="27"/>
      <c r="C232" s="27"/>
      <c r="D232" s="86"/>
      <c r="E232" s="64"/>
      <c r="F232" s="64"/>
      <c r="G232" s="64"/>
      <c r="H232" s="64"/>
      <c r="I232" s="64"/>
      <c r="J232" s="64"/>
      <c r="K232" s="64"/>
      <c r="L232" s="64"/>
      <c r="M232" s="64"/>
      <c r="N232" s="43"/>
      <c r="O232" s="333" t="s">
        <v>275</v>
      </c>
      <c r="P232" s="333"/>
      <c r="Q232" s="333"/>
      <c r="R232" s="333"/>
      <c r="S232" s="332"/>
      <c r="T232" s="288"/>
      <c r="U232" s="288"/>
      <c r="V232" s="332"/>
      <c r="W232" s="334" t="s">
        <v>842</v>
      </c>
      <c r="X232" s="334"/>
      <c r="Y232" s="335"/>
      <c r="Z232" s="334"/>
      <c r="AA232" s="334"/>
      <c r="AB232" s="334" t="s">
        <v>137</v>
      </c>
      <c r="AC232" s="332"/>
      <c r="AD232" s="332">
        <v>12724000</v>
      </c>
      <c r="AE232" s="385" t="s">
        <v>55</v>
      </c>
    </row>
    <row r="233" spans="1:34" ht="21" customHeight="1">
      <c r="A233" s="26"/>
      <c r="B233" s="27"/>
      <c r="C233" s="27"/>
      <c r="D233" s="86"/>
      <c r="E233" s="64"/>
      <c r="F233" s="64"/>
      <c r="G233" s="64"/>
      <c r="H233" s="64"/>
      <c r="I233" s="64"/>
      <c r="J233" s="64"/>
      <c r="K233" s="64"/>
      <c r="L233" s="64"/>
      <c r="M233" s="64"/>
      <c r="N233" s="43"/>
      <c r="O233" s="333" t="s">
        <v>299</v>
      </c>
      <c r="P233" s="333"/>
      <c r="Q233" s="333"/>
      <c r="R233" s="333"/>
      <c r="S233" s="332"/>
      <c r="T233" s="288"/>
      <c r="U233" s="288"/>
      <c r="V233" s="332"/>
      <c r="W233" s="288"/>
      <c r="X233" s="334"/>
      <c r="Y233" s="335"/>
      <c r="Z233" s="334"/>
      <c r="AA233" s="334"/>
      <c r="AB233" s="334" t="s">
        <v>137</v>
      </c>
      <c r="AC233" s="332"/>
      <c r="AD233" s="332">
        <v>0</v>
      </c>
      <c r="AE233" s="385" t="s">
        <v>55</v>
      </c>
    </row>
    <row r="234" spans="1:34" ht="21" customHeight="1">
      <c r="A234" s="26"/>
      <c r="B234" s="27"/>
      <c r="C234" s="27"/>
      <c r="D234" s="86"/>
      <c r="E234" s="64"/>
      <c r="F234" s="64"/>
      <c r="G234" s="64"/>
      <c r="H234" s="64"/>
      <c r="I234" s="64"/>
      <c r="J234" s="64"/>
      <c r="K234" s="64"/>
      <c r="L234" s="64"/>
      <c r="M234" s="64"/>
      <c r="N234" s="43"/>
      <c r="O234" s="333" t="s">
        <v>735</v>
      </c>
      <c r="P234" s="333"/>
      <c r="Q234" s="333"/>
      <c r="R234" s="333"/>
      <c r="S234" s="332"/>
      <c r="T234" s="288"/>
      <c r="U234" s="288"/>
      <c r="V234" s="332"/>
      <c r="W234" s="288"/>
      <c r="X234" s="334"/>
      <c r="Y234" s="335"/>
      <c r="Z234" s="334"/>
      <c r="AA234" s="334"/>
      <c r="AB234" s="334" t="s">
        <v>137</v>
      </c>
      <c r="AC234" s="332"/>
      <c r="AD234" s="332">
        <v>0</v>
      </c>
      <c r="AE234" s="385" t="s">
        <v>55</v>
      </c>
    </row>
    <row r="235" spans="1:34" ht="21" customHeight="1">
      <c r="A235" s="26"/>
      <c r="B235" s="27"/>
      <c r="C235" s="27"/>
      <c r="D235" s="86"/>
      <c r="E235" s="64"/>
      <c r="F235" s="64"/>
      <c r="G235" s="64"/>
      <c r="H235" s="64"/>
      <c r="I235" s="64"/>
      <c r="J235" s="64"/>
      <c r="K235" s="64"/>
      <c r="L235" s="64"/>
      <c r="M235" s="64"/>
      <c r="N235" s="43"/>
      <c r="O235" s="333" t="s">
        <v>300</v>
      </c>
      <c r="P235" s="333"/>
      <c r="Q235" s="333"/>
      <c r="R235" s="333"/>
      <c r="S235" s="332">
        <v>1793000</v>
      </c>
      <c r="T235" s="288" t="s">
        <v>55</v>
      </c>
      <c r="U235" s="288" t="s">
        <v>26</v>
      </c>
      <c r="V235" s="332">
        <v>1</v>
      </c>
      <c r="W235" s="288" t="s">
        <v>0</v>
      </c>
      <c r="X235" s="334" t="s">
        <v>27</v>
      </c>
      <c r="Y235" s="335"/>
      <c r="Z235" s="334"/>
      <c r="AA235" s="334"/>
      <c r="AB235" s="334" t="s">
        <v>70</v>
      </c>
      <c r="AC235" s="332"/>
      <c r="AD235" s="332">
        <f>S235*V235</f>
        <v>1793000</v>
      </c>
      <c r="AE235" s="385" t="s">
        <v>25</v>
      </c>
      <c r="AG235" s="535"/>
    </row>
    <row r="236" spans="1:34" ht="21" customHeight="1">
      <c r="A236" s="26"/>
      <c r="B236" s="27"/>
      <c r="C236" s="27"/>
      <c r="D236" s="86"/>
      <c r="E236" s="64"/>
      <c r="F236" s="64"/>
      <c r="G236" s="64"/>
      <c r="H236" s="64"/>
      <c r="I236" s="64"/>
      <c r="J236" s="64"/>
      <c r="K236" s="64"/>
      <c r="L236" s="64"/>
      <c r="M236" s="64"/>
      <c r="N236" s="43"/>
      <c r="O236" s="333"/>
      <c r="P236" s="333"/>
      <c r="Q236" s="333"/>
      <c r="R236" s="333"/>
      <c r="S236" s="332">
        <v>1793000</v>
      </c>
      <c r="T236" s="288" t="s">
        <v>55</v>
      </c>
      <c r="U236" s="288" t="s">
        <v>26</v>
      </c>
      <c r="V236" s="332">
        <v>1</v>
      </c>
      <c r="W236" s="288" t="s">
        <v>0</v>
      </c>
      <c r="X236" s="334" t="s">
        <v>27</v>
      </c>
      <c r="Y236" s="335"/>
      <c r="Z236" s="334"/>
      <c r="AA236" s="334"/>
      <c r="AB236" s="334" t="s">
        <v>720</v>
      </c>
      <c r="AC236" s="332"/>
      <c r="AD236" s="332">
        <f>S236*V236</f>
        <v>1793000</v>
      </c>
      <c r="AE236" s="385" t="s">
        <v>25</v>
      </c>
    </row>
    <row r="237" spans="1:34" ht="21" customHeight="1">
      <c r="A237" s="26"/>
      <c r="B237" s="27"/>
      <c r="C237" s="27"/>
      <c r="D237" s="86"/>
      <c r="E237" s="64"/>
      <c r="F237" s="64"/>
      <c r="G237" s="64"/>
      <c r="H237" s="64"/>
      <c r="I237" s="64"/>
      <c r="J237" s="64"/>
      <c r="K237" s="64"/>
      <c r="L237" s="64"/>
      <c r="M237" s="64"/>
      <c r="N237" s="43"/>
      <c r="O237" s="333" t="s">
        <v>753</v>
      </c>
      <c r="P237" s="333"/>
      <c r="Q237" s="333"/>
      <c r="R237" s="333"/>
      <c r="S237" s="332"/>
      <c r="T237" s="288"/>
      <c r="U237" s="288"/>
      <c r="V237" s="332"/>
      <c r="W237" s="288"/>
      <c r="X237" s="334"/>
      <c r="Y237" s="335"/>
      <c r="Z237" s="334"/>
      <c r="AA237" s="334"/>
      <c r="AB237" s="334" t="s">
        <v>773</v>
      </c>
      <c r="AC237" s="332"/>
      <c r="AD237" s="332">
        <v>0</v>
      </c>
      <c r="AE237" s="385" t="s">
        <v>55</v>
      </c>
    </row>
    <row r="238" spans="1:34" ht="21" customHeight="1">
      <c r="A238" s="26"/>
      <c r="B238" s="27"/>
      <c r="C238" s="27"/>
      <c r="D238" s="86"/>
      <c r="E238" s="64"/>
      <c r="F238" s="64"/>
      <c r="G238" s="64"/>
      <c r="H238" s="64"/>
      <c r="I238" s="64"/>
      <c r="J238" s="64"/>
      <c r="K238" s="64"/>
      <c r="L238" s="64"/>
      <c r="M238" s="64"/>
      <c r="N238" s="43"/>
      <c r="O238" s="333"/>
      <c r="P238" s="333"/>
      <c r="Q238" s="333"/>
      <c r="R238" s="333"/>
      <c r="S238" s="332"/>
      <c r="T238" s="288"/>
      <c r="U238" s="288"/>
      <c r="V238" s="332"/>
      <c r="W238" s="334" t="s">
        <v>252</v>
      </c>
      <c r="X238" s="334"/>
      <c r="Y238" s="335"/>
      <c r="Z238" s="334"/>
      <c r="AA238" s="334"/>
      <c r="AB238" s="334" t="s">
        <v>137</v>
      </c>
      <c r="AC238" s="332"/>
      <c r="AD238" s="332">
        <v>0</v>
      </c>
      <c r="AE238" s="385" t="s">
        <v>55</v>
      </c>
    </row>
    <row r="239" spans="1:34" ht="21" customHeight="1">
      <c r="A239" s="26"/>
      <c r="B239" s="27"/>
      <c r="C239" s="27"/>
      <c r="D239" s="64"/>
      <c r="E239" s="504"/>
      <c r="F239" s="504"/>
      <c r="G239" s="504"/>
      <c r="H239" s="504"/>
      <c r="I239" s="504"/>
      <c r="J239" s="504"/>
      <c r="K239" s="64"/>
      <c r="L239" s="64"/>
      <c r="M239" s="64"/>
      <c r="N239" s="43"/>
      <c r="O239" s="333" t="s">
        <v>301</v>
      </c>
      <c r="P239" s="333"/>
      <c r="Q239" s="333"/>
      <c r="R239" s="333"/>
      <c r="S239" s="332"/>
      <c r="T239" s="288"/>
      <c r="U239" s="288"/>
      <c r="V239" s="332"/>
      <c r="W239" s="288"/>
      <c r="X239" s="334"/>
      <c r="Y239" s="335"/>
      <c r="Z239" s="334"/>
      <c r="AA239" s="334"/>
      <c r="AB239" s="334" t="s">
        <v>137</v>
      </c>
      <c r="AC239" s="332"/>
      <c r="AD239" s="332">
        <v>0</v>
      </c>
      <c r="AE239" s="385" t="s">
        <v>55</v>
      </c>
    </row>
    <row r="240" spans="1:34" ht="21" customHeight="1">
      <c r="A240" s="26"/>
      <c r="B240" s="27"/>
      <c r="C240" s="27"/>
      <c r="D240" s="64"/>
      <c r="E240" s="64"/>
      <c r="F240" s="64"/>
      <c r="G240" s="64"/>
      <c r="H240" s="64"/>
      <c r="I240" s="64"/>
      <c r="K240" s="64"/>
      <c r="L240" s="64"/>
      <c r="M240" s="64"/>
      <c r="N240" s="43"/>
      <c r="O240" s="333" t="s">
        <v>302</v>
      </c>
      <c r="P240" s="333"/>
      <c r="Q240" s="333"/>
      <c r="R240" s="333"/>
      <c r="S240" s="332"/>
      <c r="T240" s="288"/>
      <c r="U240" s="288"/>
      <c r="V240" s="332"/>
      <c r="W240" s="288"/>
      <c r="X240" s="334"/>
      <c r="Y240" s="335"/>
      <c r="Z240" s="334"/>
      <c r="AA240" s="334"/>
      <c r="AB240" s="334" t="s">
        <v>137</v>
      </c>
      <c r="AC240" s="332"/>
      <c r="AD240" s="332">
        <v>0</v>
      </c>
      <c r="AE240" s="385" t="s">
        <v>55</v>
      </c>
    </row>
    <row r="241" spans="1:34" ht="21" customHeight="1">
      <c r="A241" s="26"/>
      <c r="B241" s="27"/>
      <c r="C241" s="27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43"/>
      <c r="O241" s="333" t="s">
        <v>303</v>
      </c>
      <c r="P241" s="333"/>
      <c r="Q241" s="333"/>
      <c r="R241" s="333"/>
      <c r="S241" s="332"/>
      <c r="T241" s="288"/>
      <c r="U241" s="288"/>
      <c r="V241" s="332"/>
      <c r="W241" s="288"/>
      <c r="X241" s="334"/>
      <c r="Y241" s="335"/>
      <c r="Z241" s="334"/>
      <c r="AA241" s="334"/>
      <c r="AB241" s="334" t="s">
        <v>137</v>
      </c>
      <c r="AC241" s="332"/>
      <c r="AD241" s="332">
        <v>0</v>
      </c>
      <c r="AE241" s="385" t="s">
        <v>55</v>
      </c>
    </row>
    <row r="242" spans="1:34" ht="21" customHeight="1">
      <c r="A242" s="26"/>
      <c r="B242" s="27"/>
      <c r="C242" s="27"/>
      <c r="D242" s="86"/>
      <c r="E242" s="64"/>
      <c r="F242" s="64"/>
      <c r="G242" s="64"/>
      <c r="H242" s="64"/>
      <c r="I242" s="64"/>
      <c r="J242" s="64"/>
      <c r="K242" s="64"/>
      <c r="L242" s="64"/>
      <c r="M242" s="64"/>
      <c r="N242" s="43"/>
      <c r="O242" s="333" t="s">
        <v>304</v>
      </c>
      <c r="P242" s="333"/>
      <c r="Q242" s="333"/>
      <c r="R242" s="333"/>
      <c r="S242" s="332"/>
      <c r="T242" s="288"/>
      <c r="U242" s="288"/>
      <c r="V242" s="332"/>
      <c r="W242" s="288"/>
      <c r="X242" s="334"/>
      <c r="Y242" s="335"/>
      <c r="Z242" s="334"/>
      <c r="AA242" s="334"/>
      <c r="AB242" s="334" t="s">
        <v>137</v>
      </c>
      <c r="AC242" s="332"/>
      <c r="AD242" s="332">
        <v>0</v>
      </c>
      <c r="AE242" s="385" t="s">
        <v>55</v>
      </c>
    </row>
    <row r="243" spans="1:34" ht="21" customHeight="1">
      <c r="A243" s="26"/>
      <c r="B243" s="27"/>
      <c r="C243" s="27"/>
      <c r="D243" s="86"/>
      <c r="E243" s="64"/>
      <c r="F243" s="64"/>
      <c r="G243" s="64"/>
      <c r="H243" s="64"/>
      <c r="I243" s="64"/>
      <c r="J243" s="64"/>
      <c r="K243" s="64"/>
      <c r="L243" s="64"/>
      <c r="M243" s="64"/>
      <c r="N243" s="43"/>
      <c r="O243" s="333" t="s">
        <v>305</v>
      </c>
      <c r="P243" s="333"/>
      <c r="Q243" s="333"/>
      <c r="R243" s="333"/>
      <c r="S243" s="332"/>
      <c r="T243" s="288"/>
      <c r="U243" s="288"/>
      <c r="V243" s="332"/>
      <c r="W243" s="288"/>
      <c r="X243" s="334"/>
      <c r="Y243" s="335"/>
      <c r="Z243" s="334"/>
      <c r="AA243" s="334"/>
      <c r="AB243" s="334" t="s">
        <v>137</v>
      </c>
      <c r="AC243" s="332"/>
      <c r="AD243" s="332">
        <v>1154000</v>
      </c>
      <c r="AE243" s="385" t="s">
        <v>55</v>
      </c>
    </row>
    <row r="244" spans="1:34" ht="21" customHeight="1">
      <c r="A244" s="26"/>
      <c r="B244" s="27"/>
      <c r="C244" s="27"/>
      <c r="D244" s="86"/>
      <c r="E244" s="64"/>
      <c r="F244" s="64"/>
      <c r="G244" s="64"/>
      <c r="H244" s="64"/>
      <c r="I244" s="64"/>
      <c r="J244" s="64"/>
      <c r="K244" s="64"/>
      <c r="L244" s="64"/>
      <c r="M244" s="64"/>
      <c r="N244" s="43"/>
      <c r="O244" s="333" t="s">
        <v>306</v>
      </c>
      <c r="P244" s="333"/>
      <c r="Q244" s="333"/>
      <c r="R244" s="333"/>
      <c r="S244" s="332"/>
      <c r="T244" s="288"/>
      <c r="U244" s="288"/>
      <c r="V244" s="332"/>
      <c r="W244" s="288"/>
      <c r="X244" s="334"/>
      <c r="Y244" s="335"/>
      <c r="Z244" s="334"/>
      <c r="AA244" s="334"/>
      <c r="AB244" s="334" t="s">
        <v>137</v>
      </c>
      <c r="AC244" s="332"/>
      <c r="AD244" s="332">
        <v>0</v>
      </c>
      <c r="AE244" s="385" t="s">
        <v>55</v>
      </c>
    </row>
    <row r="245" spans="1:34" s="7" customFormat="1" ht="21" customHeight="1">
      <c r="A245" s="583" t="s">
        <v>19</v>
      </c>
      <c r="B245" s="655" t="s">
        <v>20</v>
      </c>
      <c r="C245" s="656"/>
      <c r="D245" s="105">
        <f t="shared" ref="D245:M245" si="11">SUM(D246,D287)</f>
        <v>349877</v>
      </c>
      <c r="E245" s="105">
        <f t="shared" si="11"/>
        <v>377236</v>
      </c>
      <c r="F245" s="105">
        <f t="shared" si="11"/>
        <v>130858</v>
      </c>
      <c r="G245" s="105">
        <f t="shared" si="11"/>
        <v>18439</v>
      </c>
      <c r="H245" s="105">
        <f t="shared" si="11"/>
        <v>20525</v>
      </c>
      <c r="I245" s="105">
        <f t="shared" si="11"/>
        <v>95923</v>
      </c>
      <c r="J245" s="105">
        <f t="shared" si="11"/>
        <v>102329</v>
      </c>
      <c r="K245" s="105">
        <f t="shared" si="11"/>
        <v>0</v>
      </c>
      <c r="L245" s="105">
        <f t="shared" si="11"/>
        <v>9162</v>
      </c>
      <c r="M245" s="105">
        <f t="shared" si="11"/>
        <v>27359</v>
      </c>
      <c r="N245" s="106">
        <f>IF(D245=0,0,M245/D245)</f>
        <v>7.8196051755331161E-2</v>
      </c>
      <c r="O245" s="183" t="s">
        <v>119</v>
      </c>
      <c r="P245" s="183"/>
      <c r="Q245" s="183"/>
      <c r="R245" s="183"/>
      <c r="S245" s="183"/>
      <c r="T245" s="437"/>
      <c r="U245" s="437"/>
      <c r="V245" s="184"/>
      <c r="W245" s="437"/>
      <c r="X245" s="437"/>
      <c r="Y245" s="331"/>
      <c r="Z245" s="437"/>
      <c r="AA245" s="437"/>
      <c r="AB245" s="437"/>
      <c r="AC245" s="184"/>
      <c r="AD245" s="184">
        <f>SUM(AD246,AD287)</f>
        <v>377236000</v>
      </c>
      <c r="AE245" s="481" t="s">
        <v>25</v>
      </c>
      <c r="AF245" s="505"/>
      <c r="AG245" s="505"/>
      <c r="AH245" s="505"/>
    </row>
    <row r="246" spans="1:34" s="7" customFormat="1" ht="21" customHeight="1">
      <c r="A246" s="27"/>
      <c r="B246" s="18" t="s">
        <v>76</v>
      </c>
      <c r="C246" s="18" t="s">
        <v>130</v>
      </c>
      <c r="D246" s="68">
        <f t="shared" ref="D246:L246" si="12">SUM(D247,D267,D271,D274,D282)</f>
        <v>242817</v>
      </c>
      <c r="E246" s="68">
        <f t="shared" si="12"/>
        <v>246322</v>
      </c>
      <c r="F246" s="68">
        <f t="shared" si="12"/>
        <v>130058</v>
      </c>
      <c r="G246" s="68">
        <f t="shared" si="12"/>
        <v>12600</v>
      </c>
      <c r="H246" s="68">
        <f t="shared" si="12"/>
        <v>20525</v>
      </c>
      <c r="I246" s="68">
        <f t="shared" si="12"/>
        <v>15872</v>
      </c>
      <c r="J246" s="68">
        <f t="shared" si="12"/>
        <v>65505</v>
      </c>
      <c r="K246" s="68">
        <f t="shared" si="12"/>
        <v>0</v>
      </c>
      <c r="L246" s="68">
        <f t="shared" si="12"/>
        <v>1762</v>
      </c>
      <c r="M246" s="68">
        <f>E246-D246</f>
        <v>3505</v>
      </c>
      <c r="N246" s="73">
        <f>IF(D246=0,0,M246/D246)</f>
        <v>1.4434738918609488E-2</v>
      </c>
      <c r="O246" s="183"/>
      <c r="P246" s="183"/>
      <c r="Q246" s="183"/>
      <c r="R246" s="183"/>
      <c r="S246" s="183"/>
      <c r="T246" s="437"/>
      <c r="U246" s="437"/>
      <c r="V246" s="184"/>
      <c r="W246" s="437"/>
      <c r="X246" s="437"/>
      <c r="Y246" s="331" t="s">
        <v>28</v>
      </c>
      <c r="Z246" s="437"/>
      <c r="AA246" s="437"/>
      <c r="AB246" s="437"/>
      <c r="AC246" s="331"/>
      <c r="AD246" s="331">
        <f>SUM(AD247,AD267,AD271,AD274,AD282)</f>
        <v>246322000</v>
      </c>
      <c r="AE246" s="481" t="s">
        <v>25</v>
      </c>
      <c r="AF246" s="505"/>
      <c r="AG246" s="505"/>
      <c r="AH246" s="505"/>
    </row>
    <row r="247" spans="1:34" s="7" customFormat="1" ht="21" customHeight="1">
      <c r="A247" s="27"/>
      <c r="B247" s="27"/>
      <c r="C247" s="18" t="s">
        <v>57</v>
      </c>
      <c r="D247" s="68">
        <v>196567</v>
      </c>
      <c r="E247" s="68">
        <f>AD247/1000</f>
        <v>185922</v>
      </c>
      <c r="F247" s="69">
        <f>SUMIF($AB$248:$AB$266,"보조",$AD$248:$AD$266)/1000</f>
        <v>102458</v>
      </c>
      <c r="G247" s="69">
        <f>SUMIF($AB$248:$AB$266,"6종",$AD$248:$AD$266)/1000</f>
        <v>0</v>
      </c>
      <c r="H247" s="69">
        <f>SUMIF($AB$248:$AB$266,"4종",$AD$248:$AD$266)/1000</f>
        <v>14525</v>
      </c>
      <c r="I247" s="69">
        <f>SUMIF($AB$248:$AB$266,"후원",$AD$248:$AD$266)/1000</f>
        <v>1672</v>
      </c>
      <c r="J247" s="69">
        <f>SUMIF($AB$248:$AB$266,"입소",$AD$248:$AD$266)/1000</f>
        <v>65505</v>
      </c>
      <c r="K247" s="69">
        <f>SUMIF($AB$248:$AB$266,"법인",$AD$248:$AD$266)/1000</f>
        <v>0</v>
      </c>
      <c r="L247" s="69">
        <f>SUMIF($AB$248:$AB$266,"잡수",$AD$248:$AD$266)/1000</f>
        <v>1762</v>
      </c>
      <c r="M247" s="75">
        <f>E247-D247</f>
        <v>-10645</v>
      </c>
      <c r="N247" s="73">
        <f>IF(D247=0,0,M247/D247)</f>
        <v>-5.4154563075185562E-2</v>
      </c>
      <c r="O247" s="182" t="s">
        <v>77</v>
      </c>
      <c r="P247" s="183"/>
      <c r="Q247" s="183"/>
      <c r="R247" s="183"/>
      <c r="S247" s="183"/>
      <c r="T247" s="437"/>
      <c r="U247" s="437"/>
      <c r="V247" s="184"/>
      <c r="W247" s="437"/>
      <c r="X247" s="437"/>
      <c r="Y247" s="185" t="s">
        <v>127</v>
      </c>
      <c r="Z247" s="441"/>
      <c r="AA247" s="441"/>
      <c r="AB247" s="441"/>
      <c r="AC247" s="185"/>
      <c r="AD247" s="185">
        <f>SUM(AD248:AD266)</f>
        <v>185922000</v>
      </c>
      <c r="AE247" s="477" t="s">
        <v>25</v>
      </c>
      <c r="AF247" s="505"/>
      <c r="AG247" s="505"/>
      <c r="AH247" s="505"/>
    </row>
    <row r="248" spans="1:34" s="7" customFormat="1" ht="21" customHeight="1">
      <c r="A248" s="27"/>
      <c r="B248" s="27"/>
      <c r="C248" s="27"/>
      <c r="D248" s="347"/>
      <c r="E248" s="345"/>
      <c r="F248" s="345"/>
      <c r="G248" s="345"/>
      <c r="H248" s="345"/>
      <c r="I248" s="345"/>
      <c r="J248" s="345"/>
      <c r="K248" s="345"/>
      <c r="L248" s="345"/>
      <c r="M248" s="64"/>
      <c r="N248" s="43"/>
      <c r="O248" s="333" t="s">
        <v>177</v>
      </c>
      <c r="P248" s="333"/>
      <c r="Q248" s="332"/>
      <c r="R248" s="332"/>
      <c r="S248" s="332">
        <v>272937</v>
      </c>
      <c r="T248" s="334" t="s">
        <v>55</v>
      </c>
      <c r="U248" s="288" t="s">
        <v>56</v>
      </c>
      <c r="V248" s="332">
        <v>12</v>
      </c>
      <c r="W248" s="334" t="s">
        <v>0</v>
      </c>
      <c r="X248" s="288" t="s">
        <v>56</v>
      </c>
      <c r="Y248" s="335">
        <v>30</v>
      </c>
      <c r="Z248" s="334" t="s">
        <v>54</v>
      </c>
      <c r="AA248" s="334" t="s">
        <v>53</v>
      </c>
      <c r="AB248" s="334" t="s">
        <v>70</v>
      </c>
      <c r="AC248" s="335"/>
      <c r="AD248" s="335">
        <f>ROUNDUP(S248*V248*Y248,-3)</f>
        <v>98258000</v>
      </c>
      <c r="AE248" s="385" t="s">
        <v>25</v>
      </c>
      <c r="AF248" s="505"/>
      <c r="AG248" s="505"/>
      <c r="AH248" s="505"/>
    </row>
    <row r="249" spans="1:34" s="7" customFormat="1" ht="21" customHeight="1">
      <c r="A249" s="27"/>
      <c r="B249" s="27"/>
      <c r="C249" s="27"/>
      <c r="D249" s="430"/>
      <c r="E249" s="345"/>
      <c r="F249" s="345"/>
      <c r="G249" s="345"/>
      <c r="H249" s="345"/>
      <c r="I249" s="345"/>
      <c r="J249" s="345"/>
      <c r="K249" s="345"/>
      <c r="L249" s="345"/>
      <c r="M249" s="64"/>
      <c r="N249" s="43"/>
      <c r="O249" s="333"/>
      <c r="P249" s="333"/>
      <c r="Q249" s="332"/>
      <c r="R249" s="332"/>
      <c r="S249" s="332">
        <v>303266</v>
      </c>
      <c r="T249" s="334" t="s">
        <v>55</v>
      </c>
      <c r="U249" s="288" t="s">
        <v>56</v>
      </c>
      <c r="V249" s="332">
        <v>1</v>
      </c>
      <c r="W249" s="334" t="s">
        <v>0</v>
      </c>
      <c r="X249" s="288" t="s">
        <v>56</v>
      </c>
      <c r="Y249" s="335">
        <v>0</v>
      </c>
      <c r="Z249" s="334" t="s">
        <v>54</v>
      </c>
      <c r="AA249" s="334" t="s">
        <v>53</v>
      </c>
      <c r="AB249" s="334" t="s">
        <v>70</v>
      </c>
      <c r="AC249" s="335"/>
      <c r="AD249" s="335">
        <f t="shared" ref="AD249:AD250" si="13">ROUND(S249*V249*Y249,-3)</f>
        <v>0</v>
      </c>
      <c r="AE249" s="385" t="s">
        <v>25</v>
      </c>
      <c r="AF249" s="505"/>
      <c r="AG249" s="505"/>
      <c r="AH249" s="505"/>
    </row>
    <row r="250" spans="1:34" s="7" customFormat="1" ht="21" customHeight="1">
      <c r="A250" s="27"/>
      <c r="B250" s="27"/>
      <c r="C250" s="27"/>
      <c r="D250" s="430"/>
      <c r="E250" s="345"/>
      <c r="F250" s="345"/>
      <c r="G250" s="345"/>
      <c r="H250" s="345"/>
      <c r="I250" s="345"/>
      <c r="J250" s="345"/>
      <c r="K250" s="345"/>
      <c r="L250" s="345"/>
      <c r="M250" s="64"/>
      <c r="N250" s="43"/>
      <c r="O250" s="333"/>
      <c r="P250" s="333"/>
      <c r="Q250" s="332"/>
      <c r="R250" s="332"/>
      <c r="S250" s="332">
        <v>303266</v>
      </c>
      <c r="T250" s="334" t="s">
        <v>55</v>
      </c>
      <c r="U250" s="288" t="s">
        <v>56</v>
      </c>
      <c r="V250" s="332">
        <v>4</v>
      </c>
      <c r="W250" s="334" t="s">
        <v>0</v>
      </c>
      <c r="X250" s="288" t="s">
        <v>56</v>
      </c>
      <c r="Y250" s="335">
        <v>0</v>
      </c>
      <c r="Z250" s="334" t="s">
        <v>54</v>
      </c>
      <c r="AA250" s="334" t="s">
        <v>53</v>
      </c>
      <c r="AB250" s="334" t="s">
        <v>70</v>
      </c>
      <c r="AC250" s="335"/>
      <c r="AD250" s="335">
        <f t="shared" si="13"/>
        <v>0</v>
      </c>
      <c r="AE250" s="385" t="s">
        <v>25</v>
      </c>
      <c r="AF250" s="505"/>
      <c r="AG250" s="505"/>
      <c r="AH250" s="505"/>
    </row>
    <row r="251" spans="1:34" s="7" customFormat="1" ht="21" customHeight="1">
      <c r="A251" s="27"/>
      <c r="B251" s="27"/>
      <c r="C251" s="27"/>
      <c r="D251" s="430"/>
      <c r="E251" s="345"/>
      <c r="F251" s="345"/>
      <c r="G251" s="345"/>
      <c r="H251" s="345"/>
      <c r="I251" s="345"/>
      <c r="J251" s="345"/>
      <c r="K251" s="345"/>
      <c r="L251" s="345"/>
      <c r="M251" s="64"/>
      <c r="N251" s="43"/>
      <c r="O251" s="333"/>
      <c r="P251" s="333"/>
      <c r="Q251" s="332"/>
      <c r="R251" s="332"/>
      <c r="S251" s="332">
        <v>272937</v>
      </c>
      <c r="T251" s="334" t="s">
        <v>55</v>
      </c>
      <c r="U251" s="288" t="s">
        <v>56</v>
      </c>
      <c r="V251" s="332">
        <v>12</v>
      </c>
      <c r="W251" s="334" t="s">
        <v>0</v>
      </c>
      <c r="X251" s="288" t="s">
        <v>56</v>
      </c>
      <c r="Y251" s="335"/>
      <c r="Z251" s="334" t="s">
        <v>54</v>
      </c>
      <c r="AA251" s="334" t="s">
        <v>53</v>
      </c>
      <c r="AB251" s="334" t="s">
        <v>70</v>
      </c>
      <c r="AC251" s="335"/>
      <c r="AD251" s="335">
        <f>ROUND(S251*V251*Y251,-3)</f>
        <v>0</v>
      </c>
      <c r="AE251" s="385" t="s">
        <v>25</v>
      </c>
      <c r="AF251" s="505"/>
      <c r="AG251" s="505"/>
      <c r="AH251" s="505"/>
    </row>
    <row r="252" spans="1:34" s="7" customFormat="1" ht="21" customHeight="1">
      <c r="A252" s="27"/>
      <c r="B252" s="27"/>
      <c r="C252" s="27"/>
      <c r="D252" s="65"/>
      <c r="E252" s="64"/>
      <c r="F252" s="64"/>
      <c r="G252" s="64"/>
      <c r="H252" s="64"/>
      <c r="I252" s="64"/>
      <c r="J252" s="64"/>
      <c r="K252" s="64"/>
      <c r="L252" s="64"/>
      <c r="M252" s="64"/>
      <c r="N252" s="43"/>
      <c r="O252" s="333" t="s">
        <v>223</v>
      </c>
      <c r="P252" s="333"/>
      <c r="Q252" s="333"/>
      <c r="R252" s="333"/>
      <c r="S252" s="332">
        <v>272937</v>
      </c>
      <c r="T252" s="334" t="s">
        <v>55</v>
      </c>
      <c r="U252" s="288" t="s">
        <v>56</v>
      </c>
      <c r="V252" s="332">
        <v>12</v>
      </c>
      <c r="W252" s="334" t="s">
        <v>0</v>
      </c>
      <c r="X252" s="288" t="s">
        <v>56</v>
      </c>
      <c r="Y252" s="335">
        <v>20</v>
      </c>
      <c r="Z252" s="334" t="s">
        <v>54</v>
      </c>
      <c r="AA252" s="334" t="s">
        <v>53</v>
      </c>
      <c r="AB252" s="334" t="s">
        <v>721</v>
      </c>
      <c r="AC252" s="335"/>
      <c r="AD252" s="335">
        <f>ROUNDUP(S252*V252*Y252,-3)</f>
        <v>65505000</v>
      </c>
      <c r="AE252" s="385" t="s">
        <v>25</v>
      </c>
      <c r="AF252" s="505"/>
      <c r="AG252" s="505"/>
      <c r="AH252" s="505"/>
    </row>
    <row r="253" spans="1:34" s="7" customFormat="1" ht="21" customHeight="1">
      <c r="A253" s="27"/>
      <c r="B253" s="27"/>
      <c r="C253" s="27"/>
      <c r="D253" s="65"/>
      <c r="E253" s="64"/>
      <c r="F253" s="64"/>
      <c r="G253" s="64"/>
      <c r="H253" s="64"/>
      <c r="I253" s="64"/>
      <c r="J253" s="64"/>
      <c r="K253" s="64"/>
      <c r="L253" s="64"/>
      <c r="M253" s="64"/>
      <c r="N253" s="43"/>
      <c r="O253" s="333"/>
      <c r="P253" s="333"/>
      <c r="Q253" s="333"/>
      <c r="R253" s="333"/>
      <c r="S253" s="332">
        <v>303266</v>
      </c>
      <c r="T253" s="334" t="s">
        <v>55</v>
      </c>
      <c r="U253" s="288" t="s">
        <v>56</v>
      </c>
      <c r="V253" s="332">
        <v>1</v>
      </c>
      <c r="W253" s="334" t="s">
        <v>0</v>
      </c>
      <c r="X253" s="288" t="s">
        <v>56</v>
      </c>
      <c r="Y253" s="335">
        <v>0</v>
      </c>
      <c r="Z253" s="334" t="s">
        <v>54</v>
      </c>
      <c r="AA253" s="334" t="s">
        <v>53</v>
      </c>
      <c r="AB253" s="334" t="s">
        <v>721</v>
      </c>
      <c r="AC253" s="335"/>
      <c r="AD253" s="335">
        <f>ROUNDUP(S253*V253*Y253,-3)</f>
        <v>0</v>
      </c>
      <c r="AE253" s="385" t="s">
        <v>25</v>
      </c>
      <c r="AF253" s="505"/>
      <c r="AG253" s="505"/>
      <c r="AH253" s="505"/>
    </row>
    <row r="254" spans="1:34" s="7" customFormat="1" ht="21" customHeight="1">
      <c r="A254" s="27"/>
      <c r="B254" s="27"/>
      <c r="C254" s="27"/>
      <c r="D254" s="65"/>
      <c r="E254" s="64"/>
      <c r="F254" s="64"/>
      <c r="G254" s="64"/>
      <c r="H254" s="64"/>
      <c r="I254" s="64"/>
      <c r="J254" s="64"/>
      <c r="K254" s="64"/>
      <c r="L254" s="64"/>
      <c r="M254" s="64"/>
      <c r="N254" s="43"/>
      <c r="O254" s="333"/>
      <c r="P254" s="333"/>
      <c r="Q254" s="333"/>
      <c r="R254" s="333"/>
      <c r="S254" s="332">
        <v>303266</v>
      </c>
      <c r="T254" s="334" t="s">
        <v>55</v>
      </c>
      <c r="U254" s="288" t="s">
        <v>56</v>
      </c>
      <c r="V254" s="332">
        <v>4</v>
      </c>
      <c r="W254" s="334" t="s">
        <v>0</v>
      </c>
      <c r="X254" s="288" t="s">
        <v>56</v>
      </c>
      <c r="Y254" s="335">
        <v>0</v>
      </c>
      <c r="Z254" s="334" t="s">
        <v>54</v>
      </c>
      <c r="AA254" s="334" t="s">
        <v>53</v>
      </c>
      <c r="AB254" s="334" t="s">
        <v>721</v>
      </c>
      <c r="AC254" s="335"/>
      <c r="AD254" s="335">
        <f>ROUNDUP(S254*V254*Y254,-3)</f>
        <v>0</v>
      </c>
      <c r="AE254" s="385" t="s">
        <v>25</v>
      </c>
      <c r="AF254" s="505"/>
      <c r="AG254" s="505"/>
      <c r="AH254" s="505"/>
    </row>
    <row r="255" spans="1:34" s="7" customFormat="1" ht="21" customHeight="1">
      <c r="A255" s="27"/>
      <c r="B255" s="27"/>
      <c r="C255" s="27"/>
      <c r="D255" s="65"/>
      <c r="E255" s="64"/>
      <c r="F255" s="64"/>
      <c r="G255" s="64"/>
      <c r="H255" s="64"/>
      <c r="I255" s="64"/>
      <c r="J255" s="64"/>
      <c r="K255" s="64"/>
      <c r="L255" s="64"/>
      <c r="M255" s="64"/>
      <c r="N255" s="43"/>
      <c r="O255" s="333"/>
      <c r="P255" s="333"/>
      <c r="Q255" s="333"/>
      <c r="R255" s="333"/>
      <c r="S255" s="332">
        <v>272937</v>
      </c>
      <c r="T255" s="334" t="s">
        <v>55</v>
      </c>
      <c r="U255" s="288" t="s">
        <v>56</v>
      </c>
      <c r="V255" s="332">
        <v>6</v>
      </c>
      <c r="W255" s="334" t="s">
        <v>0</v>
      </c>
      <c r="X255" s="288" t="s">
        <v>56</v>
      </c>
      <c r="Y255" s="335">
        <v>0</v>
      </c>
      <c r="Z255" s="334" t="s">
        <v>54</v>
      </c>
      <c r="AA255" s="334" t="s">
        <v>53</v>
      </c>
      <c r="AB255" s="334" t="s">
        <v>721</v>
      </c>
      <c r="AC255" s="335"/>
      <c r="AD255" s="335">
        <f t="shared" ref="AD255" si="14">ROUNDUP(S255*V255*Y255,-3)</f>
        <v>0</v>
      </c>
      <c r="AE255" s="385" t="s">
        <v>25</v>
      </c>
      <c r="AF255" s="505"/>
      <c r="AG255" s="505"/>
      <c r="AH255" s="505"/>
    </row>
    <row r="256" spans="1:34" s="7" customFormat="1" ht="21" customHeight="1">
      <c r="A256" s="27"/>
      <c r="B256" s="27"/>
      <c r="C256" s="27"/>
      <c r="D256" s="65"/>
      <c r="E256" s="64"/>
      <c r="F256" s="64"/>
      <c r="G256" s="64"/>
      <c r="H256" s="64"/>
      <c r="I256" s="64"/>
      <c r="J256" s="64"/>
      <c r="K256" s="64"/>
      <c r="L256" s="64"/>
      <c r="M256" s="64"/>
      <c r="N256" s="43"/>
      <c r="O256" s="333" t="s">
        <v>178</v>
      </c>
      <c r="P256" s="333"/>
      <c r="Q256" s="332"/>
      <c r="R256" s="332"/>
      <c r="S256" s="332">
        <v>500</v>
      </c>
      <c r="T256" s="334" t="s">
        <v>55</v>
      </c>
      <c r="U256" s="288" t="s">
        <v>56</v>
      </c>
      <c r="V256" s="332">
        <v>365</v>
      </c>
      <c r="W256" s="334" t="s">
        <v>84</v>
      </c>
      <c r="X256" s="288" t="s">
        <v>56</v>
      </c>
      <c r="Y256" s="335">
        <v>50</v>
      </c>
      <c r="Z256" s="334" t="s">
        <v>54</v>
      </c>
      <c r="AA256" s="334" t="s">
        <v>53</v>
      </c>
      <c r="AB256" s="334" t="s">
        <v>158</v>
      </c>
      <c r="AC256" s="335"/>
      <c r="AD256" s="335">
        <f>ROUND(S256*V256*Y256,-3)</f>
        <v>9125000</v>
      </c>
      <c r="AE256" s="385" t="s">
        <v>25</v>
      </c>
      <c r="AF256" s="505"/>
      <c r="AG256" s="505"/>
      <c r="AH256" s="505"/>
    </row>
    <row r="257" spans="1:34" s="7" customFormat="1" ht="21" customHeight="1">
      <c r="A257" s="27"/>
      <c r="B257" s="27"/>
      <c r="C257" s="27"/>
      <c r="D257" s="65"/>
      <c r="E257" s="64"/>
      <c r="F257" s="64"/>
      <c r="G257" s="64"/>
      <c r="H257" s="64"/>
      <c r="I257" s="64"/>
      <c r="J257" s="64"/>
      <c r="K257" s="64"/>
      <c r="L257" s="64"/>
      <c r="M257" s="64"/>
      <c r="N257" s="43"/>
      <c r="O257" s="333" t="s">
        <v>179</v>
      </c>
      <c r="P257" s="333"/>
      <c r="Q257" s="332"/>
      <c r="R257" s="332"/>
      <c r="S257" s="332">
        <v>5000</v>
      </c>
      <c r="T257" s="334" t="s">
        <v>55</v>
      </c>
      <c r="U257" s="288" t="s">
        <v>56</v>
      </c>
      <c r="V257" s="332">
        <v>12</v>
      </c>
      <c r="W257" s="334" t="s">
        <v>29</v>
      </c>
      <c r="X257" s="288" t="s">
        <v>56</v>
      </c>
      <c r="Y257" s="335">
        <v>50</v>
      </c>
      <c r="Z257" s="334" t="s">
        <v>54</v>
      </c>
      <c r="AA257" s="334" t="s">
        <v>53</v>
      </c>
      <c r="AB257" s="334" t="s">
        <v>158</v>
      </c>
      <c r="AC257" s="335"/>
      <c r="AD257" s="335">
        <f>S257*V257*Y257</f>
        <v>3000000</v>
      </c>
      <c r="AE257" s="385" t="s">
        <v>25</v>
      </c>
      <c r="AF257" s="505"/>
      <c r="AG257" s="505"/>
      <c r="AH257" s="505"/>
    </row>
    <row r="258" spans="1:34" s="7" customFormat="1" ht="21" customHeight="1">
      <c r="A258" s="27"/>
      <c r="B258" s="27"/>
      <c r="C258" s="27"/>
      <c r="D258" s="65"/>
      <c r="E258" s="64"/>
      <c r="F258" s="64"/>
      <c r="G258" s="64"/>
      <c r="H258" s="64"/>
      <c r="I258" s="64"/>
      <c r="J258" s="64"/>
      <c r="K258" s="64"/>
      <c r="L258" s="64"/>
      <c r="M258" s="64"/>
      <c r="N258" s="43"/>
      <c r="O258" s="333" t="s">
        <v>180</v>
      </c>
      <c r="P258" s="333"/>
      <c r="Q258" s="332"/>
      <c r="R258" s="332"/>
      <c r="S258" s="332">
        <v>12000</v>
      </c>
      <c r="T258" s="334" t="s">
        <v>55</v>
      </c>
      <c r="U258" s="288" t="s">
        <v>56</v>
      </c>
      <c r="V258" s="332">
        <v>4</v>
      </c>
      <c r="W258" s="334" t="s">
        <v>61</v>
      </c>
      <c r="X258" s="288" t="s">
        <v>56</v>
      </c>
      <c r="Y258" s="335">
        <v>50</v>
      </c>
      <c r="Z258" s="334" t="s">
        <v>54</v>
      </c>
      <c r="AA258" s="334" t="s">
        <v>53</v>
      </c>
      <c r="AB258" s="334" t="s">
        <v>158</v>
      </c>
      <c r="AC258" s="335"/>
      <c r="AD258" s="335">
        <f>S258*V258*Y258</f>
        <v>2400000</v>
      </c>
      <c r="AE258" s="385" t="s">
        <v>25</v>
      </c>
      <c r="AF258" s="505"/>
      <c r="AG258" s="505"/>
      <c r="AH258" s="505"/>
    </row>
    <row r="259" spans="1:34" s="7" customFormat="1" ht="21" customHeight="1">
      <c r="A259" s="27"/>
      <c r="B259" s="27"/>
      <c r="C259" s="27"/>
      <c r="D259" s="65"/>
      <c r="E259" s="64"/>
      <c r="F259" s="64"/>
      <c r="G259" s="64"/>
      <c r="H259" s="64"/>
      <c r="I259" s="64"/>
      <c r="J259" s="64"/>
      <c r="K259" s="64"/>
      <c r="L259" s="64"/>
      <c r="M259" s="64"/>
      <c r="N259" s="43"/>
      <c r="O259" s="333" t="s">
        <v>181</v>
      </c>
      <c r="P259" s="333"/>
      <c r="Q259" s="332"/>
      <c r="R259" s="332"/>
      <c r="S259" s="332">
        <v>50000</v>
      </c>
      <c r="T259" s="334" t="s">
        <v>55</v>
      </c>
      <c r="U259" s="288" t="s">
        <v>56</v>
      </c>
      <c r="V259" s="332">
        <v>1</v>
      </c>
      <c r="W259" s="334" t="s">
        <v>61</v>
      </c>
      <c r="X259" s="288" t="s">
        <v>56</v>
      </c>
      <c r="Y259" s="335">
        <v>30</v>
      </c>
      <c r="Z259" s="334" t="s">
        <v>54</v>
      </c>
      <c r="AA259" s="334" t="s">
        <v>53</v>
      </c>
      <c r="AB259" s="334" t="s">
        <v>70</v>
      </c>
      <c r="AC259" s="335"/>
      <c r="AD259" s="335">
        <f>ROUNDUP(S259*V259*Y259,-3)</f>
        <v>1500000</v>
      </c>
      <c r="AE259" s="385" t="s">
        <v>25</v>
      </c>
      <c r="AF259" s="505"/>
      <c r="AG259" s="505"/>
      <c r="AH259" s="505"/>
    </row>
    <row r="260" spans="1:34" s="7" customFormat="1" ht="21" customHeight="1">
      <c r="A260" s="27"/>
      <c r="B260" s="27"/>
      <c r="C260" s="27"/>
      <c r="D260" s="65"/>
      <c r="E260" s="64"/>
      <c r="F260" s="64"/>
      <c r="G260" s="64"/>
      <c r="H260" s="64"/>
      <c r="I260" s="64"/>
      <c r="J260" s="64"/>
      <c r="K260" s="64"/>
      <c r="L260" s="64"/>
      <c r="M260" s="64"/>
      <c r="N260" s="43"/>
      <c r="O260" s="333"/>
      <c r="P260" s="333"/>
      <c r="Q260" s="332"/>
      <c r="R260" s="332"/>
      <c r="S260" s="332">
        <v>50000</v>
      </c>
      <c r="T260" s="334" t="s">
        <v>55</v>
      </c>
      <c r="U260" s="288" t="s">
        <v>56</v>
      </c>
      <c r="V260" s="332">
        <v>1</v>
      </c>
      <c r="W260" s="334" t="s">
        <v>61</v>
      </c>
      <c r="X260" s="288" t="s">
        <v>56</v>
      </c>
      <c r="Y260" s="335">
        <v>30</v>
      </c>
      <c r="Z260" s="334" t="s">
        <v>54</v>
      </c>
      <c r="AA260" s="334" t="s">
        <v>53</v>
      </c>
      <c r="AB260" s="334" t="s">
        <v>70</v>
      </c>
      <c r="AC260" s="335"/>
      <c r="AD260" s="335">
        <f>ROUNDUP(S260*V260*Y260,-3)</f>
        <v>1500000</v>
      </c>
      <c r="AE260" s="385" t="s">
        <v>25</v>
      </c>
      <c r="AF260" s="505"/>
      <c r="AG260" s="505"/>
      <c r="AH260" s="505"/>
    </row>
    <row r="261" spans="1:34" s="7" customFormat="1" ht="21" customHeight="1">
      <c r="A261" s="27"/>
      <c r="B261" s="27"/>
      <c r="C261" s="27"/>
      <c r="D261" s="86"/>
      <c r="E261" s="64"/>
      <c r="F261" s="64"/>
      <c r="G261" s="64"/>
      <c r="H261" s="64"/>
      <c r="I261" s="64"/>
      <c r="J261" s="64"/>
      <c r="K261" s="64"/>
      <c r="L261" s="64"/>
      <c r="M261" s="64"/>
      <c r="N261" s="43"/>
      <c r="O261" s="333" t="s">
        <v>182</v>
      </c>
      <c r="P261" s="333"/>
      <c r="Q261" s="332"/>
      <c r="R261" s="332"/>
      <c r="S261" s="332">
        <v>40000</v>
      </c>
      <c r="T261" s="334" t="s">
        <v>55</v>
      </c>
      <c r="U261" s="288" t="s">
        <v>56</v>
      </c>
      <c r="V261" s="332">
        <v>1</v>
      </c>
      <c r="W261" s="334" t="s">
        <v>61</v>
      </c>
      <c r="X261" s="288" t="s">
        <v>56</v>
      </c>
      <c r="Y261" s="335">
        <v>30</v>
      </c>
      <c r="Z261" s="334" t="s">
        <v>54</v>
      </c>
      <c r="AA261" s="334" t="s">
        <v>53</v>
      </c>
      <c r="AB261" s="334" t="s">
        <v>70</v>
      </c>
      <c r="AC261" s="335"/>
      <c r="AD261" s="335">
        <f>ROUNDUP(S261*V261*Y261,-3)</f>
        <v>1200000</v>
      </c>
      <c r="AE261" s="385" t="s">
        <v>25</v>
      </c>
      <c r="AF261" s="505"/>
      <c r="AG261" s="505"/>
      <c r="AH261" s="505"/>
    </row>
    <row r="262" spans="1:34" s="7" customFormat="1" ht="21" customHeight="1">
      <c r="A262" s="27"/>
      <c r="B262" s="27"/>
      <c r="C262" s="27"/>
      <c r="D262" s="86"/>
      <c r="E262" s="64"/>
      <c r="F262" s="64"/>
      <c r="G262" s="64"/>
      <c r="H262" s="64"/>
      <c r="I262" s="64"/>
      <c r="J262" s="64"/>
      <c r="K262" s="64"/>
      <c r="L262" s="64"/>
      <c r="M262" s="64"/>
      <c r="N262" s="43"/>
      <c r="O262" s="333" t="s">
        <v>224</v>
      </c>
      <c r="P262" s="333"/>
      <c r="Q262" s="332"/>
      <c r="R262" s="332"/>
      <c r="S262" s="332">
        <v>40000</v>
      </c>
      <c r="T262" s="334" t="s">
        <v>55</v>
      </c>
      <c r="U262" s="288" t="s">
        <v>56</v>
      </c>
      <c r="V262" s="332">
        <v>1</v>
      </c>
      <c r="W262" s="334" t="s">
        <v>61</v>
      </c>
      <c r="X262" s="288" t="s">
        <v>56</v>
      </c>
      <c r="Y262" s="335">
        <v>20</v>
      </c>
      <c r="Z262" s="334" t="s">
        <v>54</v>
      </c>
      <c r="AA262" s="334" t="s">
        <v>53</v>
      </c>
      <c r="AB262" s="334" t="s">
        <v>633</v>
      </c>
      <c r="AC262" s="335"/>
      <c r="AD262" s="335">
        <f>ROUND(S262*V262*Y262,-3)</f>
        <v>800000</v>
      </c>
      <c r="AE262" s="385" t="s">
        <v>55</v>
      </c>
      <c r="AF262" s="505"/>
      <c r="AG262" s="505"/>
      <c r="AH262" s="505"/>
    </row>
    <row r="263" spans="1:34" s="7" customFormat="1" ht="21" customHeight="1">
      <c r="A263" s="27"/>
      <c r="B263" s="27"/>
      <c r="C263" s="27"/>
      <c r="D263" s="86"/>
      <c r="E263" s="64"/>
      <c r="F263" s="64"/>
      <c r="G263" s="64"/>
      <c r="H263" s="64"/>
      <c r="I263" s="64"/>
      <c r="J263" s="64"/>
      <c r="K263" s="64"/>
      <c r="L263" s="64"/>
      <c r="M263" s="64"/>
      <c r="N263" s="43"/>
      <c r="O263" s="333"/>
      <c r="P263" s="333" t="s">
        <v>279</v>
      </c>
      <c r="Q263" s="332"/>
      <c r="R263" s="332"/>
      <c r="S263" s="332"/>
      <c r="T263" s="334"/>
      <c r="U263" s="288"/>
      <c r="V263" s="332"/>
      <c r="W263" s="334"/>
      <c r="X263" s="288"/>
      <c r="Y263" s="335"/>
      <c r="Z263" s="334"/>
      <c r="AA263" s="334"/>
      <c r="AB263" s="334" t="s">
        <v>215</v>
      </c>
      <c r="AC263" s="335"/>
      <c r="AD263" s="335"/>
      <c r="AE263" s="385" t="s">
        <v>55</v>
      </c>
      <c r="AF263" s="505"/>
      <c r="AG263" s="505"/>
      <c r="AH263" s="505"/>
    </row>
    <row r="264" spans="1:34" s="7" customFormat="1" ht="21" customHeight="1">
      <c r="A264" s="27"/>
      <c r="B264" s="27"/>
      <c r="C264" s="27"/>
      <c r="D264" s="86"/>
      <c r="E264" s="64"/>
      <c r="F264" s="64"/>
      <c r="G264" s="64"/>
      <c r="H264" s="64"/>
      <c r="I264" s="64"/>
      <c r="J264" s="64"/>
      <c r="K264" s="64"/>
      <c r="L264" s="64"/>
      <c r="M264" s="64"/>
      <c r="N264" s="43"/>
      <c r="O264" s="333"/>
      <c r="P264" s="333"/>
      <c r="Q264" s="332"/>
      <c r="R264" s="332"/>
      <c r="S264" s="332"/>
      <c r="T264" s="334"/>
      <c r="U264" s="288"/>
      <c r="V264" s="332"/>
      <c r="W264" s="334"/>
      <c r="X264" s="288"/>
      <c r="Y264" s="335"/>
      <c r="Z264" s="334"/>
      <c r="AA264" s="334"/>
      <c r="AB264" s="334" t="s">
        <v>85</v>
      </c>
      <c r="AC264" s="335"/>
      <c r="AD264" s="335">
        <f>1500000+262000</f>
        <v>1762000</v>
      </c>
      <c r="AE264" s="385" t="s">
        <v>55</v>
      </c>
      <c r="AF264" s="505"/>
      <c r="AG264" s="505"/>
      <c r="AH264" s="505"/>
    </row>
    <row r="265" spans="1:34" s="7" customFormat="1" ht="21" customHeight="1">
      <c r="A265" s="27"/>
      <c r="B265" s="27"/>
      <c r="C265" s="27"/>
      <c r="D265" s="86"/>
      <c r="E265" s="64"/>
      <c r="F265" s="64"/>
      <c r="G265" s="64"/>
      <c r="H265" s="64"/>
      <c r="I265" s="64"/>
      <c r="J265" s="64"/>
      <c r="K265" s="64"/>
      <c r="L265" s="64"/>
      <c r="M265" s="64"/>
      <c r="N265" s="43"/>
      <c r="O265" s="333" t="s">
        <v>637</v>
      </c>
      <c r="P265" s="333"/>
      <c r="Q265" s="333"/>
      <c r="R265" s="333"/>
      <c r="S265" s="332"/>
      <c r="T265" s="288" t="s">
        <v>55</v>
      </c>
      <c r="U265" s="288" t="s">
        <v>26</v>
      </c>
      <c r="V265" s="332"/>
      <c r="W265" s="334" t="s">
        <v>54</v>
      </c>
      <c r="X265" s="288" t="s">
        <v>26</v>
      </c>
      <c r="Y265" s="335"/>
      <c r="Z265" s="334" t="s">
        <v>0</v>
      </c>
      <c r="AA265" s="334" t="s">
        <v>27</v>
      </c>
      <c r="AB265" s="334" t="s">
        <v>137</v>
      </c>
      <c r="AC265" s="332"/>
      <c r="AD265" s="332">
        <v>872000</v>
      </c>
      <c r="AE265" s="560" t="s">
        <v>55</v>
      </c>
      <c r="AF265" s="505"/>
      <c r="AG265" s="505"/>
      <c r="AH265" s="505"/>
    </row>
    <row r="266" spans="1:34" s="7" customFormat="1" ht="21" customHeight="1">
      <c r="A266" s="27"/>
      <c r="B266" s="27"/>
      <c r="C266" s="35"/>
      <c r="D266" s="87"/>
      <c r="E266" s="66"/>
      <c r="F266" s="66"/>
      <c r="G266" s="66"/>
      <c r="H266" s="66"/>
      <c r="I266" s="66"/>
      <c r="J266" s="66"/>
      <c r="K266" s="66"/>
      <c r="L266" s="66"/>
      <c r="M266" s="66"/>
      <c r="N266" s="52"/>
      <c r="O266" s="222"/>
      <c r="P266" s="222"/>
      <c r="Q266" s="222"/>
      <c r="R266" s="222"/>
      <c r="S266" s="222"/>
      <c r="T266" s="225"/>
      <c r="U266" s="225"/>
      <c r="V266" s="222"/>
      <c r="W266" s="225"/>
      <c r="X266" s="225"/>
      <c r="Y266" s="227"/>
      <c r="Z266" s="225"/>
      <c r="AA266" s="225"/>
      <c r="AB266" s="225"/>
      <c r="AC266" s="222"/>
      <c r="AD266" s="556"/>
      <c r="AE266" s="562"/>
      <c r="AF266" s="505"/>
      <c r="AG266" s="505"/>
      <c r="AH266" s="505"/>
    </row>
    <row r="267" spans="1:34" s="7" customFormat="1" ht="21" customHeight="1">
      <c r="A267" s="27"/>
      <c r="B267" s="27"/>
      <c r="C267" s="27" t="s">
        <v>78</v>
      </c>
      <c r="D267" s="86">
        <v>6530</v>
      </c>
      <c r="E267" s="64">
        <f>ROUND(AD267/1000,0)</f>
        <v>6600</v>
      </c>
      <c r="F267" s="69">
        <f>SUMIF($AB$268:$AB$270,"보조",$AD$268:$AD$270)/1000</f>
        <v>3600</v>
      </c>
      <c r="G267" s="69">
        <f>SUMIF($AB$268:$AB$270,"6종",$AD$268:$AD$270)/1000</f>
        <v>0</v>
      </c>
      <c r="H267" s="69">
        <f>SUMIF($AB$268:$AB$270,"4종",$AD$268:$AD$270)/1000</f>
        <v>0</v>
      </c>
      <c r="I267" s="69">
        <f>SUMIF($AB$268:$AB$270,"후원",$AD$268:$AD$270)/1000</f>
        <v>3000</v>
      </c>
      <c r="J267" s="69">
        <f>SUMIF($AB$268:$AB$270,"입소",$AD$268:$AD$270)/1000</f>
        <v>0</v>
      </c>
      <c r="K267" s="69">
        <f>SUMIF($AB$268:$AB$270,"법인",$AD$268:$AD$270)/1000</f>
        <v>0</v>
      </c>
      <c r="L267" s="69">
        <f>SUMIF($AB$268:$AB$270,"잡수",$AD$268:$AD$270)/1000</f>
        <v>0</v>
      </c>
      <c r="M267" s="64">
        <f>E267-D267</f>
        <v>70</v>
      </c>
      <c r="N267" s="43">
        <f>IF(D267=0,0,M267/D267)</f>
        <v>1.0719754977029096E-2</v>
      </c>
      <c r="O267" s="182" t="s">
        <v>79</v>
      </c>
      <c r="P267" s="183"/>
      <c r="Q267" s="183"/>
      <c r="R267" s="183"/>
      <c r="S267" s="183"/>
      <c r="T267" s="437"/>
      <c r="U267" s="437"/>
      <c r="V267" s="184"/>
      <c r="W267" s="437"/>
      <c r="X267" s="437"/>
      <c r="Y267" s="185" t="s">
        <v>127</v>
      </c>
      <c r="Z267" s="441"/>
      <c r="AA267" s="441"/>
      <c r="AB267" s="441"/>
      <c r="AC267" s="185"/>
      <c r="AD267" s="185">
        <f>SUM(AD268:AD270)</f>
        <v>6600000</v>
      </c>
      <c r="AE267" s="477" t="s">
        <v>25</v>
      </c>
      <c r="AF267" s="505"/>
      <c r="AG267" s="505"/>
      <c r="AH267" s="505"/>
    </row>
    <row r="268" spans="1:34" s="7" customFormat="1" ht="21" customHeight="1">
      <c r="A268" s="27"/>
      <c r="B268" s="27"/>
      <c r="C268" s="27" t="s">
        <v>133</v>
      </c>
      <c r="D268" s="347"/>
      <c r="E268" s="345"/>
      <c r="F268" s="345"/>
      <c r="G268" s="345"/>
      <c r="H268" s="345"/>
      <c r="I268" s="345"/>
      <c r="J268" s="345"/>
      <c r="K268" s="345"/>
      <c r="L268" s="345"/>
      <c r="M268" s="64"/>
      <c r="N268" s="43"/>
      <c r="O268" s="333" t="s">
        <v>183</v>
      </c>
      <c r="P268" s="333"/>
      <c r="Q268" s="333"/>
      <c r="R268" s="333"/>
      <c r="S268" s="332"/>
      <c r="T268" s="288"/>
      <c r="U268" s="288"/>
      <c r="V268" s="332"/>
      <c r="W268" s="334"/>
      <c r="X268" s="334"/>
      <c r="Y268" s="335"/>
      <c r="Z268" s="334"/>
      <c r="AA268" s="334"/>
      <c r="AB268" s="334" t="s">
        <v>70</v>
      </c>
      <c r="AC268" s="332"/>
      <c r="AD268" s="332">
        <v>3600000</v>
      </c>
      <c r="AE268" s="385" t="s">
        <v>55</v>
      </c>
      <c r="AF268" s="505"/>
      <c r="AG268" s="505"/>
      <c r="AH268" s="505"/>
    </row>
    <row r="269" spans="1:34" s="7" customFormat="1" ht="21" customHeight="1">
      <c r="A269" s="27"/>
      <c r="B269" s="27"/>
      <c r="C269" s="27"/>
      <c r="D269" s="348"/>
      <c r="E269" s="346"/>
      <c r="F269" s="346"/>
      <c r="G269" s="346"/>
      <c r="H269" s="346"/>
      <c r="I269" s="346"/>
      <c r="J269" s="346"/>
      <c r="K269" s="346"/>
      <c r="L269" s="346"/>
      <c r="M269" s="64"/>
      <c r="N269" s="43"/>
      <c r="O269" s="333" t="s">
        <v>235</v>
      </c>
      <c r="P269" s="333"/>
      <c r="Q269" s="333"/>
      <c r="R269" s="333"/>
      <c r="S269" s="332"/>
      <c r="T269" s="288"/>
      <c r="U269" s="288"/>
      <c r="V269" s="332"/>
      <c r="W269" s="334"/>
      <c r="X269" s="334"/>
      <c r="Y269" s="335"/>
      <c r="Z269" s="334"/>
      <c r="AA269" s="334"/>
      <c r="AB269" s="334" t="s">
        <v>137</v>
      </c>
      <c r="AC269" s="332"/>
      <c r="AD269" s="332">
        <v>3000000</v>
      </c>
      <c r="AE269" s="385" t="s">
        <v>55</v>
      </c>
      <c r="AF269" s="505"/>
      <c r="AG269" s="505"/>
      <c r="AH269" s="505"/>
    </row>
    <row r="270" spans="1:34" s="7" customFormat="1" ht="21" customHeight="1">
      <c r="A270" s="27"/>
      <c r="B270" s="27"/>
      <c r="C270" s="27"/>
      <c r="D270" s="86"/>
      <c r="E270" s="64"/>
      <c r="F270" s="64"/>
      <c r="G270" s="64"/>
      <c r="H270" s="64"/>
      <c r="I270" s="64"/>
      <c r="J270" s="64"/>
      <c r="K270" s="64"/>
      <c r="L270" s="64"/>
      <c r="M270" s="64"/>
      <c r="N270" s="43"/>
      <c r="O270" s="576"/>
      <c r="P270" s="576"/>
      <c r="Q270" s="576"/>
      <c r="R270" s="576"/>
      <c r="S270" s="575"/>
      <c r="T270" s="228"/>
      <c r="U270" s="288"/>
      <c r="V270" s="575"/>
      <c r="W270" s="420"/>
      <c r="X270" s="420"/>
      <c r="Y270" s="231"/>
      <c r="Z270" s="420"/>
      <c r="AA270" s="420"/>
      <c r="AB270" s="420"/>
      <c r="AC270" s="575"/>
      <c r="AD270" s="597"/>
      <c r="AE270" s="427"/>
      <c r="AF270" s="505"/>
      <c r="AG270" s="505"/>
      <c r="AH270" s="505"/>
    </row>
    <row r="271" spans="1:34" s="7" customFormat="1" ht="21" customHeight="1">
      <c r="A271" s="27"/>
      <c r="B271" s="27"/>
      <c r="C271" s="18" t="s">
        <v>73</v>
      </c>
      <c r="D271" s="88">
        <v>4080</v>
      </c>
      <c r="E271" s="68">
        <f>ROUND(AD271/1000,0)</f>
        <v>4000</v>
      </c>
      <c r="F271" s="69">
        <f>SUMIF($AB$272:$AB$273,"보조",$AD$272:$AD$273)/1000</f>
        <v>0</v>
      </c>
      <c r="G271" s="69">
        <f>SUMIF($AB$272:$AB$273,"6종",$AD$272:$AD$273)/1000</f>
        <v>0</v>
      </c>
      <c r="H271" s="69">
        <f>SUMIF($AB$272:$AB$273,"4종",$AD$272:$AD$273)/1000</f>
        <v>4000</v>
      </c>
      <c r="I271" s="69">
        <f>SUMIF($AB$272:$AB$273,"후원",$AD$272:$AD$273)/1000</f>
        <v>0</v>
      </c>
      <c r="J271" s="69">
        <f>SUMIF($AB$272:$AB$273,"입소",$AD$272:$AD$273)/1000</f>
        <v>0</v>
      </c>
      <c r="K271" s="69">
        <f>SUMIF($AB$272:$AB$273,"법인",$AD$272:$AD$273)/1000</f>
        <v>0</v>
      </c>
      <c r="L271" s="69">
        <f>SUMIF($AB$272:$AB$273,"잡수",$AD$272:$AD$273)/1000</f>
        <v>0</v>
      </c>
      <c r="M271" s="68">
        <f>E271-D271</f>
        <v>-80</v>
      </c>
      <c r="N271" s="73">
        <f>IF(D271=0,0,M271/D271)</f>
        <v>-1.9607843137254902E-2</v>
      </c>
      <c r="O271" s="182" t="s">
        <v>121</v>
      </c>
      <c r="P271" s="572"/>
      <c r="Q271" s="183"/>
      <c r="R271" s="183"/>
      <c r="S271" s="183"/>
      <c r="T271" s="437"/>
      <c r="U271" s="437"/>
      <c r="V271" s="184"/>
      <c r="W271" s="437"/>
      <c r="X271" s="437"/>
      <c r="Y271" s="185" t="s">
        <v>127</v>
      </c>
      <c r="Z271" s="441"/>
      <c r="AA271" s="441"/>
      <c r="AB271" s="441"/>
      <c r="AC271" s="185"/>
      <c r="AD271" s="185">
        <f>SUM(AD272:AD273)</f>
        <v>4000000</v>
      </c>
      <c r="AE271" s="477" t="s">
        <v>25</v>
      </c>
      <c r="AF271" s="505"/>
      <c r="AG271" s="505"/>
      <c r="AH271" s="505"/>
    </row>
    <row r="272" spans="1:34" s="7" customFormat="1" ht="21" customHeight="1">
      <c r="A272" s="27"/>
      <c r="B272" s="27"/>
      <c r="C272" s="27"/>
      <c r="D272" s="65"/>
      <c r="E272" s="64"/>
      <c r="F272" s="64"/>
      <c r="G272" s="64"/>
      <c r="H272" s="64"/>
      <c r="I272" s="64"/>
      <c r="J272" s="64"/>
      <c r="K272" s="64"/>
      <c r="L272" s="64"/>
      <c r="M272" s="64"/>
      <c r="N272" s="43"/>
      <c r="O272" s="333" t="s">
        <v>274</v>
      </c>
      <c r="P272" s="333"/>
      <c r="Q272" s="332"/>
      <c r="R272" s="332"/>
      <c r="S272" s="332">
        <v>20000</v>
      </c>
      <c r="T272" s="334" t="s">
        <v>55</v>
      </c>
      <c r="U272" s="288" t="s">
        <v>56</v>
      </c>
      <c r="V272" s="332">
        <v>4</v>
      </c>
      <c r="W272" s="334" t="s">
        <v>61</v>
      </c>
      <c r="X272" s="288" t="s">
        <v>56</v>
      </c>
      <c r="Y272" s="335">
        <v>50</v>
      </c>
      <c r="Z272" s="334" t="s">
        <v>54</v>
      </c>
      <c r="AA272" s="334" t="s">
        <v>53</v>
      </c>
      <c r="AB272" s="334" t="s">
        <v>158</v>
      </c>
      <c r="AC272" s="335"/>
      <c r="AD272" s="335">
        <f>ROUND(S272*V272*Y272,-1)</f>
        <v>4000000</v>
      </c>
      <c r="AE272" s="385" t="s">
        <v>25</v>
      </c>
      <c r="AF272" s="505"/>
      <c r="AG272" s="505"/>
      <c r="AH272" s="505"/>
    </row>
    <row r="273" spans="1:34" s="7" customFormat="1" ht="21" customHeight="1">
      <c r="A273" s="27"/>
      <c r="B273" s="27"/>
      <c r="C273" s="27"/>
      <c r="D273" s="86"/>
      <c r="E273" s="64"/>
      <c r="F273" s="64"/>
      <c r="G273" s="64"/>
      <c r="H273" s="64"/>
      <c r="I273" s="64"/>
      <c r="J273" s="64"/>
      <c r="K273" s="64"/>
      <c r="L273" s="64"/>
      <c r="M273" s="64"/>
      <c r="N273" s="43"/>
      <c r="O273" s="333"/>
      <c r="P273" s="333"/>
      <c r="Q273" s="332"/>
      <c r="R273" s="332"/>
      <c r="S273" s="332"/>
      <c r="T273" s="334"/>
      <c r="U273" s="288"/>
      <c r="V273" s="332"/>
      <c r="W273" s="334"/>
      <c r="X273" s="288"/>
      <c r="Y273" s="335"/>
      <c r="Z273" s="334"/>
      <c r="AA273" s="334"/>
      <c r="AB273" s="334"/>
      <c r="AC273" s="335"/>
      <c r="AD273" s="335"/>
      <c r="AE273" s="385"/>
      <c r="AF273" s="505"/>
      <c r="AG273" s="505"/>
      <c r="AH273" s="505"/>
    </row>
    <row r="274" spans="1:34" s="7" customFormat="1" ht="21" customHeight="1">
      <c r="A274" s="27"/>
      <c r="B274" s="27"/>
      <c r="C274" s="18" t="s">
        <v>74</v>
      </c>
      <c r="D274" s="88">
        <v>5840</v>
      </c>
      <c r="E274" s="68">
        <f>ROUND(AD274/1000,0)</f>
        <v>17800</v>
      </c>
      <c r="F274" s="69">
        <f>SUMIF($AB$275:$AB$281,"보조",$AD$275:$AD$281)/1000</f>
        <v>0</v>
      </c>
      <c r="G274" s="69">
        <f>SUMIF($AB$275:$AB$281,"6종",$AD$275:$AD$281)/1000</f>
        <v>12600</v>
      </c>
      <c r="H274" s="69">
        <f>SUMIF($AB$275:$AB$281,"4종",$AD$275:$AD$281)/1000</f>
        <v>2000</v>
      </c>
      <c r="I274" s="69">
        <f>SUMIF($AB$275:$AB$281,"후원",$AD$275:$AD$281)/1000</f>
        <v>3200</v>
      </c>
      <c r="J274" s="69">
        <f>SUMIF($AB$275:$AB$281,"입소",$AD$275:$AD$281)/1000</f>
        <v>0</v>
      </c>
      <c r="K274" s="69">
        <f>SUMIF($AB$275:$AB$281,"법인",$AD$275:$AD$281)/1000</f>
        <v>0</v>
      </c>
      <c r="L274" s="69">
        <f>SUMIF($AB$275:$AB$281,"잡수",$AD$275:$AD$281)/1000</f>
        <v>0</v>
      </c>
      <c r="M274" s="68">
        <f>E274-D274</f>
        <v>11960</v>
      </c>
      <c r="N274" s="73">
        <f>IF(D274=0,0,M274/D274)</f>
        <v>2.047945205479452</v>
      </c>
      <c r="O274" s="182" t="s">
        <v>122</v>
      </c>
      <c r="P274" s="572"/>
      <c r="Q274" s="183"/>
      <c r="R274" s="183"/>
      <c r="S274" s="183"/>
      <c r="T274" s="437"/>
      <c r="U274" s="437"/>
      <c r="V274" s="184"/>
      <c r="W274" s="437"/>
      <c r="X274" s="437"/>
      <c r="Y274" s="185" t="s">
        <v>127</v>
      </c>
      <c r="Z274" s="441"/>
      <c r="AA274" s="441"/>
      <c r="AB274" s="441"/>
      <c r="AC274" s="185"/>
      <c r="AD274" s="185">
        <f>SUM(AD275:AD280)</f>
        <v>17800000</v>
      </c>
      <c r="AE274" s="477" t="s">
        <v>25</v>
      </c>
      <c r="AF274" s="505"/>
      <c r="AG274" s="505"/>
      <c r="AH274" s="505"/>
    </row>
    <row r="275" spans="1:34" s="7" customFormat="1" ht="21" customHeight="1">
      <c r="A275" s="27"/>
      <c r="B275" s="27"/>
      <c r="C275" s="27"/>
      <c r="D275" s="347"/>
      <c r="E275" s="345"/>
      <c r="F275" s="345"/>
      <c r="G275" s="345"/>
      <c r="H275" s="345"/>
      <c r="I275" s="345"/>
      <c r="J275" s="345"/>
      <c r="K275" s="345"/>
      <c r="L275" s="345"/>
      <c r="M275" s="64"/>
      <c r="N275" s="43"/>
      <c r="O275" s="333" t="s">
        <v>184</v>
      </c>
      <c r="P275" s="333"/>
      <c r="Q275" s="332"/>
      <c r="R275" s="332"/>
      <c r="S275" s="332">
        <v>40000</v>
      </c>
      <c r="T275" s="334" t="s">
        <v>55</v>
      </c>
      <c r="U275" s="288" t="s">
        <v>56</v>
      </c>
      <c r="V275" s="332">
        <v>1</v>
      </c>
      <c r="W275" s="334" t="s">
        <v>61</v>
      </c>
      <c r="X275" s="288" t="s">
        <v>56</v>
      </c>
      <c r="Y275" s="335">
        <v>50</v>
      </c>
      <c r="Z275" s="334" t="s">
        <v>54</v>
      </c>
      <c r="AA275" s="334" t="s">
        <v>53</v>
      </c>
      <c r="AB275" s="334" t="s">
        <v>158</v>
      </c>
      <c r="AC275" s="335"/>
      <c r="AD275" s="335">
        <f>S275*V275*Y275</f>
        <v>2000000</v>
      </c>
      <c r="AE275" s="385" t="s">
        <v>25</v>
      </c>
      <c r="AF275" s="505"/>
      <c r="AG275" s="505"/>
      <c r="AH275" s="505"/>
    </row>
    <row r="276" spans="1:34" s="7" customFormat="1" ht="21" customHeight="1">
      <c r="A276" s="27"/>
      <c r="B276" s="27"/>
      <c r="C276" s="27"/>
      <c r="D276" s="348"/>
      <c r="E276" s="346"/>
      <c r="F276" s="346"/>
      <c r="G276" s="346"/>
      <c r="H276" s="346"/>
      <c r="I276" s="346"/>
      <c r="J276" s="346"/>
      <c r="K276" s="346"/>
      <c r="L276" s="346"/>
      <c r="M276" s="64"/>
      <c r="N276" s="167"/>
      <c r="O276" s="172" t="s">
        <v>786</v>
      </c>
      <c r="P276" s="333"/>
      <c r="Q276" s="333"/>
      <c r="R276" s="333"/>
      <c r="S276" s="332">
        <v>70000</v>
      </c>
      <c r="T276" s="334" t="s">
        <v>55</v>
      </c>
      <c r="U276" s="288" t="s">
        <v>56</v>
      </c>
      <c r="V276" s="332">
        <v>180</v>
      </c>
      <c r="W276" s="334" t="s">
        <v>84</v>
      </c>
      <c r="X276" s="288" t="s">
        <v>56</v>
      </c>
      <c r="Y276" s="491">
        <v>1</v>
      </c>
      <c r="Z276" s="334" t="s">
        <v>54</v>
      </c>
      <c r="AA276" s="334" t="s">
        <v>53</v>
      </c>
      <c r="AB276" s="334" t="s">
        <v>773</v>
      </c>
      <c r="AC276" s="335"/>
      <c r="AD276" s="332">
        <f>S276*V276*Y276</f>
        <v>12600000</v>
      </c>
      <c r="AE276" s="385" t="s">
        <v>55</v>
      </c>
      <c r="AF276" s="505"/>
      <c r="AG276" s="505"/>
      <c r="AH276" s="505"/>
    </row>
    <row r="277" spans="1:34" s="7" customFormat="1" ht="21" customHeight="1">
      <c r="A277" s="27"/>
      <c r="B277" s="27"/>
      <c r="C277" s="27"/>
      <c r="D277" s="86"/>
      <c r="E277" s="64"/>
      <c r="F277" s="64"/>
      <c r="G277" s="64"/>
      <c r="H277" s="64"/>
      <c r="I277" s="64"/>
      <c r="J277" s="64"/>
      <c r="K277" s="64"/>
      <c r="L277" s="64"/>
      <c r="M277" s="64"/>
      <c r="N277" s="43"/>
      <c r="O277" s="333" t="s">
        <v>185</v>
      </c>
      <c r="P277" s="333"/>
      <c r="Q277" s="333"/>
      <c r="R277" s="333"/>
      <c r="S277" s="332">
        <v>100000</v>
      </c>
      <c r="T277" s="288" t="s">
        <v>55</v>
      </c>
      <c r="U277" s="288" t="s">
        <v>26</v>
      </c>
      <c r="V277" s="332">
        <v>12</v>
      </c>
      <c r="W277" s="334" t="s">
        <v>0</v>
      </c>
      <c r="X277" s="334"/>
      <c r="Y277" s="584"/>
      <c r="Z277" s="225"/>
      <c r="AA277" s="585" t="s">
        <v>53</v>
      </c>
      <c r="AB277" s="334" t="s">
        <v>137</v>
      </c>
      <c r="AC277" s="332"/>
      <c r="AD277" s="332">
        <f>S277*V277</f>
        <v>1200000</v>
      </c>
      <c r="AE277" s="385" t="s">
        <v>25</v>
      </c>
      <c r="AF277" s="505"/>
      <c r="AG277" s="505"/>
      <c r="AH277" s="505"/>
    </row>
    <row r="278" spans="1:34" s="7" customFormat="1" ht="21" customHeight="1">
      <c r="A278" s="27"/>
      <c r="B278" s="27"/>
      <c r="C278" s="27"/>
      <c r="D278" s="86"/>
      <c r="E278" s="64"/>
      <c r="F278" s="64"/>
      <c r="G278" s="64"/>
      <c r="H278" s="64"/>
      <c r="I278" s="64"/>
      <c r="J278" s="64"/>
      <c r="K278" s="64"/>
      <c r="L278" s="64"/>
      <c r="M278" s="64"/>
      <c r="N278" s="43"/>
      <c r="O278" s="333" t="s">
        <v>186</v>
      </c>
      <c r="P278" s="333"/>
      <c r="Q278" s="333"/>
      <c r="R278" s="333"/>
      <c r="S278" s="332">
        <v>150000</v>
      </c>
      <c r="T278" s="288" t="s">
        <v>55</v>
      </c>
      <c r="U278" s="288" t="s">
        <v>26</v>
      </c>
      <c r="V278" s="332">
        <v>12</v>
      </c>
      <c r="W278" s="334" t="s">
        <v>0</v>
      </c>
      <c r="X278" s="334"/>
      <c r="Y278" s="584"/>
      <c r="Z278" s="225"/>
      <c r="AA278" s="585" t="s">
        <v>53</v>
      </c>
      <c r="AB278" s="334" t="s">
        <v>137</v>
      </c>
      <c r="AC278" s="332"/>
      <c r="AD278" s="332">
        <f>S278*V278</f>
        <v>1800000</v>
      </c>
      <c r="AE278" s="385" t="s">
        <v>25</v>
      </c>
      <c r="AF278" s="505"/>
      <c r="AG278" s="505"/>
      <c r="AH278" s="505"/>
    </row>
    <row r="279" spans="1:34" s="7" customFormat="1" ht="21" customHeight="1">
      <c r="A279" s="27"/>
      <c r="B279" s="27"/>
      <c r="C279" s="27"/>
      <c r="D279" s="86"/>
      <c r="E279" s="64"/>
      <c r="F279" s="64"/>
      <c r="G279" s="64"/>
      <c r="H279" s="64"/>
      <c r="I279" s="64"/>
      <c r="J279" s="64"/>
      <c r="K279" s="64"/>
      <c r="L279" s="64"/>
      <c r="M279" s="64"/>
      <c r="N279" s="43"/>
      <c r="O279" s="333"/>
      <c r="P279" s="333"/>
      <c r="Q279" s="333"/>
      <c r="R279" s="333"/>
      <c r="S279" s="332">
        <v>200000</v>
      </c>
      <c r="T279" s="288" t="s">
        <v>55</v>
      </c>
      <c r="U279" s="288" t="s">
        <v>26</v>
      </c>
      <c r="V279" s="332">
        <v>0</v>
      </c>
      <c r="W279" s="334" t="s">
        <v>0</v>
      </c>
      <c r="X279" s="334"/>
      <c r="Y279" s="584"/>
      <c r="Z279" s="225"/>
      <c r="AA279" s="585" t="s">
        <v>53</v>
      </c>
      <c r="AB279" s="334" t="s">
        <v>718</v>
      </c>
      <c r="AC279" s="332"/>
      <c r="AD279" s="332">
        <f>S279*V279</f>
        <v>0</v>
      </c>
      <c r="AE279" s="385" t="s">
        <v>25</v>
      </c>
      <c r="AF279" s="505"/>
      <c r="AG279" s="505"/>
      <c r="AH279" s="505"/>
    </row>
    <row r="280" spans="1:34" s="7" customFormat="1" ht="21" customHeight="1">
      <c r="A280" s="27"/>
      <c r="B280" s="27"/>
      <c r="C280" s="27"/>
      <c r="D280" s="86"/>
      <c r="E280" s="64"/>
      <c r="F280" s="64"/>
      <c r="G280" s="64"/>
      <c r="H280" s="64"/>
      <c r="I280" s="64"/>
      <c r="J280" s="64"/>
      <c r="K280" s="64"/>
      <c r="L280" s="64"/>
      <c r="M280" s="64"/>
      <c r="N280" s="43"/>
      <c r="O280" s="333" t="s">
        <v>236</v>
      </c>
      <c r="P280" s="333"/>
      <c r="Q280" s="333"/>
      <c r="R280" s="333"/>
      <c r="S280" s="332">
        <v>1000</v>
      </c>
      <c r="T280" s="334" t="s">
        <v>55</v>
      </c>
      <c r="U280" s="288" t="s">
        <v>56</v>
      </c>
      <c r="V280" s="332">
        <v>100</v>
      </c>
      <c r="W280" s="334" t="s">
        <v>54</v>
      </c>
      <c r="X280" s="288" t="s">
        <v>56</v>
      </c>
      <c r="Y280" s="491">
        <v>2</v>
      </c>
      <c r="Z280" s="334" t="s">
        <v>61</v>
      </c>
      <c r="AA280" s="334" t="s">
        <v>53</v>
      </c>
      <c r="AB280" s="334" t="s">
        <v>137</v>
      </c>
      <c r="AC280" s="335"/>
      <c r="AD280" s="332">
        <f>S280*V280*Y280</f>
        <v>200000</v>
      </c>
      <c r="AE280" s="385" t="s">
        <v>55</v>
      </c>
      <c r="AF280" s="505"/>
      <c r="AG280" s="505"/>
      <c r="AH280" s="505"/>
    </row>
    <row r="281" spans="1:34" s="7" customFormat="1" ht="21" customHeight="1">
      <c r="A281" s="27"/>
      <c r="B281" s="27"/>
      <c r="C281" s="35"/>
      <c r="D281" s="87"/>
      <c r="E281" s="586"/>
      <c r="F281" s="586"/>
      <c r="G281" s="586"/>
      <c r="H281" s="586"/>
      <c r="I281" s="586"/>
      <c r="J281" s="586"/>
      <c r="K281" s="586"/>
      <c r="L281" s="586"/>
      <c r="M281" s="587"/>
      <c r="N281" s="52"/>
      <c r="O281" s="230"/>
      <c r="P281" s="230"/>
      <c r="Q281" s="230"/>
      <c r="R281" s="230"/>
      <c r="S281" s="230"/>
      <c r="T281" s="588"/>
      <c r="U281" s="334"/>
      <c r="V281" s="332"/>
      <c r="W281" s="334"/>
      <c r="X281" s="334"/>
      <c r="Y281" s="335"/>
      <c r="Z281" s="334"/>
      <c r="AA281" s="334"/>
      <c r="AB281" s="334"/>
      <c r="AC281" s="332"/>
      <c r="AD281" s="332"/>
      <c r="AE281" s="385"/>
      <c r="AF281" s="505"/>
      <c r="AG281" s="505"/>
      <c r="AH281" s="505"/>
    </row>
    <row r="282" spans="1:34" s="7" customFormat="1" ht="21" customHeight="1">
      <c r="A282" s="27"/>
      <c r="B282" s="27"/>
      <c r="C282" s="27" t="s">
        <v>75</v>
      </c>
      <c r="D282" s="78">
        <v>29800</v>
      </c>
      <c r="E282" s="64">
        <f>ROUND(AD282/1000,0)</f>
        <v>32000</v>
      </c>
      <c r="F282" s="69">
        <f>SUMIF($AB$283:$AB$286,"보조",$AD$283:$AD$286)/1000</f>
        <v>24000</v>
      </c>
      <c r="G282" s="69">
        <f>SUMIF($AB$283:$AB$286,"6종",$AD$283:$AD$286)/1000</f>
        <v>0</v>
      </c>
      <c r="H282" s="69">
        <f>SUMIF($AB$283:$AB$286,"4종",$AD$283:$AD$286)/1000</f>
        <v>0</v>
      </c>
      <c r="I282" s="69">
        <f>SUMIF($AB$283:$AB$286,"후원",$AD$283:$AD$286)/1000</f>
        <v>8000</v>
      </c>
      <c r="J282" s="69">
        <f>SUMIF($AB$283:$AB$286,"입소",$AD$283:$AD$286)/1000</f>
        <v>0</v>
      </c>
      <c r="K282" s="69">
        <f>SUMIF($AB$283:$AB$286,"법인",$AD$283:$AD$286)/1000</f>
        <v>0</v>
      </c>
      <c r="L282" s="69">
        <f>SUMIF($AB$283:$AB$286,"잡수",$AD$283:$AD$286)/1000</f>
        <v>0</v>
      </c>
      <c r="M282" s="64">
        <f>E282-D282</f>
        <v>2200</v>
      </c>
      <c r="N282" s="43">
        <f>IF(D282=0,0,M282/D282)</f>
        <v>7.3825503355704702E-2</v>
      </c>
      <c r="O282" s="182" t="s">
        <v>80</v>
      </c>
      <c r="P282" s="183"/>
      <c r="Q282" s="183"/>
      <c r="R282" s="183"/>
      <c r="S282" s="183"/>
      <c r="T282" s="437"/>
      <c r="U282" s="437"/>
      <c r="V282" s="184"/>
      <c r="W282" s="437"/>
      <c r="X282" s="437"/>
      <c r="Y282" s="185" t="s">
        <v>127</v>
      </c>
      <c r="Z282" s="441"/>
      <c r="AA282" s="441"/>
      <c r="AB282" s="441"/>
      <c r="AC282" s="185"/>
      <c r="AD282" s="185">
        <f>SUM(AD283:AD286)</f>
        <v>32000000</v>
      </c>
      <c r="AE282" s="477" t="s">
        <v>25</v>
      </c>
      <c r="AF282" s="505"/>
      <c r="AG282" s="505"/>
      <c r="AH282" s="505"/>
    </row>
    <row r="283" spans="1:34" s="7" customFormat="1" ht="21" customHeight="1">
      <c r="A283" s="27"/>
      <c r="B283" s="27"/>
      <c r="C283" s="27"/>
      <c r="D283" s="347"/>
      <c r="E283" s="345"/>
      <c r="F283" s="345"/>
      <c r="G283" s="345"/>
      <c r="H283" s="345"/>
      <c r="I283" s="345"/>
      <c r="J283" s="345"/>
      <c r="K283" s="345"/>
      <c r="L283" s="345"/>
      <c r="M283" s="64"/>
      <c r="N283" s="43"/>
      <c r="O283" s="333" t="s">
        <v>187</v>
      </c>
      <c r="P283" s="333"/>
      <c r="Q283" s="333"/>
      <c r="R283" s="333"/>
      <c r="S283" s="332">
        <v>1100000</v>
      </c>
      <c r="T283" s="288" t="s">
        <v>55</v>
      </c>
      <c r="U283" s="288" t="s">
        <v>26</v>
      </c>
      <c r="V283" s="332">
        <v>12</v>
      </c>
      <c r="W283" s="334" t="s">
        <v>0</v>
      </c>
      <c r="X283" s="334"/>
      <c r="Y283" s="584"/>
      <c r="Z283" s="225"/>
      <c r="AA283" s="585" t="s">
        <v>53</v>
      </c>
      <c r="AB283" s="334" t="s">
        <v>70</v>
      </c>
      <c r="AC283" s="332"/>
      <c r="AD283" s="332">
        <f>S283*V283</f>
        <v>13200000</v>
      </c>
      <c r="AE283" s="385" t="s">
        <v>25</v>
      </c>
      <c r="AF283" s="505"/>
      <c r="AG283" s="505"/>
      <c r="AH283" s="505"/>
    </row>
    <row r="284" spans="1:34" s="7" customFormat="1" ht="21" customHeight="1">
      <c r="A284" s="27"/>
      <c r="B284" s="27"/>
      <c r="C284" s="27"/>
      <c r="D284" s="348"/>
      <c r="E284" s="346"/>
      <c r="F284" s="346"/>
      <c r="G284" s="346"/>
      <c r="H284" s="346"/>
      <c r="I284" s="346"/>
      <c r="J284" s="346"/>
      <c r="K284" s="346"/>
      <c r="L284" s="346"/>
      <c r="M284" s="64"/>
      <c r="N284" s="43"/>
      <c r="O284" s="333" t="s">
        <v>238</v>
      </c>
      <c r="P284" s="333"/>
      <c r="Q284" s="333"/>
      <c r="R284" s="333"/>
      <c r="S284" s="332">
        <v>900000</v>
      </c>
      <c r="T284" s="288" t="s">
        <v>25</v>
      </c>
      <c r="U284" s="288" t="s">
        <v>26</v>
      </c>
      <c r="V284" s="332">
        <v>12</v>
      </c>
      <c r="W284" s="288" t="s">
        <v>29</v>
      </c>
      <c r="X284" s="288"/>
      <c r="Y284" s="335"/>
      <c r="Z284" s="334"/>
      <c r="AA284" s="334" t="s">
        <v>53</v>
      </c>
      <c r="AB284" s="334" t="s">
        <v>70</v>
      </c>
      <c r="AC284" s="332"/>
      <c r="AD284" s="332">
        <f>S284*V284</f>
        <v>10800000</v>
      </c>
      <c r="AE284" s="385" t="s">
        <v>55</v>
      </c>
      <c r="AF284" s="505"/>
      <c r="AG284" s="505"/>
      <c r="AH284" s="505"/>
    </row>
    <row r="285" spans="1:34" s="7" customFormat="1" ht="21" customHeight="1">
      <c r="A285" s="27"/>
      <c r="B285" s="27"/>
      <c r="C285" s="27"/>
      <c r="D285" s="86"/>
      <c r="E285" s="64"/>
      <c r="F285" s="64"/>
      <c r="G285" s="64"/>
      <c r="H285" s="64"/>
      <c r="I285" s="64"/>
      <c r="J285" s="64"/>
      <c r="K285" s="64"/>
      <c r="L285" s="64"/>
      <c r="M285" s="64"/>
      <c r="N285" s="43"/>
      <c r="O285" s="333" t="s">
        <v>719</v>
      </c>
      <c r="P285" s="333"/>
      <c r="Q285" s="333"/>
      <c r="R285" s="333"/>
      <c r="S285" s="332"/>
      <c r="T285" s="288"/>
      <c r="U285" s="288"/>
      <c r="V285" s="332"/>
      <c r="W285" s="288"/>
      <c r="X285" s="334"/>
      <c r="Y285" s="335"/>
      <c r="Z285" s="334"/>
      <c r="AA285" s="334"/>
      <c r="AB285" s="334" t="s">
        <v>137</v>
      </c>
      <c r="AC285" s="332"/>
      <c r="AD285" s="332">
        <v>8000000</v>
      </c>
      <c r="AE285" s="385" t="s">
        <v>55</v>
      </c>
      <c r="AF285" s="505"/>
      <c r="AG285" s="505"/>
      <c r="AH285" s="505"/>
    </row>
    <row r="286" spans="1:34" s="7" customFormat="1" ht="21" customHeight="1">
      <c r="A286" s="27"/>
      <c r="B286" s="27"/>
      <c r="C286" s="27"/>
      <c r="D286" s="86"/>
      <c r="E286" s="64"/>
      <c r="F286" s="64"/>
      <c r="G286" s="64"/>
      <c r="H286" s="64"/>
      <c r="I286" s="64"/>
      <c r="J286" s="64"/>
      <c r="K286" s="64"/>
      <c r="L286" s="64"/>
      <c r="M286" s="64"/>
      <c r="N286" s="43"/>
      <c r="O286" s="333"/>
      <c r="P286" s="333"/>
      <c r="Q286" s="333"/>
      <c r="R286" s="333"/>
      <c r="S286" s="332"/>
      <c r="T286" s="288"/>
      <c r="U286" s="288"/>
      <c r="V286" s="332"/>
      <c r="W286" s="288"/>
      <c r="X286" s="334"/>
      <c r="Y286" s="335"/>
      <c r="Z286" s="334"/>
      <c r="AA286" s="334"/>
      <c r="AB286" s="334"/>
      <c r="AC286" s="332"/>
      <c r="AD286" s="332"/>
      <c r="AE286" s="385"/>
      <c r="AF286" s="505"/>
      <c r="AG286" s="505"/>
      <c r="AH286" s="505"/>
    </row>
    <row r="287" spans="1:34" s="7" customFormat="1" ht="21" customHeight="1">
      <c r="A287" s="27"/>
      <c r="B287" s="18" t="s">
        <v>81</v>
      </c>
      <c r="C287" s="95" t="s">
        <v>130</v>
      </c>
      <c r="D287" s="96">
        <f t="shared" ref="D287:N287" si="15">SUM(D288,D302,D317,D320,D344,D360,D371,D379,D386,D393)</f>
        <v>107060</v>
      </c>
      <c r="E287" s="96">
        <f t="shared" si="15"/>
        <v>130914</v>
      </c>
      <c r="F287" s="96">
        <f t="shared" si="15"/>
        <v>800</v>
      </c>
      <c r="G287" s="96">
        <f t="shared" si="15"/>
        <v>5839</v>
      </c>
      <c r="H287" s="96">
        <f t="shared" si="15"/>
        <v>0</v>
      </c>
      <c r="I287" s="96">
        <f t="shared" si="15"/>
        <v>80051</v>
      </c>
      <c r="J287" s="96">
        <f t="shared" si="15"/>
        <v>36824</v>
      </c>
      <c r="K287" s="96">
        <f t="shared" si="15"/>
        <v>0</v>
      </c>
      <c r="L287" s="96">
        <f t="shared" si="15"/>
        <v>7400</v>
      </c>
      <c r="M287" s="96">
        <f t="shared" si="15"/>
        <v>23854</v>
      </c>
      <c r="N287" s="96">
        <f t="shared" si="15"/>
        <v>0.864056174368802</v>
      </c>
      <c r="O287" s="572"/>
      <c r="P287" s="572"/>
      <c r="Q287" s="572"/>
      <c r="R287" s="572"/>
      <c r="S287" s="572"/>
      <c r="T287" s="441"/>
      <c r="U287" s="441"/>
      <c r="V287" s="571"/>
      <c r="W287" s="441"/>
      <c r="X287" s="441"/>
      <c r="Y287" s="185" t="s">
        <v>28</v>
      </c>
      <c r="Z287" s="441"/>
      <c r="AA287" s="441"/>
      <c r="AB287" s="441"/>
      <c r="AC287" s="185"/>
      <c r="AD287" s="185">
        <f>SUM(AD288,AD302,AD317,AD320,AD344,AD360,AD371,AD379,AD386,AD393)</f>
        <v>130914000</v>
      </c>
      <c r="AE287" s="477" t="s">
        <v>25</v>
      </c>
      <c r="AF287" s="505"/>
      <c r="AG287" s="505"/>
      <c r="AH287" s="505"/>
    </row>
    <row r="288" spans="1:34" s="7" customFormat="1" ht="21" customHeight="1">
      <c r="A288" s="27"/>
      <c r="B288" s="27" t="s">
        <v>119</v>
      </c>
      <c r="C288" s="18" t="s">
        <v>246</v>
      </c>
      <c r="D288" s="64">
        <v>2275</v>
      </c>
      <c r="E288" s="64">
        <f>ROUND(AD288/1000,0)</f>
        <v>3806</v>
      </c>
      <c r="F288" s="69">
        <f>SUMIF($AB$289:$AB$301,"보조",$AD$289:$AD$301)/1000</f>
        <v>0</v>
      </c>
      <c r="G288" s="69">
        <f>SUMIF($AB$289:$AB$301,"6종",$AD$289:$AD$301)/1000</f>
        <v>0</v>
      </c>
      <c r="H288" s="69">
        <f>SUMIF($AB$289:$AB$301,"4종",$AD$289:$AD$301)/1000</f>
        <v>0</v>
      </c>
      <c r="I288" s="69">
        <f>SUMIF($AB$289:$AB$301,"후원",$AD$289:$AD$301)/1000</f>
        <v>3806</v>
      </c>
      <c r="J288" s="69">
        <f>SUMIF($AB$289:$AB$301,"입소",$AD$289:$AD$301)/1000</f>
        <v>0</v>
      </c>
      <c r="K288" s="69">
        <f>SUMIF($AB$289:$AB$301,"법인",$AD$289:$AD$301)/1000</f>
        <v>0</v>
      </c>
      <c r="L288" s="69">
        <f>SUMIF($AB$289:$AB$301,"잡수",$AD$289:$AD$301)/1000</f>
        <v>0</v>
      </c>
      <c r="M288" s="64">
        <f>E288-D288</f>
        <v>1531</v>
      </c>
      <c r="N288" s="43">
        <f>IF(D288=0,0,M288/D288)</f>
        <v>0.67296703296703297</v>
      </c>
      <c r="O288" s="182" t="s">
        <v>787</v>
      </c>
      <c r="P288" s="183"/>
      <c r="Q288" s="183"/>
      <c r="R288" s="183"/>
      <c r="S288" s="183"/>
      <c r="T288" s="437"/>
      <c r="U288" s="437"/>
      <c r="V288" s="184"/>
      <c r="W288" s="437"/>
      <c r="X288" s="437"/>
      <c r="Y288" s="185" t="s">
        <v>127</v>
      </c>
      <c r="Z288" s="441"/>
      <c r="AA288" s="441"/>
      <c r="AB288" s="441"/>
      <c r="AC288" s="185"/>
      <c r="AD288" s="185">
        <f>SUM(AD289:AD301)</f>
        <v>3806000</v>
      </c>
      <c r="AE288" s="477" t="s">
        <v>25</v>
      </c>
      <c r="AF288" s="505"/>
      <c r="AG288" s="505"/>
      <c r="AH288" s="505"/>
    </row>
    <row r="289" spans="1:34" s="7" customFormat="1" ht="21" customHeight="1">
      <c r="A289" s="27"/>
      <c r="B289" s="27"/>
      <c r="C289" s="27" t="s">
        <v>119</v>
      </c>
      <c r="D289" s="347"/>
      <c r="E289" s="345"/>
      <c r="F289" s="345"/>
      <c r="G289" s="345"/>
      <c r="H289" s="345"/>
      <c r="I289" s="345"/>
      <c r="J289" s="345"/>
      <c r="K289" s="345"/>
      <c r="L289" s="345"/>
      <c r="M289" s="64"/>
      <c r="N289" s="43"/>
      <c r="O289" s="328" t="s">
        <v>253</v>
      </c>
      <c r="P289" s="230"/>
      <c r="Q289" s="230"/>
      <c r="R289" s="230"/>
      <c r="S289" s="230"/>
      <c r="T289" s="225"/>
      <c r="U289" s="225"/>
      <c r="V289" s="222"/>
      <c r="W289" s="225"/>
      <c r="X289" s="225"/>
      <c r="Y289" s="227"/>
      <c r="Z289" s="225"/>
      <c r="AA289" s="225"/>
      <c r="AB289" s="225"/>
      <c r="AC289" s="230"/>
      <c r="AD289" s="554"/>
      <c r="AE289" s="400"/>
      <c r="AF289" s="505"/>
      <c r="AG289" s="505"/>
      <c r="AH289" s="505"/>
    </row>
    <row r="290" spans="1:34" s="7" customFormat="1" ht="21" customHeight="1">
      <c r="A290" s="27"/>
      <c r="B290" s="27"/>
      <c r="C290" s="27"/>
      <c r="D290" s="348"/>
      <c r="E290" s="346"/>
      <c r="F290" s="346"/>
      <c r="G290" s="346"/>
      <c r="H290" s="346"/>
      <c r="I290" s="346"/>
      <c r="J290" s="346"/>
      <c r="K290" s="346"/>
      <c r="L290" s="346"/>
      <c r="M290" s="64"/>
      <c r="N290" s="43"/>
      <c r="O290" s="333" t="s">
        <v>610</v>
      </c>
      <c r="P290" s="230"/>
      <c r="Q290" s="230"/>
      <c r="R290" s="230"/>
      <c r="S290" s="230"/>
      <c r="T290" s="225"/>
      <c r="U290" s="225"/>
      <c r="V290" s="222"/>
      <c r="W290" s="225"/>
      <c r="X290" s="225"/>
      <c r="Y290" s="227"/>
      <c r="Z290" s="225"/>
      <c r="AA290" s="225"/>
      <c r="AB290" s="225" t="s">
        <v>137</v>
      </c>
      <c r="AC290" s="230"/>
      <c r="AD290" s="332">
        <v>390000</v>
      </c>
      <c r="AE290" s="400" t="s">
        <v>55</v>
      </c>
      <c r="AF290" s="505"/>
      <c r="AG290" s="505"/>
      <c r="AH290" s="505"/>
    </row>
    <row r="291" spans="1:34" s="7" customFormat="1" ht="21" customHeight="1">
      <c r="A291" s="27"/>
      <c r="B291" s="27"/>
      <c r="C291" s="27"/>
      <c r="D291" s="86"/>
      <c r="E291" s="64"/>
      <c r="F291" s="64"/>
      <c r="G291" s="64"/>
      <c r="H291" s="64"/>
      <c r="I291" s="64"/>
      <c r="J291" s="64"/>
      <c r="K291" s="64"/>
      <c r="L291" s="64"/>
      <c r="M291" s="64"/>
      <c r="N291" s="43"/>
      <c r="O291" s="333" t="s">
        <v>712</v>
      </c>
      <c r="P291" s="230"/>
      <c r="Q291" s="230"/>
      <c r="R291" s="230"/>
      <c r="S291" s="332">
        <v>30000</v>
      </c>
      <c r="T291" s="288" t="s">
        <v>25</v>
      </c>
      <c r="U291" s="288" t="s">
        <v>26</v>
      </c>
      <c r="V291" s="332">
        <v>20</v>
      </c>
      <c r="W291" s="288" t="s">
        <v>54</v>
      </c>
      <c r="X291" s="288"/>
      <c r="Y291" s="335"/>
      <c r="Z291" s="334"/>
      <c r="AA291" s="334" t="s">
        <v>53</v>
      </c>
      <c r="AB291" s="334" t="s">
        <v>137</v>
      </c>
      <c r="AC291" s="332"/>
      <c r="AD291" s="332">
        <f t="shared" ref="AD291" si="16">S291*V291</f>
        <v>600000</v>
      </c>
      <c r="AE291" s="385" t="s">
        <v>55</v>
      </c>
      <c r="AF291" s="505"/>
      <c r="AG291" s="505"/>
      <c r="AH291" s="505"/>
    </row>
    <row r="292" spans="1:34" s="7" customFormat="1" ht="21" customHeight="1">
      <c r="A292" s="27"/>
      <c r="B292" s="27"/>
      <c r="C292" s="27"/>
      <c r="D292" s="86"/>
      <c r="E292" s="64"/>
      <c r="F292" s="64"/>
      <c r="G292" s="64"/>
      <c r="H292" s="64"/>
      <c r="I292" s="64"/>
      <c r="J292" s="64"/>
      <c r="K292" s="64"/>
      <c r="L292" s="64"/>
      <c r="M292" s="64"/>
      <c r="N292" s="43"/>
      <c r="O292" s="333" t="s">
        <v>553</v>
      </c>
      <c r="P292" s="230"/>
      <c r="Q292" s="230"/>
      <c r="R292" s="230"/>
      <c r="S292" s="332">
        <v>24000</v>
      </c>
      <c r="T292" s="288" t="s">
        <v>25</v>
      </c>
      <c r="U292" s="288" t="s">
        <v>26</v>
      </c>
      <c r="V292" s="332">
        <v>32</v>
      </c>
      <c r="W292" s="288" t="s">
        <v>54</v>
      </c>
      <c r="X292" s="288"/>
      <c r="Y292" s="335"/>
      <c r="Z292" s="334"/>
      <c r="AA292" s="334" t="s">
        <v>53</v>
      </c>
      <c r="AB292" s="334" t="s">
        <v>137</v>
      </c>
      <c r="AC292" s="332"/>
      <c r="AD292" s="332">
        <f t="shared" ref="AD292" si="17">S292*V292</f>
        <v>768000</v>
      </c>
      <c r="AE292" s="385" t="s">
        <v>55</v>
      </c>
      <c r="AF292" s="505"/>
      <c r="AG292" s="505"/>
      <c r="AH292" s="505"/>
    </row>
    <row r="293" spans="1:34" s="7" customFormat="1" ht="21" customHeight="1">
      <c r="A293" s="27"/>
      <c r="B293" s="27"/>
      <c r="C293" s="27"/>
      <c r="D293" s="86"/>
      <c r="E293" s="64"/>
      <c r="F293" s="64"/>
      <c r="G293" s="64"/>
      <c r="H293" s="64"/>
      <c r="I293" s="64"/>
      <c r="J293" s="64"/>
      <c r="K293" s="64"/>
      <c r="L293" s="64"/>
      <c r="M293" s="64"/>
      <c r="N293" s="43"/>
      <c r="O293" s="333" t="s">
        <v>611</v>
      </c>
      <c r="P293" s="230"/>
      <c r="Q293" s="230"/>
      <c r="R293" s="230"/>
      <c r="S293" s="230"/>
      <c r="T293" s="225"/>
      <c r="U293" s="225"/>
      <c r="V293" s="222"/>
      <c r="W293" s="225"/>
      <c r="X293" s="225"/>
      <c r="Y293" s="227"/>
      <c r="Z293" s="225"/>
      <c r="AA293" s="225"/>
      <c r="AB293" s="225" t="s">
        <v>137</v>
      </c>
      <c r="AC293" s="230"/>
      <c r="AD293" s="332">
        <f>540000+120000+200000+192000</f>
        <v>1052000</v>
      </c>
      <c r="AE293" s="400" t="s">
        <v>55</v>
      </c>
      <c r="AF293" s="505"/>
      <c r="AG293" s="505"/>
      <c r="AH293" s="505"/>
    </row>
    <row r="294" spans="1:34" s="7" customFormat="1" ht="21" customHeight="1">
      <c r="A294" s="27"/>
      <c r="B294" s="27"/>
      <c r="C294" s="27"/>
      <c r="D294" s="86"/>
      <c r="E294" s="64"/>
      <c r="F294" s="64"/>
      <c r="G294" s="64"/>
      <c r="H294" s="64"/>
      <c r="I294" s="64"/>
      <c r="J294" s="64"/>
      <c r="K294" s="64"/>
      <c r="L294" s="64"/>
      <c r="M294" s="64"/>
      <c r="N294" s="43"/>
      <c r="O294" s="333" t="s">
        <v>613</v>
      </c>
      <c r="P294" s="333"/>
      <c r="Q294" s="333"/>
      <c r="R294" s="333"/>
      <c r="S294" s="333"/>
      <c r="T294" s="334"/>
      <c r="U294" s="334"/>
      <c r="V294" s="332"/>
      <c r="W294" s="334"/>
      <c r="X294" s="334"/>
      <c r="Y294" s="335"/>
      <c r="Z294" s="334"/>
      <c r="AA294" s="334"/>
      <c r="AB294" s="334" t="s">
        <v>137</v>
      </c>
      <c r="AC294" s="335"/>
      <c r="AD294" s="332">
        <f>226000+120000</f>
        <v>346000</v>
      </c>
      <c r="AE294" s="385" t="s">
        <v>55</v>
      </c>
      <c r="AF294" s="505"/>
      <c r="AG294" s="505"/>
      <c r="AH294" s="505"/>
    </row>
    <row r="295" spans="1:34" s="7" customFormat="1" ht="21" customHeight="1">
      <c r="A295" s="27"/>
      <c r="B295" s="27"/>
      <c r="C295" s="27"/>
      <c r="D295" s="86"/>
      <c r="E295" s="64"/>
      <c r="F295" s="64"/>
      <c r="G295" s="64"/>
      <c r="H295" s="64"/>
      <c r="I295" s="64"/>
      <c r="J295" s="64"/>
      <c r="K295" s="64"/>
      <c r="L295" s="64"/>
      <c r="M295" s="64"/>
      <c r="N295" s="43"/>
      <c r="O295" s="172" t="s">
        <v>612</v>
      </c>
      <c r="P295" s="333"/>
      <c r="Q295" s="333"/>
      <c r="R295" s="333"/>
      <c r="S295" s="333"/>
      <c r="T295" s="334"/>
      <c r="U295" s="334"/>
      <c r="V295" s="332"/>
      <c r="W295" s="334"/>
      <c r="X295" s="334"/>
      <c r="Y295" s="335"/>
      <c r="Z295" s="334"/>
      <c r="AA295" s="334"/>
      <c r="AB295" s="334" t="s">
        <v>137</v>
      </c>
      <c r="AC295" s="335"/>
      <c r="AD295" s="332">
        <v>650000</v>
      </c>
      <c r="AE295" s="385" t="s">
        <v>55</v>
      </c>
      <c r="AF295" s="505"/>
      <c r="AG295" s="505"/>
      <c r="AH295" s="505"/>
    </row>
    <row r="296" spans="1:34" s="7" customFormat="1" ht="21" customHeight="1">
      <c r="A296" s="27"/>
      <c r="B296" s="27"/>
      <c r="C296" s="27"/>
      <c r="D296" s="86"/>
      <c r="E296" s="64"/>
      <c r="F296" s="64"/>
      <c r="G296" s="64"/>
      <c r="H296" s="64"/>
      <c r="I296" s="64"/>
      <c r="J296" s="64"/>
      <c r="K296" s="64"/>
      <c r="L296" s="64"/>
      <c r="M296" s="64"/>
      <c r="N296" s="43"/>
      <c r="O296" s="172" t="s">
        <v>254</v>
      </c>
      <c r="P296" s="333"/>
      <c r="Q296" s="333"/>
      <c r="R296" s="333"/>
      <c r="S296" s="333"/>
      <c r="T296" s="334"/>
      <c r="U296" s="334"/>
      <c r="V296" s="332"/>
      <c r="W296" s="334"/>
      <c r="X296" s="334"/>
      <c r="Y296" s="335"/>
      <c r="Z296" s="334"/>
      <c r="AA296" s="334"/>
      <c r="AB296" s="225"/>
      <c r="AC296" s="335"/>
      <c r="AD296" s="317"/>
      <c r="AE296" s="385"/>
      <c r="AF296" s="505"/>
      <c r="AG296" s="505"/>
      <c r="AH296" s="505"/>
    </row>
    <row r="297" spans="1:34" s="7" customFormat="1" ht="21" customHeight="1">
      <c r="A297" s="27"/>
      <c r="B297" s="27"/>
      <c r="C297" s="27"/>
      <c r="D297" s="86"/>
      <c r="E297" s="64"/>
      <c r="F297" s="64"/>
      <c r="G297" s="64"/>
      <c r="H297" s="64"/>
      <c r="I297" s="64"/>
      <c r="J297" s="64"/>
      <c r="K297" s="64"/>
      <c r="L297" s="64"/>
      <c r="M297" s="64"/>
      <c r="N297" s="43"/>
      <c r="O297" s="172" t="s">
        <v>554</v>
      </c>
      <c r="P297" s="333"/>
      <c r="Q297" s="333"/>
      <c r="R297" s="333"/>
      <c r="S297" s="333"/>
      <c r="T297" s="334"/>
      <c r="U297" s="334"/>
      <c r="V297" s="332"/>
      <c r="W297" s="334"/>
      <c r="X297" s="334"/>
      <c r="Y297" s="335"/>
      <c r="Z297" s="334"/>
      <c r="AA297" s="334"/>
      <c r="AB297" s="225" t="s">
        <v>137</v>
      </c>
      <c r="AC297" s="335"/>
      <c r="AD297" s="317">
        <v>0</v>
      </c>
      <c r="AE297" s="385" t="s">
        <v>55</v>
      </c>
      <c r="AF297" s="505"/>
      <c r="AG297" s="505"/>
      <c r="AH297" s="505"/>
    </row>
    <row r="298" spans="1:34" s="7" customFormat="1" ht="21" customHeight="1">
      <c r="A298" s="27"/>
      <c r="B298" s="27"/>
      <c r="C298" s="27"/>
      <c r="D298" s="86"/>
      <c r="E298" s="64"/>
      <c r="F298" s="64"/>
      <c r="G298" s="64"/>
      <c r="H298" s="64"/>
      <c r="I298" s="64"/>
      <c r="J298" s="64"/>
      <c r="K298" s="64"/>
      <c r="L298" s="64"/>
      <c r="M298" s="64"/>
      <c r="N298" s="43"/>
      <c r="O298" s="172" t="s">
        <v>559</v>
      </c>
      <c r="P298" s="333"/>
      <c r="Q298" s="333"/>
      <c r="R298" s="333"/>
      <c r="S298" s="333"/>
      <c r="T298" s="334"/>
      <c r="U298" s="334"/>
      <c r="V298" s="332"/>
      <c r="W298" s="334"/>
      <c r="X298" s="334"/>
      <c r="Y298" s="335"/>
      <c r="Z298" s="334"/>
      <c r="AA298" s="334"/>
      <c r="AB298" s="225" t="s">
        <v>137</v>
      </c>
      <c r="AC298" s="335"/>
      <c r="AD298" s="317">
        <v>0</v>
      </c>
      <c r="AE298" s="385" t="s">
        <v>55</v>
      </c>
      <c r="AF298" s="505"/>
      <c r="AG298" s="505"/>
      <c r="AH298" s="505"/>
    </row>
    <row r="299" spans="1:34" s="7" customFormat="1" ht="21" customHeight="1">
      <c r="A299" s="27"/>
      <c r="B299" s="27"/>
      <c r="C299" s="27"/>
      <c r="D299" s="86"/>
      <c r="E299" s="64"/>
      <c r="F299" s="64"/>
      <c r="G299" s="64"/>
      <c r="H299" s="64"/>
      <c r="I299" s="64"/>
      <c r="J299" s="64"/>
      <c r="K299" s="64"/>
      <c r="L299" s="64"/>
      <c r="M299" s="64"/>
      <c r="N299" s="43"/>
      <c r="O299" s="172" t="s">
        <v>555</v>
      </c>
      <c r="P299" s="333"/>
      <c r="Q299" s="333"/>
      <c r="R299" s="333"/>
      <c r="S299" s="333"/>
      <c r="T299" s="334"/>
      <c r="U299" s="334"/>
      <c r="V299" s="332"/>
      <c r="W299" s="334"/>
      <c r="X299" s="334"/>
      <c r="Y299" s="335"/>
      <c r="Z299" s="334"/>
      <c r="AA299" s="334"/>
      <c r="AB299" s="225" t="s">
        <v>137</v>
      </c>
      <c r="AC299" s="335"/>
      <c r="AD299" s="317">
        <v>0</v>
      </c>
      <c r="AE299" s="385" t="s">
        <v>55</v>
      </c>
      <c r="AF299" s="505"/>
      <c r="AG299" s="505"/>
      <c r="AH299" s="505"/>
    </row>
    <row r="300" spans="1:34" s="7" customFormat="1" ht="21" customHeight="1">
      <c r="A300" s="27"/>
      <c r="B300" s="27"/>
      <c r="C300" s="27"/>
      <c r="D300" s="86"/>
      <c r="E300" s="64"/>
      <c r="F300" s="64"/>
      <c r="G300" s="64"/>
      <c r="H300" s="64"/>
      <c r="I300" s="64"/>
      <c r="J300" s="64"/>
      <c r="K300" s="64"/>
      <c r="L300" s="64"/>
      <c r="M300" s="64"/>
      <c r="N300" s="43"/>
      <c r="O300" s="172" t="s">
        <v>556</v>
      </c>
      <c r="P300" s="333"/>
      <c r="Q300" s="333"/>
      <c r="R300" s="333"/>
      <c r="S300" s="333"/>
      <c r="T300" s="334"/>
      <c r="U300" s="334"/>
      <c r="V300" s="332"/>
      <c r="W300" s="334"/>
      <c r="X300" s="334"/>
      <c r="Y300" s="335"/>
      <c r="Z300" s="334"/>
      <c r="AA300" s="334"/>
      <c r="AB300" s="225" t="s">
        <v>137</v>
      </c>
      <c r="AC300" s="335"/>
      <c r="AD300" s="317">
        <v>0</v>
      </c>
      <c r="AE300" s="385" t="s">
        <v>55</v>
      </c>
      <c r="AF300" s="505"/>
      <c r="AG300" s="505"/>
      <c r="AH300" s="505"/>
    </row>
    <row r="301" spans="1:34" s="7" customFormat="1" ht="21" customHeight="1">
      <c r="A301" s="27"/>
      <c r="B301" s="27"/>
      <c r="C301" s="35"/>
      <c r="D301" s="87"/>
      <c r="E301" s="66"/>
      <c r="F301" s="66"/>
      <c r="G301" s="66"/>
      <c r="H301" s="66"/>
      <c r="I301" s="66"/>
      <c r="J301" s="66"/>
      <c r="K301" s="66"/>
      <c r="L301" s="66"/>
      <c r="M301" s="66"/>
      <c r="N301" s="52"/>
      <c r="O301" s="173" t="s">
        <v>557</v>
      </c>
      <c r="P301" s="576"/>
      <c r="Q301" s="576"/>
      <c r="R301" s="576"/>
      <c r="S301" s="576"/>
      <c r="T301" s="420"/>
      <c r="U301" s="420"/>
      <c r="V301" s="575"/>
      <c r="W301" s="420"/>
      <c r="X301" s="420"/>
      <c r="Y301" s="231"/>
      <c r="Z301" s="420"/>
      <c r="AA301" s="420"/>
      <c r="AB301" s="225" t="s">
        <v>137</v>
      </c>
      <c r="AC301" s="231"/>
      <c r="AD301" s="557">
        <v>0</v>
      </c>
      <c r="AE301" s="405" t="s">
        <v>55</v>
      </c>
      <c r="AF301" s="505"/>
      <c r="AG301" s="505"/>
      <c r="AH301" s="505"/>
    </row>
    <row r="302" spans="1:34" s="7" customFormat="1" ht="21" customHeight="1">
      <c r="A302" s="27"/>
      <c r="B302" s="27"/>
      <c r="C302" s="18" t="s">
        <v>247</v>
      </c>
      <c r="D302" s="88">
        <v>16368</v>
      </c>
      <c r="E302" s="64">
        <f>ROUND(AD302/1000,0)</f>
        <v>26762</v>
      </c>
      <c r="F302" s="69">
        <f>SUMIF($AB$303:$AB$316,"보조",$AD$303:$AD$316)/1000</f>
        <v>0</v>
      </c>
      <c r="G302" s="69">
        <f>SUMIF($AB$303:$AB$316,"6종",$AD$303:$AD$316)/1000</f>
        <v>0</v>
      </c>
      <c r="H302" s="69">
        <f>SUMIF($AB$303:$AB$316,"4종",$AD$303:$AD$316)/1000</f>
        <v>0</v>
      </c>
      <c r="I302" s="69">
        <f>SUMIF($AB$303:$AB$316,"후원",$AD$303:$AD$316)/1000</f>
        <v>14000</v>
      </c>
      <c r="J302" s="69">
        <f>SUMIF($AB$303:$AB$316,"입소",$AD$303:$AD$316)/1000</f>
        <v>12762</v>
      </c>
      <c r="K302" s="69">
        <f>SUMIF($AB$303:$AB$316,"법인",$AD$303:$AD$316)/1000</f>
        <v>0</v>
      </c>
      <c r="L302" s="69">
        <f>SUMIF($AB$303:$AB$316,"잡수",$AD$303:$AD$316)/1000</f>
        <v>0</v>
      </c>
      <c r="M302" s="316">
        <f>E302-D302</f>
        <v>10394</v>
      </c>
      <c r="N302" s="73">
        <f>IF(D302=0,0,M302/D302)</f>
        <v>0.63501955034213098</v>
      </c>
      <c r="O302" s="175"/>
      <c r="P302" s="183"/>
      <c r="Q302" s="183"/>
      <c r="R302" s="243"/>
      <c r="S302" s="243"/>
      <c r="T302" s="447"/>
      <c r="U302" s="447"/>
      <c r="V302" s="243"/>
      <c r="W302" s="566" t="s">
        <v>120</v>
      </c>
      <c r="X302" s="566"/>
      <c r="Y302" s="244"/>
      <c r="Z302" s="566"/>
      <c r="AA302" s="566"/>
      <c r="AB302" s="595"/>
      <c r="AC302" s="244"/>
      <c r="AD302" s="244">
        <f>SUM(AD303:AD316)</f>
        <v>26762000</v>
      </c>
      <c r="AE302" s="410" t="s">
        <v>25</v>
      </c>
      <c r="AF302" s="505"/>
      <c r="AG302" s="505"/>
      <c r="AH302" s="505"/>
    </row>
    <row r="303" spans="1:34" s="7" customFormat="1" ht="21" customHeight="1">
      <c r="A303" s="27"/>
      <c r="B303" s="27"/>
      <c r="C303" s="27" t="s">
        <v>248</v>
      </c>
      <c r="D303" s="347"/>
      <c r="E303" s="345"/>
      <c r="F303" s="345"/>
      <c r="G303" s="345"/>
      <c r="H303" s="345"/>
      <c r="I303" s="345"/>
      <c r="J303" s="345"/>
      <c r="K303" s="345"/>
      <c r="L303" s="345"/>
      <c r="M303" s="64"/>
      <c r="N303" s="43"/>
      <c r="O303" s="333" t="s">
        <v>255</v>
      </c>
      <c r="P303" s="230"/>
      <c r="Q303" s="230"/>
      <c r="R303" s="230"/>
      <c r="S303" s="230" t="s">
        <v>617</v>
      </c>
      <c r="T303" s="225"/>
      <c r="U303" s="225"/>
      <c r="V303" s="222"/>
      <c r="W303" s="225"/>
      <c r="X303" s="225"/>
      <c r="Y303" s="227"/>
      <c r="Z303" s="225"/>
      <c r="AA303" s="225"/>
      <c r="AB303" s="225" t="s">
        <v>215</v>
      </c>
      <c r="AC303" s="230"/>
      <c r="AD303" s="554">
        <v>3458000</v>
      </c>
      <c r="AE303" s="400" t="s">
        <v>55</v>
      </c>
      <c r="AF303" s="505"/>
      <c r="AG303" s="505"/>
      <c r="AH303" s="505"/>
    </row>
    <row r="304" spans="1:34" s="7" customFormat="1" ht="21" customHeight="1">
      <c r="A304" s="27"/>
      <c r="B304" s="27"/>
      <c r="C304" s="27"/>
      <c r="D304" s="347"/>
      <c r="E304" s="345"/>
      <c r="F304" s="345"/>
      <c r="G304" s="345"/>
      <c r="H304" s="345"/>
      <c r="I304" s="345"/>
      <c r="J304" s="345"/>
      <c r="K304" s="345"/>
      <c r="L304" s="345"/>
      <c r="M304" s="64"/>
      <c r="N304" s="43"/>
      <c r="O304" s="333"/>
      <c r="P304" s="230"/>
      <c r="Q304" s="230"/>
      <c r="R304" s="230"/>
      <c r="S304" s="230" t="s">
        <v>614</v>
      </c>
      <c r="T304" s="225"/>
      <c r="U304" s="225"/>
      <c r="V304" s="222"/>
      <c r="W304" s="225"/>
      <c r="X304" s="225"/>
      <c r="Y304" s="227"/>
      <c r="Z304" s="225"/>
      <c r="AA304" s="225"/>
      <c r="AB304" s="225" t="s">
        <v>215</v>
      </c>
      <c r="AC304" s="230"/>
      <c r="AD304" s="554">
        <v>2602000</v>
      </c>
      <c r="AE304" s="400" t="s">
        <v>55</v>
      </c>
      <c r="AF304" s="505"/>
      <c r="AG304" s="505"/>
      <c r="AH304" s="505"/>
    </row>
    <row r="305" spans="1:34" s="7" customFormat="1" ht="21" customHeight="1">
      <c r="A305" s="27"/>
      <c r="B305" s="27"/>
      <c r="C305" s="27"/>
      <c r="D305" s="348"/>
      <c r="E305" s="346"/>
      <c r="F305" s="346"/>
      <c r="G305" s="346"/>
      <c r="H305" s="346"/>
      <c r="I305" s="346"/>
      <c r="J305" s="346"/>
      <c r="K305" s="346"/>
      <c r="L305" s="346"/>
      <c r="M305" s="64"/>
      <c r="N305" s="43"/>
      <c r="O305" s="333"/>
      <c r="P305" s="230"/>
      <c r="Q305" s="230"/>
      <c r="R305" s="230"/>
      <c r="S305" s="230" t="s">
        <v>616</v>
      </c>
      <c r="T305" s="225"/>
      <c r="U305" s="225"/>
      <c r="V305" s="222"/>
      <c r="W305" s="225"/>
      <c r="X305" s="225"/>
      <c r="Y305" s="227"/>
      <c r="Z305" s="225"/>
      <c r="AA305" s="225"/>
      <c r="AB305" s="225" t="s">
        <v>215</v>
      </c>
      <c r="AC305" s="230"/>
      <c r="AD305" s="554">
        <v>2320000</v>
      </c>
      <c r="AE305" s="400" t="s">
        <v>55</v>
      </c>
      <c r="AF305" s="505"/>
      <c r="AG305" s="505"/>
      <c r="AH305" s="505"/>
    </row>
    <row r="306" spans="1:34" s="7" customFormat="1" ht="21" customHeight="1">
      <c r="A306" s="27"/>
      <c r="B306" s="27"/>
      <c r="C306" s="27"/>
      <c r="D306" s="348"/>
      <c r="E306" s="346"/>
      <c r="F306" s="346"/>
      <c r="G306" s="346"/>
      <c r="H306" s="346"/>
      <c r="I306" s="346"/>
      <c r="J306" s="346"/>
      <c r="K306" s="346"/>
      <c r="L306" s="346"/>
      <c r="M306" s="64"/>
      <c r="N306" s="43"/>
      <c r="O306" s="333"/>
      <c r="P306" s="230"/>
      <c r="Q306" s="230"/>
      <c r="R306" s="230"/>
      <c r="S306" s="230" t="s">
        <v>616</v>
      </c>
      <c r="T306" s="225"/>
      <c r="U306" s="225"/>
      <c r="V306" s="222"/>
      <c r="W306" s="225"/>
      <c r="X306" s="225"/>
      <c r="Y306" s="227"/>
      <c r="Z306" s="225"/>
      <c r="AA306" s="225"/>
      <c r="AB306" s="225" t="s">
        <v>137</v>
      </c>
      <c r="AC306" s="230"/>
      <c r="AD306" s="554">
        <v>0</v>
      </c>
      <c r="AE306" s="400" t="s">
        <v>55</v>
      </c>
      <c r="AF306" s="505"/>
      <c r="AG306" s="505"/>
      <c r="AH306" s="505"/>
    </row>
    <row r="307" spans="1:34" s="7" customFormat="1" ht="21" customHeight="1">
      <c r="A307" s="27"/>
      <c r="B307" s="27"/>
      <c r="C307" s="27"/>
      <c r="D307" s="348"/>
      <c r="E307" s="346"/>
      <c r="F307" s="346"/>
      <c r="G307" s="346"/>
      <c r="H307" s="346"/>
      <c r="I307" s="346"/>
      <c r="J307" s="346"/>
      <c r="K307" s="346"/>
      <c r="L307" s="346"/>
      <c r="M307" s="64"/>
      <c r="N307" s="43"/>
      <c r="O307" s="333" t="s">
        <v>615</v>
      </c>
      <c r="P307" s="230"/>
      <c r="Q307" s="230"/>
      <c r="R307" s="230"/>
      <c r="S307" s="230" t="s">
        <v>617</v>
      </c>
      <c r="T307" s="225"/>
      <c r="U307" s="225"/>
      <c r="V307" s="222"/>
      <c r="W307" s="225"/>
      <c r="X307" s="225"/>
      <c r="Y307" s="227"/>
      <c r="Z307" s="225"/>
      <c r="AA307" s="225"/>
      <c r="AB307" s="225" t="s">
        <v>137</v>
      </c>
      <c r="AC307" s="230"/>
      <c r="AD307" s="554">
        <v>0</v>
      </c>
      <c r="AE307" s="400" t="s">
        <v>55</v>
      </c>
      <c r="AF307" s="505"/>
      <c r="AG307" s="505"/>
      <c r="AH307" s="505"/>
    </row>
    <row r="308" spans="1:34" s="7" customFormat="1" ht="21" customHeight="1">
      <c r="A308" s="27"/>
      <c r="B308" s="27"/>
      <c r="C308" s="27"/>
      <c r="D308" s="348"/>
      <c r="E308" s="346"/>
      <c r="F308" s="346"/>
      <c r="G308" s="346"/>
      <c r="H308" s="346"/>
      <c r="I308" s="346"/>
      <c r="J308" s="346"/>
      <c r="K308" s="346"/>
      <c r="L308" s="346"/>
      <c r="M308" s="64"/>
      <c r="N308" s="43"/>
      <c r="O308" s="333"/>
      <c r="P308" s="230"/>
      <c r="Q308" s="230"/>
      <c r="R308" s="230"/>
      <c r="S308" s="230" t="s">
        <v>614</v>
      </c>
      <c r="T308" s="225"/>
      <c r="U308" s="225"/>
      <c r="V308" s="222"/>
      <c r="W308" s="225"/>
      <c r="X308" s="225"/>
      <c r="Y308" s="227"/>
      <c r="Z308" s="225"/>
      <c r="AA308" s="225"/>
      <c r="AB308" s="225" t="s">
        <v>215</v>
      </c>
      <c r="AC308" s="230"/>
      <c r="AD308" s="554">
        <v>2106000</v>
      </c>
      <c r="AE308" s="400" t="s">
        <v>55</v>
      </c>
      <c r="AF308" s="505"/>
      <c r="AG308" s="505"/>
      <c r="AH308" s="505"/>
    </row>
    <row r="309" spans="1:34" s="7" customFormat="1" ht="21" customHeight="1">
      <c r="A309" s="27"/>
      <c r="B309" s="27"/>
      <c r="C309" s="27"/>
      <c r="D309" s="86"/>
      <c r="E309" s="64"/>
      <c r="F309" s="64"/>
      <c r="G309" s="64"/>
      <c r="H309" s="64"/>
      <c r="I309" s="64"/>
      <c r="J309" s="64"/>
      <c r="K309" s="64"/>
      <c r="L309" s="64"/>
      <c r="M309" s="64"/>
      <c r="N309" s="43"/>
      <c r="O309" s="333"/>
      <c r="P309" s="230"/>
      <c r="Q309" s="230"/>
      <c r="R309" s="230"/>
      <c r="S309" s="230" t="s">
        <v>616</v>
      </c>
      <c r="T309" s="225"/>
      <c r="U309" s="225"/>
      <c r="V309" s="222"/>
      <c r="W309" s="225"/>
      <c r="X309" s="225"/>
      <c r="Y309" s="227"/>
      <c r="Z309" s="225"/>
      <c r="AA309" s="225"/>
      <c r="AB309" s="225" t="s">
        <v>137</v>
      </c>
      <c r="AC309" s="230"/>
      <c r="AD309" s="554">
        <v>0</v>
      </c>
      <c r="AE309" s="400" t="s">
        <v>55</v>
      </c>
      <c r="AF309" s="505"/>
      <c r="AG309" s="505"/>
      <c r="AH309" s="505"/>
    </row>
    <row r="310" spans="1:34" s="7" customFormat="1" ht="21" customHeight="1">
      <c r="A310" s="27"/>
      <c r="B310" s="27"/>
      <c r="C310" s="27"/>
      <c r="D310" s="86"/>
      <c r="E310" s="64"/>
      <c r="F310" s="64"/>
      <c r="G310" s="64"/>
      <c r="H310" s="64"/>
      <c r="I310" s="64"/>
      <c r="J310" s="64"/>
      <c r="K310" s="64"/>
      <c r="L310" s="64"/>
      <c r="M310" s="64"/>
      <c r="N310" s="43"/>
      <c r="O310" s="333"/>
      <c r="P310" s="230"/>
      <c r="Q310" s="230"/>
      <c r="R310" s="230"/>
      <c r="S310" s="230" t="s">
        <v>616</v>
      </c>
      <c r="T310" s="225"/>
      <c r="U310" s="225"/>
      <c r="V310" s="222"/>
      <c r="W310" s="225"/>
      <c r="X310" s="225"/>
      <c r="Y310" s="227"/>
      <c r="Z310" s="225"/>
      <c r="AA310" s="225"/>
      <c r="AB310" s="225" t="s">
        <v>792</v>
      </c>
      <c r="AC310" s="230"/>
      <c r="AD310" s="554">
        <v>2276000</v>
      </c>
      <c r="AE310" s="400" t="s">
        <v>55</v>
      </c>
      <c r="AF310" s="505"/>
      <c r="AG310" s="505"/>
      <c r="AH310" s="505"/>
    </row>
    <row r="311" spans="1:34" s="7" customFormat="1" ht="21" customHeight="1">
      <c r="A311" s="27"/>
      <c r="B311" s="27"/>
      <c r="C311" s="27"/>
      <c r="D311" s="86"/>
      <c r="E311" s="64"/>
      <c r="F311" s="64"/>
      <c r="G311" s="64"/>
      <c r="H311" s="64"/>
      <c r="I311" s="64"/>
      <c r="J311" s="64"/>
      <c r="K311" s="64"/>
      <c r="L311" s="64"/>
      <c r="M311" s="64"/>
      <c r="N311" s="43"/>
      <c r="O311" s="333" t="s">
        <v>256</v>
      </c>
      <c r="P311" s="230"/>
      <c r="Q311" s="230"/>
      <c r="R311" s="230"/>
      <c r="S311" s="230"/>
      <c r="T311" s="225"/>
      <c r="U311" s="225"/>
      <c r="V311" s="222"/>
      <c r="W311" s="225"/>
      <c r="X311" s="225"/>
      <c r="Y311" s="227"/>
      <c r="Z311" s="225"/>
      <c r="AA311" s="225"/>
      <c r="AB311" s="225" t="s">
        <v>215</v>
      </c>
      <c r="AC311" s="230"/>
      <c r="AD311" s="554">
        <v>0</v>
      </c>
      <c r="AE311" s="400" t="s">
        <v>55</v>
      </c>
      <c r="AF311" s="505"/>
      <c r="AG311" s="505"/>
      <c r="AH311" s="505"/>
    </row>
    <row r="312" spans="1:34" s="7" customFormat="1" ht="21" customHeight="1">
      <c r="A312" s="27"/>
      <c r="B312" s="27"/>
      <c r="C312" s="27"/>
      <c r="D312" s="86"/>
      <c r="E312" s="64"/>
      <c r="F312" s="64"/>
      <c r="G312" s="64"/>
      <c r="H312" s="64"/>
      <c r="I312" s="64"/>
      <c r="J312" s="64"/>
      <c r="K312" s="64"/>
      <c r="L312" s="64"/>
      <c r="M312" s="64"/>
      <c r="N312" s="43"/>
      <c r="O312" s="333"/>
      <c r="P312" s="230"/>
      <c r="Q312" s="230"/>
      <c r="R312" s="230"/>
      <c r="S312" s="230"/>
      <c r="T312" s="225"/>
      <c r="U312" s="225"/>
      <c r="V312" s="222"/>
      <c r="W312" s="225"/>
      <c r="X312" s="225"/>
      <c r="Y312" s="227"/>
      <c r="Z312" s="225"/>
      <c r="AA312" s="225"/>
      <c r="AB312" s="225" t="s">
        <v>137</v>
      </c>
      <c r="AC312" s="230"/>
      <c r="AD312" s="554">
        <v>0</v>
      </c>
      <c r="AE312" s="400" t="s">
        <v>55</v>
      </c>
      <c r="AF312" s="505"/>
      <c r="AG312" s="505"/>
      <c r="AH312" s="505"/>
    </row>
    <row r="313" spans="1:34" s="7" customFormat="1" ht="21" customHeight="1">
      <c r="A313" s="27"/>
      <c r="B313" s="27"/>
      <c r="C313" s="27"/>
      <c r="D313" s="86"/>
      <c r="E313" s="64"/>
      <c r="F313" s="64"/>
      <c r="G313" s="64"/>
      <c r="H313" s="64"/>
      <c r="I313" s="64"/>
      <c r="J313" s="64"/>
      <c r="K313" s="64"/>
      <c r="L313" s="64"/>
      <c r="M313" s="64"/>
      <c r="N313" s="43"/>
      <c r="O313" s="333" t="s">
        <v>257</v>
      </c>
      <c r="P313" s="230"/>
      <c r="Q313" s="230"/>
      <c r="R313" s="230"/>
      <c r="S313" s="230"/>
      <c r="T313" s="225"/>
      <c r="U313" s="225"/>
      <c r="V313" s="222"/>
      <c r="W313" s="225"/>
      <c r="X313" s="225"/>
      <c r="Y313" s="227"/>
      <c r="Z313" s="225"/>
      <c r="AA313" s="225"/>
      <c r="AB313" s="225" t="s">
        <v>137</v>
      </c>
      <c r="AC313" s="230"/>
      <c r="AD313" s="554">
        <v>0</v>
      </c>
      <c r="AE313" s="400" t="s">
        <v>55</v>
      </c>
      <c r="AF313" s="505"/>
      <c r="AG313" s="505"/>
      <c r="AH313" s="505"/>
    </row>
    <row r="314" spans="1:34" s="7" customFormat="1" ht="21" customHeight="1">
      <c r="A314" s="27"/>
      <c r="B314" s="27"/>
      <c r="C314" s="27"/>
      <c r="D314" s="86"/>
      <c r="E314" s="64"/>
      <c r="F314" s="64"/>
      <c r="G314" s="64"/>
      <c r="H314" s="64"/>
      <c r="I314" s="64"/>
      <c r="J314" s="64"/>
      <c r="K314" s="64"/>
      <c r="L314" s="64"/>
      <c r="M314" s="64"/>
      <c r="N314" s="43"/>
      <c r="O314" s="333"/>
      <c r="P314" s="230"/>
      <c r="Q314" s="230"/>
      <c r="R314" s="230"/>
      <c r="S314" s="230"/>
      <c r="T314" s="225"/>
      <c r="U314" s="225"/>
      <c r="V314" s="222"/>
      <c r="W314" s="225"/>
      <c r="X314" s="225"/>
      <c r="Y314" s="227"/>
      <c r="Z314" s="225"/>
      <c r="AA314" s="225"/>
      <c r="AB314" s="225"/>
      <c r="AC314" s="230"/>
      <c r="AD314" s="554"/>
      <c r="AE314" s="400"/>
      <c r="AF314" s="505"/>
      <c r="AG314" s="505"/>
      <c r="AH314" s="505"/>
    </row>
    <row r="315" spans="1:34" s="7" customFormat="1" ht="21" customHeight="1">
      <c r="A315" s="27"/>
      <c r="B315" s="27"/>
      <c r="C315" s="27"/>
      <c r="D315" s="86"/>
      <c r="E315" s="64"/>
      <c r="F315" s="64"/>
      <c r="G315" s="64"/>
      <c r="H315" s="64"/>
      <c r="I315" s="64"/>
      <c r="J315" s="64"/>
      <c r="K315" s="64"/>
      <c r="L315" s="64"/>
      <c r="M315" s="64"/>
      <c r="N315" s="43"/>
      <c r="O315" s="333" t="s">
        <v>258</v>
      </c>
      <c r="P315" s="230"/>
      <c r="Q315" s="230"/>
      <c r="R315" s="230"/>
      <c r="S315" s="230"/>
      <c r="T315" s="225"/>
      <c r="U315" s="225"/>
      <c r="V315" s="222"/>
      <c r="W315" s="225"/>
      <c r="X315" s="225"/>
      <c r="Y315" s="227"/>
      <c r="Z315" s="225"/>
      <c r="AA315" s="225"/>
      <c r="AB315" s="225" t="s">
        <v>137</v>
      </c>
      <c r="AC315" s="230"/>
      <c r="AD315" s="554">
        <v>14000000</v>
      </c>
      <c r="AE315" s="400" t="s">
        <v>55</v>
      </c>
      <c r="AF315" s="505"/>
      <c r="AG315" s="505"/>
      <c r="AH315" s="505"/>
    </row>
    <row r="316" spans="1:34" s="7" customFormat="1" ht="21" customHeight="1">
      <c r="A316" s="27"/>
      <c r="B316" s="27"/>
      <c r="C316" s="27"/>
      <c r="D316" s="86"/>
      <c r="E316" s="66"/>
      <c r="F316" s="64"/>
      <c r="G316" s="64"/>
      <c r="H316" s="64"/>
      <c r="I316" s="64"/>
      <c r="J316" s="64"/>
      <c r="K316" s="64"/>
      <c r="L316" s="64"/>
      <c r="M316" s="64"/>
      <c r="N316" s="43"/>
      <c r="O316" s="333"/>
      <c r="P316" s="333"/>
      <c r="Q316" s="333"/>
      <c r="R316" s="333"/>
      <c r="S316" s="333"/>
      <c r="T316" s="334"/>
      <c r="U316" s="334"/>
      <c r="V316" s="332"/>
      <c r="W316" s="334"/>
      <c r="X316" s="334"/>
      <c r="Y316" s="335"/>
      <c r="Z316" s="334"/>
      <c r="AA316" s="334"/>
      <c r="AB316" s="334" t="s">
        <v>215</v>
      </c>
      <c r="AC316" s="335"/>
      <c r="AD316" s="317">
        <v>0</v>
      </c>
      <c r="AE316" s="400" t="s">
        <v>55</v>
      </c>
      <c r="AF316" s="505"/>
      <c r="AG316" s="505"/>
      <c r="AH316" s="505"/>
    </row>
    <row r="317" spans="1:34" s="7" customFormat="1" ht="21" customHeight="1">
      <c r="A317" s="27"/>
      <c r="B317" s="27"/>
      <c r="C317" s="18" t="s">
        <v>249</v>
      </c>
      <c r="D317" s="88">
        <v>600</v>
      </c>
      <c r="E317" s="68">
        <f>ROUND(AD317/1000,0)</f>
        <v>0</v>
      </c>
      <c r="F317" s="69">
        <f>SUMIF($AB$318:$AB$318,"보조",$AD$318:$AD$318)/1000</f>
        <v>0</v>
      </c>
      <c r="G317" s="69">
        <f>SUMIF($AB$318:$AB$318,"6종",$AD$318:$AD$318)/1000</f>
        <v>0</v>
      </c>
      <c r="H317" s="69">
        <f>SUMIF($AB$318:$AB$318,"4종",$AD$318:$AD$318)/1000</f>
        <v>0</v>
      </c>
      <c r="I317" s="69">
        <f>SUMIF($AB$318:$AB$318,"후원",$AD$318:$AD$318)/1000</f>
        <v>0</v>
      </c>
      <c r="J317" s="69">
        <f>SUMIF($AB$318:$AB$318,"입소",$AD$318:$AD$318)/1000</f>
        <v>0</v>
      </c>
      <c r="K317" s="69">
        <f>SUMIF($AB$318:$AB$318,"법인",$AD$318:$AD$318)/1000</f>
        <v>0</v>
      </c>
      <c r="L317" s="69">
        <f>SUMIF($AB$318:$AB$318,"잡수",$AD$318:$AD$318)/1000</f>
        <v>0</v>
      </c>
      <c r="M317" s="75">
        <f>E317-D317</f>
        <v>-600</v>
      </c>
      <c r="N317" s="73">
        <f>IF(D317=0,0,M317/D317)</f>
        <v>-1</v>
      </c>
      <c r="O317" s="175"/>
      <c r="P317" s="183"/>
      <c r="Q317" s="183"/>
      <c r="R317" s="243"/>
      <c r="S317" s="243"/>
      <c r="T317" s="447"/>
      <c r="U317" s="447"/>
      <c r="V317" s="243"/>
      <c r="W317" s="566" t="s">
        <v>120</v>
      </c>
      <c r="X317" s="566"/>
      <c r="Y317" s="244"/>
      <c r="Z317" s="566"/>
      <c r="AA317" s="566"/>
      <c r="AB317" s="595"/>
      <c r="AC317" s="244"/>
      <c r="AD317" s="244">
        <f>SUM(AD318:AD319)</f>
        <v>0</v>
      </c>
      <c r="AE317" s="410" t="s">
        <v>25</v>
      </c>
      <c r="AF317" s="505"/>
      <c r="AG317" s="505"/>
      <c r="AH317" s="505"/>
    </row>
    <row r="318" spans="1:34" s="7" customFormat="1" ht="24" customHeight="1">
      <c r="A318" s="27"/>
      <c r="B318" s="27"/>
      <c r="C318" s="27" t="s">
        <v>119</v>
      </c>
      <c r="D318" s="86"/>
      <c r="E318" s="64"/>
      <c r="F318" s="64"/>
      <c r="G318" s="64"/>
      <c r="H318" s="64"/>
      <c r="I318" s="64"/>
      <c r="J318" s="64"/>
      <c r="K318" s="64"/>
      <c r="L318" s="64"/>
      <c r="M318" s="64"/>
      <c r="N318" s="43"/>
      <c r="O318" s="333" t="s">
        <v>259</v>
      </c>
      <c r="P318" s="230"/>
      <c r="Q318" s="230"/>
      <c r="R318" s="230"/>
      <c r="S318" s="230"/>
      <c r="T318" s="225"/>
      <c r="U318" s="225"/>
      <c r="V318" s="222"/>
      <c r="W318" s="225"/>
      <c r="X318" s="225"/>
      <c r="Y318" s="227"/>
      <c r="Z318" s="225"/>
      <c r="AA318" s="225"/>
      <c r="AB318" s="225" t="s">
        <v>215</v>
      </c>
      <c r="AC318" s="230"/>
      <c r="AD318" s="554">
        <v>0</v>
      </c>
      <c r="AE318" s="400" t="s">
        <v>55</v>
      </c>
      <c r="AF318" s="505"/>
      <c r="AG318" s="505"/>
      <c r="AH318" s="505"/>
    </row>
    <row r="319" spans="1:34" s="7" customFormat="1" ht="24" customHeight="1">
      <c r="A319" s="27"/>
      <c r="B319" s="27"/>
      <c r="C319" s="27"/>
      <c r="D319" s="86"/>
      <c r="E319" s="64"/>
      <c r="F319" s="64"/>
      <c r="G319" s="64"/>
      <c r="H319" s="64"/>
      <c r="I319" s="64"/>
      <c r="J319" s="64"/>
      <c r="K319" s="64"/>
      <c r="L319" s="64"/>
      <c r="M319" s="64"/>
      <c r="N319" s="43"/>
      <c r="O319" s="333"/>
      <c r="P319" s="230"/>
      <c r="Q319" s="230"/>
      <c r="R319" s="230"/>
      <c r="S319" s="230"/>
      <c r="T319" s="225"/>
      <c r="U319" s="225"/>
      <c r="V319" s="222"/>
      <c r="W319" s="225"/>
      <c r="X319" s="225"/>
      <c r="Y319" s="227"/>
      <c r="Z319" s="225"/>
      <c r="AA319" s="225"/>
      <c r="AB319" s="225"/>
      <c r="AC319" s="230"/>
      <c r="AD319" s="554"/>
      <c r="AE319" s="400"/>
      <c r="AF319" s="505"/>
      <c r="AG319" s="505"/>
      <c r="AH319" s="505"/>
    </row>
    <row r="320" spans="1:34" s="9" customFormat="1" ht="24" customHeight="1">
      <c r="A320" s="27"/>
      <c r="B320" s="27"/>
      <c r="C320" s="18" t="s">
        <v>250</v>
      </c>
      <c r="D320" s="245">
        <v>44779</v>
      </c>
      <c r="E320" s="68">
        <f>ROUND(AD320/1000,0)</f>
        <v>55735</v>
      </c>
      <c r="F320" s="69">
        <f>SUMIF($AB$321:$AB$343,"보조",$AD$321:$AD$343)/1000</f>
        <v>0</v>
      </c>
      <c r="G320" s="69">
        <f>SUMIF($AB$321:$AB$343,"6종",$AD$321:$AD$343)/1000</f>
        <v>0</v>
      </c>
      <c r="H320" s="69">
        <f>SUMIF($AB$321:$AB$343,"4종",$AD$321:$AD$343)/1000</f>
        <v>0</v>
      </c>
      <c r="I320" s="69">
        <f>SUMIF($AB$321:$AB$343,"후원",$AD$321:$AD$343)/1000</f>
        <v>40966</v>
      </c>
      <c r="J320" s="69">
        <f>SUMIF($AB$321:$AB$343,"입소",$AD$321:$AD$343)/1000</f>
        <v>12369</v>
      </c>
      <c r="K320" s="69">
        <f>SUMIF($AB$321:$AB$343,"법인",$AD$321:$AD$343)/1000</f>
        <v>0</v>
      </c>
      <c r="L320" s="69">
        <f>SUMIF($AB$321:$AB$343,"잡수",$AD$321:$AD$343)/1000</f>
        <v>2400</v>
      </c>
      <c r="M320" s="68">
        <f>E320-D320</f>
        <v>10956</v>
      </c>
      <c r="N320" s="73">
        <f>IF(D320=0,0,M320/D320)</f>
        <v>0.24466825967529424</v>
      </c>
      <c r="O320" s="175"/>
      <c r="P320" s="186"/>
      <c r="Q320" s="186"/>
      <c r="R320" s="186"/>
      <c r="S320" s="186"/>
      <c r="T320" s="421"/>
      <c r="U320" s="421"/>
      <c r="V320" s="178"/>
      <c r="W320" s="566" t="s">
        <v>120</v>
      </c>
      <c r="X320" s="566"/>
      <c r="Y320" s="244"/>
      <c r="Z320" s="566"/>
      <c r="AA320" s="566"/>
      <c r="AB320" s="595"/>
      <c r="AC320" s="244"/>
      <c r="AD320" s="244">
        <f>SUM(AD321:AD343)</f>
        <v>55735000</v>
      </c>
      <c r="AE320" s="410" t="s">
        <v>25</v>
      </c>
      <c r="AF320" s="507"/>
      <c r="AG320" s="507"/>
      <c r="AH320" s="507"/>
    </row>
    <row r="321" spans="1:34" s="9" customFormat="1" ht="24" customHeight="1">
      <c r="A321" s="27"/>
      <c r="B321" s="27"/>
      <c r="C321" s="27" t="s">
        <v>81</v>
      </c>
      <c r="D321" s="347"/>
      <c r="E321" s="345"/>
      <c r="F321" s="345"/>
      <c r="G321" s="345"/>
      <c r="H321" s="345"/>
      <c r="I321" s="345"/>
      <c r="J321" s="345"/>
      <c r="K321" s="345"/>
      <c r="L321" s="345"/>
      <c r="M321" s="64"/>
      <c r="N321" s="43"/>
      <c r="O321" s="333" t="s">
        <v>630</v>
      </c>
      <c r="P321" s="333"/>
      <c r="Q321" s="333"/>
      <c r="R321" s="333"/>
      <c r="S321" s="230" t="s">
        <v>617</v>
      </c>
      <c r="T321" s="288"/>
      <c r="U321" s="288"/>
      <c r="V321" s="332"/>
      <c r="W321" s="334"/>
      <c r="X321" s="288"/>
      <c r="Y321" s="491"/>
      <c r="Z321" s="334"/>
      <c r="AA321" s="334"/>
      <c r="AB321" s="334" t="s">
        <v>137</v>
      </c>
      <c r="AC321" s="332"/>
      <c r="AD321" s="332">
        <v>8000000</v>
      </c>
      <c r="AE321" s="385" t="s">
        <v>25</v>
      </c>
      <c r="AF321" s="507"/>
      <c r="AG321" s="507"/>
      <c r="AH321" s="507"/>
    </row>
    <row r="322" spans="1:34" s="9" customFormat="1" ht="24" customHeight="1">
      <c r="A322" s="27"/>
      <c r="B322" s="27"/>
      <c r="C322" s="27"/>
      <c r="D322" s="347"/>
      <c r="E322" s="345"/>
      <c r="F322" s="345"/>
      <c r="G322" s="345"/>
      <c r="H322" s="345"/>
      <c r="I322" s="345"/>
      <c r="J322" s="345"/>
      <c r="K322" s="345"/>
      <c r="L322" s="345"/>
      <c r="M322" s="64"/>
      <c r="N322" s="43"/>
      <c r="O322" s="333"/>
      <c r="P322" s="333"/>
      <c r="Q322" s="333"/>
      <c r="R322" s="333"/>
      <c r="S322" s="230" t="s">
        <v>614</v>
      </c>
      <c r="T322" s="288"/>
      <c r="U322" s="288"/>
      <c r="V322" s="332"/>
      <c r="W322" s="334"/>
      <c r="X322" s="288"/>
      <c r="Y322" s="491"/>
      <c r="Z322" s="334"/>
      <c r="AA322" s="334"/>
      <c r="AB322" s="334" t="s">
        <v>137</v>
      </c>
      <c r="AC322" s="332"/>
      <c r="AD322" s="332">
        <v>6000000</v>
      </c>
      <c r="AE322" s="385" t="s">
        <v>25</v>
      </c>
      <c r="AF322" s="507"/>
      <c r="AG322" s="507"/>
      <c r="AH322" s="507"/>
    </row>
    <row r="323" spans="1:34" s="9" customFormat="1" ht="24" customHeight="1">
      <c r="A323" s="27"/>
      <c r="B323" s="27"/>
      <c r="C323" s="27"/>
      <c r="D323" s="347"/>
      <c r="E323" s="345"/>
      <c r="F323" s="345"/>
      <c r="G323" s="345"/>
      <c r="H323" s="345"/>
      <c r="I323" s="345"/>
      <c r="J323" s="345"/>
      <c r="K323" s="345"/>
      <c r="L323" s="345"/>
      <c r="M323" s="64"/>
      <c r="N323" s="43"/>
      <c r="O323" s="333"/>
      <c r="P323" s="333"/>
      <c r="Q323" s="333"/>
      <c r="R323" s="333"/>
      <c r="S323" s="230" t="s">
        <v>616</v>
      </c>
      <c r="T323" s="288"/>
      <c r="U323" s="288"/>
      <c r="V323" s="332"/>
      <c r="W323" s="334"/>
      <c r="X323" s="288"/>
      <c r="Y323" s="491"/>
      <c r="Z323" s="334"/>
      <c r="AA323" s="334"/>
      <c r="AB323" s="334" t="s">
        <v>137</v>
      </c>
      <c r="AC323" s="332"/>
      <c r="AD323" s="332">
        <v>5000000</v>
      </c>
      <c r="AE323" s="385" t="s">
        <v>25</v>
      </c>
      <c r="AF323" s="507"/>
      <c r="AG323" s="507"/>
      <c r="AH323" s="507"/>
    </row>
    <row r="324" spans="1:34" s="9" customFormat="1" ht="24" customHeight="1">
      <c r="A324" s="27"/>
      <c r="B324" s="27"/>
      <c r="C324" s="27"/>
      <c r="D324" s="348"/>
      <c r="E324" s="346"/>
      <c r="F324" s="346"/>
      <c r="G324" s="346"/>
      <c r="H324" s="346"/>
      <c r="I324" s="346"/>
      <c r="J324" s="346"/>
      <c r="K324" s="346"/>
      <c r="L324" s="346"/>
      <c r="M324" s="64"/>
      <c r="N324" s="43"/>
      <c r="O324" s="333" t="s">
        <v>854</v>
      </c>
      <c r="P324" s="333"/>
      <c r="Q324" s="333"/>
      <c r="R324" s="333"/>
      <c r="S324" s="333"/>
      <c r="T324" s="334"/>
      <c r="U324" s="334"/>
      <c r="V324" s="332"/>
      <c r="W324" s="334"/>
      <c r="X324" s="334"/>
      <c r="Y324" s="335"/>
      <c r="Z324" s="334"/>
      <c r="AA324" s="334"/>
      <c r="AB324" s="334" t="s">
        <v>215</v>
      </c>
      <c r="AC324" s="335"/>
      <c r="AD324" s="335">
        <v>10000000</v>
      </c>
      <c r="AE324" s="385" t="s">
        <v>55</v>
      </c>
      <c r="AF324" s="507"/>
      <c r="AG324" s="507"/>
      <c r="AH324" s="507"/>
    </row>
    <row r="325" spans="1:34" s="9" customFormat="1" ht="24" customHeight="1">
      <c r="A325" s="27"/>
      <c r="B325" s="27"/>
      <c r="C325" s="27"/>
      <c r="D325" s="89"/>
      <c r="E325" s="64"/>
      <c r="F325" s="64"/>
      <c r="G325" s="64"/>
      <c r="H325" s="64"/>
      <c r="I325" s="64"/>
      <c r="J325" s="64"/>
      <c r="K325" s="64"/>
      <c r="L325" s="64"/>
      <c r="M325" s="64"/>
      <c r="N325" s="43"/>
      <c r="O325" s="333" t="s">
        <v>628</v>
      </c>
      <c r="P325" s="333"/>
      <c r="Q325" s="333"/>
      <c r="R325" s="333"/>
      <c r="S325" s="332"/>
      <c r="T325" s="334"/>
      <c r="U325" s="288"/>
      <c r="V325" s="332"/>
      <c r="W325" s="334"/>
      <c r="X325" s="334"/>
      <c r="Y325" s="335"/>
      <c r="Z325" s="334"/>
      <c r="AA325" s="334"/>
      <c r="AB325" s="334" t="s">
        <v>137</v>
      </c>
      <c r="AC325" s="332"/>
      <c r="AD325" s="332">
        <v>1000000</v>
      </c>
      <c r="AE325" s="385" t="s">
        <v>25</v>
      </c>
      <c r="AF325" s="507"/>
      <c r="AG325" s="507"/>
      <c r="AH325" s="507"/>
    </row>
    <row r="326" spans="1:34" s="9" customFormat="1" ht="24" customHeight="1">
      <c r="A326" s="27"/>
      <c r="B326" s="27"/>
      <c r="C326" s="27"/>
      <c r="D326" s="86"/>
      <c r="E326" s="64"/>
      <c r="F326" s="64"/>
      <c r="G326" s="64"/>
      <c r="H326" s="64"/>
      <c r="I326" s="64"/>
      <c r="J326" s="64"/>
      <c r="K326" s="64"/>
      <c r="L326" s="64"/>
      <c r="M326" s="64"/>
      <c r="N326" s="43"/>
      <c r="O326" s="333" t="s">
        <v>833</v>
      </c>
      <c r="P326" s="333"/>
      <c r="Q326" s="333"/>
      <c r="R326" s="333"/>
      <c r="S326" s="230" t="s">
        <v>835</v>
      </c>
      <c r="T326" s="288"/>
      <c r="U326" s="288"/>
      <c r="V326" s="332"/>
      <c r="W326" s="288"/>
      <c r="X326" s="334"/>
      <c r="Y326" s="227"/>
      <c r="Z326" s="225"/>
      <c r="AA326" s="225"/>
      <c r="AB326" s="334" t="s">
        <v>137</v>
      </c>
      <c r="AC326" s="230"/>
      <c r="AD326" s="554">
        <v>1600000</v>
      </c>
      <c r="AE326" s="400" t="s">
        <v>55</v>
      </c>
      <c r="AF326" s="507"/>
      <c r="AG326" s="507"/>
      <c r="AH326" s="507"/>
    </row>
    <row r="327" spans="1:34" s="9" customFormat="1" ht="24" customHeight="1">
      <c r="A327" s="27"/>
      <c r="B327" s="27"/>
      <c r="C327" s="27"/>
      <c r="D327" s="86"/>
      <c r="E327" s="64"/>
      <c r="F327" s="64"/>
      <c r="G327" s="64"/>
      <c r="H327" s="64"/>
      <c r="I327" s="64"/>
      <c r="J327" s="64"/>
      <c r="K327" s="64"/>
      <c r="L327" s="64"/>
      <c r="M327" s="64"/>
      <c r="N327" s="43"/>
      <c r="O327" s="333"/>
      <c r="P327" s="333"/>
      <c r="Q327" s="333"/>
      <c r="R327" s="333"/>
      <c r="S327" s="230" t="s">
        <v>832</v>
      </c>
      <c r="T327" s="288"/>
      <c r="U327" s="288"/>
      <c r="V327" s="332"/>
      <c r="W327" s="288"/>
      <c r="X327" s="334"/>
      <c r="Y327" s="227"/>
      <c r="Z327" s="225"/>
      <c r="AA327" s="225"/>
      <c r="AB327" s="334" t="s">
        <v>137</v>
      </c>
      <c r="AC327" s="230"/>
      <c r="AD327" s="554">
        <v>1760000</v>
      </c>
      <c r="AE327" s="400" t="s">
        <v>55</v>
      </c>
      <c r="AF327" s="507"/>
      <c r="AG327" s="507"/>
      <c r="AH327" s="507"/>
    </row>
    <row r="328" spans="1:34" s="9" customFormat="1" ht="24" customHeight="1">
      <c r="A328" s="27"/>
      <c r="B328" s="27"/>
      <c r="C328" s="27"/>
      <c r="D328" s="86"/>
      <c r="E328" s="64"/>
      <c r="F328" s="64"/>
      <c r="G328" s="64"/>
      <c r="H328" s="64"/>
      <c r="I328" s="64"/>
      <c r="J328" s="64"/>
      <c r="K328" s="64"/>
      <c r="L328" s="64"/>
      <c r="M328" s="64"/>
      <c r="N328" s="43"/>
      <c r="O328" s="333"/>
      <c r="P328" s="333"/>
      <c r="Q328" s="333"/>
      <c r="R328" s="333"/>
      <c r="S328" s="230" t="s">
        <v>834</v>
      </c>
      <c r="T328" s="288"/>
      <c r="U328" s="288"/>
      <c r="V328" s="332"/>
      <c r="W328" s="288"/>
      <c r="X328" s="334"/>
      <c r="Y328" s="227"/>
      <c r="Z328" s="225"/>
      <c r="AA328" s="225"/>
      <c r="AB328" s="334" t="s">
        <v>137</v>
      </c>
      <c r="AC328" s="230"/>
      <c r="AD328" s="554">
        <v>4400000</v>
      </c>
      <c r="AE328" s="400" t="s">
        <v>55</v>
      </c>
      <c r="AF328" s="507"/>
      <c r="AG328" s="507"/>
      <c r="AH328" s="507"/>
    </row>
    <row r="329" spans="1:34" s="9" customFormat="1" ht="24" customHeight="1">
      <c r="A329" s="27"/>
      <c r="B329" s="27"/>
      <c r="C329" s="27"/>
      <c r="D329" s="86"/>
      <c r="E329" s="64"/>
      <c r="F329" s="64"/>
      <c r="G329" s="64"/>
      <c r="H329" s="64"/>
      <c r="I329" s="64"/>
      <c r="J329" s="64"/>
      <c r="K329" s="64"/>
      <c r="L329" s="64"/>
      <c r="M329" s="64"/>
      <c r="N329" s="43"/>
      <c r="O329" s="333" t="s">
        <v>621</v>
      </c>
      <c r="P329" s="333"/>
      <c r="Q329" s="333"/>
      <c r="R329" s="333"/>
      <c r="S329" s="332"/>
      <c r="T329" s="288"/>
      <c r="U329" s="288"/>
      <c r="V329" s="332"/>
      <c r="W329" s="288"/>
      <c r="X329" s="334"/>
      <c r="Y329" s="227"/>
      <c r="Z329" s="225"/>
      <c r="AA329" s="225"/>
      <c r="AB329" s="334" t="s">
        <v>137</v>
      </c>
      <c r="AC329" s="230"/>
      <c r="AD329" s="554">
        <v>100000</v>
      </c>
      <c r="AE329" s="400" t="s">
        <v>55</v>
      </c>
      <c r="AF329" s="507"/>
      <c r="AG329" s="507"/>
      <c r="AH329" s="507"/>
    </row>
    <row r="330" spans="1:34" s="9" customFormat="1" ht="24" customHeight="1">
      <c r="A330" s="27"/>
      <c r="B330" s="27"/>
      <c r="C330" s="27"/>
      <c r="D330" s="86"/>
      <c r="E330" s="64"/>
      <c r="F330" s="64"/>
      <c r="G330" s="64"/>
      <c r="H330" s="64"/>
      <c r="I330" s="64"/>
      <c r="J330" s="64"/>
      <c r="K330" s="64"/>
      <c r="L330" s="64"/>
      <c r="M330" s="64"/>
      <c r="N330" s="43"/>
      <c r="O330" s="333" t="s">
        <v>622</v>
      </c>
      <c r="P330" s="333"/>
      <c r="Q330" s="333"/>
      <c r="R330" s="333"/>
      <c r="S330" s="332"/>
      <c r="T330" s="288"/>
      <c r="U330" s="288"/>
      <c r="V330" s="589"/>
      <c r="W330" s="227" t="s">
        <v>649</v>
      </c>
      <c r="X330" s="334"/>
      <c r="Y330" s="589"/>
      <c r="Z330" s="225"/>
      <c r="AA330" s="225"/>
      <c r="AB330" s="334" t="s">
        <v>828</v>
      </c>
      <c r="AC330" s="230"/>
      <c r="AD330" s="554">
        <v>3670000</v>
      </c>
      <c r="AE330" s="400" t="s">
        <v>55</v>
      </c>
      <c r="AF330" s="507"/>
      <c r="AG330" s="507"/>
      <c r="AH330" s="507"/>
    </row>
    <row r="331" spans="1:34" s="9" customFormat="1" ht="24" customHeight="1">
      <c r="A331" s="27"/>
      <c r="B331" s="27"/>
      <c r="C331" s="27"/>
      <c r="D331" s="86"/>
      <c r="E331" s="64"/>
      <c r="F331" s="64"/>
      <c r="G331" s="64"/>
      <c r="H331" s="64"/>
      <c r="I331" s="64"/>
      <c r="J331" s="64"/>
      <c r="K331" s="64"/>
      <c r="L331" s="64"/>
      <c r="M331" s="64"/>
      <c r="N331" s="43"/>
      <c r="O331" s="333"/>
      <c r="P331" s="333"/>
      <c r="Q331" s="333"/>
      <c r="R331" s="333"/>
      <c r="S331" s="332"/>
      <c r="T331" s="288"/>
      <c r="U331" s="288"/>
      <c r="V331" s="589"/>
      <c r="W331" s="227" t="s">
        <v>715</v>
      </c>
      <c r="X331" s="334"/>
      <c r="Y331" s="589"/>
      <c r="Z331" s="225"/>
      <c r="AA331" s="225"/>
      <c r="AB331" s="334" t="s">
        <v>137</v>
      </c>
      <c r="AC331" s="230"/>
      <c r="AD331" s="554">
        <v>1600000</v>
      </c>
      <c r="AE331" s="400" t="s">
        <v>55</v>
      </c>
      <c r="AF331" s="507"/>
      <c r="AG331" s="507"/>
      <c r="AH331" s="507"/>
    </row>
    <row r="332" spans="1:34" s="9" customFormat="1" ht="24" customHeight="1">
      <c r="A332" s="27"/>
      <c r="B332" s="27"/>
      <c r="C332" s="27"/>
      <c r="D332" s="86"/>
      <c r="E332" s="64"/>
      <c r="F332" s="64"/>
      <c r="G332" s="64"/>
      <c r="H332" s="64"/>
      <c r="I332" s="64"/>
      <c r="J332" s="64"/>
      <c r="K332" s="64"/>
      <c r="L332" s="64"/>
      <c r="M332" s="64"/>
      <c r="N332" s="43"/>
      <c r="O332" s="333" t="s">
        <v>623</v>
      </c>
      <c r="P332" s="333"/>
      <c r="Q332" s="333"/>
      <c r="R332" s="333"/>
      <c r="S332" s="332"/>
      <c r="T332" s="288"/>
      <c r="U332" s="288"/>
      <c r="V332" s="589"/>
      <c r="W332" s="227"/>
      <c r="X332" s="334"/>
      <c r="Y332" s="589"/>
      <c r="Z332" s="225"/>
      <c r="AA332" s="225"/>
      <c r="AB332" s="334" t="s">
        <v>85</v>
      </c>
      <c r="AC332" s="230"/>
      <c r="AD332" s="554">
        <v>2400000</v>
      </c>
      <c r="AE332" s="400" t="s">
        <v>55</v>
      </c>
      <c r="AF332" s="507"/>
      <c r="AG332" s="507"/>
      <c r="AH332" s="507"/>
    </row>
    <row r="333" spans="1:34" s="9" customFormat="1" ht="24" customHeight="1">
      <c r="A333" s="27"/>
      <c r="B333" s="27"/>
      <c r="C333" s="27"/>
      <c r="D333" s="86"/>
      <c r="E333" s="64"/>
      <c r="F333" s="64"/>
      <c r="G333" s="64"/>
      <c r="H333" s="64"/>
      <c r="I333" s="64"/>
      <c r="J333" s="64"/>
      <c r="K333" s="64"/>
      <c r="L333" s="64"/>
      <c r="M333" s="64"/>
      <c r="N333" s="43"/>
      <c r="O333" s="333"/>
      <c r="P333" s="333"/>
      <c r="Q333" s="333"/>
      <c r="R333" s="333"/>
      <c r="S333" s="332"/>
      <c r="T333" s="288"/>
      <c r="U333" s="288"/>
      <c r="V333" s="589"/>
      <c r="W333" s="227"/>
      <c r="X333" s="334"/>
      <c r="Y333" s="589"/>
      <c r="Z333" s="225"/>
      <c r="AA333" s="225"/>
      <c r="AB333" s="334" t="s">
        <v>137</v>
      </c>
      <c r="AC333" s="230"/>
      <c r="AD333" s="554">
        <v>4000000</v>
      </c>
      <c r="AE333" s="400" t="s">
        <v>55</v>
      </c>
      <c r="AF333" s="507"/>
      <c r="AG333" s="507"/>
      <c r="AH333" s="507"/>
    </row>
    <row r="334" spans="1:34" s="9" customFormat="1" ht="24" customHeight="1">
      <c r="A334" s="27"/>
      <c r="B334" s="27"/>
      <c r="C334" s="27"/>
      <c r="D334" s="86"/>
      <c r="E334" s="64"/>
      <c r="F334" s="64"/>
      <c r="G334" s="64"/>
      <c r="H334" s="64"/>
      <c r="I334" s="64"/>
      <c r="J334" s="64"/>
      <c r="K334" s="64"/>
      <c r="L334" s="64"/>
      <c r="M334" s="64"/>
      <c r="N334" s="43"/>
      <c r="O334" s="333" t="s">
        <v>624</v>
      </c>
      <c r="P334" s="333"/>
      <c r="Q334" s="333"/>
      <c r="R334" s="333"/>
      <c r="S334" s="332"/>
      <c r="T334" s="288"/>
      <c r="U334" s="288"/>
      <c r="V334" s="332"/>
      <c r="W334" s="288"/>
      <c r="X334" s="334"/>
      <c r="Y334" s="227"/>
      <c r="Z334" s="225"/>
      <c r="AA334" s="225"/>
      <c r="AB334" s="334" t="s">
        <v>215</v>
      </c>
      <c r="AC334" s="230"/>
      <c r="AD334" s="554">
        <v>500000</v>
      </c>
      <c r="AE334" s="400" t="s">
        <v>55</v>
      </c>
      <c r="AF334" s="507"/>
      <c r="AG334" s="507"/>
      <c r="AH334" s="507"/>
    </row>
    <row r="335" spans="1:34" s="9" customFormat="1" ht="24" customHeight="1">
      <c r="A335" s="27"/>
      <c r="B335" s="27"/>
      <c r="C335" s="27"/>
      <c r="D335" s="86"/>
      <c r="E335" s="64"/>
      <c r="F335" s="64"/>
      <c r="G335" s="64"/>
      <c r="H335" s="64"/>
      <c r="I335" s="64"/>
      <c r="J335" s="64"/>
      <c r="K335" s="64"/>
      <c r="L335" s="64"/>
      <c r="M335" s="64"/>
      <c r="N335" s="43"/>
      <c r="O335" s="333" t="s">
        <v>625</v>
      </c>
      <c r="P335" s="333"/>
      <c r="Q335" s="333"/>
      <c r="R335" s="333"/>
      <c r="S335" s="332"/>
      <c r="T335" s="288"/>
      <c r="U335" s="288"/>
      <c r="V335" s="332"/>
      <c r="W335" s="288"/>
      <c r="X335" s="334"/>
      <c r="Y335" s="227"/>
      <c r="Z335" s="225"/>
      <c r="AA335" s="225"/>
      <c r="AB335" s="334" t="s">
        <v>215</v>
      </c>
      <c r="AC335" s="230"/>
      <c r="AD335" s="554">
        <v>139000</v>
      </c>
      <c r="AE335" s="400" t="s">
        <v>55</v>
      </c>
      <c r="AF335" s="507"/>
      <c r="AG335" s="507"/>
      <c r="AH335" s="507"/>
    </row>
    <row r="336" spans="1:34" s="9" customFormat="1" ht="24" customHeight="1">
      <c r="A336" s="27"/>
      <c r="B336" s="27"/>
      <c r="C336" s="27"/>
      <c r="D336" s="86"/>
      <c r="E336" s="64"/>
      <c r="F336" s="64"/>
      <c r="G336" s="64"/>
      <c r="H336" s="64"/>
      <c r="I336" s="64"/>
      <c r="J336" s="64"/>
      <c r="K336" s="64"/>
      <c r="L336" s="64"/>
      <c r="M336" s="64"/>
      <c r="N336" s="43"/>
      <c r="O336" s="333" t="s">
        <v>626</v>
      </c>
      <c r="P336" s="333"/>
      <c r="Q336" s="333"/>
      <c r="R336" s="333"/>
      <c r="S336" s="332"/>
      <c r="T336" s="288"/>
      <c r="U336" s="288"/>
      <c r="V336" s="332"/>
      <c r="W336" s="288"/>
      <c r="X336" s="334"/>
      <c r="Y336" s="227"/>
      <c r="Z336" s="225"/>
      <c r="AA336" s="225"/>
      <c r="AB336" s="334" t="s">
        <v>215</v>
      </c>
      <c r="AC336" s="230"/>
      <c r="AD336" s="554">
        <v>0</v>
      </c>
      <c r="AE336" s="400" t="s">
        <v>55</v>
      </c>
      <c r="AF336" s="507"/>
      <c r="AG336" s="507"/>
      <c r="AH336" s="507"/>
    </row>
    <row r="337" spans="1:34" s="9" customFormat="1" ht="24" customHeight="1">
      <c r="A337" s="27"/>
      <c r="B337" s="27"/>
      <c r="C337" s="27"/>
      <c r="D337" s="86"/>
      <c r="E337" s="64"/>
      <c r="F337" s="64"/>
      <c r="G337" s="64"/>
      <c r="H337" s="64"/>
      <c r="I337" s="64"/>
      <c r="J337" s="64"/>
      <c r="K337" s="64"/>
      <c r="L337" s="64"/>
      <c r="M337" s="64"/>
      <c r="N337" s="43"/>
      <c r="O337" s="333"/>
      <c r="P337" s="333"/>
      <c r="Q337" s="333"/>
      <c r="R337" s="333"/>
      <c r="S337" s="332"/>
      <c r="T337" s="288"/>
      <c r="U337" s="288"/>
      <c r="V337" s="332"/>
      <c r="W337" s="288"/>
      <c r="X337" s="334"/>
      <c r="Y337" s="227"/>
      <c r="Z337" s="225"/>
      <c r="AA337" s="225"/>
      <c r="AB337" s="334" t="s">
        <v>720</v>
      </c>
      <c r="AC337" s="230"/>
      <c r="AD337" s="554">
        <v>0</v>
      </c>
      <c r="AE337" s="400" t="s">
        <v>55</v>
      </c>
      <c r="AF337" s="507"/>
      <c r="AG337" s="507"/>
      <c r="AH337" s="507"/>
    </row>
    <row r="338" spans="1:34" s="9" customFormat="1" ht="24" customHeight="1">
      <c r="A338" s="27"/>
      <c r="B338" s="27"/>
      <c r="C338" s="27"/>
      <c r="D338" s="86"/>
      <c r="E338" s="64"/>
      <c r="F338" s="64"/>
      <c r="G338" s="64"/>
      <c r="H338" s="64"/>
      <c r="I338" s="64"/>
      <c r="J338" s="64"/>
      <c r="K338" s="64"/>
      <c r="L338" s="64"/>
      <c r="M338" s="64"/>
      <c r="N338" s="43"/>
      <c r="O338" s="333" t="s">
        <v>831</v>
      </c>
      <c r="P338" s="333"/>
      <c r="Q338" s="333"/>
      <c r="R338" s="333"/>
      <c r="S338" s="332"/>
      <c r="T338" s="288"/>
      <c r="U338" s="288"/>
      <c r="V338" s="332"/>
      <c r="W338" s="288"/>
      <c r="X338" s="225"/>
      <c r="Y338" s="227"/>
      <c r="Z338" s="225"/>
      <c r="AA338" s="225"/>
      <c r="AB338" s="334" t="s">
        <v>733</v>
      </c>
      <c r="AC338" s="230"/>
      <c r="AD338" s="554">
        <v>1836000</v>
      </c>
      <c r="AE338" s="400" t="s">
        <v>55</v>
      </c>
      <c r="AF338" s="507"/>
      <c r="AG338" s="507"/>
      <c r="AH338" s="507"/>
    </row>
    <row r="339" spans="1:34" s="9" customFormat="1" ht="24" customHeight="1">
      <c r="A339" s="27"/>
      <c r="B339" s="27"/>
      <c r="C339" s="27"/>
      <c r="D339" s="86"/>
      <c r="E339" s="64"/>
      <c r="F339" s="64"/>
      <c r="G339" s="64"/>
      <c r="H339" s="64"/>
      <c r="I339" s="64"/>
      <c r="J339" s="64"/>
      <c r="K339" s="64"/>
      <c r="L339" s="64"/>
      <c r="M339" s="64"/>
      <c r="N339" s="43"/>
      <c r="O339" s="333" t="s">
        <v>260</v>
      </c>
      <c r="P339" s="333"/>
      <c r="Q339" s="333"/>
      <c r="R339" s="333"/>
      <c r="S339" s="332"/>
      <c r="T339" s="288"/>
      <c r="U339" s="288"/>
      <c r="V339" s="332"/>
      <c r="W339" s="288"/>
      <c r="X339" s="334"/>
      <c r="Y339" s="227"/>
      <c r="Z339" s="225"/>
      <c r="AA339" s="225"/>
      <c r="AB339" s="334" t="s">
        <v>720</v>
      </c>
      <c r="AC339" s="230"/>
      <c r="AD339" s="554">
        <v>2000000</v>
      </c>
      <c r="AE339" s="400" t="s">
        <v>55</v>
      </c>
      <c r="AF339" s="507"/>
      <c r="AG339" s="507"/>
      <c r="AH339" s="507"/>
    </row>
    <row r="340" spans="1:34" s="9" customFormat="1" ht="24" customHeight="1">
      <c r="A340" s="27"/>
      <c r="B340" s="27"/>
      <c r="C340" s="27"/>
      <c r="D340" s="86"/>
      <c r="E340" s="64"/>
      <c r="F340" s="64"/>
      <c r="G340" s="64"/>
      <c r="H340" s="64"/>
      <c r="I340" s="64"/>
      <c r="J340" s="64"/>
      <c r="K340" s="64"/>
      <c r="L340" s="64"/>
      <c r="M340" s="64"/>
      <c r="N340" s="43"/>
      <c r="O340" s="172" t="s">
        <v>276</v>
      </c>
      <c r="P340" s="333"/>
      <c r="Q340" s="333"/>
      <c r="R340" s="333"/>
      <c r="S340" s="332"/>
      <c r="T340" s="334"/>
      <c r="U340" s="288"/>
      <c r="V340" s="332"/>
      <c r="W340" s="334"/>
      <c r="X340" s="334"/>
      <c r="Y340" s="335"/>
      <c r="Z340" s="334"/>
      <c r="AA340" s="334"/>
      <c r="AB340" s="334" t="s">
        <v>137</v>
      </c>
      <c r="AC340" s="332"/>
      <c r="AD340" s="332">
        <v>0</v>
      </c>
      <c r="AE340" s="400" t="s">
        <v>55</v>
      </c>
      <c r="AF340" s="507"/>
      <c r="AG340" s="507"/>
      <c r="AH340" s="507"/>
    </row>
    <row r="341" spans="1:34" s="9" customFormat="1" ht="24" customHeight="1">
      <c r="A341" s="27"/>
      <c r="B341" s="27"/>
      <c r="C341" s="27"/>
      <c r="D341" s="86"/>
      <c r="E341" s="64"/>
      <c r="F341" s="64"/>
      <c r="G341" s="64"/>
      <c r="H341" s="64"/>
      <c r="I341" s="64"/>
      <c r="J341" s="64"/>
      <c r="K341" s="64"/>
      <c r="L341" s="64"/>
      <c r="M341" s="64"/>
      <c r="N341" s="43"/>
      <c r="O341" s="172" t="s">
        <v>836</v>
      </c>
      <c r="P341" s="333"/>
      <c r="Q341" s="333"/>
      <c r="R341" s="333"/>
      <c r="S341" s="332"/>
      <c r="T341" s="334"/>
      <c r="U341" s="288"/>
      <c r="V341" s="332"/>
      <c r="W341" s="334"/>
      <c r="X341" s="334"/>
      <c r="Y341" s="335"/>
      <c r="Z341" s="334"/>
      <c r="AA341" s="334"/>
      <c r="AB341" s="334" t="s">
        <v>215</v>
      </c>
      <c r="AC341" s="332"/>
      <c r="AD341" s="332">
        <v>1730000</v>
      </c>
      <c r="AE341" s="400" t="s">
        <v>837</v>
      </c>
      <c r="AF341" s="507"/>
      <c r="AG341" s="507"/>
      <c r="AH341" s="507"/>
    </row>
    <row r="342" spans="1:34" s="9" customFormat="1" ht="24" customHeight="1">
      <c r="A342" s="27"/>
      <c r="B342" s="27"/>
      <c r="C342" s="27"/>
      <c r="D342" s="86"/>
      <c r="E342" s="64"/>
      <c r="F342" s="64"/>
      <c r="G342" s="64"/>
      <c r="H342" s="64"/>
      <c r="I342" s="64"/>
      <c r="J342" s="64"/>
      <c r="K342" s="64"/>
      <c r="L342" s="64"/>
      <c r="M342" s="64"/>
      <c r="N342" s="43"/>
      <c r="O342" s="536"/>
      <c r="P342" s="333"/>
      <c r="Q342" s="333"/>
      <c r="R342" s="333"/>
      <c r="S342" s="332"/>
      <c r="T342" s="334"/>
      <c r="U342" s="288"/>
      <c r="V342" s="332"/>
      <c r="W342" s="334"/>
      <c r="X342" s="334"/>
      <c r="Y342" s="335"/>
      <c r="Z342" s="334"/>
      <c r="AA342" s="334"/>
      <c r="AB342" s="334"/>
      <c r="AC342" s="332"/>
      <c r="AD342" s="332"/>
      <c r="AE342" s="400"/>
      <c r="AF342" s="507"/>
      <c r="AG342" s="507"/>
      <c r="AH342" s="507"/>
    </row>
    <row r="343" spans="1:34" s="9" customFormat="1" ht="24" customHeight="1">
      <c r="A343" s="27"/>
      <c r="B343" s="27"/>
      <c r="C343" s="35"/>
      <c r="D343" s="87"/>
      <c r="E343" s="66"/>
      <c r="F343" s="66"/>
      <c r="G343" s="66"/>
      <c r="H343" s="66"/>
      <c r="I343" s="66"/>
      <c r="J343" s="66"/>
      <c r="K343" s="66"/>
      <c r="L343" s="66"/>
      <c r="M343" s="66"/>
      <c r="N343" s="52"/>
      <c r="O343" s="173"/>
      <c r="P343" s="576"/>
      <c r="Q343" s="576"/>
      <c r="R343" s="576"/>
      <c r="S343" s="575"/>
      <c r="T343" s="420"/>
      <c r="U343" s="228"/>
      <c r="V343" s="575"/>
      <c r="W343" s="420"/>
      <c r="X343" s="420"/>
      <c r="Y343" s="231"/>
      <c r="Z343" s="420"/>
      <c r="AA343" s="420"/>
      <c r="AB343" s="334"/>
      <c r="AC343" s="575"/>
      <c r="AD343" s="597"/>
      <c r="AE343" s="400"/>
      <c r="AF343" s="507"/>
      <c r="AG343" s="507"/>
      <c r="AH343" s="507"/>
    </row>
    <row r="344" spans="1:34" s="9" customFormat="1" ht="24" customHeight="1">
      <c r="A344" s="27"/>
      <c r="B344" s="27"/>
      <c r="C344" s="18" t="s">
        <v>196</v>
      </c>
      <c r="D344" s="88">
        <v>13280</v>
      </c>
      <c r="E344" s="64">
        <f>ROUND(AD344/1000,0)</f>
        <v>11940</v>
      </c>
      <c r="F344" s="69">
        <f>SUMIF($AB$345:$AB$359,"보조",$AD$345:$AD$359)/1000</f>
        <v>800</v>
      </c>
      <c r="G344" s="69">
        <f>SUMIF($AB$345:$AB$359,"6종",$AD$345:$AD$359)/1000</f>
        <v>0</v>
      </c>
      <c r="H344" s="69">
        <f>SUMIF($AB$345:$AB$359,"4종",$AD$345:$AD$359)/1000</f>
        <v>0</v>
      </c>
      <c r="I344" s="69">
        <f>SUMIF($AB$345:$AB$359,"후원",$AD$345:$AD$359)/1000</f>
        <v>3260</v>
      </c>
      <c r="J344" s="69">
        <f>SUMIF($AB$345:$AB$359,"입소",$AD$345:$AD$359)/1000</f>
        <v>7880</v>
      </c>
      <c r="K344" s="69">
        <f>SUMIF($AB$345:$AB$359,"법인",$AD$345:$AD$359)/1000</f>
        <v>0</v>
      </c>
      <c r="L344" s="69">
        <f>SUMIF($AB$345:$AB$359,"잡수",$AD$345:$AD$359)/1000</f>
        <v>0</v>
      </c>
      <c r="M344" s="64">
        <f>E344-D344</f>
        <v>-1340</v>
      </c>
      <c r="N344" s="43">
        <f>IF(D344=0,0,M344/D344)</f>
        <v>-0.10090361445783133</v>
      </c>
      <c r="O344" s="175"/>
      <c r="P344" s="183"/>
      <c r="Q344" s="183"/>
      <c r="R344" s="243"/>
      <c r="S344" s="243"/>
      <c r="T344" s="447"/>
      <c r="U344" s="447"/>
      <c r="V344" s="243"/>
      <c r="W344" s="566" t="s">
        <v>120</v>
      </c>
      <c r="X344" s="566"/>
      <c r="Y344" s="244"/>
      <c r="Z344" s="566"/>
      <c r="AA344" s="566"/>
      <c r="AB344" s="595"/>
      <c r="AC344" s="244"/>
      <c r="AD344" s="244">
        <f>SUM(AD345:AD359)</f>
        <v>11940000</v>
      </c>
      <c r="AE344" s="410" t="s">
        <v>25</v>
      </c>
      <c r="AF344" s="507"/>
      <c r="AG344" s="507"/>
      <c r="AH344" s="507"/>
    </row>
    <row r="345" spans="1:34" s="9" customFormat="1" ht="24" customHeight="1">
      <c r="A345" s="27"/>
      <c r="B345" s="27"/>
      <c r="C345" s="27" t="s">
        <v>119</v>
      </c>
      <c r="D345" s="347"/>
      <c r="E345" s="345"/>
      <c r="F345" s="345"/>
      <c r="G345" s="345"/>
      <c r="H345" s="345"/>
      <c r="I345" s="345"/>
      <c r="J345" s="345"/>
      <c r="K345" s="345"/>
      <c r="L345" s="345"/>
      <c r="M345" s="64"/>
      <c r="N345" s="43"/>
      <c r="O345" s="333" t="s">
        <v>261</v>
      </c>
      <c r="P345" s="229"/>
      <c r="Q345" s="229"/>
      <c r="R345" s="226"/>
      <c r="S345" s="332"/>
      <c r="T345" s="288"/>
      <c r="U345" s="288"/>
      <c r="V345" s="332"/>
      <c r="W345" s="288"/>
      <c r="X345" s="334"/>
      <c r="Y345" s="227"/>
      <c r="Z345" s="225"/>
      <c r="AA345" s="225"/>
      <c r="AB345" s="334" t="s">
        <v>215</v>
      </c>
      <c r="AC345" s="230"/>
      <c r="AD345" s="554">
        <v>2350000</v>
      </c>
      <c r="AE345" s="400" t="s">
        <v>55</v>
      </c>
      <c r="AF345" s="507"/>
      <c r="AG345" s="507"/>
      <c r="AH345" s="507"/>
    </row>
    <row r="346" spans="1:34" s="9" customFormat="1" ht="24" customHeight="1">
      <c r="A346" s="27"/>
      <c r="B346" s="27"/>
      <c r="C346" s="27"/>
      <c r="D346" s="348"/>
      <c r="E346" s="346"/>
      <c r="F346" s="346"/>
      <c r="G346" s="346"/>
      <c r="H346" s="346"/>
      <c r="I346" s="346"/>
      <c r="J346" s="346"/>
      <c r="K346" s="346"/>
      <c r="L346" s="346"/>
      <c r="M346" s="64"/>
      <c r="N346" s="43"/>
      <c r="O346" s="333"/>
      <c r="P346" s="229"/>
      <c r="Q346" s="229"/>
      <c r="R346" s="226"/>
      <c r="S346" s="332"/>
      <c r="T346" s="288"/>
      <c r="U346" s="288"/>
      <c r="V346" s="332"/>
      <c r="W346" s="288"/>
      <c r="X346" s="334"/>
      <c r="Y346" s="227"/>
      <c r="Z346" s="225"/>
      <c r="AA346" s="225"/>
      <c r="AB346" s="334" t="s">
        <v>137</v>
      </c>
      <c r="AC346" s="230"/>
      <c r="AD346" s="554">
        <v>0</v>
      </c>
      <c r="AE346" s="400" t="s">
        <v>55</v>
      </c>
      <c r="AF346" s="507"/>
      <c r="AG346" s="507"/>
      <c r="AH346" s="507"/>
    </row>
    <row r="347" spans="1:34" s="9" customFormat="1" ht="24" customHeight="1">
      <c r="A347" s="27"/>
      <c r="B347" s="27"/>
      <c r="C347" s="27"/>
      <c r="D347" s="89"/>
      <c r="E347" s="64"/>
      <c r="F347" s="64"/>
      <c r="G347" s="64"/>
      <c r="H347" s="64"/>
      <c r="I347" s="64"/>
      <c r="J347" s="64"/>
      <c r="K347" s="64"/>
      <c r="L347" s="64"/>
      <c r="M347" s="64"/>
      <c r="N347" s="43"/>
      <c r="O347" s="333" t="s">
        <v>774</v>
      </c>
      <c r="P347" s="333"/>
      <c r="Q347" s="333"/>
      <c r="R347" s="333"/>
      <c r="S347" s="333"/>
      <c r="T347" s="334"/>
      <c r="U347" s="334"/>
      <c r="V347" s="332"/>
      <c r="W347" s="334"/>
      <c r="X347" s="334"/>
      <c r="Y347" s="335"/>
      <c r="Z347" s="334"/>
      <c r="AA347" s="334"/>
      <c r="AB347" s="334" t="s">
        <v>215</v>
      </c>
      <c r="AC347" s="335"/>
      <c r="AD347" s="335">
        <v>480000</v>
      </c>
      <c r="AE347" s="385" t="s">
        <v>55</v>
      </c>
      <c r="AF347" s="507"/>
      <c r="AG347" s="507"/>
      <c r="AH347" s="507"/>
    </row>
    <row r="348" spans="1:34" s="9" customFormat="1" ht="24" customHeight="1">
      <c r="A348" s="27"/>
      <c r="B348" s="27"/>
      <c r="C348" s="27"/>
      <c r="D348" s="89"/>
      <c r="E348" s="64"/>
      <c r="F348" s="64"/>
      <c r="G348" s="64"/>
      <c r="H348" s="64"/>
      <c r="I348" s="64"/>
      <c r="J348" s="64"/>
      <c r="K348" s="64"/>
      <c r="L348" s="64"/>
      <c r="M348" s="64"/>
      <c r="N348" s="43"/>
      <c r="O348" s="333"/>
      <c r="P348" s="333"/>
      <c r="Q348" s="333"/>
      <c r="R348" s="333"/>
      <c r="S348" s="333"/>
      <c r="T348" s="334"/>
      <c r="U348" s="334"/>
      <c r="V348" s="332"/>
      <c r="W348" s="334"/>
      <c r="X348" s="334"/>
      <c r="Y348" s="335"/>
      <c r="Z348" s="334"/>
      <c r="AA348" s="334"/>
      <c r="AB348" s="334" t="s">
        <v>137</v>
      </c>
      <c r="AC348" s="335"/>
      <c r="AD348" s="335"/>
      <c r="AE348" s="385" t="s">
        <v>55</v>
      </c>
      <c r="AF348" s="507"/>
      <c r="AG348" s="507"/>
      <c r="AH348" s="507"/>
    </row>
    <row r="349" spans="1:34" s="9" customFormat="1" ht="24" customHeight="1">
      <c r="A349" s="27"/>
      <c r="B349" s="27"/>
      <c r="C349" s="27"/>
      <c r="D349" s="89"/>
      <c r="E349" s="64"/>
      <c r="F349" s="64"/>
      <c r="G349" s="64"/>
      <c r="H349" s="64"/>
      <c r="I349" s="64"/>
      <c r="J349" s="64"/>
      <c r="K349" s="64"/>
      <c r="L349" s="64"/>
      <c r="M349" s="64"/>
      <c r="N349" s="43"/>
      <c r="O349" s="333" t="s">
        <v>775</v>
      </c>
      <c r="P349" s="333"/>
      <c r="Q349" s="333"/>
      <c r="R349" s="333"/>
      <c r="S349" s="333"/>
      <c r="T349" s="334"/>
      <c r="U349" s="334"/>
      <c r="V349" s="332"/>
      <c r="W349" s="334"/>
      <c r="X349" s="334"/>
      <c r="Y349" s="335"/>
      <c r="Z349" s="334"/>
      <c r="AA349" s="334"/>
      <c r="AB349" s="334" t="s">
        <v>70</v>
      </c>
      <c r="AC349" s="335"/>
      <c r="AD349" s="335">
        <v>800000</v>
      </c>
      <c r="AE349" s="385" t="s">
        <v>55</v>
      </c>
      <c r="AF349" s="507"/>
      <c r="AG349" s="507"/>
      <c r="AH349" s="507"/>
    </row>
    <row r="350" spans="1:34" s="9" customFormat="1" ht="24" customHeight="1">
      <c r="A350" s="27"/>
      <c r="B350" s="27"/>
      <c r="C350" s="27"/>
      <c r="D350" s="89"/>
      <c r="E350" s="64"/>
      <c r="F350" s="64"/>
      <c r="G350" s="64"/>
      <c r="H350" s="64"/>
      <c r="I350" s="64"/>
      <c r="J350" s="64"/>
      <c r="K350" s="64"/>
      <c r="L350" s="64"/>
      <c r="M350" s="64"/>
      <c r="N350" s="43"/>
      <c r="O350" s="333"/>
      <c r="P350" s="333"/>
      <c r="Q350" s="333"/>
      <c r="R350" s="333"/>
      <c r="S350" s="333"/>
      <c r="T350" s="334"/>
      <c r="U350" s="334"/>
      <c r="V350" s="332"/>
      <c r="W350" s="334"/>
      <c r="X350" s="334"/>
      <c r="Y350" s="335"/>
      <c r="Z350" s="334"/>
      <c r="AA350" s="334"/>
      <c r="AB350" s="334" t="s">
        <v>137</v>
      </c>
      <c r="AC350" s="335"/>
      <c r="AD350" s="335">
        <v>1300000</v>
      </c>
      <c r="AE350" s="385" t="s">
        <v>55</v>
      </c>
      <c r="AF350" s="507"/>
      <c r="AG350" s="507"/>
      <c r="AH350" s="507"/>
    </row>
    <row r="351" spans="1:34" s="9" customFormat="1" ht="24" customHeight="1">
      <c r="A351" s="27"/>
      <c r="B351" s="27"/>
      <c r="C351" s="27"/>
      <c r="D351" s="89"/>
      <c r="E351" s="64"/>
      <c r="F351" s="64"/>
      <c r="G351" s="64"/>
      <c r="H351" s="64"/>
      <c r="I351" s="64"/>
      <c r="J351" s="64"/>
      <c r="K351" s="64"/>
      <c r="L351" s="64"/>
      <c r="M351" s="64"/>
      <c r="N351" s="43"/>
      <c r="O351" s="333"/>
      <c r="P351" s="333"/>
      <c r="Q351" s="333"/>
      <c r="R351" s="333"/>
      <c r="S351" s="333"/>
      <c r="T351" s="334"/>
      <c r="U351" s="334"/>
      <c r="V351" s="332"/>
      <c r="W351" s="334"/>
      <c r="X351" s="334"/>
      <c r="Y351" s="335"/>
      <c r="Z351" s="334"/>
      <c r="AA351" s="334"/>
      <c r="AB351" s="334" t="s">
        <v>215</v>
      </c>
      <c r="AC351" s="335"/>
      <c r="AD351" s="335"/>
      <c r="AE351" s="385" t="s">
        <v>55</v>
      </c>
      <c r="AF351" s="507"/>
      <c r="AG351" s="507"/>
      <c r="AH351" s="507"/>
    </row>
    <row r="352" spans="1:34" s="9" customFormat="1" ht="24" customHeight="1">
      <c r="A352" s="27"/>
      <c r="B352" s="27"/>
      <c r="C352" s="27"/>
      <c r="D352" s="89"/>
      <c r="E352" s="64"/>
      <c r="F352" s="64"/>
      <c r="G352" s="64"/>
      <c r="H352" s="64"/>
      <c r="I352" s="64"/>
      <c r="J352" s="64"/>
      <c r="K352" s="64"/>
      <c r="L352" s="64"/>
      <c r="M352" s="64"/>
      <c r="N352" s="43"/>
      <c r="O352" s="333" t="s">
        <v>843</v>
      </c>
      <c r="P352" s="333"/>
      <c r="Q352" s="333"/>
      <c r="R352" s="333"/>
      <c r="S352" s="333"/>
      <c r="T352" s="334"/>
      <c r="U352" s="334"/>
      <c r="V352" s="332"/>
      <c r="W352" s="334"/>
      <c r="X352" s="334"/>
      <c r="Y352" s="335"/>
      <c r="Z352" s="334"/>
      <c r="AA352" s="334"/>
      <c r="AB352" s="334" t="s">
        <v>215</v>
      </c>
      <c r="AC352" s="335"/>
      <c r="AD352" s="335">
        <v>500000</v>
      </c>
      <c r="AE352" s="385" t="s">
        <v>55</v>
      </c>
      <c r="AF352" s="507"/>
      <c r="AG352" s="507"/>
      <c r="AH352" s="507"/>
    </row>
    <row r="353" spans="1:34" s="9" customFormat="1" ht="24" customHeight="1">
      <c r="A353" s="27"/>
      <c r="B353" s="27"/>
      <c r="C353" s="27"/>
      <c r="D353" s="89"/>
      <c r="E353" s="64"/>
      <c r="F353" s="64"/>
      <c r="G353" s="64"/>
      <c r="H353" s="64"/>
      <c r="I353" s="64"/>
      <c r="J353" s="64"/>
      <c r="K353" s="64"/>
      <c r="L353" s="64"/>
      <c r="M353" s="64"/>
      <c r="N353" s="43"/>
      <c r="O353" s="333" t="s">
        <v>844</v>
      </c>
      <c r="P353" s="333"/>
      <c r="Q353" s="333"/>
      <c r="R353" s="333"/>
      <c r="S353" s="332">
        <v>250000</v>
      </c>
      <c r="T353" s="334" t="s">
        <v>55</v>
      </c>
      <c r="U353" s="288" t="s">
        <v>56</v>
      </c>
      <c r="V353" s="181">
        <v>0</v>
      </c>
      <c r="W353" s="334" t="s">
        <v>61</v>
      </c>
      <c r="X353" s="288"/>
      <c r="Y353" s="502"/>
      <c r="Z353" s="503"/>
      <c r="AA353" s="334" t="s">
        <v>53</v>
      </c>
      <c r="AB353" s="334" t="s">
        <v>137</v>
      </c>
      <c r="AC353" s="335"/>
      <c r="AD353" s="335">
        <f>S353*V353</f>
        <v>0</v>
      </c>
      <c r="AE353" s="385" t="s">
        <v>55</v>
      </c>
      <c r="AF353" s="507"/>
      <c r="AG353" s="507"/>
      <c r="AH353" s="507"/>
    </row>
    <row r="354" spans="1:34" s="9" customFormat="1" ht="24" customHeight="1">
      <c r="A354" s="27"/>
      <c r="B354" s="27"/>
      <c r="C354" s="27"/>
      <c r="D354" s="89"/>
      <c r="E354" s="64"/>
      <c r="F354" s="64"/>
      <c r="G354" s="64"/>
      <c r="H354" s="64"/>
      <c r="I354" s="64"/>
      <c r="J354" s="64"/>
      <c r="K354" s="64"/>
      <c r="L354" s="64"/>
      <c r="M354" s="64"/>
      <c r="N354" s="43"/>
      <c r="O354" s="333" t="s">
        <v>845</v>
      </c>
      <c r="P354" s="333"/>
      <c r="Q354" s="333"/>
      <c r="R354" s="333"/>
      <c r="S354" s="332">
        <v>60000</v>
      </c>
      <c r="T354" s="334" t="s">
        <v>55</v>
      </c>
      <c r="U354" s="288" t="s">
        <v>56</v>
      </c>
      <c r="V354" s="332">
        <v>20</v>
      </c>
      <c r="W354" s="334" t="s">
        <v>716</v>
      </c>
      <c r="X354" s="334"/>
      <c r="Y354" s="335"/>
      <c r="Z354" s="334"/>
      <c r="AA354" s="334"/>
      <c r="AB354" s="334" t="s">
        <v>215</v>
      </c>
      <c r="AC354" s="335"/>
      <c r="AD354" s="335">
        <f t="shared" ref="AD354:AD356" si="18">S354*V354</f>
        <v>1200000</v>
      </c>
      <c r="AE354" s="385" t="s">
        <v>55</v>
      </c>
      <c r="AF354" s="507"/>
      <c r="AG354" s="507"/>
      <c r="AH354" s="507"/>
    </row>
    <row r="355" spans="1:34" s="9" customFormat="1" ht="24" customHeight="1">
      <c r="A355" s="27"/>
      <c r="B355" s="27"/>
      <c r="C355" s="27"/>
      <c r="D355" s="89"/>
      <c r="E355" s="64"/>
      <c r="F355" s="64"/>
      <c r="G355" s="64"/>
      <c r="H355" s="64"/>
      <c r="I355" s="64"/>
      <c r="J355" s="64"/>
      <c r="K355" s="64"/>
      <c r="L355" s="64"/>
      <c r="M355" s="64"/>
      <c r="N355" s="43"/>
      <c r="O355" s="333"/>
      <c r="P355" s="333"/>
      <c r="Q355" s="333"/>
      <c r="R355" s="333"/>
      <c r="S355" s="332">
        <v>60000</v>
      </c>
      <c r="T355" s="334" t="s">
        <v>55</v>
      </c>
      <c r="U355" s="288" t="s">
        <v>56</v>
      </c>
      <c r="V355" s="332">
        <v>26</v>
      </c>
      <c r="W355" s="334" t="s">
        <v>54</v>
      </c>
      <c r="X355" s="334"/>
      <c r="Y355" s="335"/>
      <c r="Z355" s="334"/>
      <c r="AA355" s="334"/>
      <c r="AB355" s="334" t="s">
        <v>137</v>
      </c>
      <c r="AC355" s="335"/>
      <c r="AD355" s="335">
        <f t="shared" ref="AD355" si="19">S355*V355</f>
        <v>1560000</v>
      </c>
      <c r="AE355" s="385" t="s">
        <v>55</v>
      </c>
      <c r="AF355" s="507"/>
      <c r="AG355" s="507"/>
      <c r="AH355" s="507"/>
    </row>
    <row r="356" spans="1:34" s="9" customFormat="1" ht="24" customHeight="1">
      <c r="A356" s="27"/>
      <c r="B356" s="27"/>
      <c r="C356" s="27"/>
      <c r="D356" s="89"/>
      <c r="E356" s="64"/>
      <c r="F356" s="64"/>
      <c r="G356" s="64"/>
      <c r="H356" s="64"/>
      <c r="I356" s="64"/>
      <c r="J356" s="64"/>
      <c r="K356" s="64"/>
      <c r="L356" s="64"/>
      <c r="M356" s="64"/>
      <c r="N356" s="43"/>
      <c r="O356" s="333" t="s">
        <v>848</v>
      </c>
      <c r="P356" s="333"/>
      <c r="Q356" s="333"/>
      <c r="R356" s="333"/>
      <c r="S356" s="332">
        <v>400000</v>
      </c>
      <c r="T356" s="334" t="s">
        <v>55</v>
      </c>
      <c r="U356" s="288" t="s">
        <v>56</v>
      </c>
      <c r="V356" s="332">
        <v>1</v>
      </c>
      <c r="W356" s="334" t="s">
        <v>716</v>
      </c>
      <c r="X356" s="334"/>
      <c r="Y356" s="335"/>
      <c r="Z356" s="334"/>
      <c r="AA356" s="334"/>
      <c r="AB356" s="334" t="s">
        <v>137</v>
      </c>
      <c r="AC356" s="335"/>
      <c r="AD356" s="335">
        <f t="shared" si="18"/>
        <v>400000</v>
      </c>
      <c r="AE356" s="385" t="s">
        <v>55</v>
      </c>
      <c r="AF356" s="507"/>
      <c r="AG356" s="507"/>
      <c r="AH356" s="507"/>
    </row>
    <row r="357" spans="1:34" s="9" customFormat="1" ht="24" customHeight="1">
      <c r="A357" s="27"/>
      <c r="B357" s="27"/>
      <c r="C357" s="27"/>
      <c r="D357" s="89"/>
      <c r="E357" s="64"/>
      <c r="F357" s="64"/>
      <c r="G357" s="64"/>
      <c r="H357" s="64"/>
      <c r="I357" s="64"/>
      <c r="J357" s="64"/>
      <c r="K357" s="64"/>
      <c r="L357" s="64"/>
      <c r="M357" s="64"/>
      <c r="N357" s="43"/>
      <c r="O357" s="172" t="s">
        <v>846</v>
      </c>
      <c r="P357" s="333"/>
      <c r="Q357" s="333"/>
      <c r="R357" s="333"/>
      <c r="S357" s="333"/>
      <c r="T357" s="334"/>
      <c r="U357" s="334"/>
      <c r="V357" s="332"/>
      <c r="W357" s="334"/>
      <c r="X357" s="334"/>
      <c r="Y357" s="335"/>
      <c r="Z357" s="334"/>
      <c r="AA357" s="334"/>
      <c r="AB357" s="334" t="s">
        <v>215</v>
      </c>
      <c r="AC357" s="335"/>
      <c r="AD357" s="335">
        <v>300000</v>
      </c>
      <c r="AE357" s="385" t="s">
        <v>55</v>
      </c>
      <c r="AF357" s="507"/>
      <c r="AG357" s="507"/>
      <c r="AH357" s="507"/>
    </row>
    <row r="358" spans="1:34" s="9" customFormat="1" ht="24" customHeight="1">
      <c r="A358" s="27"/>
      <c r="B358" s="27"/>
      <c r="C358" s="27"/>
      <c r="D358" s="89"/>
      <c r="E358" s="64"/>
      <c r="F358" s="64"/>
      <c r="G358" s="64"/>
      <c r="H358" s="64"/>
      <c r="I358" s="64"/>
      <c r="J358" s="64"/>
      <c r="K358" s="64"/>
      <c r="L358" s="64"/>
      <c r="M358" s="64"/>
      <c r="N358" s="43"/>
      <c r="O358" s="172" t="s">
        <v>847</v>
      </c>
      <c r="P358" s="333"/>
      <c r="Q358" s="333"/>
      <c r="R358" s="333"/>
      <c r="S358" s="333"/>
      <c r="T358" s="334"/>
      <c r="U358" s="334"/>
      <c r="V358" s="332"/>
      <c r="W358" s="334"/>
      <c r="X358" s="334"/>
      <c r="Y358" s="335"/>
      <c r="Z358" s="334"/>
      <c r="AA358" s="334"/>
      <c r="AB358" s="334" t="s">
        <v>215</v>
      </c>
      <c r="AC358" s="335"/>
      <c r="AD358" s="335">
        <v>3050000</v>
      </c>
      <c r="AE358" s="385" t="s">
        <v>55</v>
      </c>
      <c r="AF358" s="507"/>
      <c r="AG358" s="507"/>
      <c r="AH358" s="507"/>
    </row>
    <row r="359" spans="1:34" s="9" customFormat="1" ht="24" customHeight="1">
      <c r="A359" s="27"/>
      <c r="B359" s="27"/>
      <c r="C359" s="35"/>
      <c r="D359" s="90"/>
      <c r="E359" s="66"/>
      <c r="F359" s="66"/>
      <c r="G359" s="66"/>
      <c r="H359" s="66"/>
      <c r="I359" s="66"/>
      <c r="J359" s="66"/>
      <c r="K359" s="66"/>
      <c r="L359" s="66"/>
      <c r="M359" s="66"/>
      <c r="N359" s="52"/>
      <c r="O359" s="172"/>
      <c r="P359" s="576"/>
      <c r="Q359" s="576"/>
      <c r="R359" s="576"/>
      <c r="S359" s="576"/>
      <c r="T359" s="420"/>
      <c r="U359" s="420"/>
      <c r="V359" s="575"/>
      <c r="W359" s="420"/>
      <c r="X359" s="420"/>
      <c r="Y359" s="231"/>
      <c r="Z359" s="420"/>
      <c r="AA359" s="420"/>
      <c r="AB359" s="420" t="s">
        <v>720</v>
      </c>
      <c r="AC359" s="231"/>
      <c r="AD359" s="231">
        <v>0</v>
      </c>
      <c r="AE359" s="385" t="s">
        <v>55</v>
      </c>
      <c r="AF359" s="507"/>
      <c r="AG359" s="507"/>
      <c r="AH359" s="507"/>
    </row>
    <row r="360" spans="1:34" s="9" customFormat="1" ht="24" customHeight="1">
      <c r="A360" s="27"/>
      <c r="B360" s="27"/>
      <c r="C360" s="18" t="s">
        <v>251</v>
      </c>
      <c r="D360" s="245">
        <v>7183</v>
      </c>
      <c r="E360" s="68">
        <f>ROUND(AD360/1000,0)</f>
        <v>4395</v>
      </c>
      <c r="F360" s="69">
        <f>SUMIF($AB$361:$AB$370,"보조",$AD$361:$AD$370)/1000</f>
        <v>0</v>
      </c>
      <c r="G360" s="69">
        <f>SUMIF($AB$361:$AB$370,"6종",$AD$361:$AD$370)/1000</f>
        <v>0</v>
      </c>
      <c r="H360" s="69">
        <f>SUMIF($AB$361:$AB$370,"4종",$AD$361:$AD$370)/1000</f>
        <v>0</v>
      </c>
      <c r="I360" s="69">
        <f>SUMIF($AB$361:$AB$370,"후원",$AD$361:$AD$370)/1000</f>
        <v>1700</v>
      </c>
      <c r="J360" s="69">
        <f>SUMIF($AB$361:$AB$370,"입소",$AD$361:$AD$370)/1000</f>
        <v>2695</v>
      </c>
      <c r="K360" s="69">
        <f>SUMIF($AB$361:$AB$370,"법인",$AD$361:$AD$370)/1000</f>
        <v>0</v>
      </c>
      <c r="L360" s="69">
        <f>SUMIF($AB$361:$AB$370,"잡수",$AD$361:$AD$370)/1000</f>
        <v>0</v>
      </c>
      <c r="M360" s="68">
        <f>E360-D360</f>
        <v>-2788</v>
      </c>
      <c r="N360" s="73">
        <f>IF(D360=0,0,M360/D360)</f>
        <v>-0.38813866072671588</v>
      </c>
      <c r="O360" s="175"/>
      <c r="P360" s="183"/>
      <c r="Q360" s="183"/>
      <c r="R360" s="243"/>
      <c r="S360" s="243"/>
      <c r="T360" s="447"/>
      <c r="U360" s="447"/>
      <c r="V360" s="243"/>
      <c r="W360" s="566" t="s">
        <v>120</v>
      </c>
      <c r="X360" s="566"/>
      <c r="Y360" s="244"/>
      <c r="Z360" s="566"/>
      <c r="AA360" s="566"/>
      <c r="AB360" s="595"/>
      <c r="AC360" s="244"/>
      <c r="AD360" s="244">
        <f>SUM(AD361:AD370)</f>
        <v>4395000</v>
      </c>
      <c r="AE360" s="410" t="s">
        <v>25</v>
      </c>
      <c r="AF360" s="507"/>
      <c r="AG360" s="507"/>
      <c r="AH360" s="507"/>
    </row>
    <row r="361" spans="1:34" s="9" customFormat="1" ht="24" customHeight="1">
      <c r="A361" s="27"/>
      <c r="B361" s="27"/>
      <c r="C361" s="27" t="s">
        <v>119</v>
      </c>
      <c r="D361" s="347"/>
      <c r="E361" s="345"/>
      <c r="F361" s="345"/>
      <c r="G361" s="345"/>
      <c r="H361" s="345"/>
      <c r="I361" s="345"/>
      <c r="J361" s="345"/>
      <c r="K361" s="345"/>
      <c r="L361" s="345"/>
      <c r="M361" s="64"/>
      <c r="N361" s="43"/>
      <c r="O361" s="333" t="s">
        <v>262</v>
      </c>
      <c r="P361" s="229"/>
      <c r="Q361" s="229"/>
      <c r="R361" s="226"/>
      <c r="S361" s="230" t="s">
        <v>617</v>
      </c>
      <c r="T361" s="439"/>
      <c r="U361" s="439"/>
      <c r="V361" s="226"/>
      <c r="W361" s="334"/>
      <c r="X361" s="334"/>
      <c r="Y361" s="335"/>
      <c r="Z361" s="334"/>
      <c r="AA361" s="334"/>
      <c r="AB361" s="334" t="s">
        <v>215</v>
      </c>
      <c r="AC361" s="335"/>
      <c r="AD361" s="335">
        <v>1230000</v>
      </c>
      <c r="AE361" s="385" t="s">
        <v>55</v>
      </c>
      <c r="AF361" s="507"/>
      <c r="AG361" s="507"/>
      <c r="AH361" s="507"/>
    </row>
    <row r="362" spans="1:34" s="9" customFormat="1" ht="24" customHeight="1">
      <c r="A362" s="27"/>
      <c r="B362" s="27"/>
      <c r="C362" s="27"/>
      <c r="D362" s="347"/>
      <c r="E362" s="345"/>
      <c r="F362" s="345"/>
      <c r="G362" s="345"/>
      <c r="H362" s="345"/>
      <c r="I362" s="345"/>
      <c r="J362" s="345"/>
      <c r="K362" s="345"/>
      <c r="L362" s="345"/>
      <c r="M362" s="64"/>
      <c r="N362" s="43"/>
      <c r="O362" s="333"/>
      <c r="P362" s="229"/>
      <c r="Q362" s="229"/>
      <c r="R362" s="226"/>
      <c r="S362" s="230" t="s">
        <v>614</v>
      </c>
      <c r="T362" s="439"/>
      <c r="U362" s="439"/>
      <c r="V362" s="226"/>
      <c r="W362" s="334"/>
      <c r="X362" s="334"/>
      <c r="Y362" s="335"/>
      <c r="Z362" s="334"/>
      <c r="AA362" s="334"/>
      <c r="AB362" s="334" t="s">
        <v>215</v>
      </c>
      <c r="AC362" s="335"/>
      <c r="AD362" s="335">
        <v>765000</v>
      </c>
      <c r="AE362" s="385" t="s">
        <v>55</v>
      </c>
      <c r="AF362" s="507"/>
      <c r="AG362" s="507"/>
      <c r="AH362" s="507"/>
    </row>
    <row r="363" spans="1:34" s="9" customFormat="1" ht="24" customHeight="1">
      <c r="A363" s="27"/>
      <c r="B363" s="27"/>
      <c r="C363" s="27"/>
      <c r="D363" s="348"/>
      <c r="E363" s="346"/>
      <c r="F363" s="346"/>
      <c r="G363" s="346"/>
      <c r="H363" s="346"/>
      <c r="I363" s="346"/>
      <c r="J363" s="346"/>
      <c r="K363" s="346"/>
      <c r="L363" s="346"/>
      <c r="M363" s="64"/>
      <c r="N363" s="43"/>
      <c r="O363" s="333"/>
      <c r="P363" s="229"/>
      <c r="Q363" s="229"/>
      <c r="R363" s="226"/>
      <c r="S363" s="230" t="s">
        <v>616</v>
      </c>
      <c r="T363" s="439"/>
      <c r="U363" s="439"/>
      <c r="V363" s="226"/>
      <c r="W363" s="334"/>
      <c r="X363" s="334"/>
      <c r="Y363" s="335"/>
      <c r="Z363" s="334"/>
      <c r="AA363" s="334"/>
      <c r="AB363" s="334" t="s">
        <v>137</v>
      </c>
      <c r="AC363" s="335"/>
      <c r="AD363" s="335">
        <v>1700000</v>
      </c>
      <c r="AE363" s="385" t="s">
        <v>55</v>
      </c>
      <c r="AF363" s="507"/>
      <c r="AG363" s="507"/>
      <c r="AH363" s="507"/>
    </row>
    <row r="364" spans="1:34" s="9" customFormat="1" ht="24" customHeight="1">
      <c r="A364" s="27"/>
      <c r="B364" s="27"/>
      <c r="C364" s="27"/>
      <c r="D364" s="348"/>
      <c r="E364" s="346"/>
      <c r="F364" s="346"/>
      <c r="G364" s="346"/>
      <c r="H364" s="346"/>
      <c r="I364" s="346"/>
      <c r="J364" s="346"/>
      <c r="K364" s="346"/>
      <c r="L364" s="346"/>
      <c r="M364" s="64"/>
      <c r="N364" s="43"/>
      <c r="O364" s="333" t="s">
        <v>619</v>
      </c>
      <c r="P364" s="229"/>
      <c r="Q364" s="229"/>
      <c r="R364" s="226"/>
      <c r="S364" s="230"/>
      <c r="T364" s="439"/>
      <c r="U364" s="439"/>
      <c r="V364" s="226"/>
      <c r="W364" s="334"/>
      <c r="X364" s="334"/>
      <c r="Y364" s="335"/>
      <c r="Z364" s="334"/>
      <c r="AA364" s="334"/>
      <c r="AB364" s="334" t="s">
        <v>215</v>
      </c>
      <c r="AC364" s="335"/>
      <c r="AD364" s="335">
        <v>0</v>
      </c>
      <c r="AE364" s="385" t="s">
        <v>620</v>
      </c>
      <c r="AF364" s="507"/>
      <c r="AG364" s="507"/>
      <c r="AH364" s="507"/>
    </row>
    <row r="365" spans="1:34" s="9" customFormat="1" ht="24" customHeight="1">
      <c r="A365" s="27"/>
      <c r="B365" s="27"/>
      <c r="C365" s="27"/>
      <c r="D365" s="89"/>
      <c r="E365" s="64"/>
      <c r="F365" s="64"/>
      <c r="G365" s="64"/>
      <c r="H365" s="64"/>
      <c r="I365" s="64"/>
      <c r="J365" s="64"/>
      <c r="K365" s="64"/>
      <c r="L365" s="64"/>
      <c r="M365" s="64"/>
      <c r="N365" s="43"/>
      <c r="O365" s="333" t="s">
        <v>713</v>
      </c>
      <c r="P365" s="229"/>
      <c r="Q365" s="229"/>
      <c r="R365" s="226"/>
      <c r="S365" s="226"/>
      <c r="T365" s="439"/>
      <c r="U365" s="439"/>
      <c r="V365" s="226"/>
      <c r="W365" s="334"/>
      <c r="X365" s="334"/>
      <c r="Y365" s="335"/>
      <c r="Z365" s="334"/>
      <c r="AA365" s="334"/>
      <c r="AB365" s="334" t="s">
        <v>215</v>
      </c>
      <c r="AC365" s="335"/>
      <c r="AD365" s="335">
        <v>700000</v>
      </c>
      <c r="AE365" s="385" t="s">
        <v>55</v>
      </c>
      <c r="AF365" s="507"/>
      <c r="AG365" s="507"/>
      <c r="AH365" s="507"/>
    </row>
    <row r="366" spans="1:34" s="9" customFormat="1" ht="24" customHeight="1">
      <c r="A366" s="27"/>
      <c r="B366" s="27"/>
      <c r="C366" s="27"/>
      <c r="D366" s="89"/>
      <c r="E366" s="64"/>
      <c r="F366" s="64"/>
      <c r="G366" s="64"/>
      <c r="H366" s="64"/>
      <c r="I366" s="64"/>
      <c r="J366" s="64"/>
      <c r="K366" s="64"/>
      <c r="L366" s="64"/>
      <c r="M366" s="64"/>
      <c r="N366" s="43"/>
      <c r="O366" s="333"/>
      <c r="P366" s="229"/>
      <c r="Q366" s="229"/>
      <c r="R366" s="226"/>
      <c r="S366" s="226"/>
      <c r="T366" s="333" t="s">
        <v>851</v>
      </c>
      <c r="U366" s="333"/>
      <c r="V366" s="333"/>
      <c r="W366" s="288"/>
      <c r="X366" s="333"/>
      <c r="Y366" s="333"/>
      <c r="Z366" s="334"/>
      <c r="AA366" s="334"/>
      <c r="AB366" s="334" t="s">
        <v>85</v>
      </c>
      <c r="AC366" s="335"/>
      <c r="AD366" s="335">
        <v>0</v>
      </c>
      <c r="AE366" s="385" t="s">
        <v>55</v>
      </c>
      <c r="AF366" s="507"/>
      <c r="AG366" s="507"/>
      <c r="AH366" s="507"/>
    </row>
    <row r="367" spans="1:34" s="9" customFormat="1" ht="24" customHeight="1">
      <c r="A367" s="27"/>
      <c r="B367" s="27"/>
      <c r="C367" s="27"/>
      <c r="D367" s="89"/>
      <c r="E367" s="64"/>
      <c r="F367" s="64"/>
      <c r="G367" s="64"/>
      <c r="H367" s="64"/>
      <c r="I367" s="64"/>
      <c r="J367" s="64"/>
      <c r="K367" s="64"/>
      <c r="L367" s="64"/>
      <c r="M367" s="64"/>
      <c r="N367" s="43"/>
      <c r="O367" s="333"/>
      <c r="P367" s="229"/>
      <c r="Q367" s="229"/>
      <c r="R367" s="226"/>
      <c r="S367" s="226"/>
      <c r="T367" s="333" t="s">
        <v>852</v>
      </c>
      <c r="U367" s="333"/>
      <c r="V367" s="333"/>
      <c r="W367" s="288"/>
      <c r="X367" s="333"/>
      <c r="Y367" s="333"/>
      <c r="Z367" s="334"/>
      <c r="AA367" s="334"/>
      <c r="AB367" s="334" t="s">
        <v>85</v>
      </c>
      <c r="AC367" s="335"/>
      <c r="AD367" s="335">
        <v>0</v>
      </c>
      <c r="AE367" s="385" t="s">
        <v>55</v>
      </c>
      <c r="AF367" s="507"/>
      <c r="AG367" s="507"/>
      <c r="AH367" s="507"/>
    </row>
    <row r="368" spans="1:34" s="9" customFormat="1" ht="24" customHeight="1">
      <c r="A368" s="27"/>
      <c r="B368" s="27"/>
      <c r="C368" s="27"/>
      <c r="D368" s="89"/>
      <c r="E368" s="64"/>
      <c r="F368" s="64"/>
      <c r="G368" s="64"/>
      <c r="H368" s="64"/>
      <c r="I368" s="64"/>
      <c r="J368" s="64"/>
      <c r="K368" s="64"/>
      <c r="L368" s="64"/>
      <c r="M368" s="64"/>
      <c r="N368" s="43"/>
      <c r="O368" s="333" t="s">
        <v>618</v>
      </c>
      <c r="P368" s="229"/>
      <c r="Q368" s="229"/>
      <c r="R368" s="226"/>
      <c r="S368" s="226"/>
      <c r="T368" s="439"/>
      <c r="U368" s="439"/>
      <c r="V368" s="226"/>
      <c r="W368" s="334"/>
      <c r="X368" s="334"/>
      <c r="Y368" s="335"/>
      <c r="Z368" s="334"/>
      <c r="AA368" s="334"/>
      <c r="AB368" s="334" t="s">
        <v>85</v>
      </c>
      <c r="AC368" s="335"/>
      <c r="AD368" s="335">
        <v>0</v>
      </c>
      <c r="AE368" s="385" t="s">
        <v>55</v>
      </c>
      <c r="AF368" s="508"/>
      <c r="AG368" s="508"/>
      <c r="AH368" s="508"/>
    </row>
    <row r="369" spans="1:35" s="9" customFormat="1" ht="24" customHeight="1">
      <c r="A369" s="27"/>
      <c r="B369" s="27"/>
      <c r="C369" s="27"/>
      <c r="D369" s="89"/>
      <c r="E369" s="64"/>
      <c r="F369" s="64"/>
      <c r="G369" s="64"/>
      <c r="H369" s="64"/>
      <c r="I369" s="64"/>
      <c r="J369" s="64"/>
      <c r="K369" s="64"/>
      <c r="L369" s="64"/>
      <c r="M369" s="64"/>
      <c r="N369" s="43"/>
      <c r="O369" s="333"/>
      <c r="P369" s="229"/>
      <c r="Q369" s="229"/>
      <c r="R369" s="226"/>
      <c r="S369" s="226"/>
      <c r="T369" s="332" t="s">
        <v>788</v>
      </c>
      <c r="U369" s="439"/>
      <c r="V369" s="226"/>
      <c r="W369" s="334"/>
      <c r="X369" s="334"/>
      <c r="Y369" s="335"/>
      <c r="Z369" s="334"/>
      <c r="AA369" s="334"/>
      <c r="AB369" s="334" t="s">
        <v>137</v>
      </c>
      <c r="AC369" s="335"/>
      <c r="AD369" s="335">
        <v>0</v>
      </c>
      <c r="AE369" s="385" t="s">
        <v>55</v>
      </c>
      <c r="AF369" s="508"/>
      <c r="AG369" s="508"/>
      <c r="AH369" s="508"/>
    </row>
    <row r="370" spans="1:35" s="9" customFormat="1" ht="24" customHeight="1">
      <c r="A370" s="27"/>
      <c r="B370" s="27"/>
      <c r="C370" s="35"/>
      <c r="D370" s="351"/>
      <c r="E370" s="66"/>
      <c r="F370" s="66"/>
      <c r="G370" s="66"/>
      <c r="H370" s="66"/>
      <c r="I370" s="66"/>
      <c r="J370" s="66"/>
      <c r="K370" s="66"/>
      <c r="L370" s="66"/>
      <c r="M370" s="66"/>
      <c r="N370" s="52"/>
      <c r="O370" s="576"/>
      <c r="P370" s="576"/>
      <c r="Q370" s="576"/>
      <c r="R370" s="576"/>
      <c r="S370" s="576"/>
      <c r="T370" s="332" t="s">
        <v>789</v>
      </c>
      <c r="U370" s="439"/>
      <c r="V370" s="226"/>
      <c r="W370" s="334"/>
      <c r="X370" s="334"/>
      <c r="Y370" s="335"/>
      <c r="Z370" s="334"/>
      <c r="AA370" s="334"/>
      <c r="AB370" s="334" t="s">
        <v>137</v>
      </c>
      <c r="AC370" s="335"/>
      <c r="AD370" s="335">
        <v>0</v>
      </c>
      <c r="AE370" s="385" t="s">
        <v>55</v>
      </c>
      <c r="AF370" s="507"/>
      <c r="AG370" s="507"/>
      <c r="AH370" s="507"/>
    </row>
    <row r="371" spans="1:35" s="9" customFormat="1" ht="24" customHeight="1">
      <c r="A371" s="27"/>
      <c r="B371" s="27"/>
      <c r="C371" s="18" t="s">
        <v>197</v>
      </c>
      <c r="D371" s="88">
        <v>11220</v>
      </c>
      <c r="E371" s="68">
        <f>ROUND(AD371/1000,0)</f>
        <v>14033</v>
      </c>
      <c r="F371" s="69">
        <f>SUMIF($AB$372:$AB$378,"보조",$AD$372:$AD$378)/1000</f>
        <v>0</v>
      </c>
      <c r="G371" s="69">
        <f>SUMIF($AB$372:$AB$378,"6종",$AD$372:$AD$378)/1000</f>
        <v>5839</v>
      </c>
      <c r="H371" s="69">
        <f>SUMIF($AB$372:$AB$378,"4종",$AD$372:$AD$378)/1000</f>
        <v>0</v>
      </c>
      <c r="I371" s="69">
        <f>SUMIF($AB$372:$AB$378,"후원",$AD$372:$AD$378)/1000</f>
        <v>2734</v>
      </c>
      <c r="J371" s="69">
        <f>SUMIF($AB$372:$AB$378,"입소",$AD$372:$AD$378)/1000</f>
        <v>460</v>
      </c>
      <c r="K371" s="69">
        <f>SUMIF($AB$372:$AB$378,"전입",$AD$372:$AD$378)/1000</f>
        <v>0</v>
      </c>
      <c r="L371" s="69">
        <f>SUMIF($AB$372:$AB$378,"잡수",$AD$372:$AD$378)/1000</f>
        <v>5000</v>
      </c>
      <c r="M371" s="68">
        <f>E371-D371</f>
        <v>2813</v>
      </c>
      <c r="N371" s="73">
        <f>IF(D371=0,0,M371/D371)</f>
        <v>0.25071301247771838</v>
      </c>
      <c r="O371" s="175"/>
      <c r="P371" s="183"/>
      <c r="Q371" s="183"/>
      <c r="R371" s="243"/>
      <c r="S371" s="243"/>
      <c r="T371" s="447"/>
      <c r="U371" s="447"/>
      <c r="V371" s="243"/>
      <c r="W371" s="566" t="s">
        <v>120</v>
      </c>
      <c r="X371" s="566"/>
      <c r="Y371" s="244"/>
      <c r="Z371" s="566"/>
      <c r="AA371" s="566"/>
      <c r="AB371" s="595"/>
      <c r="AC371" s="244"/>
      <c r="AD371" s="244">
        <f>SUM(AD372:AD378)</f>
        <v>14033000</v>
      </c>
      <c r="AE371" s="410" t="s">
        <v>25</v>
      </c>
      <c r="AF371" s="507"/>
      <c r="AG371" s="507"/>
      <c r="AH371" s="507"/>
    </row>
    <row r="372" spans="1:35" s="9" customFormat="1" ht="24" customHeight="1">
      <c r="A372" s="27"/>
      <c r="B372" s="27"/>
      <c r="C372" s="27" t="s">
        <v>263</v>
      </c>
      <c r="D372" s="347"/>
      <c r="E372" s="345"/>
      <c r="F372" s="345"/>
      <c r="G372" s="345"/>
      <c r="H372" s="345"/>
      <c r="I372" s="345"/>
      <c r="J372" s="345"/>
      <c r="K372" s="345"/>
      <c r="L372" s="345"/>
      <c r="M372" s="64"/>
      <c r="N372" s="43"/>
      <c r="O372" s="230" t="s">
        <v>629</v>
      </c>
      <c r="P372" s="230"/>
      <c r="Q372" s="230"/>
      <c r="R372" s="230"/>
      <c r="S372" s="332"/>
      <c r="T372" s="288"/>
      <c r="U372" s="288"/>
      <c r="V372" s="332"/>
      <c r="W372" s="288"/>
      <c r="X372" s="334"/>
      <c r="Y372" s="227"/>
      <c r="Z372" s="225"/>
      <c r="AA372" s="225"/>
      <c r="AB372" s="225" t="s">
        <v>215</v>
      </c>
      <c r="AC372" s="230"/>
      <c r="AD372" s="554">
        <v>460000</v>
      </c>
      <c r="AE372" s="400" t="s">
        <v>55</v>
      </c>
      <c r="AF372" s="507"/>
      <c r="AG372" s="507"/>
      <c r="AH372" s="507"/>
    </row>
    <row r="373" spans="1:35" s="9" customFormat="1" ht="24" customHeight="1">
      <c r="A373" s="27"/>
      <c r="B373" s="27"/>
      <c r="C373" s="27"/>
      <c r="D373" s="347"/>
      <c r="E373" s="345"/>
      <c r="F373" s="345"/>
      <c r="G373" s="345"/>
      <c r="H373" s="345"/>
      <c r="I373" s="345"/>
      <c r="J373" s="345"/>
      <c r="K373" s="345"/>
      <c r="L373" s="345"/>
      <c r="M373" s="64"/>
      <c r="N373" s="43"/>
      <c r="O373" s="230"/>
      <c r="P373" s="230"/>
      <c r="Q373" s="230"/>
      <c r="R373" s="230"/>
      <c r="S373" s="332"/>
      <c r="T373" s="288"/>
      <c r="U373" s="288"/>
      <c r="V373" s="332"/>
      <c r="W373" s="288"/>
      <c r="X373" s="334"/>
      <c r="Y373" s="227"/>
      <c r="Z373" s="225"/>
      <c r="AA373" s="225"/>
      <c r="AB373" s="225" t="s">
        <v>137</v>
      </c>
      <c r="AC373" s="230"/>
      <c r="AD373" s="554">
        <v>153000</v>
      </c>
      <c r="AE373" s="400" t="s">
        <v>635</v>
      </c>
      <c r="AF373" s="507"/>
      <c r="AG373" s="507"/>
      <c r="AH373" s="507"/>
    </row>
    <row r="374" spans="1:35" s="9" customFormat="1" ht="24" customHeight="1">
      <c r="A374" s="27"/>
      <c r="B374" s="27"/>
      <c r="C374" s="27"/>
      <c r="D374" s="348"/>
      <c r="E374" s="346"/>
      <c r="F374" s="346"/>
      <c r="G374" s="346"/>
      <c r="H374" s="346"/>
      <c r="I374" s="346"/>
      <c r="J374" s="346"/>
      <c r="K374" s="346"/>
      <c r="L374" s="346"/>
      <c r="M374" s="64"/>
      <c r="N374" s="43"/>
      <c r="O374" s="230" t="s">
        <v>264</v>
      </c>
      <c r="P374" s="230"/>
      <c r="Q374" s="230"/>
      <c r="R374" s="230"/>
      <c r="S374" s="332"/>
      <c r="T374" s="288"/>
      <c r="U374" s="288"/>
      <c r="V374" s="332"/>
      <c r="W374" s="288"/>
      <c r="X374" s="334"/>
      <c r="Y374" s="227"/>
      <c r="Z374" s="225"/>
      <c r="AA374" s="225"/>
      <c r="AB374" s="225" t="s">
        <v>137</v>
      </c>
      <c r="AC374" s="230"/>
      <c r="AD374" s="554">
        <v>480000</v>
      </c>
      <c r="AE374" s="400" t="s">
        <v>55</v>
      </c>
      <c r="AF374" s="507"/>
      <c r="AG374" s="507"/>
      <c r="AH374" s="507"/>
    </row>
    <row r="375" spans="1:35" s="9" customFormat="1" ht="24" customHeight="1">
      <c r="A375" s="27"/>
      <c r="B375" s="27"/>
      <c r="C375" s="27"/>
      <c r="D375" s="86"/>
      <c r="E375" s="64"/>
      <c r="F375" s="64"/>
      <c r="G375" s="64"/>
      <c r="H375" s="64"/>
      <c r="I375" s="64"/>
      <c r="J375" s="64"/>
      <c r="K375" s="64"/>
      <c r="L375" s="64"/>
      <c r="M375" s="64"/>
      <c r="N375" s="43"/>
      <c r="O375" s="230" t="s">
        <v>265</v>
      </c>
      <c r="P375" s="230"/>
      <c r="Q375" s="230"/>
      <c r="R375" s="230"/>
      <c r="S375" s="332"/>
      <c r="T375" s="288"/>
      <c r="U375" s="288"/>
      <c r="V375" s="332"/>
      <c r="W375" s="288"/>
      <c r="X375" s="334"/>
      <c r="Y375" s="227"/>
      <c r="Z375" s="225"/>
      <c r="AA375" s="225"/>
      <c r="AB375" s="225" t="s">
        <v>137</v>
      </c>
      <c r="AC375" s="230"/>
      <c r="AD375" s="554">
        <v>405000</v>
      </c>
      <c r="AE375" s="400" t="s">
        <v>55</v>
      </c>
      <c r="AF375" s="508"/>
      <c r="AG375" s="508"/>
      <c r="AH375" s="508"/>
      <c r="AI375" s="494"/>
    </row>
    <row r="376" spans="1:35" s="9" customFormat="1" ht="24" customHeight="1">
      <c r="A376" s="27"/>
      <c r="B376" s="27"/>
      <c r="C376" s="27"/>
      <c r="D376" s="86"/>
      <c r="E376" s="64"/>
      <c r="F376" s="64"/>
      <c r="G376" s="64"/>
      <c r="H376" s="64"/>
      <c r="I376" s="64"/>
      <c r="J376" s="64"/>
      <c r="K376" s="64"/>
      <c r="L376" s="64"/>
      <c r="M376" s="64"/>
      <c r="N376" s="43"/>
      <c r="O376" s="230" t="s">
        <v>266</v>
      </c>
      <c r="P376" s="230"/>
      <c r="Q376" s="230"/>
      <c r="R376" s="230"/>
      <c r="S376" s="332"/>
      <c r="T376" s="332"/>
      <c r="U376" s="288"/>
      <c r="V376" s="332"/>
      <c r="W376" s="288" t="s">
        <v>790</v>
      </c>
      <c r="X376" s="334"/>
      <c r="Y376" s="227"/>
      <c r="Z376" s="225"/>
      <c r="AA376" s="225"/>
      <c r="AB376" s="225" t="s">
        <v>773</v>
      </c>
      <c r="AC376" s="230"/>
      <c r="AD376" s="554">
        <v>5839000</v>
      </c>
      <c r="AE376" s="400" t="s">
        <v>55</v>
      </c>
      <c r="AF376" s="507"/>
      <c r="AG376" s="507"/>
      <c r="AH376" s="507"/>
    </row>
    <row r="377" spans="1:35" s="9" customFormat="1" ht="24" customHeight="1">
      <c r="A377" s="27"/>
      <c r="B377" s="27"/>
      <c r="C377" s="27"/>
      <c r="D377" s="86"/>
      <c r="E377" s="64"/>
      <c r="F377" s="64"/>
      <c r="G377" s="64"/>
      <c r="H377" s="64"/>
      <c r="I377" s="64"/>
      <c r="J377" s="64"/>
      <c r="K377" s="64"/>
      <c r="L377" s="64"/>
      <c r="M377" s="64"/>
      <c r="N377" s="43"/>
      <c r="O377" s="230"/>
      <c r="P377" s="230"/>
      <c r="Q377" s="230"/>
      <c r="R377" s="230"/>
      <c r="S377" s="332"/>
      <c r="T377" s="333" t="s">
        <v>791</v>
      </c>
      <c r="U377" s="288"/>
      <c r="V377" s="332"/>
      <c r="W377" s="288"/>
      <c r="X377" s="334"/>
      <c r="Y377" s="227"/>
      <c r="Z377" s="225"/>
      <c r="AA377" s="225"/>
      <c r="AB377" s="225" t="s">
        <v>760</v>
      </c>
      <c r="AC377" s="230"/>
      <c r="AD377" s="554">
        <v>5000000</v>
      </c>
      <c r="AE377" s="400" t="s">
        <v>758</v>
      </c>
      <c r="AF377" s="507"/>
      <c r="AG377" s="507"/>
      <c r="AH377" s="507"/>
    </row>
    <row r="378" spans="1:35" s="9" customFormat="1" ht="24" customHeight="1">
      <c r="A378" s="27"/>
      <c r="B378" s="27"/>
      <c r="C378" s="27"/>
      <c r="D378" s="86"/>
      <c r="E378" s="64"/>
      <c r="F378" s="64"/>
      <c r="G378" s="64"/>
      <c r="H378" s="64"/>
      <c r="I378" s="64"/>
      <c r="J378" s="64"/>
      <c r="K378" s="64"/>
      <c r="L378" s="64"/>
      <c r="M378" s="64"/>
      <c r="N378" s="43"/>
      <c r="O378" s="230"/>
      <c r="P378" s="230"/>
      <c r="Q378" s="230"/>
      <c r="R378" s="230"/>
      <c r="S378" s="332"/>
      <c r="T378" s="288"/>
      <c r="U378" s="288"/>
      <c r="V378" s="332"/>
      <c r="W378" s="288"/>
      <c r="X378" s="334"/>
      <c r="Y378" s="227"/>
      <c r="Z378" s="225"/>
      <c r="AA378" s="225"/>
      <c r="AB378" s="225" t="s">
        <v>137</v>
      </c>
      <c r="AC378" s="230"/>
      <c r="AD378" s="554">
        <v>1696000</v>
      </c>
      <c r="AE378" s="400" t="s">
        <v>55</v>
      </c>
      <c r="AF378" s="507"/>
      <c r="AG378" s="507"/>
      <c r="AH378" s="507"/>
    </row>
    <row r="379" spans="1:35" s="9" customFormat="1" ht="24" customHeight="1">
      <c r="A379" s="27"/>
      <c r="B379" s="27"/>
      <c r="C379" s="18" t="s">
        <v>272</v>
      </c>
      <c r="D379" s="88">
        <v>2015</v>
      </c>
      <c r="E379" s="68">
        <f>ROUND(AD379/1000,0)</f>
        <v>1658</v>
      </c>
      <c r="F379" s="69">
        <f>SUMIF($AB$380:$AB$385,"보조",$AD$380:$AD$385)/1000</f>
        <v>0</v>
      </c>
      <c r="G379" s="69">
        <f>SUMIF($AB$380:$AB$385,"6종",$AD$380:$AD$385)/1000</f>
        <v>0</v>
      </c>
      <c r="H379" s="69">
        <f>SUMIF($AB$380:$AB$385,"4종",$AD$380:$AD$385)/1000</f>
        <v>0</v>
      </c>
      <c r="I379" s="69">
        <f>SUMIF($AB$380:$AB$385,"후원",$AD$380:$AD$385)/1000</f>
        <v>1000</v>
      </c>
      <c r="J379" s="69">
        <f>SUMIF($AB$380:$AB$385,"입소",$AD$380:$AD$385)/1000</f>
        <v>658</v>
      </c>
      <c r="K379" s="69">
        <f>SUMIF($AB$380:$AB$385,"법인",$AD$380:$AD$385)/1000</f>
        <v>0</v>
      </c>
      <c r="L379" s="69">
        <f>SUMIF($AB$380:$AB$385,"잡수",$AD$380:$AD$385)/1000</f>
        <v>0</v>
      </c>
      <c r="M379" s="68">
        <f>E379-D379</f>
        <v>-357</v>
      </c>
      <c r="N379" s="73">
        <f>IF(D379=0,0,M379/D379)</f>
        <v>-0.1771712158808933</v>
      </c>
      <c r="O379" s="175"/>
      <c r="P379" s="183"/>
      <c r="Q379" s="183"/>
      <c r="R379" s="243"/>
      <c r="S379" s="243"/>
      <c r="T379" s="447"/>
      <c r="U379" s="447"/>
      <c r="V379" s="243"/>
      <c r="W379" s="566" t="s">
        <v>120</v>
      </c>
      <c r="X379" s="566"/>
      <c r="Y379" s="244"/>
      <c r="Z379" s="566"/>
      <c r="AA379" s="566"/>
      <c r="AB379" s="595"/>
      <c r="AC379" s="244"/>
      <c r="AD379" s="244">
        <f>SUM(AD380:AD385)</f>
        <v>1658000</v>
      </c>
      <c r="AE379" s="410" t="s">
        <v>25</v>
      </c>
      <c r="AF379" s="507"/>
      <c r="AG379" s="507"/>
      <c r="AH379" s="507"/>
    </row>
    <row r="380" spans="1:35" s="9" customFormat="1" ht="24" customHeight="1">
      <c r="A380" s="27"/>
      <c r="B380" s="27"/>
      <c r="C380" s="27" t="s">
        <v>273</v>
      </c>
      <c r="D380" s="86"/>
      <c r="E380" s="64"/>
      <c r="F380" s="64"/>
      <c r="G380" s="64"/>
      <c r="H380" s="64"/>
      <c r="I380" s="64"/>
      <c r="J380" s="64"/>
      <c r="K380" s="64"/>
      <c r="L380" s="64"/>
      <c r="M380" s="64"/>
      <c r="N380" s="43"/>
      <c r="O380" s="230" t="s">
        <v>627</v>
      </c>
      <c r="P380" s="230"/>
      <c r="Q380" s="230"/>
      <c r="R380" s="230"/>
      <c r="S380" s="332"/>
      <c r="T380" s="288"/>
      <c r="U380" s="288"/>
      <c r="V380" s="332"/>
      <c r="W380" s="288"/>
      <c r="X380" s="334"/>
      <c r="Y380" s="227"/>
      <c r="Z380" s="225"/>
      <c r="AA380" s="225"/>
      <c r="AB380" s="225" t="s">
        <v>137</v>
      </c>
      <c r="AC380" s="230"/>
      <c r="AD380" s="554">
        <v>1000000</v>
      </c>
      <c r="AE380" s="400" t="s">
        <v>55</v>
      </c>
      <c r="AF380" s="507"/>
      <c r="AG380" s="507"/>
      <c r="AH380" s="507"/>
    </row>
    <row r="381" spans="1:35" s="9" customFormat="1" ht="24" customHeight="1">
      <c r="A381" s="27"/>
      <c r="B381" s="27"/>
      <c r="C381" s="27"/>
      <c r="D381" s="86"/>
      <c r="E381" s="64"/>
      <c r="F381" s="64"/>
      <c r="G381" s="64"/>
      <c r="H381" s="64"/>
      <c r="I381" s="64"/>
      <c r="J381" s="64"/>
      <c r="K381" s="64"/>
      <c r="L381" s="64"/>
      <c r="M381" s="64"/>
      <c r="N381" s="43"/>
      <c r="O381" s="230"/>
      <c r="P381" s="230"/>
      <c r="Q381" s="230"/>
      <c r="R381" s="230"/>
      <c r="S381" s="332"/>
      <c r="T381" s="288"/>
      <c r="U381" s="288"/>
      <c r="V381" s="332"/>
      <c r="W381" s="288"/>
      <c r="X381" s="334"/>
      <c r="Y381" s="227"/>
      <c r="Z381" s="225"/>
      <c r="AA381" s="225"/>
      <c r="AB381" s="334" t="s">
        <v>215</v>
      </c>
      <c r="AC381" s="335"/>
      <c r="AD381" s="335"/>
      <c r="AE381" s="385" t="s">
        <v>55</v>
      </c>
      <c r="AF381" s="507"/>
      <c r="AG381" s="507"/>
      <c r="AH381" s="507"/>
    </row>
    <row r="382" spans="1:35" s="9" customFormat="1" ht="24" customHeight="1">
      <c r="A382" s="27"/>
      <c r="B382" s="27"/>
      <c r="C382" s="27"/>
      <c r="D382" s="86"/>
      <c r="E382" s="64"/>
      <c r="F382" s="64"/>
      <c r="G382" s="64"/>
      <c r="H382" s="64"/>
      <c r="I382" s="64"/>
      <c r="J382" s="64"/>
      <c r="K382" s="64"/>
      <c r="L382" s="64"/>
      <c r="M382" s="64"/>
      <c r="N382" s="43"/>
      <c r="O382" s="230"/>
      <c r="P382" s="230"/>
      <c r="Q382" s="230"/>
      <c r="R382" s="230"/>
      <c r="S382" s="332"/>
      <c r="T382" s="288"/>
      <c r="U382" s="288"/>
      <c r="V382" s="332"/>
      <c r="W382" s="288"/>
      <c r="X382" s="334"/>
      <c r="Y382" s="227"/>
      <c r="Z382" s="225"/>
      <c r="AA382" s="225"/>
      <c r="AB382" s="225"/>
      <c r="AC382" s="230"/>
      <c r="AD382" s="554"/>
      <c r="AE382" s="400"/>
      <c r="AF382" s="507"/>
      <c r="AG382" s="507"/>
      <c r="AH382" s="507"/>
    </row>
    <row r="383" spans="1:35" s="9" customFormat="1" ht="24" customHeight="1">
      <c r="A383" s="27"/>
      <c r="B383" s="27"/>
      <c r="C383" s="350"/>
      <c r="D383" s="89"/>
      <c r="E383" s="64"/>
      <c r="F383" s="64"/>
      <c r="G383" s="64"/>
      <c r="H383" s="64"/>
      <c r="I383" s="64"/>
      <c r="J383" s="64"/>
      <c r="K383" s="64"/>
      <c r="L383" s="64"/>
      <c r="M383" s="64"/>
      <c r="N383" s="43"/>
      <c r="O383" s="333" t="s">
        <v>714</v>
      </c>
      <c r="P383" s="333"/>
      <c r="Q383" s="333"/>
      <c r="R383" s="333"/>
      <c r="S383" s="333"/>
      <c r="T383" s="334"/>
      <c r="U383" s="334"/>
      <c r="V383" s="332"/>
      <c r="W383" s="334"/>
      <c r="X383" s="334"/>
      <c r="Y383" s="335"/>
      <c r="Z383" s="334"/>
      <c r="AA383" s="334"/>
      <c r="AB383" s="334" t="s">
        <v>215</v>
      </c>
      <c r="AC383" s="335"/>
      <c r="AD383" s="335">
        <v>458000</v>
      </c>
      <c r="AE383" s="385" t="s">
        <v>55</v>
      </c>
      <c r="AF383" s="507"/>
      <c r="AG383" s="507"/>
      <c r="AH383" s="507"/>
    </row>
    <row r="384" spans="1:35" s="9" customFormat="1" ht="24" customHeight="1">
      <c r="A384" s="27"/>
      <c r="B384" s="27"/>
      <c r="C384" s="350"/>
      <c r="D384" s="89"/>
      <c r="E384" s="64"/>
      <c r="F384" s="64"/>
      <c r="G384" s="64"/>
      <c r="H384" s="64"/>
      <c r="I384" s="64"/>
      <c r="J384" s="64"/>
      <c r="K384" s="64"/>
      <c r="L384" s="64"/>
      <c r="M384" s="64"/>
      <c r="N384" s="43"/>
      <c r="O384" s="333" t="s">
        <v>761</v>
      </c>
      <c r="P384" s="333"/>
      <c r="Q384" s="333"/>
      <c r="R384" s="333"/>
      <c r="S384" s="333"/>
      <c r="T384" s="334"/>
      <c r="U384" s="334"/>
      <c r="V384" s="332"/>
      <c r="W384" s="334"/>
      <c r="X384" s="334"/>
      <c r="Y384" s="335"/>
      <c r="Z384" s="334"/>
      <c r="AA384" s="334"/>
      <c r="AB384" s="334" t="s">
        <v>215</v>
      </c>
      <c r="AC384" s="335"/>
      <c r="AD384" s="335">
        <v>200000</v>
      </c>
      <c r="AE384" s="385" t="s">
        <v>55</v>
      </c>
      <c r="AF384" s="507"/>
      <c r="AG384" s="507"/>
      <c r="AH384" s="507"/>
    </row>
    <row r="385" spans="1:34" s="9" customFormat="1" ht="24" customHeight="1">
      <c r="A385" s="27"/>
      <c r="B385" s="27"/>
      <c r="C385" s="35"/>
      <c r="D385" s="87"/>
      <c r="E385" s="66"/>
      <c r="F385" s="66"/>
      <c r="G385" s="66"/>
      <c r="H385" s="66"/>
      <c r="I385" s="66"/>
      <c r="J385" s="66"/>
      <c r="K385" s="66"/>
      <c r="L385" s="66"/>
      <c r="M385" s="66"/>
      <c r="N385" s="52"/>
      <c r="O385" s="242"/>
      <c r="P385" s="242"/>
      <c r="Q385" s="242"/>
      <c r="R385" s="242"/>
      <c r="S385" s="575"/>
      <c r="T385" s="228"/>
      <c r="U385" s="228"/>
      <c r="V385" s="575"/>
      <c r="W385" s="228"/>
      <c r="X385" s="420"/>
      <c r="Y385" s="490"/>
      <c r="Z385" s="444"/>
      <c r="AA385" s="444"/>
      <c r="AB385" s="444"/>
      <c r="AC385" s="242"/>
      <c r="AD385" s="558"/>
      <c r="AE385" s="563"/>
      <c r="AF385" s="507"/>
      <c r="AG385" s="507"/>
      <c r="AH385" s="507"/>
    </row>
    <row r="386" spans="1:34" s="9" customFormat="1" ht="24" customHeight="1">
      <c r="A386" s="27"/>
      <c r="B386" s="27"/>
      <c r="C386" s="18" t="s">
        <v>198</v>
      </c>
      <c r="D386" s="88">
        <v>5620</v>
      </c>
      <c r="E386" s="68">
        <f>ROUND(AD386/1000,0)</f>
        <v>7220</v>
      </c>
      <c r="F386" s="69">
        <f>SUMIF($AB$387:$AB$391,"보조",$AD$387:$AD$391)/1000</f>
        <v>0</v>
      </c>
      <c r="G386" s="69">
        <f>SUMIF($AB$387:$AB$391,"6종",$AD$387:$AD$391)/1000</f>
        <v>0</v>
      </c>
      <c r="H386" s="69">
        <f>SUMIF($AB$387:$AB$391,"4종",$AD$387:$AD$391)/1000</f>
        <v>0</v>
      </c>
      <c r="I386" s="69">
        <f>SUMIF($AB$387:$AB$392,"후원",$AD$387:$AD$392)/1000</f>
        <v>7220</v>
      </c>
      <c r="J386" s="69">
        <f>SUMIF($AB$387:$AB$391,"입소",$AD$387:$AD$391)/1000</f>
        <v>0</v>
      </c>
      <c r="K386" s="69">
        <f>SUMIF($AB$387:$AB$391,"법인",$AD$387:$AD$391)/1000</f>
        <v>0</v>
      </c>
      <c r="L386" s="69">
        <f>SUMIF($AB$387:$AB$391,"잡수",$AD$387:$AD$391)/1000</f>
        <v>0</v>
      </c>
      <c r="M386" s="75">
        <f>E386-D386</f>
        <v>1600</v>
      </c>
      <c r="N386" s="73">
        <f>IF(D386=0,0,M386/D386)</f>
        <v>0.28469750889679718</v>
      </c>
      <c r="O386" s="175"/>
      <c r="P386" s="183"/>
      <c r="Q386" s="183"/>
      <c r="R386" s="243"/>
      <c r="S386" s="243"/>
      <c r="T386" s="447"/>
      <c r="U386" s="447"/>
      <c r="V386" s="243"/>
      <c r="W386" s="566" t="s">
        <v>120</v>
      </c>
      <c r="X386" s="566"/>
      <c r="Y386" s="244"/>
      <c r="Z386" s="566"/>
      <c r="AA386" s="566"/>
      <c r="AB386" s="595"/>
      <c r="AC386" s="244"/>
      <c r="AD386" s="244">
        <f>SUM(AD387:AD392)</f>
        <v>7220000</v>
      </c>
      <c r="AE386" s="410" t="s">
        <v>25</v>
      </c>
      <c r="AF386" s="507"/>
      <c r="AG386" s="507"/>
      <c r="AH386" s="507"/>
    </row>
    <row r="387" spans="1:34" s="9" customFormat="1" ht="24" customHeight="1">
      <c r="A387" s="27"/>
      <c r="B387" s="27"/>
      <c r="C387" s="27" t="s">
        <v>119</v>
      </c>
      <c r="D387" s="347"/>
      <c r="E387" s="345"/>
      <c r="F387" s="345"/>
      <c r="G387" s="345"/>
      <c r="H387" s="345"/>
      <c r="I387" s="345"/>
      <c r="J387" s="345"/>
      <c r="K387" s="345"/>
      <c r="L387" s="345"/>
      <c r="M387" s="64"/>
      <c r="N387" s="43"/>
      <c r="O387" s="333" t="s">
        <v>267</v>
      </c>
      <c r="P387" s="230"/>
      <c r="Q387" s="230"/>
      <c r="R387" s="230"/>
      <c r="S387" s="230"/>
      <c r="T387" s="225"/>
      <c r="U387" s="225"/>
      <c r="V387" s="222"/>
      <c r="W387" s="225"/>
      <c r="X387" s="225"/>
      <c r="Y387" s="227"/>
      <c r="Z387" s="225"/>
      <c r="AA387" s="225"/>
      <c r="AB387" s="225" t="s">
        <v>137</v>
      </c>
      <c r="AC387" s="230"/>
      <c r="AD387" s="554">
        <v>4600000</v>
      </c>
      <c r="AE387" s="400" t="s">
        <v>55</v>
      </c>
      <c r="AF387" s="507"/>
      <c r="AG387" s="507"/>
      <c r="AH387" s="507"/>
    </row>
    <row r="388" spans="1:34" s="9" customFormat="1" ht="24" customHeight="1">
      <c r="A388" s="27"/>
      <c r="B388" s="27"/>
      <c r="C388" s="27"/>
      <c r="D388" s="348"/>
      <c r="E388" s="346"/>
      <c r="F388" s="346"/>
      <c r="G388" s="346"/>
      <c r="H388" s="346"/>
      <c r="I388" s="346"/>
      <c r="J388" s="346"/>
      <c r="K388" s="346"/>
      <c r="L388" s="346"/>
      <c r="M388" s="64"/>
      <c r="N388" s="43"/>
      <c r="O388" s="333" t="s">
        <v>268</v>
      </c>
      <c r="P388" s="230"/>
      <c r="Q388" s="230"/>
      <c r="R388" s="230"/>
      <c r="S388" s="230"/>
      <c r="T388" s="225"/>
      <c r="U388" s="225"/>
      <c r="V388" s="222"/>
      <c r="W388" s="225" t="s">
        <v>214</v>
      </c>
      <c r="X388" s="225"/>
      <c r="Y388" s="227"/>
      <c r="Z388" s="225"/>
      <c r="AA388" s="225"/>
      <c r="AB388" s="225" t="s">
        <v>137</v>
      </c>
      <c r="AC388" s="230"/>
      <c r="AD388" s="554">
        <v>1320000</v>
      </c>
      <c r="AE388" s="400" t="s">
        <v>55</v>
      </c>
      <c r="AF388" s="507"/>
      <c r="AG388" s="507"/>
      <c r="AH388" s="507"/>
    </row>
    <row r="389" spans="1:34" s="9" customFormat="1" ht="24" customHeight="1">
      <c r="A389" s="27"/>
      <c r="B389" s="27"/>
      <c r="C389" s="27"/>
      <c r="D389" s="86"/>
      <c r="E389" s="64"/>
      <c r="F389" s="64"/>
      <c r="G389" s="64"/>
      <c r="H389" s="64"/>
      <c r="I389" s="64"/>
      <c r="J389" s="64"/>
      <c r="K389" s="64"/>
      <c r="L389" s="64"/>
      <c r="M389" s="64"/>
      <c r="N389" s="43"/>
      <c r="O389" s="333" t="s">
        <v>269</v>
      </c>
      <c r="P389" s="230"/>
      <c r="Q389" s="230"/>
      <c r="R389" s="230"/>
      <c r="S389" s="230"/>
      <c r="T389" s="225"/>
      <c r="U389" s="225"/>
      <c r="V389" s="222"/>
      <c r="W389" s="225"/>
      <c r="X389" s="225"/>
      <c r="Y389" s="227"/>
      <c r="Z389" s="225"/>
      <c r="AA389" s="225"/>
      <c r="AB389" s="225" t="s">
        <v>137</v>
      </c>
      <c r="AC389" s="230"/>
      <c r="AD389" s="554">
        <f>300000+10000</f>
        <v>310000</v>
      </c>
      <c r="AE389" s="400" t="s">
        <v>55</v>
      </c>
      <c r="AF389" s="507"/>
      <c r="AG389" s="507"/>
      <c r="AH389" s="507"/>
    </row>
    <row r="390" spans="1:34" s="9" customFormat="1" ht="24" customHeight="1">
      <c r="A390" s="27"/>
      <c r="B390" s="27"/>
      <c r="C390" s="27"/>
      <c r="D390" s="86"/>
      <c r="E390" s="64"/>
      <c r="F390" s="64"/>
      <c r="G390" s="64"/>
      <c r="H390" s="64"/>
      <c r="I390" s="64"/>
      <c r="J390" s="64"/>
      <c r="K390" s="64"/>
      <c r="L390" s="64"/>
      <c r="M390" s="64"/>
      <c r="N390" s="43"/>
      <c r="O390" s="333" t="s">
        <v>270</v>
      </c>
      <c r="P390" s="230"/>
      <c r="Q390" s="230"/>
      <c r="R390" s="230"/>
      <c r="S390" s="230"/>
      <c r="T390" s="225"/>
      <c r="U390" s="225"/>
      <c r="V390" s="222"/>
      <c r="W390" s="225"/>
      <c r="X390" s="225"/>
      <c r="Y390" s="227"/>
      <c r="Z390" s="225"/>
      <c r="AA390" s="225"/>
      <c r="AB390" s="225" t="s">
        <v>137</v>
      </c>
      <c r="AC390" s="230"/>
      <c r="AD390" s="554">
        <f>1000000-10000</f>
        <v>990000</v>
      </c>
      <c r="AE390" s="400" t="s">
        <v>55</v>
      </c>
      <c r="AF390" s="507"/>
      <c r="AG390" s="507"/>
      <c r="AH390" s="507"/>
    </row>
    <row r="391" spans="1:34" s="9" customFormat="1" ht="24" customHeight="1">
      <c r="A391" s="27"/>
      <c r="B391" s="27"/>
      <c r="C391" s="27"/>
      <c r="D391" s="86"/>
      <c r="E391" s="64"/>
      <c r="F391" s="64"/>
      <c r="G391" s="64"/>
      <c r="H391" s="64"/>
      <c r="I391" s="64"/>
      <c r="J391" s="64"/>
      <c r="K391" s="64"/>
      <c r="L391" s="64"/>
      <c r="M391" s="64"/>
      <c r="N391" s="43"/>
      <c r="O391" s="333" t="s">
        <v>271</v>
      </c>
      <c r="P391" s="333"/>
      <c r="Q391" s="333"/>
      <c r="R391" s="333"/>
      <c r="S391" s="333"/>
      <c r="T391" s="334"/>
      <c r="U391" s="334"/>
      <c r="V391" s="332"/>
      <c r="W391" s="334"/>
      <c r="X391" s="334"/>
      <c r="Y391" s="335"/>
      <c r="Z391" s="334"/>
      <c r="AA391" s="334"/>
      <c r="AB391" s="334" t="s">
        <v>137</v>
      </c>
      <c r="AC391" s="335"/>
      <c r="AD391" s="317">
        <v>0</v>
      </c>
      <c r="AE391" s="385" t="s">
        <v>55</v>
      </c>
      <c r="AF391" s="507"/>
      <c r="AG391" s="507"/>
      <c r="AH391" s="507"/>
    </row>
    <row r="392" spans="1:34" s="9" customFormat="1" ht="24" customHeight="1">
      <c r="A392" s="27"/>
      <c r="B392" s="27"/>
      <c r="C392" s="35"/>
      <c r="D392" s="87"/>
      <c r="E392" s="66"/>
      <c r="F392" s="66"/>
      <c r="G392" s="66"/>
      <c r="H392" s="66"/>
      <c r="I392" s="66"/>
      <c r="J392" s="66"/>
      <c r="K392" s="66"/>
      <c r="L392" s="66"/>
      <c r="M392" s="66"/>
      <c r="N392" s="52"/>
      <c r="O392" s="173"/>
      <c r="P392" s="576"/>
      <c r="Q392" s="576"/>
      <c r="R392" s="576"/>
      <c r="S392" s="576"/>
      <c r="T392" s="420"/>
      <c r="U392" s="420"/>
      <c r="V392" s="575"/>
      <c r="W392" s="420"/>
      <c r="X392" s="420"/>
      <c r="Y392" s="231"/>
      <c r="Z392" s="420"/>
      <c r="AA392" s="420"/>
      <c r="AB392" s="420"/>
      <c r="AC392" s="231"/>
      <c r="AD392" s="557"/>
      <c r="AE392" s="405"/>
      <c r="AF392" s="507"/>
      <c r="AG392" s="507"/>
      <c r="AH392" s="507"/>
    </row>
    <row r="393" spans="1:34" s="9" customFormat="1" ht="24" customHeight="1">
      <c r="A393" s="27"/>
      <c r="B393" s="27"/>
      <c r="C393" s="18" t="s">
        <v>199</v>
      </c>
      <c r="D393" s="88">
        <v>3720</v>
      </c>
      <c r="E393" s="68">
        <f>ROUND(AD393/1000,0)</f>
        <v>5365</v>
      </c>
      <c r="F393" s="69">
        <f>SUMIF($AB$394:$AB$402,"보조",$AD$394:$AD$402)/1000</f>
        <v>0</v>
      </c>
      <c r="G393" s="69">
        <f>SUMIF($AB$394:$AB$402,"6종",$AD$394:$AD$402)/1000</f>
        <v>0</v>
      </c>
      <c r="H393" s="69">
        <f>SUMIF($AB$394:$AB$402,"4종",$AD$394:$AD$402)/1000</f>
        <v>0</v>
      </c>
      <c r="I393" s="69">
        <f>SUMIF($AB$394:$AB$402,"후원",$AD$394:$AD$402)/1000</f>
        <v>5365</v>
      </c>
      <c r="J393" s="69">
        <f>SUMIF($AB$394:$AB$402,"입소",$AD$394:$AD$402)/1000</f>
        <v>0</v>
      </c>
      <c r="K393" s="69">
        <f>SUMIF($AB$394:$AB$402,"법인",$AD$394:$AD$402)/1000</f>
        <v>0</v>
      </c>
      <c r="L393" s="69">
        <f>SUMIF($AB$394:$AB$402,"잡수",$AD$394:$AD$402)/1000</f>
        <v>0</v>
      </c>
      <c r="M393" s="75">
        <f>E393-D393</f>
        <v>1645</v>
      </c>
      <c r="N393" s="73">
        <f>IF(D393=0,0,M393/D393)</f>
        <v>0.44220430107526881</v>
      </c>
      <c r="O393" s="186"/>
      <c r="P393" s="183"/>
      <c r="Q393" s="183"/>
      <c r="R393" s="243"/>
      <c r="S393" s="243"/>
      <c r="T393" s="447"/>
      <c r="U393" s="447"/>
      <c r="V393" s="243"/>
      <c r="W393" s="566" t="s">
        <v>120</v>
      </c>
      <c r="X393" s="566"/>
      <c r="Y393" s="244"/>
      <c r="Z393" s="566"/>
      <c r="AA393" s="566"/>
      <c r="AB393" s="595"/>
      <c r="AC393" s="244"/>
      <c r="AD393" s="244">
        <f>SUM(AD394:AD402)</f>
        <v>5365000</v>
      </c>
      <c r="AE393" s="410" t="s">
        <v>25</v>
      </c>
      <c r="AF393" s="507"/>
      <c r="AG393" s="507"/>
      <c r="AH393" s="507"/>
    </row>
    <row r="394" spans="1:34" s="9" customFormat="1" ht="24" customHeight="1">
      <c r="A394" s="27"/>
      <c r="B394" s="27"/>
      <c r="C394" s="27" t="s">
        <v>119</v>
      </c>
      <c r="D394" s="347"/>
      <c r="E394" s="345"/>
      <c r="F394" s="345"/>
      <c r="G394" s="345"/>
      <c r="H394" s="345"/>
      <c r="I394" s="345"/>
      <c r="J394" s="345"/>
      <c r="K394" s="345"/>
      <c r="L394" s="345"/>
      <c r="M394" s="64"/>
      <c r="N394" s="43"/>
      <c r="O394" s="333" t="s">
        <v>722</v>
      </c>
      <c r="P394" s="229"/>
      <c r="Q394" s="229"/>
      <c r="R394" s="226"/>
      <c r="S394" s="226"/>
      <c r="T394" s="439"/>
      <c r="U394" s="439"/>
      <c r="V394" s="226"/>
      <c r="W394" s="334"/>
      <c r="X394" s="334"/>
      <c r="Y394" s="335"/>
      <c r="Z394" s="334"/>
      <c r="AA394" s="334"/>
      <c r="AB394" s="334" t="s">
        <v>137</v>
      </c>
      <c r="AC394" s="335"/>
      <c r="AD394" s="335">
        <v>3075000</v>
      </c>
      <c r="AE394" s="385" t="s">
        <v>55</v>
      </c>
      <c r="AF394" s="507"/>
      <c r="AG394" s="507"/>
      <c r="AH394" s="507"/>
    </row>
    <row r="395" spans="1:34" s="9" customFormat="1" ht="24" customHeight="1">
      <c r="A395" s="27"/>
      <c r="B395" s="27"/>
      <c r="C395" s="27"/>
      <c r="D395" s="348"/>
      <c r="E395" s="346"/>
      <c r="F395" s="346"/>
      <c r="G395" s="346"/>
      <c r="H395" s="346"/>
      <c r="I395" s="346"/>
      <c r="J395" s="346"/>
      <c r="K395" s="346"/>
      <c r="L395" s="346"/>
      <c r="M395" s="64"/>
      <c r="N395" s="43"/>
      <c r="O395" s="333" t="s">
        <v>723</v>
      </c>
      <c r="P395" s="229"/>
      <c r="Q395" s="229"/>
      <c r="R395" s="226"/>
      <c r="S395" s="226"/>
      <c r="T395" s="439"/>
      <c r="U395" s="439"/>
      <c r="V395" s="226"/>
      <c r="W395" s="334"/>
      <c r="X395" s="334"/>
      <c r="Y395" s="335"/>
      <c r="Z395" s="334"/>
      <c r="AA395" s="334"/>
      <c r="AB395" s="334" t="s">
        <v>137</v>
      </c>
      <c r="AC395" s="335"/>
      <c r="AD395" s="335">
        <v>560000</v>
      </c>
      <c r="AE395" s="385" t="s">
        <v>55</v>
      </c>
      <c r="AF395" s="507"/>
      <c r="AG395" s="507"/>
      <c r="AH395" s="507"/>
    </row>
    <row r="396" spans="1:34" s="9" customFormat="1" ht="24" customHeight="1">
      <c r="A396" s="27"/>
      <c r="B396" s="27"/>
      <c r="C396" s="27"/>
      <c r="D396" s="86"/>
      <c r="E396" s="64"/>
      <c r="F396" s="64"/>
      <c r="G396" s="64"/>
      <c r="H396" s="64"/>
      <c r="I396" s="64"/>
      <c r="J396" s="64"/>
      <c r="K396" s="64"/>
      <c r="L396" s="64"/>
      <c r="M396" s="64"/>
      <c r="N396" s="43"/>
      <c r="O396" s="333" t="s">
        <v>724</v>
      </c>
      <c r="P396" s="229"/>
      <c r="Q396" s="229"/>
      <c r="R396" s="226"/>
      <c r="S396" s="226"/>
      <c r="T396" s="439"/>
      <c r="U396" s="439"/>
      <c r="V396" s="226"/>
      <c r="W396" s="334"/>
      <c r="X396" s="334"/>
      <c r="Y396" s="335"/>
      <c r="Z396" s="334"/>
      <c r="AA396" s="334"/>
      <c r="AB396" s="334" t="s">
        <v>137</v>
      </c>
      <c r="AC396" s="335"/>
      <c r="AD396" s="335">
        <v>280000</v>
      </c>
      <c r="AE396" s="385" t="s">
        <v>55</v>
      </c>
      <c r="AF396" s="507"/>
      <c r="AG396" s="507"/>
      <c r="AH396" s="507"/>
    </row>
    <row r="397" spans="1:34" s="9" customFormat="1" ht="21" customHeight="1">
      <c r="A397" s="27"/>
      <c r="B397" s="27"/>
      <c r="C397" s="27"/>
      <c r="D397" s="86"/>
      <c r="E397" s="64"/>
      <c r="F397" s="64"/>
      <c r="G397" s="64"/>
      <c r="H397" s="64"/>
      <c r="I397" s="64"/>
      <c r="J397" s="64"/>
      <c r="K397" s="64"/>
      <c r="L397" s="64"/>
      <c r="M397" s="64"/>
      <c r="N397" s="43"/>
      <c r="O397" s="333" t="s">
        <v>725</v>
      </c>
      <c r="P397" s="229"/>
      <c r="Q397" s="229"/>
      <c r="R397" s="226"/>
      <c r="S397" s="226"/>
      <c r="T397" s="439"/>
      <c r="U397" s="439"/>
      <c r="V397" s="226"/>
      <c r="W397" s="334"/>
      <c r="X397" s="334"/>
      <c r="Y397" s="335"/>
      <c r="Z397" s="334"/>
      <c r="AA397" s="334"/>
      <c r="AB397" s="334" t="s">
        <v>137</v>
      </c>
      <c r="AC397" s="335"/>
      <c r="AD397" s="335">
        <v>240000</v>
      </c>
      <c r="AE397" s="385" t="s">
        <v>55</v>
      </c>
      <c r="AF397" s="507"/>
      <c r="AG397" s="507"/>
      <c r="AH397" s="507"/>
    </row>
    <row r="398" spans="1:34" s="9" customFormat="1" ht="21" customHeight="1">
      <c r="A398" s="27"/>
      <c r="B398" s="27"/>
      <c r="C398" s="27"/>
      <c r="D398" s="86"/>
      <c r="E398" s="64"/>
      <c r="F398" s="64"/>
      <c r="G398" s="64"/>
      <c r="H398" s="64"/>
      <c r="I398" s="64"/>
      <c r="J398" s="64"/>
      <c r="K398" s="64"/>
      <c r="L398" s="64"/>
      <c r="M398" s="64"/>
      <c r="N398" s="43"/>
      <c r="O398" s="333" t="s">
        <v>726</v>
      </c>
      <c r="P398" s="229"/>
      <c r="Q398" s="229"/>
      <c r="R398" s="226"/>
      <c r="S398" s="226"/>
      <c r="T398" s="439"/>
      <c r="U398" s="439"/>
      <c r="V398" s="226"/>
      <c r="W398" s="334"/>
      <c r="X398" s="334"/>
      <c r="Y398" s="335"/>
      <c r="Z398" s="334"/>
      <c r="AA398" s="334"/>
      <c r="AB398" s="334" t="s">
        <v>137</v>
      </c>
      <c r="AC398" s="335"/>
      <c r="AD398" s="335">
        <v>250000</v>
      </c>
      <c r="AE398" s="385" t="s">
        <v>55</v>
      </c>
      <c r="AF398" s="509"/>
      <c r="AG398" s="509"/>
      <c r="AH398" s="509"/>
    </row>
    <row r="399" spans="1:34" s="9" customFormat="1" ht="21" customHeight="1">
      <c r="A399" s="27"/>
      <c r="B399" s="27"/>
      <c r="C399" s="27"/>
      <c r="D399" s="86"/>
      <c r="E399" s="64"/>
      <c r="F399" s="64"/>
      <c r="G399" s="64"/>
      <c r="H399" s="64"/>
      <c r="I399" s="64"/>
      <c r="J399" s="64"/>
      <c r="K399" s="64"/>
      <c r="L399" s="64"/>
      <c r="M399" s="64"/>
      <c r="N399" s="43"/>
      <c r="O399" s="333" t="s">
        <v>727</v>
      </c>
      <c r="P399" s="229"/>
      <c r="Q399" s="229"/>
      <c r="R399" s="226"/>
      <c r="S399" s="226"/>
      <c r="T399" s="439"/>
      <c r="U399" s="439"/>
      <c r="V399" s="226"/>
      <c r="W399" s="334"/>
      <c r="X399" s="334"/>
      <c r="Y399" s="335"/>
      <c r="Z399" s="334"/>
      <c r="AA399" s="334"/>
      <c r="AB399" s="334" t="s">
        <v>137</v>
      </c>
      <c r="AC399" s="335"/>
      <c r="AD399" s="335">
        <v>180000</v>
      </c>
      <c r="AE399" s="385" t="s">
        <v>55</v>
      </c>
      <c r="AF399" s="507"/>
      <c r="AG399" s="507"/>
      <c r="AH399" s="507"/>
    </row>
    <row r="400" spans="1:34" s="9" customFormat="1" ht="21" customHeight="1">
      <c r="A400" s="27"/>
      <c r="B400" s="27"/>
      <c r="C400" s="27"/>
      <c r="D400" s="86"/>
      <c r="E400" s="64"/>
      <c r="F400" s="64"/>
      <c r="G400" s="64"/>
      <c r="H400" s="64"/>
      <c r="I400" s="64"/>
      <c r="J400" s="64"/>
      <c r="K400" s="64"/>
      <c r="L400" s="64"/>
      <c r="M400" s="64"/>
      <c r="N400" s="43"/>
      <c r="O400" s="172" t="s">
        <v>728</v>
      </c>
      <c r="P400" s="229"/>
      <c r="Q400" s="229"/>
      <c r="R400" s="226"/>
      <c r="S400" s="226"/>
      <c r="T400" s="439"/>
      <c r="U400" s="439"/>
      <c r="V400" s="226"/>
      <c r="W400" s="334"/>
      <c r="X400" s="334"/>
      <c r="Y400" s="335"/>
      <c r="Z400" s="334"/>
      <c r="AA400" s="334"/>
      <c r="AB400" s="334" t="s">
        <v>137</v>
      </c>
      <c r="AC400" s="335"/>
      <c r="AD400" s="335">
        <v>144000</v>
      </c>
      <c r="AE400" s="385" t="s">
        <v>55</v>
      </c>
      <c r="AF400" s="507"/>
      <c r="AG400" s="507"/>
      <c r="AH400" s="507"/>
    </row>
    <row r="401" spans="1:34" s="9" customFormat="1" ht="21" customHeight="1">
      <c r="A401" s="27"/>
      <c r="B401" s="27"/>
      <c r="C401" s="27"/>
      <c r="D401" s="86"/>
      <c r="E401" s="64"/>
      <c r="F401" s="64"/>
      <c r="G401" s="64"/>
      <c r="H401" s="64"/>
      <c r="I401" s="64"/>
      <c r="J401" s="64"/>
      <c r="K401" s="64"/>
      <c r="L401" s="64"/>
      <c r="M401" s="64"/>
      <c r="N401" s="43"/>
      <c r="O401" s="333" t="s">
        <v>838</v>
      </c>
      <c r="P401" s="229"/>
      <c r="Q401" s="229"/>
      <c r="R401" s="226"/>
      <c r="S401" s="226"/>
      <c r="T401" s="439"/>
      <c r="U401" s="439"/>
      <c r="V401" s="226"/>
      <c r="W401" s="334"/>
      <c r="X401" s="334"/>
      <c r="Y401" s="335"/>
      <c r="Z401" s="334"/>
      <c r="AA401" s="334"/>
      <c r="AB401" s="334" t="s">
        <v>827</v>
      </c>
      <c r="AC401" s="335"/>
      <c r="AD401" s="335">
        <v>576000</v>
      </c>
      <c r="AE401" s="385" t="s">
        <v>25</v>
      </c>
      <c r="AF401" s="507"/>
      <c r="AG401" s="507"/>
      <c r="AH401" s="507"/>
    </row>
    <row r="402" spans="1:34" s="7" customFormat="1" ht="21" customHeight="1">
      <c r="A402" s="27"/>
      <c r="B402" s="27"/>
      <c r="C402" s="35"/>
      <c r="D402" s="87"/>
      <c r="E402" s="66"/>
      <c r="F402" s="66"/>
      <c r="G402" s="66"/>
      <c r="H402" s="66"/>
      <c r="I402" s="66"/>
      <c r="J402" s="66"/>
      <c r="K402" s="66"/>
      <c r="L402" s="66"/>
      <c r="M402" s="66"/>
      <c r="N402" s="52"/>
      <c r="O402" s="576" t="s">
        <v>839</v>
      </c>
      <c r="P402" s="177"/>
      <c r="Q402" s="177"/>
      <c r="R402" s="448"/>
      <c r="S402" s="448"/>
      <c r="T402" s="449"/>
      <c r="U402" s="449"/>
      <c r="V402" s="448"/>
      <c r="W402" s="420"/>
      <c r="X402" s="420"/>
      <c r="Y402" s="231"/>
      <c r="Z402" s="420"/>
      <c r="AA402" s="420"/>
      <c r="AB402" s="420" t="s">
        <v>650</v>
      </c>
      <c r="AC402" s="231"/>
      <c r="AD402" s="231">
        <v>60000</v>
      </c>
      <c r="AE402" s="385" t="s">
        <v>651</v>
      </c>
      <c r="AF402" s="505"/>
      <c r="AG402" s="505"/>
      <c r="AH402" s="505"/>
    </row>
    <row r="403" spans="1:34" s="7" customFormat="1" ht="21" customHeight="1">
      <c r="A403" s="17" t="s">
        <v>82</v>
      </c>
      <c r="B403" s="657" t="s">
        <v>20</v>
      </c>
      <c r="C403" s="658"/>
      <c r="D403" s="96">
        <f>D404</f>
        <v>0</v>
      </c>
      <c r="E403" s="96">
        <f>E404</f>
        <v>0</v>
      </c>
      <c r="F403" s="96">
        <f t="shared" ref="F403:L403" si="20">F404</f>
        <v>0</v>
      </c>
      <c r="G403" s="96">
        <f t="shared" si="20"/>
        <v>0</v>
      </c>
      <c r="H403" s="96">
        <f t="shared" si="20"/>
        <v>0</v>
      </c>
      <c r="I403" s="96">
        <f t="shared" si="20"/>
        <v>0</v>
      </c>
      <c r="J403" s="96">
        <f t="shared" si="20"/>
        <v>0</v>
      </c>
      <c r="K403" s="96">
        <f t="shared" si="20"/>
        <v>0</v>
      </c>
      <c r="L403" s="96">
        <f t="shared" si="20"/>
        <v>0</v>
      </c>
      <c r="M403" s="96">
        <f>E403-D403</f>
        <v>0</v>
      </c>
      <c r="N403" s="97">
        <f>IF(D403=0,0,M403/D403)</f>
        <v>0</v>
      </c>
      <c r="O403" s="572" t="s">
        <v>82</v>
      </c>
      <c r="P403" s="572"/>
      <c r="Q403" s="572"/>
      <c r="R403" s="572"/>
      <c r="S403" s="571"/>
      <c r="T403" s="441"/>
      <c r="U403" s="441"/>
      <c r="V403" s="571"/>
      <c r="W403" s="441"/>
      <c r="X403" s="441"/>
      <c r="Y403" s="185"/>
      <c r="Z403" s="441"/>
      <c r="AA403" s="441"/>
      <c r="AB403" s="441"/>
      <c r="AC403" s="571"/>
      <c r="AD403" s="596">
        <f>SUM(AD404)</f>
        <v>0</v>
      </c>
      <c r="AE403" s="477" t="s">
        <v>25</v>
      </c>
      <c r="AF403" s="505"/>
      <c r="AG403" s="505"/>
      <c r="AH403" s="505"/>
    </row>
    <row r="404" spans="1:34" ht="21" customHeight="1">
      <c r="A404" s="26"/>
      <c r="B404" s="27" t="s">
        <v>82</v>
      </c>
      <c r="C404" s="27" t="s">
        <v>82</v>
      </c>
      <c r="D404" s="86">
        <v>0</v>
      </c>
      <c r="E404" s="64">
        <f>AD404/1000</f>
        <v>0</v>
      </c>
      <c r="F404" s="69">
        <f>SUMIF($AB$405:$AB$405,"보조",$AD$405:$AD$405)/1000</f>
        <v>0</v>
      </c>
      <c r="G404" s="69">
        <f>SUMIF($AB$405:$AB$405,"6종",$AD$405:$AD$405)/1000</f>
        <v>0</v>
      </c>
      <c r="H404" s="69">
        <f>SUMIF($AB$405:$AB$405,"4종",$AD$405:$AD$405)/1000</f>
        <v>0</v>
      </c>
      <c r="I404" s="69">
        <f>SUMIF($AB$405:$AB$405,"후원",$AD$405:$AD$405)/1000</f>
        <v>0</v>
      </c>
      <c r="J404" s="69">
        <f>SUMIF($AB$405:$AB$405,"입소",$AD$405:$AD$405)/1000</f>
        <v>0</v>
      </c>
      <c r="K404" s="69">
        <f>SUMIF($AB$405:$AB$405,"법인",$AD$405:$AD$405)/1000</f>
        <v>0</v>
      </c>
      <c r="L404" s="69">
        <f>SUMIF($AB$405:$AB$405,"잡수",$AD$405:$AD$405)/1000</f>
        <v>0</v>
      </c>
      <c r="M404" s="64">
        <f>E404-D404</f>
        <v>0</v>
      </c>
      <c r="N404" s="43">
        <f>IF(D404=0,0,M404/D404)</f>
        <v>0</v>
      </c>
      <c r="O404" s="177" t="s">
        <v>83</v>
      </c>
      <c r="P404" s="229"/>
      <c r="Q404" s="229"/>
      <c r="R404" s="229"/>
      <c r="S404" s="229"/>
      <c r="T404" s="438"/>
      <c r="U404" s="438"/>
      <c r="V404" s="363"/>
      <c r="W404" s="438"/>
      <c r="X404" s="438"/>
      <c r="Y404" s="185" t="s">
        <v>127</v>
      </c>
      <c r="Z404" s="442"/>
      <c r="AA404" s="442"/>
      <c r="AB404" s="442"/>
      <c r="AC404" s="365"/>
      <c r="AD404" s="365">
        <v>0</v>
      </c>
      <c r="AE404" s="403" t="s">
        <v>25</v>
      </c>
    </row>
    <row r="405" spans="1:34" s="7" customFormat="1" ht="21" customHeight="1">
      <c r="A405" s="34"/>
      <c r="B405" s="35"/>
      <c r="C405" s="35"/>
      <c r="D405" s="87"/>
      <c r="E405" s="66"/>
      <c r="F405" s="66"/>
      <c r="G405" s="66"/>
      <c r="H405" s="66"/>
      <c r="I405" s="66"/>
      <c r="J405" s="66"/>
      <c r="K405" s="66"/>
      <c r="L405" s="66"/>
      <c r="M405" s="66"/>
      <c r="N405" s="52"/>
      <c r="O405" s="576"/>
      <c r="P405" s="576"/>
      <c r="Q405" s="576"/>
      <c r="R405" s="576"/>
      <c r="S405" s="576"/>
      <c r="T405" s="228"/>
      <c r="U405" s="228"/>
      <c r="V405" s="576"/>
      <c r="W405" s="228"/>
      <c r="X405" s="228"/>
      <c r="Y405" s="486"/>
      <c r="Z405" s="228"/>
      <c r="AA405" s="228"/>
      <c r="AB405" s="228"/>
      <c r="AC405" s="576"/>
      <c r="AD405" s="598"/>
      <c r="AE405" s="564"/>
      <c r="AF405" s="505"/>
      <c r="AG405" s="505"/>
      <c r="AH405" s="505"/>
    </row>
    <row r="406" spans="1:34" s="7" customFormat="1" ht="21" customHeight="1">
      <c r="A406" s="26" t="s">
        <v>21</v>
      </c>
      <c r="B406" s="652" t="s">
        <v>20</v>
      </c>
      <c r="C406" s="653"/>
      <c r="D406" s="66">
        <f t="shared" ref="D406:L406" si="21">SUM(D407,D413)</f>
        <v>9912</v>
      </c>
      <c r="E406" s="66">
        <f t="shared" si="21"/>
        <v>290</v>
      </c>
      <c r="F406" s="66">
        <f t="shared" si="21"/>
        <v>255</v>
      </c>
      <c r="G406" s="66">
        <f t="shared" si="21"/>
        <v>30</v>
      </c>
      <c r="H406" s="66">
        <f t="shared" si="21"/>
        <v>5</v>
      </c>
      <c r="I406" s="66">
        <f t="shared" si="21"/>
        <v>0</v>
      </c>
      <c r="J406" s="66">
        <f t="shared" si="21"/>
        <v>0</v>
      </c>
      <c r="K406" s="66">
        <f t="shared" si="21"/>
        <v>0</v>
      </c>
      <c r="L406" s="66">
        <f t="shared" si="21"/>
        <v>0</v>
      </c>
      <c r="M406" s="66">
        <f>E406-D406</f>
        <v>-9622</v>
      </c>
      <c r="N406" s="52">
        <f>IF(D406=0,0,M406/D406)</f>
        <v>-0.97074253430185631</v>
      </c>
      <c r="O406" s="366" t="s">
        <v>21</v>
      </c>
      <c r="P406" s="177"/>
      <c r="Q406" s="177"/>
      <c r="R406" s="177"/>
      <c r="S406" s="364"/>
      <c r="T406" s="442"/>
      <c r="U406" s="442"/>
      <c r="V406" s="364"/>
      <c r="W406" s="442"/>
      <c r="X406" s="442"/>
      <c r="Y406" s="365"/>
      <c r="Z406" s="442"/>
      <c r="AA406" s="442"/>
      <c r="AB406" s="442"/>
      <c r="AC406" s="364"/>
      <c r="AD406" s="364">
        <f>SUM(AD407,AD413)</f>
        <v>290000</v>
      </c>
      <c r="AE406" s="403" t="s">
        <v>25</v>
      </c>
      <c r="AF406" s="505"/>
      <c r="AG406" s="505"/>
      <c r="AH406" s="505"/>
    </row>
    <row r="407" spans="1:34" s="7" customFormat="1" ht="21" customHeight="1">
      <c r="A407" s="26"/>
      <c r="B407" s="27" t="s">
        <v>21</v>
      </c>
      <c r="C407" s="27" t="s">
        <v>21</v>
      </c>
      <c r="D407" s="64">
        <v>0</v>
      </c>
      <c r="E407" s="64">
        <f>SUM(F407:L407)</f>
        <v>0</v>
      </c>
      <c r="F407" s="69">
        <f>SUMIF($AB$407:$AB$412,"보조",$AD$407:$AD$412)/1000</f>
        <v>0</v>
      </c>
      <c r="G407" s="69">
        <f>SUMIF($AB$407:$AB$412,"6종",$AD$407:$AD$412)/1000</f>
        <v>0</v>
      </c>
      <c r="H407" s="69">
        <f>SUMIF($AB$407:$AB$412,"4종",$AD$407:$AD$412)/1000</f>
        <v>0</v>
      </c>
      <c r="I407" s="69">
        <f>SUMIF($AB$407:$AB$412,"후원",$AD$407:$AD$412)/1000</f>
        <v>0</v>
      </c>
      <c r="J407" s="69">
        <f>SUMIF($AB$407:$AB$412,"입소",$AD$407:$AD$412)/1000</f>
        <v>0</v>
      </c>
      <c r="K407" s="69">
        <f>SUMIF($AB$407:$AB$412,"법인",$AD$407:$AD$412)/1000</f>
        <v>0</v>
      </c>
      <c r="L407" s="69">
        <f>SUMIF($AB$407:$AB$412,"잡수",$AD$407:$AD$412)/1000</f>
        <v>0</v>
      </c>
      <c r="M407" s="64">
        <f>E407-D407</f>
        <v>0</v>
      </c>
      <c r="N407" s="43">
        <f>IF(D407=0,0,M407/D407)</f>
        <v>0</v>
      </c>
      <c r="O407" s="177" t="s">
        <v>52</v>
      </c>
      <c r="P407" s="229"/>
      <c r="Q407" s="229"/>
      <c r="R407" s="229"/>
      <c r="S407" s="229"/>
      <c r="T407" s="438"/>
      <c r="U407" s="438"/>
      <c r="V407" s="363"/>
      <c r="W407" s="438"/>
      <c r="X407" s="438"/>
      <c r="Y407" s="185" t="s">
        <v>127</v>
      </c>
      <c r="Z407" s="442"/>
      <c r="AA407" s="442"/>
      <c r="AB407" s="442"/>
      <c r="AC407" s="365"/>
      <c r="AD407" s="365">
        <f>SUM(AD408:AD411)</f>
        <v>0</v>
      </c>
      <c r="AE407" s="403" t="s">
        <v>25</v>
      </c>
      <c r="AF407" s="505"/>
      <c r="AG407" s="505"/>
      <c r="AH407" s="505"/>
    </row>
    <row r="408" spans="1:34" s="7" customFormat="1" ht="21" customHeight="1">
      <c r="A408" s="26"/>
      <c r="B408" s="27"/>
      <c r="C408" s="27"/>
      <c r="D408" s="86"/>
      <c r="E408" s="64"/>
      <c r="F408" s="64"/>
      <c r="G408" s="64"/>
      <c r="H408" s="64"/>
      <c r="I408" s="64"/>
      <c r="J408" s="64"/>
      <c r="K408" s="64"/>
      <c r="L408" s="64"/>
      <c r="M408" s="64"/>
      <c r="N408" s="43"/>
      <c r="O408" s="333" t="s">
        <v>200</v>
      </c>
      <c r="P408" s="333"/>
      <c r="Q408" s="333"/>
      <c r="R408" s="333"/>
      <c r="S408" s="333"/>
      <c r="T408" s="334"/>
      <c r="U408" s="334"/>
      <c r="V408" s="332"/>
      <c r="W408" s="334"/>
      <c r="X408" s="334"/>
      <c r="Y408" s="335"/>
      <c r="Z408" s="334"/>
      <c r="AA408" s="334"/>
      <c r="AB408" s="334" t="s">
        <v>215</v>
      </c>
      <c r="AC408" s="335"/>
      <c r="AD408" s="335">
        <v>0</v>
      </c>
      <c r="AE408" s="385" t="s">
        <v>55</v>
      </c>
      <c r="AF408" s="505"/>
      <c r="AG408" s="505"/>
      <c r="AH408" s="505"/>
    </row>
    <row r="409" spans="1:34" s="7" customFormat="1" ht="21" customHeight="1">
      <c r="A409" s="26"/>
      <c r="B409" s="27"/>
      <c r="C409" s="27"/>
      <c r="D409" s="86"/>
      <c r="E409" s="64"/>
      <c r="F409" s="64"/>
      <c r="G409" s="64"/>
      <c r="H409" s="64"/>
      <c r="I409" s="64"/>
      <c r="J409" s="64"/>
      <c r="K409" s="64"/>
      <c r="L409" s="64"/>
      <c r="M409" s="64"/>
      <c r="N409" s="43"/>
      <c r="O409" s="333" t="s">
        <v>201</v>
      </c>
      <c r="P409" s="333"/>
      <c r="Q409" s="333"/>
      <c r="R409" s="333"/>
      <c r="S409" s="333"/>
      <c r="T409" s="334"/>
      <c r="U409" s="334"/>
      <c r="V409" s="332"/>
      <c r="W409" s="334"/>
      <c r="X409" s="334"/>
      <c r="Y409" s="335"/>
      <c r="Z409" s="334"/>
      <c r="AA409" s="334"/>
      <c r="AB409" s="334" t="s">
        <v>137</v>
      </c>
      <c r="AC409" s="335"/>
      <c r="AD409" s="335">
        <v>0</v>
      </c>
      <c r="AE409" s="385" t="s">
        <v>55</v>
      </c>
      <c r="AF409" s="505"/>
      <c r="AG409" s="505"/>
      <c r="AH409" s="505"/>
    </row>
    <row r="410" spans="1:34" s="7" customFormat="1" ht="21" customHeight="1">
      <c r="A410" s="26"/>
      <c r="B410" s="27"/>
      <c r="C410" s="27"/>
      <c r="D410" s="86"/>
      <c r="E410" s="64"/>
      <c r="F410" s="64"/>
      <c r="G410" s="64"/>
      <c r="H410" s="64"/>
      <c r="I410" s="64"/>
      <c r="J410" s="64"/>
      <c r="K410" s="64"/>
      <c r="L410" s="64"/>
      <c r="M410" s="64"/>
      <c r="N410" s="43"/>
      <c r="O410" s="333" t="s">
        <v>202</v>
      </c>
      <c r="P410" s="333"/>
      <c r="Q410" s="333"/>
      <c r="R410" s="333"/>
      <c r="S410" s="333"/>
      <c r="T410" s="334"/>
      <c r="U410" s="334"/>
      <c r="V410" s="332"/>
      <c r="W410" s="334"/>
      <c r="X410" s="334"/>
      <c r="Y410" s="335"/>
      <c r="Z410" s="334"/>
      <c r="AA410" s="334"/>
      <c r="AB410" s="334" t="s">
        <v>151</v>
      </c>
      <c r="AC410" s="335"/>
      <c r="AD410" s="335">
        <v>0</v>
      </c>
      <c r="AE410" s="385" t="s">
        <v>55</v>
      </c>
      <c r="AF410" s="505"/>
      <c r="AG410" s="505"/>
      <c r="AH410" s="505"/>
    </row>
    <row r="411" spans="1:34" ht="21" customHeight="1">
      <c r="A411" s="26"/>
      <c r="B411" s="27"/>
      <c r="C411" s="27"/>
      <c r="D411" s="86"/>
      <c r="E411" s="64"/>
      <c r="F411" s="64"/>
      <c r="G411" s="64"/>
      <c r="H411" s="64"/>
      <c r="I411" s="64"/>
      <c r="J411" s="64"/>
      <c r="K411" s="64"/>
      <c r="L411" s="64"/>
      <c r="M411" s="64"/>
      <c r="N411" s="43"/>
      <c r="O411" s="333" t="s">
        <v>203</v>
      </c>
      <c r="P411" s="333"/>
      <c r="Q411" s="333"/>
      <c r="R411" s="333"/>
      <c r="S411" s="333"/>
      <c r="T411" s="334"/>
      <c r="U411" s="334"/>
      <c r="V411" s="332"/>
      <c r="W411" s="334"/>
      <c r="X411" s="334"/>
      <c r="Y411" s="335"/>
      <c r="Z411" s="334"/>
      <c r="AA411" s="334"/>
      <c r="AB411" s="334" t="s">
        <v>85</v>
      </c>
      <c r="AC411" s="335"/>
      <c r="AD411" s="335">
        <v>0</v>
      </c>
      <c r="AE411" s="385" t="s">
        <v>55</v>
      </c>
    </row>
    <row r="412" spans="1:34" s="7" customFormat="1" ht="21" customHeight="1">
      <c r="A412" s="26"/>
      <c r="B412" s="27"/>
      <c r="C412" s="27"/>
      <c r="D412" s="86"/>
      <c r="E412" s="64"/>
      <c r="F412" s="64"/>
      <c r="G412" s="64"/>
      <c r="H412" s="64"/>
      <c r="I412" s="64"/>
      <c r="J412" s="64"/>
      <c r="K412" s="64"/>
      <c r="L412" s="64"/>
      <c r="M412" s="64"/>
      <c r="N412" s="43"/>
      <c r="O412" s="333"/>
      <c r="P412" s="333"/>
      <c r="Q412" s="333"/>
      <c r="R412" s="333"/>
      <c r="S412" s="332"/>
      <c r="T412" s="334"/>
      <c r="U412" s="334"/>
      <c r="V412" s="332"/>
      <c r="W412" s="334"/>
      <c r="X412" s="334"/>
      <c r="Y412" s="335"/>
      <c r="Z412" s="334"/>
      <c r="AA412" s="334"/>
      <c r="AB412" s="334"/>
      <c r="AC412" s="332"/>
      <c r="AD412" s="332"/>
      <c r="AE412" s="385"/>
      <c r="AF412" s="505"/>
      <c r="AG412" s="505"/>
      <c r="AH412" s="505"/>
    </row>
    <row r="413" spans="1:34" ht="21" customHeight="1">
      <c r="A413" s="103"/>
      <c r="B413" s="27"/>
      <c r="C413" s="18" t="s">
        <v>135</v>
      </c>
      <c r="D413" s="88">
        <v>9912</v>
      </c>
      <c r="E413" s="68">
        <f>AD413/1000</f>
        <v>290</v>
      </c>
      <c r="F413" s="69">
        <f>SUMIF($AB$414:$AB$427,"보조",$AD$414:$AD$427)/1000</f>
        <v>255</v>
      </c>
      <c r="G413" s="69">
        <f>SUMIF($AB$414:$AB$427,"6종",$AD$414:$AD$427)/1000</f>
        <v>30</v>
      </c>
      <c r="H413" s="69">
        <f>SUMIF($AB$414:$AB$427,"4종",$AD$414:$AD$427)/1000</f>
        <v>5</v>
      </c>
      <c r="I413" s="69">
        <f>SUMIF($AB$414:$AB$427,"후원",$AD$414:$AD$427)/1000</f>
        <v>0</v>
      </c>
      <c r="J413" s="69">
        <f>SUMIF($AB$414:$AB$427,"입소",$AD$414:$AD$427)/1000</f>
        <v>0</v>
      </c>
      <c r="K413" s="69">
        <f>SUMIF($AB$414:$AB$427,"법인",$AD$414:$AD$427)/1000</f>
        <v>0</v>
      </c>
      <c r="L413" s="69">
        <f>SUMIF($AB$414:$AB$427,"잡수",$AD$414:$AD$427)/1000</f>
        <v>0</v>
      </c>
      <c r="M413" s="68">
        <f>E413-D413</f>
        <v>-9622</v>
      </c>
      <c r="N413" s="361">
        <f>IF(D413=0,0,M413/D413)</f>
        <v>-0.97074253430185631</v>
      </c>
      <c r="O413" s="572" t="s">
        <v>157</v>
      </c>
      <c r="P413" s="183"/>
      <c r="Q413" s="183"/>
      <c r="R413" s="183"/>
      <c r="S413" s="183"/>
      <c r="T413" s="437"/>
      <c r="U413" s="437"/>
      <c r="V413" s="184"/>
      <c r="W413" s="437"/>
      <c r="X413" s="437"/>
      <c r="Y413" s="185" t="s">
        <v>127</v>
      </c>
      <c r="Z413" s="441"/>
      <c r="AA413" s="441"/>
      <c r="AB413" s="441"/>
      <c r="AC413" s="185"/>
      <c r="AD413" s="185">
        <f>ROUNDUP(SUM(AD414:AD427),-3)</f>
        <v>290000</v>
      </c>
      <c r="AE413" s="479" t="s">
        <v>25</v>
      </c>
    </row>
    <row r="414" spans="1:34" ht="21" customHeight="1">
      <c r="A414" s="26"/>
      <c r="B414" s="27"/>
      <c r="C414" s="27" t="s">
        <v>136</v>
      </c>
      <c r="D414" s="86"/>
      <c r="E414" s="64"/>
      <c r="F414" s="64"/>
      <c r="G414" s="64"/>
      <c r="H414" s="64"/>
      <c r="I414" s="64"/>
      <c r="J414" s="64"/>
      <c r="K414" s="64"/>
      <c r="L414" s="64"/>
      <c r="M414" s="64"/>
      <c r="N414" s="356"/>
      <c r="O414" s="333" t="s">
        <v>204</v>
      </c>
      <c r="P414" s="333"/>
      <c r="Q414" s="333"/>
      <c r="R414" s="333"/>
      <c r="S414" s="332"/>
      <c r="T414" s="334"/>
      <c r="U414" s="334"/>
      <c r="V414" s="332"/>
      <c r="W414" s="334"/>
      <c r="X414" s="334"/>
      <c r="Y414" s="335"/>
      <c r="Z414" s="334"/>
      <c r="AA414" s="334"/>
      <c r="AB414" s="334" t="s">
        <v>70</v>
      </c>
      <c r="AC414" s="332"/>
      <c r="AD414" s="335">
        <v>0</v>
      </c>
      <c r="AE414" s="385" t="s">
        <v>25</v>
      </c>
    </row>
    <row r="415" spans="1:34" ht="21" customHeight="1">
      <c r="A415" s="26"/>
      <c r="B415" s="27"/>
      <c r="C415" s="27"/>
      <c r="D415" s="86"/>
      <c r="E415" s="64"/>
      <c r="F415" s="64"/>
      <c r="G415" s="64"/>
      <c r="H415" s="64"/>
      <c r="I415" s="64"/>
      <c r="J415" s="64"/>
      <c r="K415" s="64"/>
      <c r="L415" s="64"/>
      <c r="M415" s="64"/>
      <c r="N415" s="356"/>
      <c r="O415" s="333" t="s">
        <v>188</v>
      </c>
      <c r="P415" s="333"/>
      <c r="Q415" s="333"/>
      <c r="R415" s="333"/>
      <c r="S415" s="332"/>
      <c r="T415" s="334"/>
      <c r="U415" s="334"/>
      <c r="V415" s="332"/>
      <c r="W415" s="334"/>
      <c r="X415" s="334"/>
      <c r="Y415" s="335"/>
      <c r="Z415" s="334"/>
      <c r="AA415" s="334"/>
      <c r="AB415" s="334" t="s">
        <v>70</v>
      </c>
      <c r="AC415" s="332"/>
      <c r="AD415" s="335">
        <v>250000</v>
      </c>
      <c r="AE415" s="385" t="s">
        <v>55</v>
      </c>
    </row>
    <row r="416" spans="1:34" ht="21" customHeight="1">
      <c r="A416" s="26"/>
      <c r="B416" s="27"/>
      <c r="C416" s="27"/>
      <c r="D416" s="86"/>
      <c r="E416" s="64"/>
      <c r="F416" s="64"/>
      <c r="G416" s="64"/>
      <c r="H416" s="64"/>
      <c r="I416" s="64"/>
      <c r="J416" s="64"/>
      <c r="K416" s="64"/>
      <c r="L416" s="64"/>
      <c r="M416" s="64"/>
      <c r="N416" s="356"/>
      <c r="O416" s="333" t="s">
        <v>205</v>
      </c>
      <c r="P416" s="333"/>
      <c r="Q416" s="333"/>
      <c r="R416" s="333"/>
      <c r="S416" s="332"/>
      <c r="T416" s="334"/>
      <c r="U416" s="334"/>
      <c r="V416" s="332"/>
      <c r="W416" s="334"/>
      <c r="X416" s="334"/>
      <c r="Y416" s="335"/>
      <c r="Z416" s="334"/>
      <c r="AA416" s="334"/>
      <c r="AB416" s="334" t="s">
        <v>70</v>
      </c>
      <c r="AC416" s="332"/>
      <c r="AD416" s="335">
        <v>0</v>
      </c>
      <c r="AE416" s="385" t="s">
        <v>55</v>
      </c>
    </row>
    <row r="417" spans="1:34" ht="21" customHeight="1">
      <c r="A417" s="26"/>
      <c r="B417" s="27"/>
      <c r="C417" s="27"/>
      <c r="D417" s="86"/>
      <c r="E417" s="64"/>
      <c r="F417" s="64"/>
      <c r="G417" s="64"/>
      <c r="H417" s="64"/>
      <c r="I417" s="64"/>
      <c r="J417" s="64"/>
      <c r="K417" s="64"/>
      <c r="L417" s="64"/>
      <c r="M417" s="64"/>
      <c r="N417" s="356"/>
      <c r="O417" s="333" t="s">
        <v>189</v>
      </c>
      <c r="P417" s="333"/>
      <c r="Q417" s="333"/>
      <c r="R417" s="333"/>
      <c r="S417" s="332"/>
      <c r="T417" s="334"/>
      <c r="U417" s="334"/>
      <c r="V417" s="332"/>
      <c r="W417" s="334"/>
      <c r="X417" s="334"/>
      <c r="Y417" s="335"/>
      <c r="Z417" s="334"/>
      <c r="AA417" s="334"/>
      <c r="AB417" s="334" t="s">
        <v>70</v>
      </c>
      <c r="AC417" s="332"/>
      <c r="AD417" s="335">
        <v>5000</v>
      </c>
      <c r="AE417" s="385" t="s">
        <v>55</v>
      </c>
    </row>
    <row r="418" spans="1:34" ht="21" customHeight="1">
      <c r="A418" s="26"/>
      <c r="B418" s="27"/>
      <c r="C418" s="27"/>
      <c r="D418" s="86"/>
      <c r="E418" s="64"/>
      <c r="F418" s="64"/>
      <c r="G418" s="64"/>
      <c r="H418" s="64"/>
      <c r="I418" s="64"/>
      <c r="J418" s="64"/>
      <c r="K418" s="64"/>
      <c r="L418" s="64"/>
      <c r="M418" s="64"/>
      <c r="N418" s="356"/>
      <c r="O418" s="333" t="s">
        <v>206</v>
      </c>
      <c r="P418" s="333"/>
      <c r="Q418" s="333"/>
      <c r="R418" s="333"/>
      <c r="S418" s="332"/>
      <c r="T418" s="334"/>
      <c r="U418" s="334"/>
      <c r="V418" s="332"/>
      <c r="W418" s="334"/>
      <c r="X418" s="334"/>
      <c r="Y418" s="335"/>
      <c r="Z418" s="334"/>
      <c r="AA418" s="334"/>
      <c r="AB418" s="334" t="s">
        <v>158</v>
      </c>
      <c r="AC418" s="332"/>
      <c r="AD418" s="335">
        <v>0</v>
      </c>
      <c r="AE418" s="385" t="s">
        <v>25</v>
      </c>
    </row>
    <row r="419" spans="1:34" ht="21" customHeight="1">
      <c r="A419" s="26"/>
      <c r="B419" s="27"/>
      <c r="C419" s="27"/>
      <c r="D419" s="86"/>
      <c r="E419" s="64"/>
      <c r="F419" s="64"/>
      <c r="G419" s="64"/>
      <c r="H419" s="64"/>
      <c r="I419" s="64"/>
      <c r="J419" s="64"/>
      <c r="K419" s="64"/>
      <c r="L419" s="64"/>
      <c r="M419" s="64"/>
      <c r="N419" s="356"/>
      <c r="O419" s="333" t="s">
        <v>190</v>
      </c>
      <c r="P419" s="333"/>
      <c r="Q419" s="333"/>
      <c r="R419" s="333"/>
      <c r="S419" s="332"/>
      <c r="T419" s="334"/>
      <c r="U419" s="334"/>
      <c r="V419" s="332"/>
      <c r="W419" s="334"/>
      <c r="X419" s="334"/>
      <c r="Y419" s="335"/>
      <c r="Z419" s="334"/>
      <c r="AA419" s="334"/>
      <c r="AB419" s="334" t="s">
        <v>158</v>
      </c>
      <c r="AC419" s="332"/>
      <c r="AD419" s="335">
        <v>5000</v>
      </c>
      <c r="AE419" s="385" t="s">
        <v>55</v>
      </c>
    </row>
    <row r="420" spans="1:34" ht="21" customHeight="1">
      <c r="A420" s="26"/>
      <c r="B420" s="27"/>
      <c r="C420" s="27"/>
      <c r="D420" s="86"/>
      <c r="E420" s="64"/>
      <c r="F420" s="64"/>
      <c r="G420" s="64"/>
      <c r="H420" s="64"/>
      <c r="I420" s="64"/>
      <c r="J420" s="64"/>
      <c r="K420" s="64"/>
      <c r="L420" s="64"/>
      <c r="M420" s="64"/>
      <c r="N420" s="356"/>
      <c r="O420" s="333" t="s">
        <v>729</v>
      </c>
      <c r="P420" s="333"/>
      <c r="Q420" s="333"/>
      <c r="R420" s="333"/>
      <c r="S420" s="332"/>
      <c r="T420" s="334"/>
      <c r="U420" s="334"/>
      <c r="V420" s="332"/>
      <c r="W420" s="334"/>
      <c r="X420" s="334"/>
      <c r="Y420" s="335"/>
      <c r="Z420" s="334"/>
      <c r="AA420" s="334"/>
      <c r="AB420" s="334" t="s">
        <v>773</v>
      </c>
      <c r="AC420" s="332"/>
      <c r="AD420" s="335">
        <v>0</v>
      </c>
      <c r="AE420" s="385" t="s">
        <v>25</v>
      </c>
    </row>
    <row r="421" spans="1:34" ht="21" customHeight="1">
      <c r="A421" s="26"/>
      <c r="B421" s="27"/>
      <c r="C421" s="27"/>
      <c r="D421" s="86"/>
      <c r="E421" s="64"/>
      <c r="F421" s="64"/>
      <c r="G421" s="64"/>
      <c r="H421" s="64"/>
      <c r="I421" s="64"/>
      <c r="J421" s="64"/>
      <c r="K421" s="64"/>
      <c r="L421" s="64"/>
      <c r="M421" s="64"/>
      <c r="N421" s="356"/>
      <c r="O421" s="333" t="s">
        <v>730</v>
      </c>
      <c r="P421" s="333"/>
      <c r="Q421" s="333"/>
      <c r="R421" s="333"/>
      <c r="S421" s="332"/>
      <c r="T421" s="334"/>
      <c r="U421" s="334"/>
      <c r="V421" s="332"/>
      <c r="W421" s="334"/>
      <c r="X421" s="334"/>
      <c r="Y421" s="335"/>
      <c r="Z421" s="334"/>
      <c r="AA421" s="334"/>
      <c r="AB421" s="334" t="s">
        <v>773</v>
      </c>
      <c r="AC421" s="332"/>
      <c r="AD421" s="335">
        <v>25000</v>
      </c>
      <c r="AE421" s="385" t="s">
        <v>55</v>
      </c>
    </row>
    <row r="422" spans="1:34" ht="21" customHeight="1">
      <c r="A422" s="26"/>
      <c r="B422" s="27"/>
      <c r="C422" s="27"/>
      <c r="D422" s="86"/>
      <c r="E422" s="64"/>
      <c r="F422" s="64"/>
      <c r="G422" s="64"/>
      <c r="H422" s="64"/>
      <c r="I422" s="64"/>
      <c r="J422" s="64"/>
      <c r="K422" s="64"/>
      <c r="L422" s="64"/>
      <c r="M422" s="64"/>
      <c r="N422" s="356"/>
      <c r="O422" s="333" t="s">
        <v>218</v>
      </c>
      <c r="P422" s="333"/>
      <c r="Q422" s="333"/>
      <c r="R422" s="333"/>
      <c r="S422" s="332"/>
      <c r="T422" s="334"/>
      <c r="U422" s="334"/>
      <c r="V422" s="332"/>
      <c r="W422" s="334"/>
      <c r="X422" s="334"/>
      <c r="Y422" s="335"/>
      <c r="Z422" s="334"/>
      <c r="AA422" s="334"/>
      <c r="AB422" s="334" t="s">
        <v>773</v>
      </c>
      <c r="AC422" s="332"/>
      <c r="AD422" s="335">
        <v>0</v>
      </c>
      <c r="AE422" s="385" t="s">
        <v>25</v>
      </c>
    </row>
    <row r="423" spans="1:34" ht="21" customHeight="1">
      <c r="A423" s="26"/>
      <c r="B423" s="27"/>
      <c r="C423" s="27"/>
      <c r="D423" s="86"/>
      <c r="E423" s="64"/>
      <c r="F423" s="64"/>
      <c r="G423" s="64"/>
      <c r="H423" s="64"/>
      <c r="I423" s="64"/>
      <c r="J423" s="64"/>
      <c r="K423" s="64"/>
      <c r="L423" s="64"/>
      <c r="M423" s="64"/>
      <c r="N423" s="356"/>
      <c r="O423" s="333" t="s">
        <v>731</v>
      </c>
      <c r="P423" s="333"/>
      <c r="Q423" s="333"/>
      <c r="R423" s="333"/>
      <c r="S423" s="332"/>
      <c r="T423" s="334"/>
      <c r="U423" s="334"/>
      <c r="V423" s="332"/>
      <c r="W423" s="334"/>
      <c r="X423" s="334"/>
      <c r="Y423" s="335"/>
      <c r="Z423" s="334"/>
      <c r="AA423" s="334"/>
      <c r="AB423" s="334" t="s">
        <v>773</v>
      </c>
      <c r="AC423" s="332"/>
      <c r="AD423" s="335">
        <v>5000</v>
      </c>
      <c r="AE423" s="385" t="s">
        <v>25</v>
      </c>
    </row>
    <row r="424" spans="1:34" ht="21" customHeight="1">
      <c r="A424" s="26"/>
      <c r="B424" s="27"/>
      <c r="C424" s="27"/>
      <c r="D424" s="86"/>
      <c r="E424" s="64"/>
      <c r="F424" s="64"/>
      <c r="G424" s="64"/>
      <c r="H424" s="64"/>
      <c r="I424" s="64"/>
      <c r="J424" s="64"/>
      <c r="K424" s="64"/>
      <c r="L424" s="64"/>
      <c r="M424" s="64"/>
      <c r="N424" s="356"/>
      <c r="O424" s="333" t="s">
        <v>298</v>
      </c>
      <c r="P424" s="333"/>
      <c r="Q424" s="333"/>
      <c r="R424" s="333"/>
      <c r="S424" s="332"/>
      <c r="T424" s="334"/>
      <c r="U424" s="334"/>
      <c r="V424" s="332"/>
      <c r="W424" s="334"/>
      <c r="X424" s="334"/>
      <c r="Y424" s="335"/>
      <c r="Z424" s="334"/>
      <c r="AA424" s="334"/>
      <c r="AB424" s="334" t="s">
        <v>70</v>
      </c>
      <c r="AC424" s="332"/>
      <c r="AD424" s="335">
        <v>0</v>
      </c>
      <c r="AE424" s="385" t="s">
        <v>25</v>
      </c>
    </row>
    <row r="425" spans="1:34" ht="21" customHeight="1">
      <c r="A425" s="26"/>
      <c r="B425" s="27"/>
      <c r="C425" s="27"/>
      <c r="D425" s="86"/>
      <c r="E425" s="64"/>
      <c r="F425" s="64"/>
      <c r="G425" s="64"/>
      <c r="H425" s="64"/>
      <c r="I425" s="64"/>
      <c r="J425" s="64"/>
      <c r="K425" s="64"/>
      <c r="L425" s="64"/>
      <c r="M425" s="64"/>
      <c r="N425" s="356"/>
      <c r="O425" s="333" t="s">
        <v>297</v>
      </c>
      <c r="P425" s="333"/>
      <c r="Q425" s="333"/>
      <c r="R425" s="333"/>
      <c r="S425" s="332"/>
      <c r="T425" s="334"/>
      <c r="U425" s="334"/>
      <c r="V425" s="332"/>
      <c r="W425" s="334"/>
      <c r="X425" s="334"/>
      <c r="Y425" s="335"/>
      <c r="Z425" s="334"/>
      <c r="AA425" s="334"/>
      <c r="AB425" s="334" t="s">
        <v>773</v>
      </c>
      <c r="AC425" s="332"/>
      <c r="AD425" s="335">
        <v>0</v>
      </c>
      <c r="AE425" s="385" t="s">
        <v>25</v>
      </c>
    </row>
    <row r="426" spans="1:34" s="7" customFormat="1" ht="21" customHeight="1">
      <c r="A426" s="26"/>
      <c r="B426" s="27"/>
      <c r="C426" s="27"/>
      <c r="D426" s="86"/>
      <c r="E426" s="64"/>
      <c r="F426" s="64"/>
      <c r="G426" s="64"/>
      <c r="H426" s="64"/>
      <c r="I426" s="64"/>
      <c r="J426" s="64"/>
      <c r="K426" s="64"/>
      <c r="L426" s="64"/>
      <c r="M426" s="64"/>
      <c r="N426" s="356"/>
      <c r="O426" s="333" t="s">
        <v>752</v>
      </c>
      <c r="P426" s="333"/>
      <c r="Q426" s="333"/>
      <c r="R426" s="333"/>
      <c r="S426" s="332"/>
      <c r="T426" s="334"/>
      <c r="U426" s="334"/>
      <c r="V426" s="332"/>
      <c r="W426" s="334"/>
      <c r="X426" s="334"/>
      <c r="Y426" s="335"/>
      <c r="Z426" s="334"/>
      <c r="AA426" s="334"/>
      <c r="AB426" s="334" t="s">
        <v>137</v>
      </c>
      <c r="AC426" s="332"/>
      <c r="AD426" s="335">
        <v>0</v>
      </c>
      <c r="AE426" s="385" t="s">
        <v>25</v>
      </c>
      <c r="AF426" s="505"/>
      <c r="AG426" s="505"/>
      <c r="AH426" s="505"/>
    </row>
    <row r="427" spans="1:34" ht="21" customHeight="1" thickBot="1">
      <c r="A427" s="79"/>
      <c r="B427" s="61"/>
      <c r="C427" s="61"/>
      <c r="D427" s="91"/>
      <c r="E427" s="80"/>
      <c r="F427" s="80"/>
      <c r="G427" s="80"/>
      <c r="H427" s="80"/>
      <c r="I427" s="80"/>
      <c r="J427" s="80"/>
      <c r="K427" s="80"/>
      <c r="L427" s="80"/>
      <c r="M427" s="80"/>
      <c r="N427" s="362"/>
      <c r="O427" s="232"/>
      <c r="P427" s="232"/>
      <c r="Q427" s="232"/>
      <c r="R427" s="232"/>
      <c r="S427" s="232"/>
      <c r="T427" s="422"/>
      <c r="U427" s="422"/>
      <c r="V427" s="232"/>
      <c r="W427" s="422"/>
      <c r="X427" s="422"/>
      <c r="Y427" s="488"/>
      <c r="Z427" s="422"/>
      <c r="AA427" s="422"/>
      <c r="AB427" s="422"/>
      <c r="AC427" s="232"/>
      <c r="AD427" s="233"/>
      <c r="AE427" s="411"/>
    </row>
  </sheetData>
  <sortState ref="O383:AE390">
    <sortCondition ref="O383:O390"/>
  </sortState>
  <mergeCells count="15">
    <mergeCell ref="B406:C406"/>
    <mergeCell ref="B203:C203"/>
    <mergeCell ref="B245:C245"/>
    <mergeCell ref="B403:C403"/>
    <mergeCell ref="V173:W173"/>
    <mergeCell ref="A1:D1"/>
    <mergeCell ref="A2:C2"/>
    <mergeCell ref="D2:D3"/>
    <mergeCell ref="E2:L2"/>
    <mergeCell ref="M2:N2"/>
    <mergeCell ref="O2:AE3"/>
    <mergeCell ref="A4:C4"/>
    <mergeCell ref="B5:C5"/>
    <mergeCell ref="V121:W121"/>
    <mergeCell ref="O162:S162"/>
  </mergeCells>
  <phoneticPr fontId="14" type="noConversion"/>
  <printOptions horizontalCentered="1"/>
  <pageMargins left="3.937007874015748E-2" right="3.937007874015748E-2" top="0.43307086614173229" bottom="0.35433070866141736" header="0.15748031496062992" footer="0.15748031496062992"/>
  <pageSetup paperSize="9" scale="55" firstPageNumber="23" orientation="landscape" r:id="rId1"/>
  <headerFooter alignWithMargins="0">
    <oddFooter>&amp;C&amp;P/&amp;N&amp;R장애인거주시설 바다의별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7</vt:i4>
      </vt:variant>
    </vt:vector>
  </HeadingPairs>
  <TitlesOfParts>
    <vt:vector size="10" baseType="lpstr">
      <vt:lpstr>세입세출총괄표</vt:lpstr>
      <vt:lpstr>세입</vt:lpstr>
      <vt:lpstr>세출</vt:lpstr>
      <vt:lpstr>세입!Print_Titles</vt:lpstr>
      <vt:lpstr>세출!Print_Titles</vt:lpstr>
      <vt:lpstr>세출!가족수당</vt:lpstr>
      <vt:lpstr>세출!기본급</vt:lpstr>
      <vt:lpstr>세출!기본급7종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User</cp:lastModifiedBy>
  <cp:revision>65</cp:revision>
  <cp:lastPrinted>2023-09-13T05:29:29Z</cp:lastPrinted>
  <dcterms:created xsi:type="dcterms:W3CDTF">2003-12-18T04:11:57Z</dcterms:created>
  <dcterms:modified xsi:type="dcterms:W3CDTF">2023-12-15T05:14:33Z</dcterms:modified>
</cp:coreProperties>
</file>