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5" yWindow="30" windowWidth="20070" windowHeight="12615" tabRatio="789"/>
  </bookViews>
  <sheets>
    <sheet name="세입세출총괄표" sheetId="18" r:id="rId1"/>
    <sheet name="세입" sheetId="29" r:id="rId2"/>
    <sheet name="세출" sheetId="45" r:id="rId3"/>
  </sheets>
  <externalReferences>
    <externalReference r:id="rId4"/>
  </externalReferences>
  <definedNames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#REF!</definedName>
    <definedName name="가족수당" localSheetId="2">세출!$AD$34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#REF!</definedName>
    <definedName name="명절휴가비" localSheetId="2">세출!$AD$26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#REF!</definedName>
    <definedName name="수정제수당총액">#REF!</definedName>
    <definedName name="연장근로수당" localSheetId="2">세출!$AD$39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2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#REF!</definedName>
    <definedName name="직원급식비">#REF!</definedName>
    <definedName name="직책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#REF!</definedName>
    <definedName name="프로그램지원금" localSheetId="1">세입!#REF!</definedName>
    <definedName name="호봉">#REF!</definedName>
  </definedNames>
  <calcPr calcId="145621"/>
</workbook>
</file>

<file path=xl/calcChain.xml><?xml version="1.0" encoding="utf-8"?>
<calcChain xmlns="http://schemas.openxmlformats.org/spreadsheetml/2006/main">
  <c r="M399" i="45" l="1"/>
  <c r="M400" i="45"/>
  <c r="M396" i="45"/>
  <c r="M397" i="45"/>
  <c r="M387" i="45"/>
  <c r="M380" i="45"/>
  <c r="M373" i="45"/>
  <c r="M365" i="45"/>
  <c r="M354" i="45"/>
  <c r="M340" i="45"/>
  <c r="M285" i="45"/>
  <c r="AD233" i="45" l="1"/>
  <c r="AD169" i="45"/>
  <c r="AD152" i="45"/>
  <c r="AD249" i="45" l="1"/>
  <c r="X149" i="29"/>
  <c r="X79" i="29"/>
  <c r="X46" i="29"/>
  <c r="X21" i="29"/>
  <c r="X19" i="29"/>
  <c r="X127" i="29"/>
  <c r="X57" i="29"/>
  <c r="X22" i="29"/>
  <c r="AD262" i="45"/>
  <c r="X23" i="29"/>
  <c r="AD171" i="45" l="1"/>
  <c r="AD133" i="45"/>
  <c r="AD223" i="45"/>
  <c r="I318" i="45" l="1"/>
  <c r="AD221" i="45" l="1"/>
  <c r="AD350" i="45" l="1"/>
  <c r="AD217" i="45"/>
  <c r="AD213" i="45"/>
  <c r="AD189" i="45"/>
  <c r="I174" i="45" s="1"/>
  <c r="AD113" i="45"/>
  <c r="X371" i="29" l="1"/>
  <c r="X372" i="29"/>
  <c r="AD277" i="45" l="1"/>
  <c r="AD383" i="45" l="1"/>
  <c r="AD384" i="45"/>
  <c r="G406" i="45" l="1"/>
  <c r="G400" i="45"/>
  <c r="G397" i="45"/>
  <c r="G387" i="45"/>
  <c r="G380" i="45"/>
  <c r="G373" i="45"/>
  <c r="G365" i="45"/>
  <c r="G354" i="45"/>
  <c r="G340" i="45"/>
  <c r="G318" i="45"/>
  <c r="G315" i="45"/>
  <c r="G300" i="45"/>
  <c r="G286" i="45"/>
  <c r="G280" i="45"/>
  <c r="G269" i="45"/>
  <c r="G265" i="45"/>
  <c r="G245" i="45"/>
  <c r="G227" i="45"/>
  <c r="G213" i="45"/>
  <c r="G206" i="45"/>
  <c r="G174" i="45"/>
  <c r="G156" i="45"/>
  <c r="G148" i="45"/>
  <c r="G125" i="45"/>
  <c r="G122" i="45"/>
  <c r="G118" i="45"/>
  <c r="G116" i="45"/>
  <c r="G108" i="45"/>
  <c r="G25" i="45"/>
  <c r="G7" i="45"/>
  <c r="AD200" i="45" l="1"/>
  <c r="X402" i="29"/>
  <c r="AD377" i="45" l="1"/>
  <c r="I26" i="18" l="1"/>
  <c r="I21" i="18"/>
  <c r="I20" i="18"/>
  <c r="I19" i="18"/>
  <c r="I18" i="18"/>
  <c r="I17" i="18"/>
  <c r="I15" i="18"/>
  <c r="I13" i="18"/>
  <c r="I14" i="18"/>
  <c r="D11" i="18"/>
  <c r="L108" i="45" l="1"/>
  <c r="J108" i="45"/>
  <c r="H108" i="45"/>
  <c r="F108" i="45"/>
  <c r="I108" i="45"/>
  <c r="X320" i="29"/>
  <c r="X297" i="29"/>
  <c r="X318" i="29"/>
  <c r="X314" i="29" s="1"/>
  <c r="AD112" i="45"/>
  <c r="AD182" i="45"/>
  <c r="AD140" i="45"/>
  <c r="X362" i="29"/>
  <c r="X8" i="29"/>
  <c r="I9" i="18"/>
  <c r="I10" i="18"/>
  <c r="I11" i="18"/>
  <c r="I22" i="18"/>
  <c r="AD108" i="45" l="1"/>
  <c r="K108" i="45"/>
  <c r="X313" i="29"/>
  <c r="I213" i="45" l="1"/>
  <c r="AD172" i="45"/>
  <c r="X130" i="29" l="1"/>
  <c r="X128" i="29"/>
  <c r="X20" i="29" l="1"/>
  <c r="AD252" i="45"/>
  <c r="AD251" i="45"/>
  <c r="AD250" i="45"/>
  <c r="AD234" i="45"/>
  <c r="AD253" i="45"/>
  <c r="AD349" i="45"/>
  <c r="AD348" i="45" l="1"/>
  <c r="AD290" i="45" l="1"/>
  <c r="AD289" i="45"/>
  <c r="AD258" i="45" l="1"/>
  <c r="AD248" i="45"/>
  <c r="AD247" i="45"/>
  <c r="X324" i="29" l="1"/>
  <c r="K122" i="45"/>
  <c r="L118" i="45"/>
  <c r="S55" i="45"/>
  <c r="X275" i="29"/>
  <c r="AD51" i="45"/>
  <c r="AD46" i="45"/>
  <c r="AD18" i="45" l="1"/>
  <c r="AD17" i="45"/>
  <c r="X289" i="29" l="1"/>
  <c r="X288" i="29" l="1"/>
  <c r="X343" i="29"/>
  <c r="X342" i="29" s="1"/>
  <c r="X150" i="29" l="1"/>
  <c r="X80" i="29"/>
  <c r="X47" i="29"/>
  <c r="X50" i="29"/>
  <c r="X49" i="29" l="1"/>
  <c r="X56" i="29"/>
  <c r="X267" i="29" l="1"/>
  <c r="X265" i="29"/>
  <c r="X120" i="29" l="1"/>
  <c r="X121" i="29"/>
  <c r="X119" i="29"/>
  <c r="X186" i="29"/>
  <c r="X125" i="29"/>
  <c r="X126" i="29"/>
  <c r="X55" i="29"/>
  <c r="X129" i="29" l="1"/>
  <c r="X60" i="29"/>
  <c r="X25" i="29"/>
  <c r="X10" i="29" l="1"/>
  <c r="X375" i="29" l="1"/>
  <c r="X369" i="29" l="1"/>
  <c r="X367" i="29"/>
  <c r="X370" i="29"/>
  <c r="X361" i="29" l="1"/>
  <c r="X355" i="29"/>
  <c r="X354" i="29"/>
  <c r="X351" i="29"/>
  <c r="X374" i="29" l="1"/>
  <c r="X373" i="29"/>
  <c r="L406" i="45" l="1"/>
  <c r="K406" i="45"/>
  <c r="J406" i="45"/>
  <c r="I406" i="45"/>
  <c r="H406" i="45"/>
  <c r="F406" i="45"/>
  <c r="AD406" i="45"/>
  <c r="E406" i="45" l="1"/>
  <c r="M406" i="45" s="1"/>
  <c r="N406" i="45" s="1"/>
  <c r="AD153" i="45"/>
  <c r="L318" i="45"/>
  <c r="K318" i="45"/>
  <c r="H318" i="45"/>
  <c r="F318" i="45"/>
  <c r="L373" i="45"/>
  <c r="K373" i="45"/>
  <c r="J373" i="45"/>
  <c r="I373" i="45"/>
  <c r="H373" i="45"/>
  <c r="F373" i="45"/>
  <c r="L365" i="45"/>
  <c r="K365" i="45"/>
  <c r="J365" i="45"/>
  <c r="I365" i="45"/>
  <c r="H365" i="45"/>
  <c r="F365" i="45"/>
  <c r="AD106" i="45"/>
  <c r="AD185" i="45"/>
  <c r="AD178" i="45"/>
  <c r="AD183" i="45"/>
  <c r="AD120" i="45"/>
  <c r="K118" i="45" l="1"/>
  <c r="AD118" i="45"/>
  <c r="X271" i="29" l="1"/>
  <c r="X195" i="29" l="1"/>
  <c r="X95" i="29"/>
  <c r="X162" i="29"/>
  <c r="S64" i="45"/>
  <c r="AD64" i="45" s="1"/>
  <c r="AD23" i="45"/>
  <c r="AD400" i="45"/>
  <c r="N400" i="45"/>
  <c r="L400" i="45"/>
  <c r="L399" i="45" s="1"/>
  <c r="K400" i="45"/>
  <c r="K399" i="45" s="1"/>
  <c r="J400" i="45"/>
  <c r="J399" i="45" s="1"/>
  <c r="I400" i="45"/>
  <c r="I399" i="45" s="1"/>
  <c r="H400" i="45"/>
  <c r="H399" i="45" s="1"/>
  <c r="G399" i="45"/>
  <c r="F400" i="45"/>
  <c r="F399" i="45" s="1"/>
  <c r="N397" i="45"/>
  <c r="L397" i="45"/>
  <c r="L396" i="45" s="1"/>
  <c r="K397" i="45"/>
  <c r="K396" i="45" s="1"/>
  <c r="J397" i="45"/>
  <c r="J396" i="45" s="1"/>
  <c r="I397" i="45"/>
  <c r="I396" i="45" s="1"/>
  <c r="H397" i="45"/>
  <c r="H396" i="45" s="1"/>
  <c r="G396" i="45"/>
  <c r="F397" i="45"/>
  <c r="F396" i="45" s="1"/>
  <c r="E397" i="45"/>
  <c r="AD396" i="45"/>
  <c r="N396" i="45"/>
  <c r="AD387" i="45"/>
  <c r="L387" i="45"/>
  <c r="K387" i="45"/>
  <c r="J387" i="45"/>
  <c r="I387" i="45"/>
  <c r="H387" i="45"/>
  <c r="F387" i="45"/>
  <c r="AD380" i="45"/>
  <c r="L380" i="45"/>
  <c r="K380" i="45"/>
  <c r="J380" i="45"/>
  <c r="I380" i="45"/>
  <c r="H380" i="45"/>
  <c r="F380" i="45"/>
  <c r="AD373" i="45"/>
  <c r="AD365" i="45"/>
  <c r="AD354" i="45"/>
  <c r="L354" i="45"/>
  <c r="K354" i="45"/>
  <c r="J354" i="45"/>
  <c r="I354" i="45"/>
  <c r="H354" i="45"/>
  <c r="F354" i="45"/>
  <c r="AD340" i="45"/>
  <c r="L340" i="45"/>
  <c r="K340" i="45"/>
  <c r="J340" i="45"/>
  <c r="I340" i="45"/>
  <c r="H340" i="45"/>
  <c r="F340" i="45"/>
  <c r="AD318" i="45"/>
  <c r="J318" i="45"/>
  <c r="AD315" i="45"/>
  <c r="L315" i="45"/>
  <c r="K315" i="45"/>
  <c r="J315" i="45"/>
  <c r="I315" i="45"/>
  <c r="H315" i="45"/>
  <c r="F315" i="45"/>
  <c r="AD300" i="45"/>
  <c r="L300" i="45"/>
  <c r="K300" i="45"/>
  <c r="J300" i="45"/>
  <c r="I300" i="45"/>
  <c r="H300" i="45"/>
  <c r="F300" i="45"/>
  <c r="AD286" i="45"/>
  <c r="L286" i="45"/>
  <c r="K286" i="45"/>
  <c r="J286" i="45"/>
  <c r="I286" i="45"/>
  <c r="H286" i="45"/>
  <c r="F286" i="45"/>
  <c r="AD282" i="45"/>
  <c r="AD281" i="45"/>
  <c r="L280" i="45"/>
  <c r="K280" i="45"/>
  <c r="J280" i="45"/>
  <c r="I280" i="45"/>
  <c r="H280" i="45"/>
  <c r="AD278" i="45"/>
  <c r="AD276" i="45"/>
  <c r="AD275" i="45"/>
  <c r="AD274" i="45"/>
  <c r="G272" i="45" s="1"/>
  <c r="AD273" i="45"/>
  <c r="L272" i="45"/>
  <c r="K272" i="45"/>
  <c r="J272" i="45"/>
  <c r="AD270" i="45"/>
  <c r="L269" i="45"/>
  <c r="K269" i="45"/>
  <c r="J269" i="45"/>
  <c r="I269" i="45"/>
  <c r="F269" i="45"/>
  <c r="AD265" i="45"/>
  <c r="L265" i="45"/>
  <c r="K265" i="45"/>
  <c r="J265" i="45"/>
  <c r="I265" i="45"/>
  <c r="H265" i="45"/>
  <c r="F265" i="45"/>
  <c r="AD259" i="45"/>
  <c r="AD257" i="45"/>
  <c r="AD256" i="45"/>
  <c r="AD255" i="45"/>
  <c r="AD254" i="45"/>
  <c r="AD246" i="45"/>
  <c r="K245" i="45"/>
  <c r="AD229" i="45"/>
  <c r="AD228" i="45"/>
  <c r="L227" i="45"/>
  <c r="K227" i="45"/>
  <c r="J227" i="45"/>
  <c r="I227" i="45"/>
  <c r="H227" i="45"/>
  <c r="L213" i="45"/>
  <c r="K213" i="45"/>
  <c r="J213" i="45"/>
  <c r="H213" i="45"/>
  <c r="F213" i="45"/>
  <c r="AD210" i="45"/>
  <c r="AD207" i="45"/>
  <c r="L206" i="45"/>
  <c r="K206" i="45"/>
  <c r="J206" i="45"/>
  <c r="I206" i="45"/>
  <c r="H206" i="45"/>
  <c r="F206" i="45"/>
  <c r="AD199" i="45"/>
  <c r="AD198" i="45"/>
  <c r="AD196" i="45"/>
  <c r="AD193" i="45"/>
  <c r="J174" i="45"/>
  <c r="H174" i="45"/>
  <c r="F174" i="45"/>
  <c r="AD170" i="45"/>
  <c r="G168" i="45" s="1"/>
  <c r="L168" i="45"/>
  <c r="K168" i="45"/>
  <c r="J168" i="45"/>
  <c r="I168" i="45"/>
  <c r="H168" i="45"/>
  <c r="AD160" i="45"/>
  <c r="AD159" i="45"/>
  <c r="AD158" i="45"/>
  <c r="L156" i="45"/>
  <c r="K156" i="45"/>
  <c r="J156" i="45"/>
  <c r="I156" i="45"/>
  <c r="H156" i="45"/>
  <c r="AD151" i="45"/>
  <c r="AD150" i="45"/>
  <c r="AD149" i="45"/>
  <c r="L148" i="45"/>
  <c r="K148" i="45"/>
  <c r="J148" i="45"/>
  <c r="H148" i="45"/>
  <c r="AD144" i="45"/>
  <c r="AD143" i="45"/>
  <c r="AD141" i="45"/>
  <c r="AD132" i="45"/>
  <c r="AD131" i="45"/>
  <c r="AD130" i="45"/>
  <c r="AD129" i="45"/>
  <c r="AD128" i="45"/>
  <c r="AD127" i="45"/>
  <c r="AD126" i="45"/>
  <c r="L125" i="45"/>
  <c r="K125" i="45"/>
  <c r="J125" i="45"/>
  <c r="H125" i="45"/>
  <c r="AD122" i="45"/>
  <c r="L122" i="45"/>
  <c r="J122" i="45"/>
  <c r="I122" i="45"/>
  <c r="H122" i="45"/>
  <c r="F122" i="45"/>
  <c r="J118" i="45"/>
  <c r="I118" i="45"/>
  <c r="H118" i="45"/>
  <c r="F118" i="45"/>
  <c r="N116" i="45"/>
  <c r="L116" i="45"/>
  <c r="K116" i="45"/>
  <c r="K107" i="45" s="1"/>
  <c r="J116" i="45"/>
  <c r="I116" i="45"/>
  <c r="H116" i="45"/>
  <c r="F116" i="45"/>
  <c r="E116" i="45"/>
  <c r="M116" i="45" s="1"/>
  <c r="AD102" i="45"/>
  <c r="K101" i="45"/>
  <c r="L101" i="45"/>
  <c r="J101" i="45"/>
  <c r="I101" i="45"/>
  <c r="H101" i="45"/>
  <c r="F101" i="45"/>
  <c r="L67" i="45"/>
  <c r="J67" i="45"/>
  <c r="I67" i="45"/>
  <c r="H67" i="45"/>
  <c r="S61" i="45"/>
  <c r="S78" i="45" s="1"/>
  <c r="S58" i="45"/>
  <c r="L53" i="45"/>
  <c r="J53" i="45"/>
  <c r="I53" i="45"/>
  <c r="H53" i="45"/>
  <c r="AD50" i="45"/>
  <c r="AD39" i="45"/>
  <c r="AD34" i="45"/>
  <c r="AD26" i="45"/>
  <c r="L25" i="45"/>
  <c r="J25" i="45"/>
  <c r="I25" i="45"/>
  <c r="H25" i="45"/>
  <c r="F25" i="45"/>
  <c r="AD22" i="45"/>
  <c r="L20" i="45"/>
  <c r="K20" i="45"/>
  <c r="J20" i="45"/>
  <c r="I20" i="45"/>
  <c r="H20" i="45"/>
  <c r="F20" i="45"/>
  <c r="AD16" i="45"/>
  <c r="L7" i="45"/>
  <c r="J7" i="45"/>
  <c r="I7" i="45"/>
  <c r="H7" i="45"/>
  <c r="F7" i="45"/>
  <c r="G20" i="45" l="1"/>
  <c r="F148" i="45"/>
  <c r="I272" i="45"/>
  <c r="G101" i="45"/>
  <c r="AD192" i="45"/>
  <c r="F272" i="45"/>
  <c r="I148" i="45"/>
  <c r="AD269" i="45"/>
  <c r="K25" i="45"/>
  <c r="I245" i="45"/>
  <c r="E265" i="45"/>
  <c r="J18" i="18" s="1"/>
  <c r="E286" i="45"/>
  <c r="M286" i="45" s="1"/>
  <c r="E300" i="45"/>
  <c r="M300" i="45" s="1"/>
  <c r="N300" i="45" s="1"/>
  <c r="E315" i="45"/>
  <c r="M315" i="45" s="1"/>
  <c r="N315" i="45" s="1"/>
  <c r="AD399" i="45"/>
  <c r="H272" i="45"/>
  <c r="E354" i="45"/>
  <c r="N354" i="45" s="1"/>
  <c r="E365" i="45"/>
  <c r="N365" i="45" s="1"/>
  <c r="E213" i="45"/>
  <c r="M213" i="45" s="1"/>
  <c r="N213" i="45" s="1"/>
  <c r="E373" i="45"/>
  <c r="N373" i="45" s="1"/>
  <c r="E380" i="45"/>
  <c r="N380" i="45" s="1"/>
  <c r="E387" i="45"/>
  <c r="N387" i="45" s="1"/>
  <c r="E318" i="45"/>
  <c r="M318" i="45" s="1"/>
  <c r="N318" i="45" s="1"/>
  <c r="E340" i="45"/>
  <c r="N340" i="45" s="1"/>
  <c r="F168" i="45"/>
  <c r="AD125" i="45"/>
  <c r="S71" i="45"/>
  <c r="S77" i="45" s="1"/>
  <c r="AD58" i="45"/>
  <c r="AD101" i="45"/>
  <c r="F227" i="45"/>
  <c r="I107" i="45"/>
  <c r="H245" i="45"/>
  <c r="AD168" i="45"/>
  <c r="AD285" i="45"/>
  <c r="I125" i="45"/>
  <c r="K174" i="45"/>
  <c r="I285" i="45"/>
  <c r="J285" i="45"/>
  <c r="H269" i="45"/>
  <c r="J107" i="45"/>
  <c r="J245" i="45"/>
  <c r="J244" i="45" s="1"/>
  <c r="L245" i="45"/>
  <c r="S70" i="45"/>
  <c r="AD70" i="45" s="1"/>
  <c r="AD55" i="45"/>
  <c r="K244" i="45"/>
  <c r="S72" i="45"/>
  <c r="AD72" i="45" s="1"/>
  <c r="K7" i="45"/>
  <c r="K205" i="45"/>
  <c r="K204" i="45" s="1"/>
  <c r="F245" i="45"/>
  <c r="L107" i="45"/>
  <c r="H121" i="45"/>
  <c r="H107" i="45"/>
  <c r="L174" i="45"/>
  <c r="AD206" i="45"/>
  <c r="G107" i="45"/>
  <c r="G205" i="45"/>
  <c r="AD227" i="45"/>
  <c r="E396" i="45"/>
  <c r="F107" i="45"/>
  <c r="J121" i="45"/>
  <c r="F156" i="45"/>
  <c r="AD245" i="45"/>
  <c r="F125" i="45"/>
  <c r="E400" i="45"/>
  <c r="AD20" i="45"/>
  <c r="J6" i="45"/>
  <c r="H6" i="45"/>
  <c r="F285" i="45"/>
  <c r="AD78" i="45"/>
  <c r="S90" i="45"/>
  <c r="AD175" i="45"/>
  <c r="L205" i="45"/>
  <c r="L204" i="45" s="1"/>
  <c r="G285" i="45"/>
  <c r="AD15" i="45"/>
  <c r="AD49" i="45"/>
  <c r="E108" i="45"/>
  <c r="E118" i="45"/>
  <c r="E122" i="45"/>
  <c r="J205" i="45"/>
  <c r="J204" i="45" s="1"/>
  <c r="AD272" i="45"/>
  <c r="AD280" i="45"/>
  <c r="L6" i="45"/>
  <c r="I205" i="45"/>
  <c r="I204" i="45" s="1"/>
  <c r="F280" i="45"/>
  <c r="L285" i="45"/>
  <c r="AD61" i="45"/>
  <c r="AD148" i="45"/>
  <c r="AD156" i="45"/>
  <c r="H205" i="45"/>
  <c r="H204" i="45" s="1"/>
  <c r="K285" i="45"/>
  <c r="I6" i="45"/>
  <c r="H285" i="45"/>
  <c r="E101" i="45" l="1"/>
  <c r="G53" i="45"/>
  <c r="G244" i="45"/>
  <c r="G243" i="45" s="1"/>
  <c r="G121" i="45"/>
  <c r="G204" i="45"/>
  <c r="S65" i="45"/>
  <c r="S97" i="45" s="1"/>
  <c r="AD97" i="45" s="1"/>
  <c r="AD25" i="45"/>
  <c r="M265" i="45"/>
  <c r="N265" i="45" s="1"/>
  <c r="AD71" i="45"/>
  <c r="E285" i="45"/>
  <c r="J22" i="18" s="1"/>
  <c r="E125" i="45"/>
  <c r="M125" i="45" s="1"/>
  <c r="N125" i="45" s="1"/>
  <c r="J14" i="18"/>
  <c r="E227" i="45"/>
  <c r="M227" i="45" s="1"/>
  <c r="N227" i="45" s="1"/>
  <c r="AD7" i="45"/>
  <c r="E156" i="45"/>
  <c r="M156" i="45" s="1"/>
  <c r="N156" i="45" s="1"/>
  <c r="E272" i="45"/>
  <c r="J20" i="18" s="1"/>
  <c r="E206" i="45"/>
  <c r="J13" i="18" s="1"/>
  <c r="E269" i="45"/>
  <c r="AD60" i="45"/>
  <c r="E20" i="45"/>
  <c r="M20" i="45" s="1"/>
  <c r="N20" i="45" s="1"/>
  <c r="M101" i="45"/>
  <c r="N101" i="45" s="1"/>
  <c r="E245" i="45"/>
  <c r="J17" i="18" s="1"/>
  <c r="E148" i="45"/>
  <c r="M148" i="45" s="1"/>
  <c r="N148" i="45" s="1"/>
  <c r="E280" i="45"/>
  <c r="J21" i="18" s="1"/>
  <c r="E168" i="45"/>
  <c r="M168" i="45" s="1"/>
  <c r="N168" i="45" s="1"/>
  <c r="M118" i="45"/>
  <c r="N118" i="45" s="1"/>
  <c r="E399" i="45"/>
  <c r="J26" i="18" s="1"/>
  <c r="S76" i="45"/>
  <c r="AD76" i="45" s="1"/>
  <c r="H244" i="45"/>
  <c r="H243" i="45" s="1"/>
  <c r="J243" i="45"/>
  <c r="F205" i="45"/>
  <c r="F204" i="45" s="1"/>
  <c r="K243" i="45"/>
  <c r="I121" i="45"/>
  <c r="I5" i="45" s="1"/>
  <c r="K121" i="45"/>
  <c r="AD205" i="45"/>
  <c r="L244" i="45"/>
  <c r="L243" i="45" s="1"/>
  <c r="L121" i="45"/>
  <c r="L5" i="45" s="1"/>
  <c r="H5" i="45"/>
  <c r="I244" i="45"/>
  <c r="I243" i="45" s="1"/>
  <c r="AD174" i="45"/>
  <c r="F121" i="45"/>
  <c r="J5" i="45"/>
  <c r="M122" i="45"/>
  <c r="N122" i="45" s="1"/>
  <c r="S96" i="45"/>
  <c r="AD96" i="45" s="1"/>
  <c r="AD90" i="45"/>
  <c r="N286" i="45"/>
  <c r="N285" i="45" s="1"/>
  <c r="AD77" i="45"/>
  <c r="S89" i="45"/>
  <c r="AD89" i="45" s="1"/>
  <c r="AD244" i="45"/>
  <c r="AD57" i="45"/>
  <c r="F244" i="45"/>
  <c r="F243" i="45" s="1"/>
  <c r="S84" i="45"/>
  <c r="AD84" i="45" s="1"/>
  <c r="F53" i="45"/>
  <c r="AD54" i="45"/>
  <c r="E107" i="45"/>
  <c r="M108" i="45"/>
  <c r="N108" i="45" s="1"/>
  <c r="AD107" i="45"/>
  <c r="E25" i="45" l="1"/>
  <c r="I4" i="45"/>
  <c r="AD65" i="45"/>
  <c r="S73" i="45"/>
  <c r="AD73" i="45" s="1"/>
  <c r="AD69" i="45" s="1"/>
  <c r="S91" i="45"/>
  <c r="AD91" i="45" s="1"/>
  <c r="S79" i="45"/>
  <c r="AD79" i="45" s="1"/>
  <c r="M280" i="45"/>
  <c r="N280" i="45" s="1"/>
  <c r="E244" i="45"/>
  <c r="M244" i="45" s="1"/>
  <c r="M272" i="45"/>
  <c r="N272" i="45" s="1"/>
  <c r="M245" i="45"/>
  <c r="N245" i="45" s="1"/>
  <c r="E7" i="45"/>
  <c r="M7" i="45" s="1"/>
  <c r="N7" i="45" s="1"/>
  <c r="M206" i="45"/>
  <c r="N206" i="45" s="1"/>
  <c r="J15" i="18"/>
  <c r="E205" i="45"/>
  <c r="M205" i="45" s="1"/>
  <c r="N205" i="45" s="1"/>
  <c r="E174" i="45"/>
  <c r="M174" i="45" s="1"/>
  <c r="N174" i="45" s="1"/>
  <c r="AD204" i="45"/>
  <c r="M269" i="45"/>
  <c r="N269" i="45" s="1"/>
  <c r="J19" i="18"/>
  <c r="M25" i="45"/>
  <c r="N25" i="45" s="1"/>
  <c r="AD243" i="45"/>
  <c r="J4" i="45"/>
  <c r="K53" i="45"/>
  <c r="S88" i="45"/>
  <c r="AD88" i="45" s="1"/>
  <c r="N399" i="45"/>
  <c r="L4" i="45"/>
  <c r="H4" i="45"/>
  <c r="M107" i="45"/>
  <c r="N107" i="45" s="1"/>
  <c r="J10" i="18"/>
  <c r="AD121" i="45"/>
  <c r="S82" i="45"/>
  <c r="AD82" i="45" s="1"/>
  <c r="S95" i="45"/>
  <c r="AD95" i="45" s="1"/>
  <c r="S83" i="45"/>
  <c r="AD83" i="45" s="1"/>
  <c r="AD63" i="45" l="1"/>
  <c r="AD75" i="45"/>
  <c r="E121" i="45"/>
  <c r="M121" i="45" s="1"/>
  <c r="N121" i="45" s="1"/>
  <c r="E204" i="45"/>
  <c r="M204" i="45" s="1"/>
  <c r="N204" i="45" s="1"/>
  <c r="G67" i="45"/>
  <c r="E243" i="45"/>
  <c r="S94" i="45"/>
  <c r="AD94" i="45" s="1"/>
  <c r="S85" i="45"/>
  <c r="AD85" i="45" s="1"/>
  <c r="AD87" i="45"/>
  <c r="M243" i="45"/>
  <c r="N243" i="45" s="1"/>
  <c r="N244" i="45"/>
  <c r="AD53" i="45" l="1"/>
  <c r="J11" i="18"/>
  <c r="K67" i="45"/>
  <c r="K6" i="45" s="1"/>
  <c r="X132" i="29"/>
  <c r="X137" i="29"/>
  <c r="AD81" i="45"/>
  <c r="G6" i="45"/>
  <c r="E53" i="45" l="1"/>
  <c r="M53" i="45" s="1"/>
  <c r="N53" i="45" s="1"/>
  <c r="AD93" i="45"/>
  <c r="F67" i="45"/>
  <c r="F6" i="45" s="1"/>
  <c r="F5" i="45" s="1"/>
  <c r="F4" i="45" s="1"/>
  <c r="G5" i="45"/>
  <c r="X31" i="29"/>
  <c r="K5" i="45"/>
  <c r="K4" i="45" s="1"/>
  <c r="X71" i="29"/>
  <c r="X74" i="29"/>
  <c r="X67" i="29"/>
  <c r="X32" i="29"/>
  <c r="X139" i="29"/>
  <c r="X34" i="29"/>
  <c r="X39" i="29"/>
  <c r="AD67" i="45"/>
  <c r="E67" i="45" s="1"/>
  <c r="G4" i="45" l="1"/>
  <c r="AD6" i="45"/>
  <c r="E6" i="45"/>
  <c r="AD5" i="45" l="1"/>
  <c r="AD4" i="45" s="1"/>
  <c r="E5" i="45"/>
  <c r="E4" i="45" s="1"/>
  <c r="J9" i="18"/>
  <c r="M6" i="45"/>
  <c r="N6" i="45" s="1"/>
  <c r="M67" i="45"/>
  <c r="N67" i="45" s="1"/>
  <c r="M5" i="45" l="1"/>
  <c r="N5" i="45" s="1"/>
  <c r="M4" i="45"/>
  <c r="N4" i="45" s="1"/>
  <c r="X360" i="29" l="1"/>
  <c r="X357" i="29"/>
  <c r="F357" i="29" l="1"/>
  <c r="F360" i="29"/>
  <c r="X272" i="29" l="1"/>
  <c r="X270" i="29"/>
  <c r="X273" i="29"/>
  <c r="X266" i="29"/>
  <c r="X264" i="29"/>
  <c r="X274" i="29" l="1"/>
  <c r="X269" i="29"/>
  <c r="X78" i="29"/>
  <c r="X124" i="29"/>
  <c r="X59" i="29"/>
  <c r="X58" i="29"/>
  <c r="X54" i="29"/>
  <c r="X24" i="29"/>
  <c r="X268" i="29" l="1"/>
  <c r="X18" i="29"/>
  <c r="X123" i="29"/>
  <c r="X53" i="29"/>
  <c r="X142" i="29"/>
  <c r="X66" i="29"/>
  <c r="X30" i="29"/>
  <c r="X29" i="29"/>
  <c r="X7" i="29"/>
  <c r="X28" i="29" l="1"/>
  <c r="X144" i="29"/>
  <c r="X145" i="29"/>
  <c r="X138" i="29"/>
  <c r="X141" i="29"/>
  <c r="X72" i="29"/>
  <c r="X278" i="29" l="1"/>
  <c r="D9" i="18" l="1"/>
  <c r="X83" i="29" l="1"/>
  <c r="X97" i="29"/>
  <c r="X27" i="29"/>
  <c r="X404" i="29"/>
  <c r="X401" i="29"/>
  <c r="X400" i="29"/>
  <c r="X399" i="29"/>
  <c r="X398" i="29"/>
  <c r="E396" i="29"/>
  <c r="X384" i="29"/>
  <c r="E383" i="29"/>
  <c r="X380" i="29"/>
  <c r="E379" i="29"/>
  <c r="F375" i="29"/>
  <c r="G375" i="29" s="1"/>
  <c r="H375" i="29" s="1"/>
  <c r="X366" i="29"/>
  <c r="E365" i="29"/>
  <c r="G360" i="29"/>
  <c r="H360" i="29" s="1"/>
  <c r="G357" i="29"/>
  <c r="H357" i="29" s="1"/>
  <c r="X353" i="29"/>
  <c r="X350" i="29"/>
  <c r="X347" i="29"/>
  <c r="X263" i="29"/>
  <c r="E261" i="29"/>
  <c r="X253" i="29"/>
  <c r="X251" i="29"/>
  <c r="X249" i="29"/>
  <c r="X247" i="29"/>
  <c r="X240" i="29"/>
  <c r="X239" i="29"/>
  <c r="X238" i="29"/>
  <c r="X237" i="29"/>
  <c r="X233" i="29"/>
  <c r="X231" i="29"/>
  <c r="X230" i="29"/>
  <c r="X229" i="29"/>
  <c r="X222" i="29"/>
  <c r="H221" i="29"/>
  <c r="E220" i="29"/>
  <c r="H220" i="29" s="1"/>
  <c r="H217" i="29"/>
  <c r="F217" i="29"/>
  <c r="F216" i="29" s="1"/>
  <c r="X216" i="29"/>
  <c r="E216" i="29"/>
  <c r="H216" i="29" s="1"/>
  <c r="X214" i="29"/>
  <c r="H214" i="29"/>
  <c r="E213" i="29"/>
  <c r="H213" i="29" s="1"/>
  <c r="X209" i="29"/>
  <c r="X208" i="29" s="1"/>
  <c r="E207" i="29"/>
  <c r="D19" i="18" s="1"/>
  <c r="X205" i="29"/>
  <c r="X204" i="29"/>
  <c r="X194" i="29"/>
  <c r="E193" i="29"/>
  <c r="D18" i="18" s="1"/>
  <c r="F190" i="29"/>
  <c r="F189" i="29" s="1"/>
  <c r="X189" i="29"/>
  <c r="E189" i="29"/>
  <c r="D16" i="18" s="1"/>
  <c r="X187" i="29"/>
  <c r="X184" i="29"/>
  <c r="X181" i="29"/>
  <c r="X180" i="29"/>
  <c r="X179" i="29"/>
  <c r="X168" i="29"/>
  <c r="X167" i="29"/>
  <c r="X166" i="29"/>
  <c r="X164" i="29"/>
  <c r="X163" i="29"/>
  <c r="X157" i="29"/>
  <c r="X156" i="29"/>
  <c r="X155" i="29"/>
  <c r="X154" i="29"/>
  <c r="X153" i="29"/>
  <c r="X136" i="29"/>
  <c r="X135" i="29"/>
  <c r="X134" i="29"/>
  <c r="E122" i="29"/>
  <c r="D15" i="18" s="1"/>
  <c r="X117" i="29"/>
  <c r="X114" i="29"/>
  <c r="X113" i="29"/>
  <c r="X112" i="29"/>
  <c r="X101" i="29"/>
  <c r="X100" i="29"/>
  <c r="X99" i="29"/>
  <c r="X96" i="29"/>
  <c r="X90" i="29"/>
  <c r="X89" i="29"/>
  <c r="X88" i="29"/>
  <c r="X87" i="29"/>
  <c r="X86" i="29"/>
  <c r="X148" i="29"/>
  <c r="X65" i="29"/>
  <c r="X62" i="29"/>
  <c r="E52" i="29"/>
  <c r="D14" i="18" s="1"/>
  <c r="X45" i="29"/>
  <c r="E17" i="29"/>
  <c r="D13" i="18" s="1"/>
  <c r="X14" i="29"/>
  <c r="H14" i="29"/>
  <c r="F10" i="29"/>
  <c r="X9" i="29"/>
  <c r="X6" i="29"/>
  <c r="X365" i="29" l="1"/>
  <c r="F14" i="29"/>
  <c r="G14" i="29" s="1"/>
  <c r="X262" i="29"/>
  <c r="F347" i="29"/>
  <c r="G347" i="29" s="1"/>
  <c r="H347" i="29" s="1"/>
  <c r="F380" i="29"/>
  <c r="G380" i="29" s="1"/>
  <c r="H380" i="29" s="1"/>
  <c r="X147" i="29"/>
  <c r="F214" i="29"/>
  <c r="G214" i="29" s="1"/>
  <c r="X246" i="29"/>
  <c r="F353" i="29"/>
  <c r="G353" i="29" s="1"/>
  <c r="H353" i="29" s="1"/>
  <c r="X403" i="29"/>
  <c r="X383" i="29"/>
  <c r="X133" i="29"/>
  <c r="X44" i="29"/>
  <c r="F350" i="29"/>
  <c r="G350" i="29" s="1"/>
  <c r="H350" i="29" s="1"/>
  <c r="X346" i="29"/>
  <c r="X103" i="29"/>
  <c r="X170" i="29"/>
  <c r="G10" i="29"/>
  <c r="H10" i="29" s="1"/>
  <c r="X213" i="29"/>
  <c r="X33" i="29"/>
  <c r="X203" i="29"/>
  <c r="G216" i="29"/>
  <c r="E378" i="29"/>
  <c r="D25" i="18" s="1"/>
  <c r="X5" i="29"/>
  <c r="G217" i="29"/>
  <c r="E212" i="29"/>
  <c r="H212" i="29" s="1"/>
  <c r="F53" i="29"/>
  <c r="X77" i="29"/>
  <c r="X236" i="29"/>
  <c r="X111" i="29"/>
  <c r="E219" i="29"/>
  <c r="D21" i="18" s="1"/>
  <c r="X379" i="29"/>
  <c r="X152" i="29"/>
  <c r="X85" i="29"/>
  <c r="E192" i="29"/>
  <c r="X228" i="29"/>
  <c r="G189" i="29"/>
  <c r="F366" i="29"/>
  <c r="G366" i="29" s="1"/>
  <c r="H366" i="29" s="1"/>
  <c r="X397" i="29"/>
  <c r="G190" i="29"/>
  <c r="H190" i="29" s="1"/>
  <c r="X178" i="29"/>
  <c r="X98" i="29"/>
  <c r="X94" i="29"/>
  <c r="X161" i="29"/>
  <c r="X108" i="29"/>
  <c r="X42" i="29"/>
  <c r="X41" i="29"/>
  <c r="X38" i="29"/>
  <c r="X64" i="29"/>
  <c r="E345" i="29"/>
  <c r="D23" i="18" s="1"/>
  <c r="F194" i="29"/>
  <c r="H189" i="29"/>
  <c r="X165" i="29"/>
  <c r="X207" i="29"/>
  <c r="F208" i="29"/>
  <c r="E16" i="29"/>
  <c r="F384" i="29"/>
  <c r="F213" i="29" l="1"/>
  <c r="F212" i="29" s="1"/>
  <c r="G212" i="29" s="1"/>
  <c r="F379" i="29"/>
  <c r="F147" i="29"/>
  <c r="G147" i="29" s="1"/>
  <c r="H147" i="29" s="1"/>
  <c r="F77" i="29"/>
  <c r="G77" i="29" s="1"/>
  <c r="H77" i="29" s="1"/>
  <c r="X212" i="29"/>
  <c r="F152" i="29"/>
  <c r="G152" i="29" s="1"/>
  <c r="H152" i="29" s="1"/>
  <c r="X102" i="29"/>
  <c r="F403" i="29"/>
  <c r="G403" i="29" s="1"/>
  <c r="H403" i="29" s="1"/>
  <c r="F203" i="29"/>
  <c r="G203" i="29" s="1"/>
  <c r="H203" i="29" s="1"/>
  <c r="X345" i="29"/>
  <c r="X63" i="29"/>
  <c r="F397" i="29"/>
  <c r="G397" i="29" s="1"/>
  <c r="H397" i="29" s="1"/>
  <c r="F85" i="29"/>
  <c r="G85" i="29" s="1"/>
  <c r="H85" i="29" s="1"/>
  <c r="F44" i="29"/>
  <c r="G44" i="29" s="1"/>
  <c r="H44" i="29" s="1"/>
  <c r="F346" i="29"/>
  <c r="G346" i="29" s="1"/>
  <c r="H346" i="29" s="1"/>
  <c r="X283" i="29"/>
  <c r="X285" i="29"/>
  <c r="X286" i="29"/>
  <c r="X282" i="29"/>
  <c r="F18" i="29"/>
  <c r="G18" i="29" s="1"/>
  <c r="H18" i="29" s="1"/>
  <c r="X175" i="29"/>
  <c r="X109" i="29"/>
  <c r="X176" i="29"/>
  <c r="X105" i="29"/>
  <c r="X172" i="29"/>
  <c r="X106" i="29"/>
  <c r="F5" i="29"/>
  <c r="X193" i="29"/>
  <c r="X73" i="29"/>
  <c r="X221" i="29"/>
  <c r="X75" i="29"/>
  <c r="X69" i="29"/>
  <c r="F365" i="29"/>
  <c r="G365" i="29" s="1"/>
  <c r="H365" i="29" s="1"/>
  <c r="X396" i="29"/>
  <c r="X378" i="29" s="1"/>
  <c r="G379" i="29"/>
  <c r="H379" i="29" s="1"/>
  <c r="F207" i="29"/>
  <c r="G208" i="29"/>
  <c r="H208" i="29" s="1"/>
  <c r="G194" i="29"/>
  <c r="H194" i="29" s="1"/>
  <c r="F123" i="29"/>
  <c r="X169" i="29"/>
  <c r="G384" i="29"/>
  <c r="H384" i="29" s="1"/>
  <c r="F383" i="29"/>
  <c r="G383" i="29" s="1"/>
  <c r="H383" i="29" s="1"/>
  <c r="E4" i="29"/>
  <c r="G53" i="29"/>
  <c r="H53" i="29" s="1"/>
  <c r="G213" i="29" l="1"/>
  <c r="F396" i="29"/>
  <c r="G396" i="29" s="1"/>
  <c r="H396" i="29" s="1"/>
  <c r="F193" i="29"/>
  <c r="X192" i="29"/>
  <c r="X107" i="29"/>
  <c r="X284" i="29"/>
  <c r="X68" i="29"/>
  <c r="X173" i="29"/>
  <c r="X220" i="29"/>
  <c r="F221" i="29"/>
  <c r="G221" i="29" s="1"/>
  <c r="G5" i="29"/>
  <c r="H5" i="29" s="1"/>
  <c r="X70" i="29"/>
  <c r="G207" i="29"/>
  <c r="H207" i="29" s="1"/>
  <c r="E19" i="18"/>
  <c r="F345" i="29"/>
  <c r="G123" i="29"/>
  <c r="H123" i="29" s="1"/>
  <c r="F192" i="29"/>
  <c r="G192" i="29" s="1"/>
  <c r="H192" i="29" s="1"/>
  <c r="G193" i="29"/>
  <c r="H193" i="29" s="1"/>
  <c r="F378" i="29" l="1"/>
  <c r="G378" i="29" s="1"/>
  <c r="H378" i="29" s="1"/>
  <c r="X174" i="29"/>
  <c r="X104" i="29"/>
  <c r="X281" i="29"/>
  <c r="X61" i="29"/>
  <c r="X40" i="29"/>
  <c r="F220" i="29"/>
  <c r="X143" i="29"/>
  <c r="G345" i="29"/>
  <c r="H345" i="29" s="1"/>
  <c r="E23" i="18"/>
  <c r="E25" i="18" l="1"/>
  <c r="X93" i="29"/>
  <c r="F61" i="29"/>
  <c r="G61" i="29" s="1"/>
  <c r="H61" i="29" s="1"/>
  <c r="X37" i="29"/>
  <c r="G220" i="29"/>
  <c r="X171" i="29"/>
  <c r="X140" i="29"/>
  <c r="X160" i="29" l="1"/>
  <c r="X92" i="29"/>
  <c r="X131" i="29"/>
  <c r="X26" i="29"/>
  <c r="F131" i="29" l="1"/>
  <c r="G131" i="29" s="1"/>
  <c r="H131" i="29" s="1"/>
  <c r="F92" i="29"/>
  <c r="G92" i="29" s="1"/>
  <c r="H92" i="29" s="1"/>
  <c r="X159" i="29"/>
  <c r="X17" i="29"/>
  <c r="F26" i="29"/>
  <c r="F159" i="29" l="1"/>
  <c r="G159" i="29" s="1"/>
  <c r="H159" i="29" s="1"/>
  <c r="G26" i="29"/>
  <c r="H26" i="29" s="1"/>
  <c r="F17" i="29"/>
  <c r="G17" i="29" s="1"/>
  <c r="H17" i="29" s="1"/>
  <c r="D10" i="18" l="1"/>
  <c r="X279" i="29" l="1"/>
  <c r="X277" i="29" l="1"/>
  <c r="X261" i="29" s="1"/>
  <c r="X185" i="29"/>
  <c r="X118" i="29"/>
  <c r="X116" i="29" l="1"/>
  <c r="X183" i="29"/>
  <c r="X219" i="29"/>
  <c r="K26" i="18"/>
  <c r="K24" i="18"/>
  <c r="X52" i="29" l="1"/>
  <c r="F116" i="29"/>
  <c r="F52" i="29" s="1"/>
  <c r="G52" i="29" s="1"/>
  <c r="H52" i="29" s="1"/>
  <c r="X122" i="29"/>
  <c r="F183" i="29"/>
  <c r="F122" i="29" s="1"/>
  <c r="F262" i="29"/>
  <c r="G116" i="29" l="1"/>
  <c r="H116" i="29" s="1"/>
  <c r="X16" i="29"/>
  <c r="X4" i="29" s="1"/>
  <c r="G183" i="29"/>
  <c r="H183" i="29" s="1"/>
  <c r="G262" i="29"/>
  <c r="H262" i="29" s="1"/>
  <c r="F261" i="29"/>
  <c r="F16" i="29"/>
  <c r="G122" i="29"/>
  <c r="H122" i="29" s="1"/>
  <c r="D12" i="18"/>
  <c r="D17" i="18"/>
  <c r="D20" i="18"/>
  <c r="D22" i="18"/>
  <c r="D24" i="18"/>
  <c r="G261" i="29" l="1"/>
  <c r="H261" i="29" s="1"/>
  <c r="F219" i="29"/>
  <c r="G16" i="29"/>
  <c r="I25" i="18"/>
  <c r="I16" i="18"/>
  <c r="I12" i="18"/>
  <c r="I8" i="18"/>
  <c r="D8" i="18"/>
  <c r="D7" i="18" s="1"/>
  <c r="F4" i="29" l="1"/>
  <c r="E21" i="18"/>
  <c r="G219" i="29"/>
  <c r="H219" i="29" s="1"/>
  <c r="H16" i="29"/>
  <c r="I7" i="18"/>
  <c r="G4" i="29" l="1"/>
  <c r="H4" i="29" s="1"/>
  <c r="E16" i="18"/>
  <c r="F16" i="18" s="1"/>
  <c r="E11" i="18" l="1"/>
  <c r="E9" i="18"/>
  <c r="F9" i="18" s="1"/>
  <c r="E10" i="18" l="1"/>
  <c r="F10" i="18" s="1"/>
  <c r="F11" i="18"/>
  <c r="F19" i="18"/>
  <c r="E18" i="18"/>
  <c r="F18" i="18" s="1"/>
  <c r="E17" i="18" l="1"/>
  <c r="F17" i="18" s="1"/>
  <c r="F23" i="18"/>
  <c r="E22" i="18" l="1"/>
  <c r="F22" i="18" s="1"/>
  <c r="F25" i="18"/>
  <c r="E13" i="18"/>
  <c r="F13" i="18" s="1"/>
  <c r="E24" i="18" l="1"/>
  <c r="F24" i="18" s="1"/>
  <c r="E14" i="18"/>
  <c r="F14" i="18" s="1"/>
  <c r="E15" i="18"/>
  <c r="F15" i="18" s="1"/>
  <c r="E12" i="18" l="1"/>
  <c r="F12" i="18" s="1"/>
  <c r="J25" i="18" l="1"/>
  <c r="K25" i="18" s="1"/>
  <c r="J23" i="18"/>
  <c r="K23" i="18" s="1"/>
  <c r="E8" i="18"/>
  <c r="F8" i="18" s="1"/>
  <c r="K22" i="18" l="1"/>
  <c r="K13" i="18" l="1"/>
  <c r="K19" i="18" l="1"/>
  <c r="K17" i="18" l="1"/>
  <c r="K15" i="18"/>
  <c r="K14" i="18" l="1"/>
  <c r="K18" i="18"/>
  <c r="K20" i="18"/>
  <c r="J12" i="18" l="1"/>
  <c r="K12" i="18" s="1"/>
  <c r="K21" i="18"/>
  <c r="J16" i="18" l="1"/>
  <c r="K16" i="18" s="1"/>
  <c r="K10" i="18"/>
  <c r="K9" i="18" l="1"/>
  <c r="K11" i="18"/>
  <c r="J8" i="18" l="1"/>
  <c r="J7" i="18" s="1"/>
  <c r="K8" i="18"/>
  <c r="K7" i="18" s="1"/>
  <c r="F21" i="18" l="1"/>
  <c r="E20" i="18" l="1"/>
  <c r="E7" i="18" l="1"/>
  <c r="F20" i="18"/>
  <c r="F7" i="18" s="1"/>
</calcChain>
</file>

<file path=xl/comments1.xml><?xml version="1.0" encoding="utf-8"?>
<comments xmlns="http://schemas.openxmlformats.org/spreadsheetml/2006/main">
  <authors>
    <author>Windows User</author>
  </authors>
  <commentList>
    <comment ref="O324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돋움"/>
            <family val="3"/>
            <charset val="129"/>
          </rPr>
          <t>심리운동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스누젤렌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건강해짐</t>
        </r>
        <r>
          <rPr>
            <sz val="10"/>
            <color indexed="81"/>
            <rFont val="Tahoma"/>
            <family val="2"/>
          </rPr>
          <t xml:space="preserve">,  </t>
        </r>
        <r>
          <rPr>
            <sz val="10"/>
            <color indexed="81"/>
            <rFont val="돋움"/>
            <family val="3"/>
            <charset val="129"/>
          </rPr>
          <t>아로마</t>
        </r>
        <r>
          <rPr>
            <sz val="10"/>
            <color indexed="81"/>
            <rFont val="Tahoma"/>
            <family val="2"/>
          </rPr>
          <t xml:space="preserve">, </t>
        </r>
        <r>
          <rPr>
            <sz val="10"/>
            <color indexed="81"/>
            <rFont val="돋움"/>
            <family val="3"/>
            <charset val="129"/>
          </rPr>
          <t>신체활동</t>
        </r>
        <r>
          <rPr>
            <sz val="10"/>
            <color indexed="81"/>
            <rFont val="Tahoma"/>
            <family val="2"/>
          </rPr>
          <t xml:space="preserve">, 
</t>
        </r>
        <r>
          <rPr>
            <sz val="10"/>
            <color indexed="81"/>
            <rFont val="돋움"/>
            <family val="3"/>
            <charset val="129"/>
          </rPr>
          <t>하늘채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등산</t>
        </r>
      </text>
    </comment>
  </commentList>
</comments>
</file>

<file path=xl/sharedStrings.xml><?xml version="1.0" encoding="utf-8"?>
<sst xmlns="http://schemas.openxmlformats.org/spreadsheetml/2006/main" count="3352" uniqueCount="869">
  <si>
    <t>월</t>
    <phoneticPr fontId="1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</si>
  <si>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</si>
  <si>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</si>
  <si>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</si>
  <si>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</si>
  <si>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</si>
  <si>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</si>
  <si>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</si>
  <si>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</si>
  <si>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</si>
  <si>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</si>
  <si>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</si>
  <si>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</si>
  <si>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</si>
  <si>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</si>
  <si>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</si>
  <si>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</si>
  <si>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</si>
  <si>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</si>
  <si>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</si>
  <si>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</si>
  <si>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</si>
  <si>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</si>
  <si>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</si>
  <si>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</si>
  <si>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</si>
  <si>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</si>
  <si>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</si>
  <si>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</si>
  <si>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</si>
  <si>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</si>
  <si>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</si>
  <si>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</si>
  <si>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</si>
  <si>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</si>
  <si>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</si>
  <si>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</si>
  <si>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</si>
  <si>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</si>
  <si>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</si>
  <si>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</si>
  <si>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</si>
  <si>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</si>
  <si>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</si>
  <si>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</si>
  <si>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</si>
  <si>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</si>
  <si>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</si>
  <si>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</si>
  <si>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</si>
  <si>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</si>
  <si>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</si>
  <si>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</si>
  <si>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16" type="noConversion"/>
  </si>
  <si>
    <t>명</t>
    <phoneticPr fontId="16" type="noConversion"/>
  </si>
  <si>
    <t>원</t>
    <phoneticPr fontId="16" type="noConversion"/>
  </si>
  <si>
    <t>×</t>
    <phoneticPr fontId="16" type="noConversion"/>
  </si>
  <si>
    <t>생계비</t>
    <phoneticPr fontId="16" type="noConversion"/>
  </si>
  <si>
    <t>후원금</t>
    <phoneticPr fontId="16" type="noConversion"/>
  </si>
  <si>
    <t>잡수입</t>
    <phoneticPr fontId="16" type="noConversion"/>
  </si>
  <si>
    <t>÷</t>
    <phoneticPr fontId="16" type="noConversion"/>
  </si>
  <si>
    <t>회</t>
    <phoneticPr fontId="16" type="noConversion"/>
  </si>
  <si>
    <t>일용잡급</t>
    <phoneticPr fontId="16" type="noConversion"/>
  </si>
  <si>
    <t>※기본급</t>
    <phoneticPr fontId="16" type="noConversion"/>
  </si>
  <si>
    <t>※ 일용잡급</t>
    <phoneticPr fontId="16" type="noConversion"/>
  </si>
  <si>
    <t>사회보험</t>
    <phoneticPr fontId="16" type="noConversion"/>
  </si>
  <si>
    <t>기타후생</t>
    <phoneticPr fontId="16" type="noConversion"/>
  </si>
  <si>
    <t>※ 기타후생경비</t>
    <phoneticPr fontId="16" type="noConversion"/>
  </si>
  <si>
    <t>회  의  비</t>
    <phoneticPr fontId="16" type="noConversion"/>
  </si>
  <si>
    <t>여    비</t>
    <phoneticPr fontId="16" type="noConversion"/>
  </si>
  <si>
    <t>보조</t>
    <phoneticPr fontId="16" type="noConversion"/>
  </si>
  <si>
    <t>기타운영비</t>
    <phoneticPr fontId="16" type="noConversion"/>
  </si>
  <si>
    <t>※ 직원 교육훈련비</t>
    <phoneticPr fontId="16" type="noConversion"/>
  </si>
  <si>
    <t>피복비</t>
    <phoneticPr fontId="16" type="noConversion"/>
  </si>
  <si>
    <t>의료비</t>
    <phoneticPr fontId="16" type="noConversion"/>
  </si>
  <si>
    <t>연료비</t>
    <phoneticPr fontId="16" type="noConversion"/>
  </si>
  <si>
    <t>운영비</t>
    <phoneticPr fontId="16" type="noConversion"/>
  </si>
  <si>
    <t>※ 생계비</t>
    <phoneticPr fontId="16" type="noConversion"/>
  </si>
  <si>
    <t>수용기관</t>
    <phoneticPr fontId="16" type="noConversion"/>
  </si>
  <si>
    <t>※ 수용기관경비</t>
    <phoneticPr fontId="16" type="noConversion"/>
  </si>
  <si>
    <t>※ 연료비</t>
    <phoneticPr fontId="16" type="noConversion"/>
  </si>
  <si>
    <t>프로그램</t>
    <phoneticPr fontId="16" type="noConversion"/>
  </si>
  <si>
    <t>잡지출</t>
    <phoneticPr fontId="16" type="noConversion"/>
  </si>
  <si>
    <t>※ 잡지출</t>
    <phoneticPr fontId="16" type="noConversion"/>
  </si>
  <si>
    <t>일</t>
    <phoneticPr fontId="16" type="noConversion"/>
  </si>
  <si>
    <t>잡수</t>
    <phoneticPr fontId="16" type="noConversion"/>
  </si>
  <si>
    <t>운      영      비</t>
    <phoneticPr fontId="33" type="noConversion"/>
  </si>
  <si>
    <t>재산조성비</t>
    <phoneticPr fontId="33" type="noConversion"/>
  </si>
  <si>
    <t>시      설      비</t>
    <phoneticPr fontId="33" type="noConversion"/>
  </si>
  <si>
    <t>후원금  수입</t>
    <phoneticPr fontId="33" type="noConversion"/>
  </si>
  <si>
    <t>지정      후원금</t>
    <phoneticPr fontId="33" type="noConversion"/>
  </si>
  <si>
    <t>자 산   취 득 비</t>
    <phoneticPr fontId="33" type="noConversion"/>
  </si>
  <si>
    <t>비지정   후원금</t>
    <phoneticPr fontId="33" type="noConversion"/>
  </si>
  <si>
    <t>시설장비유지비</t>
    <phoneticPr fontId="33" type="noConversion"/>
  </si>
  <si>
    <t>전    입    금</t>
    <phoneticPr fontId="33" type="noConversion"/>
  </si>
  <si>
    <t>법인      전입금</t>
    <phoneticPr fontId="33" type="noConversion"/>
  </si>
  <si>
    <t>사   업   비</t>
    <phoneticPr fontId="33" type="noConversion"/>
  </si>
  <si>
    <t>생      계      비</t>
    <phoneticPr fontId="33" type="noConversion"/>
  </si>
  <si>
    <t>이    월    금</t>
    <phoneticPr fontId="33" type="noConversion"/>
  </si>
  <si>
    <t>전년도   이월금</t>
    <phoneticPr fontId="33" type="noConversion"/>
  </si>
  <si>
    <t>수용기관   경비</t>
    <phoneticPr fontId="33" type="noConversion"/>
  </si>
  <si>
    <t>잡    수    입</t>
    <phoneticPr fontId="33" type="noConversion"/>
  </si>
  <si>
    <t>잡      수      입</t>
    <phoneticPr fontId="33" type="noConversion"/>
  </si>
  <si>
    <t>피      복      비</t>
    <phoneticPr fontId="33" type="noConversion"/>
  </si>
  <si>
    <t>의      료      비</t>
    <phoneticPr fontId="33" type="noConversion"/>
  </si>
  <si>
    <t>연      료      비</t>
    <phoneticPr fontId="33" type="noConversion"/>
  </si>
  <si>
    <t>프로그램사업비</t>
    <phoneticPr fontId="33" type="noConversion"/>
  </si>
  <si>
    <t>잡   지   출</t>
    <phoneticPr fontId="33" type="noConversion"/>
  </si>
  <si>
    <t>잡      지      출</t>
    <phoneticPr fontId="33" type="noConversion"/>
  </si>
  <si>
    <t>예   비   비</t>
    <phoneticPr fontId="33" type="noConversion"/>
  </si>
  <si>
    <t>입소자
부담금</t>
    <phoneticPr fontId="16" type="noConversion"/>
  </si>
  <si>
    <t>비  용</t>
  </si>
  <si>
    <t>보조금
(4종)</t>
    <phoneticPr fontId="16" type="noConversion"/>
  </si>
  <si>
    <t>법인
전입금</t>
    <phoneticPr fontId="16" type="noConversion"/>
  </si>
  <si>
    <t>계
(B)</t>
    <phoneticPr fontId="16" type="noConversion"/>
  </si>
  <si>
    <t>금액
(B-A)</t>
    <phoneticPr fontId="16" type="noConversion"/>
  </si>
  <si>
    <t>합  계 :</t>
    <phoneticPr fontId="16" type="noConversion"/>
  </si>
  <si>
    <t>부담금</t>
    <phoneticPr fontId="16" type="noConversion"/>
  </si>
  <si>
    <t>업   무</t>
    <phoneticPr fontId="16" type="noConversion"/>
  </si>
  <si>
    <t>사업비</t>
    <phoneticPr fontId="16" type="noConversion"/>
  </si>
  <si>
    <t>소  계 :</t>
    <phoneticPr fontId="16" type="noConversion"/>
  </si>
  <si>
    <t>※ 피복비</t>
  </si>
  <si>
    <t>※ 의료비</t>
    <phoneticPr fontId="16" type="noConversion"/>
  </si>
  <si>
    <t>÷</t>
  </si>
  <si>
    <t>추진비</t>
    <phoneticPr fontId="16" type="noConversion"/>
  </si>
  <si>
    <t>업무추진비</t>
    <phoneticPr fontId="16" type="noConversion"/>
  </si>
  <si>
    <t>※ 직책보조비</t>
    <phoneticPr fontId="16" type="noConversion"/>
  </si>
  <si>
    <t>소계:</t>
    <phoneticPr fontId="16" type="noConversion"/>
  </si>
  <si>
    <t>명</t>
  </si>
  <si>
    <t>재산조성비</t>
    <phoneticPr fontId="16" type="noConversion"/>
  </si>
  <si>
    <t>계</t>
    <phoneticPr fontId="16" type="noConversion"/>
  </si>
  <si>
    <t>시설비</t>
    <phoneticPr fontId="16" type="noConversion"/>
  </si>
  <si>
    <t>수수료</t>
    <phoneticPr fontId="16" type="noConversion"/>
  </si>
  <si>
    <t>경비</t>
    <phoneticPr fontId="16" type="noConversion"/>
  </si>
  <si>
    <t>조성비</t>
    <phoneticPr fontId="16" type="noConversion"/>
  </si>
  <si>
    <t>보조금</t>
    <phoneticPr fontId="16" type="noConversion"/>
  </si>
  <si>
    <t>반환금</t>
    <phoneticPr fontId="16" type="noConversion"/>
  </si>
  <si>
    <t>후원</t>
    <phoneticPr fontId="16" type="noConversion"/>
  </si>
  <si>
    <t>보조금
(운영/생계)</t>
    <phoneticPr fontId="16" type="noConversion"/>
  </si>
  <si>
    <t>유지비</t>
    <phoneticPr fontId="16" type="noConversion"/>
  </si>
  <si>
    <t>세       입</t>
    <phoneticPr fontId="33" type="noConversion"/>
  </si>
  <si>
    <t>세       출</t>
    <phoneticPr fontId="33" type="noConversion"/>
  </si>
  <si>
    <t>구        분</t>
    <phoneticPr fontId="33" type="noConversion"/>
  </si>
  <si>
    <t>증감</t>
    <phoneticPr fontId="33" type="noConversion"/>
  </si>
  <si>
    <t>합        계</t>
    <phoneticPr fontId="33" type="noConversion"/>
  </si>
  <si>
    <t>입소비용수입</t>
    <phoneticPr fontId="33" type="noConversion"/>
  </si>
  <si>
    <t>입소비용   수입</t>
    <phoneticPr fontId="33" type="noConversion"/>
  </si>
  <si>
    <t>사   무   비</t>
    <phoneticPr fontId="33" type="noConversion"/>
  </si>
  <si>
    <t>인      건      비</t>
    <phoneticPr fontId="33" type="noConversion"/>
  </si>
  <si>
    <t>보조금  수입</t>
    <phoneticPr fontId="33" type="noConversion"/>
  </si>
  <si>
    <t>업 무   추 진 비</t>
    <phoneticPr fontId="33" type="noConversion"/>
  </si>
  <si>
    <t>법인</t>
    <phoneticPr fontId="16" type="noConversion"/>
  </si>
  <si>
    <t>합    계 :</t>
    <phoneticPr fontId="16" type="noConversion"/>
  </si>
  <si>
    <t xml:space="preserve"> </t>
    <phoneticPr fontId="16" type="noConversion"/>
  </si>
  <si>
    <t>국고보조금</t>
    <phoneticPr fontId="33" type="noConversion"/>
  </si>
  <si>
    <t>시도보조금</t>
    <phoneticPr fontId="33" type="noConversion"/>
  </si>
  <si>
    <t>시군구보조금</t>
    <phoneticPr fontId="33" type="noConversion"/>
  </si>
  <si>
    <t>※ 보조금 반환금(수원시)</t>
    <phoneticPr fontId="16" type="noConversion"/>
  </si>
  <si>
    <t>4종</t>
    <phoneticPr fontId="16" type="noConversion"/>
  </si>
  <si>
    <t>1.출산휴가 대체인건비(7종)</t>
    <phoneticPr fontId="16" type="noConversion"/>
  </si>
  <si>
    <t>1.협회비</t>
    <phoneticPr fontId="16" type="noConversion"/>
  </si>
  <si>
    <t xml:space="preserve"> ① 한국장애인복지시설협회비</t>
    <phoneticPr fontId="16" type="noConversion"/>
  </si>
  <si>
    <t xml:space="preserve"> ② 경기도장애인복지시설협회비</t>
    <phoneticPr fontId="16" type="noConversion"/>
  </si>
  <si>
    <t>2.보험료 및 세금</t>
    <phoneticPr fontId="16" type="noConversion"/>
  </si>
  <si>
    <t>세출총계</t>
    <phoneticPr fontId="16" type="noConversion"/>
  </si>
  <si>
    <t>사무비</t>
    <phoneticPr fontId="16" type="noConversion"/>
  </si>
  <si>
    <t>인건비</t>
    <phoneticPr fontId="16" type="noConversion"/>
  </si>
  <si>
    <t>2.인건비지원(7종) : 운전원, 생활지도원, 조리보조원 3명</t>
    <phoneticPr fontId="16" type="noConversion"/>
  </si>
  <si>
    <t>1.명절휴가비</t>
    <phoneticPr fontId="16" type="noConversion"/>
  </si>
  <si>
    <t>2.가족수당</t>
    <phoneticPr fontId="16" type="noConversion"/>
  </si>
  <si>
    <t>3.연장근로수당</t>
    <phoneticPr fontId="16" type="noConversion"/>
  </si>
  <si>
    <t>1.국민연금부담금</t>
    <phoneticPr fontId="16" type="noConversion"/>
  </si>
  <si>
    <t>2.국민건강보험부담금</t>
    <phoneticPr fontId="16" type="noConversion"/>
  </si>
  <si>
    <t>3.장기요양보험부담금</t>
    <phoneticPr fontId="16" type="noConversion"/>
  </si>
  <si>
    <t>4.고용보험부담금</t>
    <phoneticPr fontId="16" type="noConversion"/>
  </si>
  <si>
    <t>5.산업재해보험부담금</t>
    <phoneticPr fontId="16" type="noConversion"/>
  </si>
  <si>
    <t>2. 복사용지 구입</t>
    <phoneticPr fontId="16" type="noConversion"/>
  </si>
  <si>
    <t>2.차량 점검 및 정비비 등</t>
    <phoneticPr fontId="16" type="noConversion"/>
  </si>
  <si>
    <t>1.생계비</t>
    <phoneticPr fontId="16" type="noConversion"/>
  </si>
  <si>
    <t>3.입소자 부식비(4종)</t>
    <phoneticPr fontId="16" type="noConversion"/>
  </si>
  <si>
    <t>4.입소자 간식비(4종)</t>
    <phoneticPr fontId="16" type="noConversion"/>
  </si>
  <si>
    <t>5.입소자 구료비(특별급식비:4종)</t>
    <phoneticPr fontId="16" type="noConversion"/>
  </si>
  <si>
    <t>6.특별위로금(설날,추석)</t>
    <phoneticPr fontId="16" type="noConversion"/>
  </si>
  <si>
    <t xml:space="preserve">7.월동대책비(김장:수급자급여) </t>
    <phoneticPr fontId="16" type="noConversion"/>
  </si>
  <si>
    <t>1. 생활용품구입비</t>
    <phoneticPr fontId="16" type="noConversion"/>
  </si>
  <si>
    <t>1.입소자 건강진단비(4종)</t>
    <phoneticPr fontId="16" type="noConversion"/>
  </si>
  <si>
    <t>3.외래진료</t>
    <phoneticPr fontId="16" type="noConversion"/>
  </si>
  <si>
    <t>4.의약품비</t>
    <phoneticPr fontId="16" type="noConversion"/>
  </si>
  <si>
    <t>1. 심야전력요금</t>
    <phoneticPr fontId="16" type="noConversion"/>
  </si>
  <si>
    <t>2.보조금 운영비 예금이자</t>
    <phoneticPr fontId="16" type="noConversion"/>
  </si>
  <si>
    <t>4.보조금 생계비 예금이자</t>
    <phoneticPr fontId="16" type="noConversion"/>
  </si>
  <si>
    <t>6.보조금(4종) 예금이자</t>
    <phoneticPr fontId="16" type="noConversion"/>
  </si>
  <si>
    <t>소계</t>
    <phoneticPr fontId="16" type="noConversion"/>
  </si>
  <si>
    <t>4. 상하수도요금</t>
    <phoneticPr fontId="16" type="noConversion"/>
  </si>
  <si>
    <t>2. 일반전기요금</t>
    <phoneticPr fontId="16" type="noConversion"/>
  </si>
  <si>
    <t>1. 전화료(체험홈, 유선방송 포함)</t>
    <phoneticPr fontId="16" type="noConversion"/>
  </si>
  <si>
    <t xml:space="preserve"> ③ 기타 협회비(영양사협회,방화관리자 외)</t>
    <phoneticPr fontId="16" type="noConversion"/>
  </si>
  <si>
    <t>질보장</t>
    <phoneticPr fontId="16" type="noConversion"/>
  </si>
  <si>
    <t>지역사회</t>
    <phoneticPr fontId="16" type="noConversion"/>
  </si>
  <si>
    <t>후원/자원</t>
    <phoneticPr fontId="16" type="noConversion"/>
  </si>
  <si>
    <t>체험홈</t>
    <phoneticPr fontId="16" type="noConversion"/>
  </si>
  <si>
    <t>1. 예금이자(입소비용)</t>
    <phoneticPr fontId="16" type="noConversion"/>
  </si>
  <si>
    <t>2. 예금이자(후원금)</t>
    <phoneticPr fontId="16" type="noConversion"/>
  </si>
  <si>
    <t>3. 예금이자(법인전입금)</t>
    <phoneticPr fontId="16" type="noConversion"/>
  </si>
  <si>
    <t>4. 예금이자(잡수입)</t>
    <phoneticPr fontId="16" type="noConversion"/>
  </si>
  <si>
    <t>1.보조금 운영비 잔액</t>
    <phoneticPr fontId="16" type="noConversion"/>
  </si>
  <si>
    <t>3.보조금 생계비 잔액</t>
    <phoneticPr fontId="16" type="noConversion"/>
  </si>
  <si>
    <t>5.보조금(4종) 잔액</t>
    <phoneticPr fontId="16" type="noConversion"/>
  </si>
  <si>
    <t>5. 인쇄비(소식지, 사업계획 및 평가서, 연하장, 감사장, 리플렛 등)</t>
    <phoneticPr fontId="16" type="noConversion"/>
  </si>
  <si>
    <t>6. 소규모수선비(시설잡자재, 비품 수리, 전산장비 등)</t>
    <phoneticPr fontId="16" type="noConversion"/>
  </si>
  <si>
    <t>8.홈페이지 유지관리(도메인/호스트/ 보안서버/유지보수비)</t>
    <phoneticPr fontId="16" type="noConversion"/>
  </si>
  <si>
    <t>잡수입이월금</t>
  </si>
  <si>
    <t>비지정</t>
    <phoneticPr fontId="16" type="noConversion"/>
  </si>
  <si>
    <t>회</t>
  </si>
  <si>
    <t>*월동대책비(10월신청)</t>
  </si>
  <si>
    <t>기타 보조금</t>
    <phoneticPr fontId="33" type="noConversion"/>
  </si>
  <si>
    <t>(지정후원금)</t>
    <phoneticPr fontId="16" type="noConversion"/>
  </si>
  <si>
    <t>입소</t>
    <phoneticPr fontId="16" type="noConversion"/>
  </si>
  <si>
    <t>6. 체험홈 APT관리비</t>
    <phoneticPr fontId="16" type="noConversion"/>
  </si>
  <si>
    <t>4. 주방식기류 및 그릇보강</t>
    <phoneticPr fontId="16" type="noConversion"/>
  </si>
  <si>
    <t>9.재활프로그램 보조금 잔액</t>
    <phoneticPr fontId="16" type="noConversion"/>
  </si>
  <si>
    <t xml:space="preserve"> ① CMS 이용료</t>
    <phoneticPr fontId="16" type="noConversion"/>
  </si>
  <si>
    <t xml:space="preserve"> ② CMS 이체수수료</t>
    <phoneticPr fontId="16" type="noConversion"/>
  </si>
  <si>
    <t xml:space="preserve"> ③ 보증보험료</t>
    <phoneticPr fontId="16" type="noConversion"/>
  </si>
  <si>
    <t>②자동차세/환경개선부담금(시설,자동차분)</t>
    <phoneticPr fontId="16" type="noConversion"/>
  </si>
  <si>
    <t>2.생계비(입소비용 부담금)</t>
    <phoneticPr fontId="16" type="noConversion"/>
  </si>
  <si>
    <t>③복지시설 손해배상책임공제 가입(영업배상, 화재 등)</t>
    <phoneticPr fontId="16" type="noConversion"/>
  </si>
  <si>
    <t>※ 기타운영비</t>
    <phoneticPr fontId="16" type="noConversion"/>
  </si>
  <si>
    <t>(단위:천원)</t>
    <phoneticPr fontId="33" type="noConversion"/>
  </si>
  <si>
    <t>④신원보증보험갱신</t>
    <phoneticPr fontId="16" type="noConversion"/>
  </si>
  <si>
    <t>1. 회의관련 다과비등</t>
    <phoneticPr fontId="16" type="noConversion"/>
  </si>
  <si>
    <t xml:space="preserve">2.주방 보조인력 </t>
    <phoneticPr fontId="16" type="noConversion"/>
  </si>
  <si>
    <t>* 조리원, 영양사 위생복</t>
    <phoneticPr fontId="16" type="noConversion"/>
  </si>
  <si>
    <t>* 기관방문 손님접대용 다과 및 운영위원 선물구입</t>
    <phoneticPr fontId="16" type="noConversion"/>
  </si>
  <si>
    <t xml:space="preserve"> * 교육 및 출장여비</t>
    <phoneticPr fontId="16" type="noConversion"/>
  </si>
  <si>
    <t xml:space="preserve"> * 시설장 여비</t>
    <phoneticPr fontId="16" type="noConversion"/>
  </si>
  <si>
    <t>2. 세탁세제구입 등</t>
    <phoneticPr fontId="16" type="noConversion"/>
  </si>
  <si>
    <t>5.이용인/직원/봉사자 등 구충제</t>
    <phoneticPr fontId="16" type="noConversion"/>
  </si>
  <si>
    <t>7. 일반전기요금/ 상하수도요금 자부담 보충액</t>
    <phoneticPr fontId="16" type="noConversion"/>
  </si>
  <si>
    <t>2. 주방가스요금</t>
    <phoneticPr fontId="16" type="noConversion"/>
  </si>
  <si>
    <t>사업수입</t>
    <phoneticPr fontId="33" type="noConversion"/>
  </si>
  <si>
    <t xml:space="preserve"> 가.연장야간근로수당(5h:법인전입금이월금)</t>
    <phoneticPr fontId="16" type="noConversion"/>
  </si>
  <si>
    <t>1.전기안전관리대행료</t>
    <phoneticPr fontId="16" type="noConversion"/>
  </si>
  <si>
    <t>2.방화관리(소방) 대행료</t>
    <phoneticPr fontId="16" type="noConversion"/>
  </si>
  <si>
    <t>9. 퇴직연금 관리 수수료</t>
    <phoneticPr fontId="16" type="noConversion"/>
  </si>
  <si>
    <t>10. 주차료, 통행료, 택배료, 김장 운송비 등</t>
    <phoneticPr fontId="16" type="noConversion"/>
  </si>
  <si>
    <t>12. 시설방역</t>
    <phoneticPr fontId="16" type="noConversion"/>
  </si>
  <si>
    <t>의료재활</t>
    <phoneticPr fontId="16" type="noConversion"/>
  </si>
  <si>
    <t>사회심리</t>
    <phoneticPr fontId="16" type="noConversion"/>
  </si>
  <si>
    <t>재활사업비</t>
    <phoneticPr fontId="16" type="noConversion"/>
  </si>
  <si>
    <t>교육재활</t>
    <phoneticPr fontId="16" type="noConversion"/>
  </si>
  <si>
    <t>원내</t>
    <phoneticPr fontId="16" type="noConversion"/>
  </si>
  <si>
    <t>자립지원</t>
    <phoneticPr fontId="16" type="noConversion"/>
  </si>
  <si>
    <t>자부담</t>
    <phoneticPr fontId="16" type="noConversion"/>
  </si>
  <si>
    <t>1. 물리치료실사업비</t>
    <phoneticPr fontId="16" type="noConversion"/>
  </si>
  <si>
    <t>2. 작업치료실사업비</t>
    <phoneticPr fontId="16" type="noConversion"/>
  </si>
  <si>
    <t>1. 사회적응프로그램</t>
    <phoneticPr fontId="16" type="noConversion"/>
  </si>
  <si>
    <t>3. 심리안정프로그램(마음의소리/사랑채심리정서지원)</t>
    <phoneticPr fontId="16" type="noConversion"/>
  </si>
  <si>
    <t>4. 재활승마</t>
    <phoneticPr fontId="16" type="noConversion"/>
  </si>
  <si>
    <t>5. 성지순례</t>
    <phoneticPr fontId="16" type="noConversion"/>
  </si>
  <si>
    <t>1. 금전관리교육</t>
    <phoneticPr fontId="16" type="noConversion"/>
  </si>
  <si>
    <t>11. 송년회</t>
    <phoneticPr fontId="16" type="noConversion"/>
  </si>
  <si>
    <t>1. 개별지원서비스</t>
    <phoneticPr fontId="16" type="noConversion"/>
  </si>
  <si>
    <t>7. 미귀가생프로그램</t>
    <phoneticPr fontId="16" type="noConversion"/>
  </si>
  <si>
    <t>1. 자립준비가정</t>
    <phoneticPr fontId="16" type="noConversion"/>
  </si>
  <si>
    <t>교류사업비</t>
    <phoneticPr fontId="16" type="noConversion"/>
  </si>
  <si>
    <t>2. 실습생관리</t>
    <phoneticPr fontId="16" type="noConversion"/>
  </si>
  <si>
    <t>3. 종교활동</t>
    <phoneticPr fontId="16" type="noConversion"/>
  </si>
  <si>
    <t>4. 찾아가는 푸드트럭"슬기로운 나눔생활"</t>
    <phoneticPr fontId="16" type="noConversion"/>
  </si>
  <si>
    <t>1. 지역사회자원개발관리</t>
    <phoneticPr fontId="16" type="noConversion"/>
  </si>
  <si>
    <t>2. 결연후원</t>
    <phoneticPr fontId="16" type="noConversion"/>
  </si>
  <si>
    <t>3. 후원자관리</t>
    <phoneticPr fontId="16" type="noConversion"/>
  </si>
  <si>
    <t>4. 봉사자관리</t>
    <phoneticPr fontId="16" type="noConversion"/>
  </si>
  <si>
    <t>5. 기관홍보</t>
    <phoneticPr fontId="16" type="noConversion"/>
  </si>
  <si>
    <t>가정연계</t>
    <phoneticPr fontId="16" type="noConversion"/>
  </si>
  <si>
    <t>지원사업비</t>
    <phoneticPr fontId="16" type="noConversion"/>
  </si>
  <si>
    <t>1.특별피복비(도비4종)</t>
    <phoneticPr fontId="16" type="noConversion"/>
  </si>
  <si>
    <t>3.시설개보수(일일바자회 지정후원금)</t>
    <phoneticPr fontId="16" type="noConversion"/>
  </si>
  <si>
    <t>12. 별까페</t>
    <phoneticPr fontId="16" type="noConversion"/>
  </si>
  <si>
    <t xml:space="preserve">5. 우편물발송료 </t>
    <phoneticPr fontId="16" type="noConversion"/>
  </si>
  <si>
    <t>①자동차보험료(포터, 25인승, 12인승, 레이,니로, 모닝, G12인승)</t>
    <phoneticPr fontId="16" type="noConversion"/>
  </si>
  <si>
    <t>(김장 자부담 추가비용)</t>
    <phoneticPr fontId="16" type="noConversion"/>
  </si>
  <si>
    <t>14. 근태관리시스템 이용료</t>
    <phoneticPr fontId="16" type="noConversion"/>
  </si>
  <si>
    <t>15. CMS수수료,보증보험료,이용료</t>
    <phoneticPr fontId="16" type="noConversion"/>
  </si>
  <si>
    <t>* 직원건강검진비(순수시비)</t>
    <phoneticPr fontId="16" type="noConversion"/>
  </si>
  <si>
    <t>* 야간근로자 특수건강검진(18명)</t>
    <phoneticPr fontId="16" type="noConversion"/>
  </si>
  <si>
    <t>* 직원독감 예방접종(지정후원금)</t>
    <phoneticPr fontId="16" type="noConversion"/>
  </si>
  <si>
    <t>1. 공익근무요원(사기진작모임)</t>
    <phoneticPr fontId="16" type="noConversion"/>
  </si>
  <si>
    <t>2. 실습사회복무요원 다과비</t>
    <phoneticPr fontId="16" type="noConversion"/>
  </si>
  <si>
    <t>5. 직원급식비(직재)</t>
    <phoneticPr fontId="16" type="noConversion"/>
  </si>
  <si>
    <t>6. 직재재가 급식비</t>
    <phoneticPr fontId="16" type="noConversion"/>
  </si>
  <si>
    <t>=</t>
    <phoneticPr fontId="16" type="noConversion"/>
  </si>
  <si>
    <t>×</t>
    <phoneticPr fontId="16" type="noConversion"/>
  </si>
  <si>
    <t>명</t>
    <phoneticPr fontId="16" type="noConversion"/>
  </si>
  <si>
    <t>원</t>
    <phoneticPr fontId="16" type="noConversion"/>
  </si>
  <si>
    <t>명</t>
    <phoneticPr fontId="16" type="noConversion"/>
  </si>
  <si>
    <t>×</t>
    <phoneticPr fontId="16" type="noConversion"/>
  </si>
  <si>
    <t>3.교대인력인건비(7명)</t>
    <phoneticPr fontId="16" type="noConversion"/>
  </si>
  <si>
    <t xml:space="preserve"> C.교대인력(7명)</t>
    <phoneticPr fontId="16" type="noConversion"/>
  </si>
  <si>
    <t>4.법인부담금</t>
    <phoneticPr fontId="16" type="noConversion"/>
  </si>
  <si>
    <t>3.교대인력(7명)</t>
    <phoneticPr fontId="16" type="noConversion"/>
  </si>
  <si>
    <t>13. 기타수용비 및 수수료 등</t>
    <phoneticPr fontId="16" type="noConversion"/>
  </si>
  <si>
    <t>지정</t>
    <phoneticPr fontId="16" type="noConversion"/>
  </si>
  <si>
    <t>11.수원시복지기금예금이자</t>
    <phoneticPr fontId="16" type="noConversion"/>
  </si>
  <si>
    <t>10.스페셜올림픽코리아 예금이자(젼년도 이자반납금 포함)</t>
    <phoneticPr fontId="16" type="noConversion"/>
  </si>
  <si>
    <t>4.외벽공사 설계용역비(지정후원금 이월금)</t>
    <phoneticPr fontId="16" type="noConversion"/>
  </si>
  <si>
    <t>6.시설물안전관리(2회)</t>
    <phoneticPr fontId="16" type="noConversion"/>
  </si>
  <si>
    <t>8.장애인편의시설 설치공사비</t>
    <phoneticPr fontId="16" type="noConversion"/>
  </si>
  <si>
    <t>9.원장실 이전 브라인드 설치</t>
    <phoneticPr fontId="16" type="noConversion"/>
  </si>
  <si>
    <t>10. PG실천정누수/체험홈누수공사</t>
    <phoneticPr fontId="16" type="noConversion"/>
  </si>
  <si>
    <t>11. 시청각화재경보기/음식물처리기수리/CCTV수리</t>
    <phoneticPr fontId="16" type="noConversion"/>
  </si>
  <si>
    <t>12. 기타시설장비유지비</t>
    <phoneticPr fontId="16" type="noConversion"/>
  </si>
  <si>
    <t>13.자동고장구분개폐기(ASS) 설치(전기)</t>
    <phoneticPr fontId="16" type="noConversion"/>
  </si>
  <si>
    <t>과            목</t>
    <phoneticPr fontId="16" type="noConversion"/>
  </si>
  <si>
    <t>산               출                기               초</t>
    <phoneticPr fontId="16" type="noConversion"/>
  </si>
  <si>
    <t>목</t>
    <phoneticPr fontId="16" type="noConversion"/>
  </si>
  <si>
    <t>세목</t>
    <phoneticPr fontId="16" type="noConversion"/>
  </si>
  <si>
    <t>금액
(B-A)</t>
    <phoneticPr fontId="16" type="noConversion"/>
  </si>
  <si>
    <t>※ 총 계</t>
    <phoneticPr fontId="16" type="noConversion"/>
  </si>
  <si>
    <t>원</t>
    <phoneticPr fontId="16" type="noConversion"/>
  </si>
  <si>
    <t>입  소</t>
    <phoneticPr fontId="16" type="noConversion"/>
  </si>
  <si>
    <t>입   소</t>
    <phoneticPr fontId="16" type="noConversion"/>
  </si>
  <si>
    <t>※ 입소비용수입</t>
    <phoneticPr fontId="16" type="noConversion"/>
  </si>
  <si>
    <t>합  계 :</t>
    <phoneticPr fontId="16" type="noConversion"/>
  </si>
  <si>
    <t>비  용</t>
    <phoneticPr fontId="16" type="noConversion"/>
  </si>
  <si>
    <t>×</t>
    <phoneticPr fontId="16" type="noConversion"/>
  </si>
  <si>
    <t>명</t>
    <phoneticPr fontId="16" type="noConversion"/>
  </si>
  <si>
    <t>월</t>
    <phoneticPr fontId="16" type="noConversion"/>
  </si>
  <si>
    <t>=</t>
    <phoneticPr fontId="16" type="noConversion"/>
  </si>
  <si>
    <t>사 업</t>
    <phoneticPr fontId="16" type="noConversion"/>
  </si>
  <si>
    <t>※ 사업수입</t>
    <phoneticPr fontId="16" type="noConversion"/>
  </si>
  <si>
    <t>수 입</t>
    <phoneticPr fontId="16" type="noConversion"/>
  </si>
  <si>
    <t>과년도</t>
    <phoneticPr fontId="16" type="noConversion"/>
  </si>
  <si>
    <t>※ 과년도 수입</t>
    <phoneticPr fontId="16" type="noConversion"/>
  </si>
  <si>
    <t>보조금</t>
    <phoneticPr fontId="16" type="noConversion"/>
  </si>
  <si>
    <t>소  계</t>
    <phoneticPr fontId="16" type="noConversion"/>
  </si>
  <si>
    <t>※ 보조금수입 합계</t>
    <phoneticPr fontId="16" type="noConversion"/>
  </si>
  <si>
    <t>수  입</t>
    <phoneticPr fontId="16" type="noConversion"/>
  </si>
  <si>
    <t>국 고</t>
    <phoneticPr fontId="16" type="noConversion"/>
  </si>
  <si>
    <t>계</t>
    <phoneticPr fontId="16" type="noConversion"/>
  </si>
  <si>
    <t xml:space="preserve"> &lt;국고 보조금 합계&gt;</t>
    <phoneticPr fontId="16" type="noConversion"/>
  </si>
  <si>
    <t>소계 :</t>
    <phoneticPr fontId="16" type="noConversion"/>
  </si>
  <si>
    <t>생계비</t>
    <phoneticPr fontId="16" type="noConversion"/>
  </si>
  <si>
    <t>&lt;생계비&gt;</t>
    <phoneticPr fontId="16" type="noConversion"/>
  </si>
  <si>
    <t>계:</t>
    <phoneticPr fontId="16" type="noConversion"/>
  </si>
  <si>
    <t>인건비</t>
    <phoneticPr fontId="16" type="noConversion"/>
  </si>
  <si>
    <t>계:</t>
    <phoneticPr fontId="16" type="noConversion"/>
  </si>
  <si>
    <t>원</t>
    <phoneticPr fontId="16" type="noConversion"/>
  </si>
  <si>
    <t>1.기본급 (인건비 산출내역 참조)</t>
    <phoneticPr fontId="16" type="noConversion"/>
  </si>
  <si>
    <t>×</t>
    <phoneticPr fontId="16" type="noConversion"/>
  </si>
  <si>
    <t>=</t>
    <phoneticPr fontId="16" type="noConversion"/>
  </si>
  <si>
    <t>소계 :</t>
    <phoneticPr fontId="16" type="noConversion"/>
  </si>
  <si>
    <t>2.제수당</t>
    <phoneticPr fontId="16" type="noConversion"/>
  </si>
  <si>
    <t xml:space="preserve"> 가.명절휴가비</t>
    <phoneticPr fontId="16" type="noConversion"/>
  </si>
  <si>
    <t xml:space="preserve"> 나.가족수당</t>
    <phoneticPr fontId="16" type="noConversion"/>
  </si>
  <si>
    <t xml:space="preserve"> 다.연장근로수당</t>
    <phoneticPr fontId="16" type="noConversion"/>
  </si>
  <si>
    <t>3.종사자퇴직금적립금</t>
    <phoneticPr fontId="16" type="noConversion"/>
  </si>
  <si>
    <t>소계 :</t>
    <phoneticPr fontId="16" type="noConversion"/>
  </si>
  <si>
    <t>원</t>
    <phoneticPr fontId="16" type="noConversion"/>
  </si>
  <si>
    <t>÷</t>
    <phoneticPr fontId="16" type="noConversion"/>
  </si>
  <si>
    <t>월</t>
    <phoneticPr fontId="16" type="noConversion"/>
  </si>
  <si>
    <t>×</t>
    <phoneticPr fontId="16" type="noConversion"/>
  </si>
  <si>
    <t>=</t>
    <phoneticPr fontId="16" type="noConversion"/>
  </si>
  <si>
    <t>4.종사자사회보험부담금</t>
    <phoneticPr fontId="16" type="noConversion"/>
  </si>
  <si>
    <t xml:space="preserve"> 가.국민연금부담금</t>
    <phoneticPr fontId="16" type="noConversion"/>
  </si>
  <si>
    <t xml:space="preserve"> 나.건강보험부담금</t>
    <phoneticPr fontId="16" type="noConversion"/>
  </si>
  <si>
    <t xml:space="preserve"> 다.장기요양보험부담금</t>
    <phoneticPr fontId="16" type="noConversion"/>
  </si>
  <si>
    <t xml:space="preserve"> 라.고용보험부담금</t>
    <phoneticPr fontId="16" type="noConversion"/>
  </si>
  <si>
    <t xml:space="preserve"> 마.산재보험부담금</t>
    <phoneticPr fontId="16" type="noConversion"/>
  </si>
  <si>
    <t>계:</t>
    <phoneticPr fontId="16" type="noConversion"/>
  </si>
  <si>
    <t>1.기본급 (인건비 산출내역 참조)</t>
    <phoneticPr fontId="16" type="noConversion"/>
  </si>
  <si>
    <t>2.제수당</t>
    <phoneticPr fontId="16" type="noConversion"/>
  </si>
  <si>
    <t xml:space="preserve"> 가.명절휴가비</t>
    <phoneticPr fontId="16" type="noConversion"/>
  </si>
  <si>
    <t xml:space="preserve"> 나.가족수당</t>
    <phoneticPr fontId="16" type="noConversion"/>
  </si>
  <si>
    <t xml:space="preserve"> 다.연장근로수당</t>
    <phoneticPr fontId="16" type="noConversion"/>
  </si>
  <si>
    <t>운영비</t>
    <phoneticPr fontId="16" type="noConversion"/>
  </si>
  <si>
    <t>&lt;운영비 지원&gt;</t>
    <phoneticPr fontId="16" type="noConversion"/>
  </si>
  <si>
    <t>*시설당 기본지원금</t>
    <phoneticPr fontId="16" type="noConversion"/>
  </si>
  <si>
    <t>명</t>
    <phoneticPr fontId="16" type="noConversion"/>
  </si>
  <si>
    <t>*거주장애인 가중지원</t>
    <phoneticPr fontId="16" type="noConversion"/>
  </si>
  <si>
    <t>&lt;기능보강사업비&gt;</t>
    <phoneticPr fontId="16" type="noConversion"/>
  </si>
  <si>
    <t>시 도</t>
    <phoneticPr fontId="16" type="noConversion"/>
  </si>
  <si>
    <t>계</t>
    <phoneticPr fontId="16" type="noConversion"/>
  </si>
  <si>
    <t xml:space="preserve"> &lt;시도 보조금 합계&gt;</t>
    <phoneticPr fontId="16" type="noConversion"/>
  </si>
  <si>
    <t>보조금</t>
    <phoneticPr fontId="16" type="noConversion"/>
  </si>
  <si>
    <t>생계비</t>
    <phoneticPr fontId="16" type="noConversion"/>
  </si>
  <si>
    <t>&lt;생계비&gt;</t>
    <phoneticPr fontId="16" type="noConversion"/>
  </si>
  <si>
    <t>인건비</t>
    <phoneticPr fontId="16" type="noConversion"/>
  </si>
  <si>
    <t>&lt;운영비&gt;</t>
    <phoneticPr fontId="16" type="noConversion"/>
  </si>
  <si>
    <t xml:space="preserve"> * 시설당 기본지원</t>
    <phoneticPr fontId="16" type="noConversion"/>
  </si>
  <si>
    <t xml:space="preserve"> * 거주 장애인수 가중지원</t>
    <phoneticPr fontId="16" type="noConversion"/>
  </si>
  <si>
    <t>입소자지원금</t>
    <phoneticPr fontId="16" type="noConversion"/>
  </si>
  <si>
    <t>&lt;입소자지원금 : 4종&gt;</t>
    <phoneticPr fontId="16" type="noConversion"/>
  </si>
  <si>
    <t>(4종)</t>
    <phoneticPr fontId="16" type="noConversion"/>
  </si>
  <si>
    <t>*입소자 부식비(매월신청)</t>
    <phoneticPr fontId="16" type="noConversion"/>
  </si>
  <si>
    <t>일</t>
    <phoneticPr fontId="16" type="noConversion"/>
  </si>
  <si>
    <t>*입소자 간식비(매월신청)</t>
    <phoneticPr fontId="16" type="noConversion"/>
  </si>
  <si>
    <t>*입소자 구료비(특별피복비)</t>
    <phoneticPr fontId="16" type="noConversion"/>
  </si>
  <si>
    <t>회</t>
    <phoneticPr fontId="16" type="noConversion"/>
  </si>
  <si>
    <t>*입소자 건강진단비</t>
    <phoneticPr fontId="16" type="noConversion"/>
  </si>
  <si>
    <t>시설운영지원</t>
    <phoneticPr fontId="16" type="noConversion"/>
  </si>
  <si>
    <t>A.. 인건비 지원금</t>
    <phoneticPr fontId="16" type="noConversion"/>
  </si>
  <si>
    <t>중계 :</t>
    <phoneticPr fontId="16" type="noConversion"/>
  </si>
  <si>
    <t xml:space="preserve"> 1.기본급 (인건비 산출내역 참조)</t>
    <phoneticPr fontId="16" type="noConversion"/>
  </si>
  <si>
    <t xml:space="preserve"> 가. 운전원</t>
    <phoneticPr fontId="16" type="noConversion"/>
  </si>
  <si>
    <t xml:space="preserve"> 나. 생활지도원</t>
    <phoneticPr fontId="16" type="noConversion"/>
  </si>
  <si>
    <t xml:space="preserve"> 다. 조리보조원</t>
    <phoneticPr fontId="16" type="noConversion"/>
  </si>
  <si>
    <t xml:space="preserve"> 2.제수당</t>
    <phoneticPr fontId="16" type="noConversion"/>
  </si>
  <si>
    <t xml:space="preserve"> 3.종사자퇴직금적립금</t>
    <phoneticPr fontId="16" type="noConversion"/>
  </si>
  <si>
    <t xml:space="preserve"> *운전원/생활지도원/조리보조원(3명)</t>
    <phoneticPr fontId="16" type="noConversion"/>
  </si>
  <si>
    <t xml:space="preserve"> 4.종사자사회보험부담금</t>
    <phoneticPr fontId="16" type="noConversion"/>
  </si>
  <si>
    <t>B.. 운영비 지원금</t>
    <phoneticPr fontId="16" type="noConversion"/>
  </si>
  <si>
    <t>*차량운영비</t>
    <phoneticPr fontId="16" type="noConversion"/>
  </si>
  <si>
    <t>*환경개선사업비</t>
    <phoneticPr fontId="16" type="noConversion"/>
  </si>
  <si>
    <t>*간병인비 지원</t>
    <phoneticPr fontId="16" type="noConversion"/>
  </si>
  <si>
    <t>기타지원금</t>
    <phoneticPr fontId="16" type="noConversion"/>
  </si>
  <si>
    <t>&lt;기타 지원금&gt;</t>
    <phoneticPr fontId="16" type="noConversion"/>
  </si>
  <si>
    <t>계 :</t>
    <phoneticPr fontId="16" type="noConversion"/>
  </si>
  <si>
    <t xml:space="preserve"> * 추가 연장야간근로수당(5h)</t>
    <phoneticPr fontId="16" type="noConversion"/>
  </si>
  <si>
    <t>시군구</t>
    <phoneticPr fontId="16" type="noConversion"/>
  </si>
  <si>
    <t xml:space="preserve"> &lt;시군구 보조금 합계&gt;</t>
    <phoneticPr fontId="16" type="noConversion"/>
  </si>
  <si>
    <t>기 타</t>
    <phoneticPr fontId="16" type="noConversion"/>
  </si>
  <si>
    <t>기타 보조금</t>
    <phoneticPr fontId="16" type="noConversion"/>
  </si>
  <si>
    <t>후원금</t>
    <phoneticPr fontId="16" type="noConversion"/>
  </si>
  <si>
    <t>소  계</t>
    <phoneticPr fontId="16" type="noConversion"/>
  </si>
  <si>
    <t>※후원금수입</t>
    <phoneticPr fontId="16" type="noConversion"/>
  </si>
  <si>
    <t>총  계 :</t>
    <phoneticPr fontId="16" type="noConversion"/>
  </si>
  <si>
    <t>수 입</t>
    <phoneticPr fontId="16" type="noConversion"/>
  </si>
  <si>
    <t>지 정</t>
    <phoneticPr fontId="16" type="noConversion"/>
  </si>
  <si>
    <t xml:space="preserve"> &lt;지정 후원금 합계&gt;</t>
    <phoneticPr fontId="16" type="noConversion"/>
  </si>
  <si>
    <t>지정 후원금</t>
    <phoneticPr fontId="16" type="noConversion"/>
  </si>
  <si>
    <t>&lt;지정후원금&gt;</t>
    <phoneticPr fontId="16" type="noConversion"/>
  </si>
  <si>
    <t>결연 후원금</t>
    <phoneticPr fontId="16" type="noConversion"/>
  </si>
  <si>
    <t xml:space="preserve">  *결연후원금</t>
    <phoneticPr fontId="16" type="noConversion"/>
  </si>
  <si>
    <t xml:space="preserve">  *경장협 결연후원금</t>
    <phoneticPr fontId="16" type="noConversion"/>
  </si>
  <si>
    <t>비지정</t>
    <phoneticPr fontId="16" type="noConversion"/>
  </si>
  <si>
    <t xml:space="preserve"> &lt;비지정 후원금 합계&gt;</t>
    <phoneticPr fontId="16" type="noConversion"/>
  </si>
  <si>
    <t>비지정후원금</t>
    <phoneticPr fontId="16" type="noConversion"/>
  </si>
  <si>
    <t>&lt;비지정후원금&gt;</t>
    <phoneticPr fontId="16" type="noConversion"/>
  </si>
  <si>
    <t xml:space="preserve">  *후원금 수입</t>
    <phoneticPr fontId="16" type="noConversion"/>
  </si>
  <si>
    <t>차입금</t>
    <phoneticPr fontId="16" type="noConversion"/>
  </si>
  <si>
    <t>※ 차 입 금</t>
    <phoneticPr fontId="16" type="noConversion"/>
  </si>
  <si>
    <t>금융</t>
    <phoneticPr fontId="16" type="noConversion"/>
  </si>
  <si>
    <t xml:space="preserve"> &lt;금융기관 차입금&gt;</t>
    <phoneticPr fontId="16" type="noConversion"/>
  </si>
  <si>
    <t>기관</t>
    <phoneticPr fontId="16" type="noConversion"/>
  </si>
  <si>
    <t>금융기관</t>
    <phoneticPr fontId="16" type="noConversion"/>
  </si>
  <si>
    <t xml:space="preserve"> &lt;금융기관 차입금&gt;</t>
    <phoneticPr fontId="16" type="noConversion"/>
  </si>
  <si>
    <t>차입금</t>
    <phoneticPr fontId="16" type="noConversion"/>
  </si>
  <si>
    <t xml:space="preserve">  *금융기관 차입금</t>
    <phoneticPr fontId="16" type="noConversion"/>
  </si>
  <si>
    <t>기 타</t>
    <phoneticPr fontId="16" type="noConversion"/>
  </si>
  <si>
    <t>계</t>
    <phoneticPr fontId="16" type="noConversion"/>
  </si>
  <si>
    <t xml:space="preserve"> &lt;기타 차입금&gt;</t>
    <phoneticPr fontId="16" type="noConversion"/>
  </si>
  <si>
    <t>기타 차입금</t>
    <phoneticPr fontId="16" type="noConversion"/>
  </si>
  <si>
    <t xml:space="preserve">  *기타 차입금</t>
    <phoneticPr fontId="16" type="noConversion"/>
  </si>
  <si>
    <t>전입금</t>
    <phoneticPr fontId="16" type="noConversion"/>
  </si>
  <si>
    <t>※법인 전입금</t>
    <phoneticPr fontId="16" type="noConversion"/>
  </si>
  <si>
    <t>법 인</t>
    <phoneticPr fontId="16" type="noConversion"/>
  </si>
  <si>
    <t xml:space="preserve"> &lt;법인 전입금&gt;</t>
    <phoneticPr fontId="16" type="noConversion"/>
  </si>
  <si>
    <t>법인전입금</t>
    <phoneticPr fontId="16" type="noConversion"/>
  </si>
  <si>
    <t>1. 시설비</t>
    <phoneticPr fontId="16" type="noConversion"/>
  </si>
  <si>
    <t>시설비 합계 :</t>
    <phoneticPr fontId="16" type="noConversion"/>
  </si>
  <si>
    <t xml:space="preserve"> * 배관관로 변경공사</t>
    <phoneticPr fontId="16" type="noConversion"/>
  </si>
  <si>
    <t xml:space="preserve"> * 주방공사</t>
    <phoneticPr fontId="16" type="noConversion"/>
  </si>
  <si>
    <t>2.직원 기타후생경비</t>
    <phoneticPr fontId="16" type="noConversion"/>
  </si>
  <si>
    <t>직원 기타후생경비 합계 :</t>
    <phoneticPr fontId="16" type="noConversion"/>
  </si>
  <si>
    <t>* 직원단체복지원</t>
    <phoneticPr fontId="16" type="noConversion"/>
  </si>
  <si>
    <t>* 직원 축일/생일 축하 문화상품권</t>
    <phoneticPr fontId="16" type="noConversion"/>
  </si>
  <si>
    <t>* 10년 장기근속자(3명)</t>
    <phoneticPr fontId="16" type="noConversion"/>
  </si>
  <si>
    <t>* 스승의날/가정의달 직원선물</t>
    <phoneticPr fontId="16" type="noConversion"/>
  </si>
  <si>
    <t>* 명절선물구입</t>
    <phoneticPr fontId="16" type="noConversion"/>
  </si>
  <si>
    <t>* 우수직원 포상금(12월)</t>
    <phoneticPr fontId="16" type="noConversion"/>
  </si>
  <si>
    <t>* 기타후생경비</t>
    <phoneticPr fontId="16" type="noConversion"/>
  </si>
  <si>
    <t>3.직원 연수 및 교육훈련비</t>
    <phoneticPr fontId="16" type="noConversion"/>
  </si>
  <si>
    <t>직원 교육훈련비 합계 :</t>
    <phoneticPr fontId="16" type="noConversion"/>
  </si>
  <si>
    <t>* 예산심의 및 사업계획수립</t>
    <phoneticPr fontId="16" type="noConversion"/>
  </si>
  <si>
    <t>* 사업운영평가</t>
    <phoneticPr fontId="16" type="noConversion"/>
  </si>
  <si>
    <t>* 팀별/층별 워크숍</t>
    <phoneticPr fontId="16" type="noConversion"/>
  </si>
  <si>
    <t>* 산하시설견학</t>
    <phoneticPr fontId="16" type="noConversion"/>
  </si>
  <si>
    <t>* 직원하계수련회</t>
    <phoneticPr fontId="16" type="noConversion"/>
  </si>
  <si>
    <t>* 직원윤리경영교육</t>
    <phoneticPr fontId="16" type="noConversion"/>
  </si>
  <si>
    <t>* 하계직원교육</t>
    <phoneticPr fontId="16" type="noConversion"/>
  </si>
  <si>
    <t>* 역량강화교육</t>
    <phoneticPr fontId="16" type="noConversion"/>
  </si>
  <si>
    <t>* 직원외부교육(직무교육,보수교육,연찬회,피정)</t>
    <phoneticPr fontId="16" type="noConversion"/>
  </si>
  <si>
    <t xml:space="preserve">4.기타 운영비 </t>
    <phoneticPr fontId="16" type="noConversion"/>
  </si>
  <si>
    <t>기타 운영비 지원금 :</t>
    <phoneticPr fontId="16" type="noConversion"/>
  </si>
  <si>
    <t>* 운영위원 참석수당</t>
    <phoneticPr fontId="16" type="noConversion"/>
  </si>
  <si>
    <t>* 회의비</t>
    <phoneticPr fontId="16" type="noConversion"/>
  </si>
  <si>
    <t>5.기관운영비</t>
    <phoneticPr fontId="16" type="noConversion"/>
  </si>
  <si>
    <t>기관운영비 :</t>
    <phoneticPr fontId="16" type="noConversion"/>
  </si>
  <si>
    <t>* 기관운영비</t>
    <phoneticPr fontId="16" type="noConversion"/>
  </si>
  <si>
    <t>6.시설장여비</t>
    <phoneticPr fontId="16" type="noConversion"/>
  </si>
  <si>
    <t>* 여비</t>
    <phoneticPr fontId="16" type="noConversion"/>
  </si>
  <si>
    <t>7. 해외여행지원금</t>
    <phoneticPr fontId="16" type="noConversion"/>
  </si>
  <si>
    <t>기타법인 지원금 :</t>
    <phoneticPr fontId="16" type="noConversion"/>
  </si>
  <si>
    <t>* 해외여행지원금</t>
    <phoneticPr fontId="16" type="noConversion"/>
  </si>
  <si>
    <t>법인</t>
    <phoneticPr fontId="16" type="noConversion"/>
  </si>
  <si>
    <t xml:space="preserve"> &lt;법인 전입금(후원금)&gt;</t>
    <phoneticPr fontId="16" type="noConversion"/>
  </si>
  <si>
    <t>(후원)</t>
    <phoneticPr fontId="16" type="noConversion"/>
  </si>
  <si>
    <t>(후원금)</t>
    <phoneticPr fontId="16" type="noConversion"/>
  </si>
  <si>
    <t>※이 월 금</t>
    <phoneticPr fontId="16" type="noConversion"/>
  </si>
  <si>
    <t>전년도</t>
    <phoneticPr fontId="16" type="noConversion"/>
  </si>
  <si>
    <t>계</t>
    <phoneticPr fontId="16" type="noConversion"/>
  </si>
  <si>
    <t xml:space="preserve"> &lt;전년도 이월금&gt;</t>
    <phoneticPr fontId="16" type="noConversion"/>
  </si>
  <si>
    <t>소계 :</t>
    <phoneticPr fontId="16" type="noConversion"/>
  </si>
  <si>
    <t>원</t>
    <phoneticPr fontId="16" type="noConversion"/>
  </si>
  <si>
    <t>보조금이월금</t>
    <phoneticPr fontId="16" type="noConversion"/>
  </si>
  <si>
    <t xml:space="preserve"> &lt;보조금이월금&gt;</t>
    <phoneticPr fontId="16" type="noConversion"/>
  </si>
  <si>
    <t>이월금</t>
    <phoneticPr fontId="16" type="noConversion"/>
  </si>
  <si>
    <t>입소비용이월금</t>
    <phoneticPr fontId="16" type="noConversion"/>
  </si>
  <si>
    <t xml:space="preserve"> &lt;입소비용이월금&gt;</t>
    <phoneticPr fontId="16" type="noConversion"/>
  </si>
  <si>
    <t xml:space="preserve"> * 입소비용이월액</t>
    <phoneticPr fontId="16" type="noConversion"/>
  </si>
  <si>
    <t xml:space="preserve"> * 예금이자(입소비용)</t>
    <phoneticPr fontId="16" type="noConversion"/>
  </si>
  <si>
    <t>전입금이월금</t>
    <phoneticPr fontId="16" type="noConversion"/>
  </si>
  <si>
    <t xml:space="preserve"> &lt;법인전입금이월금&gt;</t>
    <phoneticPr fontId="16" type="noConversion"/>
  </si>
  <si>
    <t xml:space="preserve"> * 법인전입금이월액</t>
    <phoneticPr fontId="16" type="noConversion"/>
  </si>
  <si>
    <t xml:space="preserve"> * 법인전입금이월액(후원금)</t>
    <phoneticPr fontId="16" type="noConversion"/>
  </si>
  <si>
    <t>잡수입이월금</t>
    <phoneticPr fontId="16" type="noConversion"/>
  </si>
  <si>
    <t xml:space="preserve"> * 잡수입이월액(기타잡수입)</t>
    <phoneticPr fontId="16" type="noConversion"/>
  </si>
  <si>
    <t>(기타잡수입)</t>
    <phoneticPr fontId="16" type="noConversion"/>
  </si>
  <si>
    <t xml:space="preserve"> * 사업수입이월액(행복공장판매수입)</t>
    <phoneticPr fontId="16" type="noConversion"/>
  </si>
  <si>
    <t xml:space="preserve"> * 사업수입이월액(사랑빚은판매수입)</t>
    <phoneticPr fontId="16" type="noConversion"/>
  </si>
  <si>
    <t>전년도</t>
    <phoneticPr fontId="16" type="noConversion"/>
  </si>
  <si>
    <t xml:space="preserve"> &lt;전년도이월금(후원금)&gt;</t>
    <phoneticPr fontId="16" type="noConversion"/>
  </si>
  <si>
    <t>이월금</t>
    <phoneticPr fontId="16" type="noConversion"/>
  </si>
  <si>
    <t>전년도이월금</t>
    <phoneticPr fontId="16" type="noConversion"/>
  </si>
  <si>
    <t xml:space="preserve"> * 지정후원금이월액</t>
    <phoneticPr fontId="16" type="noConversion"/>
  </si>
  <si>
    <t>(지정후원금)</t>
    <phoneticPr fontId="16" type="noConversion"/>
  </si>
  <si>
    <t xml:space="preserve"> * 비지정후원금이월액</t>
    <phoneticPr fontId="16" type="noConversion"/>
  </si>
  <si>
    <t>(비지정후원금)</t>
    <phoneticPr fontId="16" type="noConversion"/>
  </si>
  <si>
    <t>잡수입</t>
    <phoneticPr fontId="16" type="noConversion"/>
  </si>
  <si>
    <t>※ 잡 수 입</t>
    <phoneticPr fontId="16" type="noConversion"/>
  </si>
  <si>
    <t>불용품</t>
    <phoneticPr fontId="16" type="noConversion"/>
  </si>
  <si>
    <t xml:space="preserve"> &lt;불용품매각대&gt;</t>
    <phoneticPr fontId="16" type="noConversion"/>
  </si>
  <si>
    <t>매각대</t>
    <phoneticPr fontId="16" type="noConversion"/>
  </si>
  <si>
    <t>불용품매각대</t>
    <phoneticPr fontId="16" type="noConversion"/>
  </si>
  <si>
    <t>기타예</t>
    <phoneticPr fontId="16" type="noConversion"/>
  </si>
  <si>
    <t xml:space="preserve"> &lt;기타예금이자수입&gt;</t>
    <phoneticPr fontId="16" type="noConversion"/>
  </si>
  <si>
    <t>금이자</t>
    <phoneticPr fontId="16" type="noConversion"/>
  </si>
  <si>
    <t>기타예금이자</t>
    <phoneticPr fontId="16" type="noConversion"/>
  </si>
  <si>
    <t xml:space="preserve"> &lt;기타예금이자 수입&gt;</t>
    <phoneticPr fontId="16" type="noConversion"/>
  </si>
  <si>
    <t>수     입</t>
    <phoneticPr fontId="16" type="noConversion"/>
  </si>
  <si>
    <t xml:space="preserve"> * 예금이자(운영비)</t>
    <phoneticPr fontId="16" type="noConversion"/>
  </si>
  <si>
    <t xml:space="preserve"> * 예금이자(생계비)</t>
    <phoneticPr fontId="16" type="noConversion"/>
  </si>
  <si>
    <t xml:space="preserve"> * 예금이자(4종)</t>
    <phoneticPr fontId="16" type="noConversion"/>
  </si>
  <si>
    <t xml:space="preserve"> * 예금이자(수원시복지기금)</t>
    <phoneticPr fontId="16" type="noConversion"/>
  </si>
  <si>
    <t xml:space="preserve"> * 예금이자(재활PG)</t>
    <phoneticPr fontId="16" type="noConversion"/>
  </si>
  <si>
    <t xml:space="preserve"> * 예금이자(스페셜올림픽코리아)</t>
    <phoneticPr fontId="16" type="noConversion"/>
  </si>
  <si>
    <t xml:space="preserve"> * 예금이자(입소비용)</t>
    <phoneticPr fontId="16" type="noConversion"/>
  </si>
  <si>
    <t xml:space="preserve"> * 예금이자(후원금)</t>
    <phoneticPr fontId="16" type="noConversion"/>
  </si>
  <si>
    <t xml:space="preserve"> * 예금이자(법인전입금)</t>
    <phoneticPr fontId="16" type="noConversion"/>
  </si>
  <si>
    <t xml:space="preserve"> * 예금이자(잡수입)</t>
    <phoneticPr fontId="16" type="noConversion"/>
  </si>
  <si>
    <t xml:space="preserve"> &lt;기타잡수입&gt;</t>
    <phoneticPr fontId="16" type="noConversion"/>
  </si>
  <si>
    <t>식대수입</t>
    <phoneticPr fontId="16" type="noConversion"/>
  </si>
  <si>
    <t>* 거주시설 직원급식비</t>
    <phoneticPr fontId="16" type="noConversion"/>
  </si>
  <si>
    <t>* 직업재활 급식비</t>
    <phoneticPr fontId="16" type="noConversion"/>
  </si>
  <si>
    <t>기타잡수입</t>
    <phoneticPr fontId="16" type="noConversion"/>
  </si>
  <si>
    <t>* 사회복지 실습비</t>
    <phoneticPr fontId="16" type="noConversion"/>
  </si>
  <si>
    <t xml:space="preserve"> D.선임지도원</t>
    <phoneticPr fontId="16" type="noConversion"/>
  </si>
  <si>
    <t xml:space="preserve"> E.인건비지원(추가 연장야간근로수당 5h)</t>
    <phoneticPr fontId="16" type="noConversion"/>
  </si>
  <si>
    <t xml:space="preserve">  - 슈퍼블루마라톤</t>
    <phoneticPr fontId="16" type="noConversion"/>
  </si>
  <si>
    <t xml:space="preserve">  - 소근육교구활동</t>
    <phoneticPr fontId="16" type="noConversion"/>
  </si>
  <si>
    <t xml:space="preserve"> - 인지치료</t>
    <phoneticPr fontId="16" type="noConversion"/>
  </si>
  <si>
    <t xml:space="preserve"> - 연하치료</t>
    <phoneticPr fontId="16" type="noConversion"/>
  </si>
  <si>
    <t xml:space="preserve"> - 감각통합</t>
    <phoneticPr fontId="16" type="noConversion"/>
  </si>
  <si>
    <t>4. 거주시설 직원급식비</t>
    <phoneticPr fontId="16" type="noConversion"/>
  </si>
  <si>
    <t xml:space="preserve"> - 놀이체육"터링"</t>
    <phoneticPr fontId="16" type="noConversion"/>
  </si>
  <si>
    <t>*기능보강사업비(외벽및창소/데크교체공사)</t>
    <phoneticPr fontId="16" type="noConversion"/>
  </si>
  <si>
    <t>* 직원포상(10년/우수직원)</t>
    <phoneticPr fontId="16" type="noConversion"/>
  </si>
  <si>
    <t>* 직원복리후생비</t>
    <phoneticPr fontId="16" type="noConversion"/>
  </si>
  <si>
    <t xml:space="preserve">  - 푸드트럭(로타리클럽지정후원)</t>
    <phoneticPr fontId="16" type="noConversion"/>
  </si>
  <si>
    <t>원</t>
    <phoneticPr fontId="16" type="noConversion"/>
  </si>
  <si>
    <t xml:space="preserve">  - 시설개보수</t>
    <phoneticPr fontId="16" type="noConversion"/>
  </si>
  <si>
    <t xml:space="preserve">  - 아름다운가게(찾아가는 푸드트럭 사업)</t>
    <phoneticPr fontId="16" type="noConversion"/>
  </si>
  <si>
    <t xml:space="preserve">  - 직원복리후생비 및 교육비</t>
    <phoneticPr fontId="16" type="noConversion"/>
  </si>
  <si>
    <t xml:space="preserve">  - 직원복리후생비 - 직원회식비</t>
    <phoneticPr fontId="16" type="noConversion"/>
  </si>
  <si>
    <t xml:space="preserve">  - 수원시장애인체육회(태권도)</t>
    <phoneticPr fontId="16" type="noConversion"/>
  </si>
  <si>
    <t>* 기본급(주방보조인력)</t>
    <phoneticPr fontId="16" type="noConversion"/>
  </si>
  <si>
    <t>1. 법인지원인력 기본급</t>
    <phoneticPr fontId="16" type="noConversion"/>
  </si>
  <si>
    <t>* 기본급(선임지도원 차액:이연경)</t>
    <phoneticPr fontId="16" type="noConversion"/>
  </si>
  <si>
    <t xml:space="preserve">    - 주방보조인력</t>
    <phoneticPr fontId="16" type="noConversion"/>
  </si>
  <si>
    <t xml:space="preserve">    - 선임지도원(이연경)</t>
    <phoneticPr fontId="16" type="noConversion"/>
  </si>
  <si>
    <t>* 연장야간퇴직적립금</t>
    <phoneticPr fontId="16" type="noConversion"/>
  </si>
  <si>
    <t>제수당 지원금 :</t>
    <phoneticPr fontId="16" type="noConversion"/>
  </si>
  <si>
    <t>기본급 지원금 :</t>
    <phoneticPr fontId="16" type="noConversion"/>
  </si>
  <si>
    <t>4. 사회보험부담금</t>
    <phoneticPr fontId="16" type="noConversion"/>
  </si>
  <si>
    <t>3. 예산심의 사업계획수립(실무자워크숍)</t>
    <phoneticPr fontId="16" type="noConversion"/>
  </si>
  <si>
    <t xml:space="preserve"> &lt;잡수입이월금(기타잡수입 등&gt;</t>
    <phoneticPr fontId="16" type="noConversion"/>
  </si>
  <si>
    <t>(식대수입)</t>
    <phoneticPr fontId="16" type="noConversion"/>
  </si>
  <si>
    <t xml:space="preserve"> * 잡수입이월액(식대수입)</t>
    <phoneticPr fontId="16" type="noConversion"/>
  </si>
  <si>
    <t xml:space="preserve"> &lt;잡수입이월금(식대수입&gt;</t>
    <phoneticPr fontId="16" type="noConversion"/>
  </si>
  <si>
    <t>4.법인지원인력(2명:법인전입금)</t>
    <phoneticPr fontId="16" type="noConversion"/>
  </si>
  <si>
    <t xml:space="preserve"> A.직책보조비</t>
    <phoneticPr fontId="16" type="noConversion"/>
  </si>
  <si>
    <t xml:space="preserve">  - 경상보조인력</t>
    <phoneticPr fontId="16" type="noConversion"/>
  </si>
  <si>
    <t xml:space="preserve"> D.법인지원인력</t>
    <phoneticPr fontId="16" type="noConversion"/>
  </si>
  <si>
    <t>사회보험부담 법인 지원금 :</t>
    <phoneticPr fontId="16" type="noConversion"/>
  </si>
  <si>
    <t>(지후)</t>
    <phoneticPr fontId="16" type="noConversion"/>
  </si>
  <si>
    <t>* 직원회식비</t>
    <phoneticPr fontId="16" type="noConversion"/>
  </si>
  <si>
    <t>원</t>
    <phoneticPr fontId="16" type="noConversion"/>
  </si>
  <si>
    <t>×</t>
    <phoneticPr fontId="16" type="noConversion"/>
  </si>
  <si>
    <t>월</t>
    <phoneticPr fontId="16" type="noConversion"/>
  </si>
  <si>
    <t>=</t>
    <phoneticPr fontId="16" type="noConversion"/>
  </si>
  <si>
    <t xml:space="preserve"> 나.직책수당(김성환)</t>
    <phoneticPr fontId="16" type="noConversion"/>
  </si>
  <si>
    <t xml:space="preserve"> 다.연장근로수당(선임지도원:이연경)</t>
    <phoneticPr fontId="16" type="noConversion"/>
  </si>
  <si>
    <t>3. 퇴직적립금</t>
    <phoneticPr fontId="16" type="noConversion"/>
  </si>
  <si>
    <t>퇴직적립금 지원금 :</t>
    <phoneticPr fontId="16" type="noConversion"/>
  </si>
  <si>
    <t>* 법인지원인력 퇴직적립금</t>
    <phoneticPr fontId="16" type="noConversion"/>
  </si>
  <si>
    <t>* 기본급(법인지원 3호봉 생활지도원)</t>
    <phoneticPr fontId="16" type="noConversion"/>
  </si>
  <si>
    <t xml:space="preserve">    - 법인지원 3호봉 생활지도원</t>
    <phoneticPr fontId="16" type="noConversion"/>
  </si>
  <si>
    <t>* 경기도재활PG(푸드트럭)</t>
    <phoneticPr fontId="16" type="noConversion"/>
  </si>
  <si>
    <t xml:space="preserve"> * 경기도재활PG(푸드트럭)</t>
    <phoneticPr fontId="16" type="noConversion"/>
  </si>
  <si>
    <t xml:space="preserve">  - 직원복리후생비(직원교육)</t>
    <phoneticPr fontId="16" type="noConversion"/>
  </si>
  <si>
    <t xml:space="preserve">  - 직원복리후생비(회식비)</t>
    <phoneticPr fontId="16" type="noConversion"/>
  </si>
  <si>
    <t>법인</t>
    <phoneticPr fontId="16" type="noConversion"/>
  </si>
  <si>
    <t>보조</t>
    <phoneticPr fontId="16" type="noConversion"/>
  </si>
  <si>
    <t>후원</t>
    <phoneticPr fontId="16" type="noConversion"/>
  </si>
  <si>
    <t xml:space="preserve"> E.법인지원 3호봉 생활지도원</t>
    <phoneticPr fontId="16" type="noConversion"/>
  </si>
  <si>
    <t xml:space="preserve"> F.주방보조인력</t>
    <phoneticPr fontId="16" type="noConversion"/>
  </si>
  <si>
    <t>1. 국비기능보강(외벽및창호/데크교체공사)</t>
    <phoneticPr fontId="16" type="noConversion"/>
  </si>
  <si>
    <t>2. 불용공간 리모델링공사(지정후원금)</t>
    <phoneticPr fontId="16" type="noConversion"/>
  </si>
  <si>
    <t>1. TV구입</t>
    <phoneticPr fontId="16" type="noConversion"/>
  </si>
  <si>
    <t>3. 사회복무요원 송별선물(1명)</t>
    <phoneticPr fontId="16" type="noConversion"/>
  </si>
  <si>
    <t xml:space="preserve">  - 재활치료용품(통증치료 겔, 온열팩, 초음파 겔 등)</t>
    <phoneticPr fontId="16" type="noConversion"/>
  </si>
  <si>
    <t xml:space="preserve">  - 육상필드(유니폼, 측정기, 단합대회 등)</t>
    <phoneticPr fontId="16" type="noConversion"/>
  </si>
  <si>
    <t xml:space="preserve">  - 정규활동(몸짱 선정 문구, 체련단련 단합대회 등)</t>
    <phoneticPr fontId="16" type="noConversion"/>
  </si>
  <si>
    <t xml:space="preserve">  - BMW-EX(교통카드 충전, 식사 등)</t>
    <phoneticPr fontId="16" type="noConversion"/>
  </si>
  <si>
    <t>생활지원2팀(사랑)</t>
    <phoneticPr fontId="16" type="noConversion"/>
  </si>
  <si>
    <t>2. 동아리활동(여가누리)</t>
    <phoneticPr fontId="16" type="noConversion"/>
  </si>
  <si>
    <t>생활지원3팀(아름)</t>
    <phoneticPr fontId="16" type="noConversion"/>
  </si>
  <si>
    <t>생활지원1팀(하늘)</t>
    <phoneticPr fontId="16" type="noConversion"/>
  </si>
  <si>
    <t>3. 건강관리(건강해짐,아로마)</t>
    <phoneticPr fontId="16" type="noConversion"/>
  </si>
  <si>
    <t>4. 푸드트럭 "바다의 별다방"</t>
    <phoneticPr fontId="16" type="noConversion"/>
  </si>
  <si>
    <t>2. 직업훈련(이루다임가동)</t>
    <phoneticPr fontId="16" type="noConversion"/>
  </si>
  <si>
    <t>원</t>
    <phoneticPr fontId="16" type="noConversion"/>
  </si>
  <si>
    <t>4. 봉사동아리 사랑담아</t>
    <phoneticPr fontId="16" type="noConversion"/>
  </si>
  <si>
    <t>5. 태권도 이단옆차기(수원시장애인체육회 지원)</t>
    <phoneticPr fontId="16" type="noConversion"/>
  </si>
  <si>
    <t>6. 불금포차</t>
    <phoneticPr fontId="16" type="noConversion"/>
  </si>
  <si>
    <t>7. 뮤직복싱</t>
    <phoneticPr fontId="16" type="noConversion"/>
  </si>
  <si>
    <t>8. 기도모임</t>
    <phoneticPr fontId="16" type="noConversion"/>
  </si>
  <si>
    <t>9. 스마트팜</t>
    <phoneticPr fontId="16" type="noConversion"/>
  </si>
  <si>
    <t>1. 부모모임(부모간담회, 어버이날, 부모여행 등)</t>
    <phoneticPr fontId="16" type="noConversion"/>
  </si>
  <si>
    <t>2. 명절행사(설날, 추석)</t>
    <phoneticPr fontId="16" type="noConversion"/>
  </si>
  <si>
    <t>1. 지역사회연계사업비(비둘기캠프/장애인체육대회/작품전시/경로잔치 등)</t>
    <phoneticPr fontId="16" type="noConversion"/>
  </si>
  <si>
    <t>1. 계절여행(봄,가음,겨울)</t>
    <phoneticPr fontId="16" type="noConversion"/>
  </si>
  <si>
    <t>2. 여름캠프</t>
    <phoneticPr fontId="16" type="noConversion"/>
  </si>
  <si>
    <t>* 주방직원 건강진단서(진단비)</t>
    <phoneticPr fontId="16" type="noConversion"/>
  </si>
  <si>
    <t>3. 복사기 임대료(5대)</t>
    <phoneticPr fontId="16" type="noConversion"/>
  </si>
  <si>
    <t>후원</t>
    <phoneticPr fontId="16" type="noConversion"/>
  </si>
  <si>
    <t>후원</t>
    <phoneticPr fontId="16" type="noConversion"/>
  </si>
  <si>
    <t>원</t>
    <phoneticPr fontId="16" type="noConversion"/>
  </si>
  <si>
    <t>* 식권 수입(공익 등)</t>
    <phoneticPr fontId="16" type="noConversion"/>
  </si>
  <si>
    <t>8. 기타 생계비(간식 등)</t>
    <phoneticPr fontId="16" type="noConversion"/>
  </si>
  <si>
    <t>법인</t>
    <phoneticPr fontId="16" type="noConversion"/>
  </si>
  <si>
    <t xml:space="preserve"> B.미사용 연차수당</t>
    <phoneticPr fontId="16" type="noConversion"/>
  </si>
  <si>
    <t>6.4대보험정산</t>
    <phoneticPr fontId="16" type="noConversion"/>
  </si>
  <si>
    <t xml:space="preserve">   - 주방보조인력 1명</t>
    <phoneticPr fontId="16" type="noConversion"/>
  </si>
  <si>
    <t>원</t>
    <phoneticPr fontId="16" type="noConversion"/>
  </si>
  <si>
    <t>×</t>
    <phoneticPr fontId="16" type="noConversion"/>
  </si>
  <si>
    <t>월</t>
    <phoneticPr fontId="16" type="noConversion"/>
  </si>
  <si>
    <t>=</t>
    <phoneticPr fontId="16" type="noConversion"/>
  </si>
  <si>
    <t>법인</t>
    <phoneticPr fontId="16" type="noConversion"/>
  </si>
  <si>
    <t xml:space="preserve">   - 신규지원인력(생재 3호봉)</t>
    <phoneticPr fontId="16" type="noConversion"/>
  </si>
  <si>
    <t xml:space="preserve">   - 선임지도원 기본급 차액</t>
    <phoneticPr fontId="16" type="noConversion"/>
  </si>
  <si>
    <r>
      <t xml:space="preserve">보조금  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반환금</t>
    </r>
    <phoneticPr fontId="33" type="noConversion"/>
  </si>
  <si>
    <t>(지후)</t>
    <phoneticPr fontId="16" type="noConversion"/>
  </si>
  <si>
    <t>생활지원3팀(아름)(아로마테라피, 심리운동)</t>
    <phoneticPr fontId="16" type="noConversion"/>
  </si>
  <si>
    <t>8. 가족연계프로그램</t>
    <phoneticPr fontId="16" type="noConversion"/>
  </si>
  <si>
    <t>후원</t>
    <phoneticPr fontId="16" type="noConversion"/>
  </si>
  <si>
    <t>원</t>
    <phoneticPr fontId="16" type="noConversion"/>
  </si>
  <si>
    <t xml:space="preserve">  - 푸드트럭(수익운영비지정후원)</t>
    <phoneticPr fontId="16" type="noConversion"/>
  </si>
  <si>
    <t xml:space="preserve">  - 자산취득비(생활실TV 및 사무실PC 구입비)</t>
    <phoneticPr fontId="16" type="noConversion"/>
  </si>
  <si>
    <t xml:space="preserve">  - 자산취득비(희망나눔사업)</t>
    <phoneticPr fontId="16" type="noConversion"/>
  </si>
  <si>
    <t>* 불금포차PG 수입</t>
    <phoneticPr fontId="16" type="noConversion"/>
  </si>
  <si>
    <t>*특별위로금(추석)</t>
    <phoneticPr fontId="16" type="noConversion"/>
  </si>
  <si>
    <t>*특별위로금(설날)</t>
    <phoneticPr fontId="16" type="noConversion"/>
  </si>
  <si>
    <t>&lt;인건비 : 42명&gt;</t>
    <phoneticPr fontId="16" type="noConversion"/>
  </si>
  <si>
    <t xml:space="preserve"> 라.휴일근로수당</t>
    <phoneticPr fontId="16" type="noConversion"/>
  </si>
  <si>
    <t xml:space="preserve"> *경상보조금 42명</t>
    <phoneticPr fontId="16" type="noConversion"/>
  </si>
  <si>
    <t>*특별급식비(설날,장애인의날, 추석,연말)</t>
    <phoneticPr fontId="16" type="noConversion"/>
  </si>
  <si>
    <t>* 추가 연장야간근로수당(5h)</t>
    <phoneticPr fontId="16" type="noConversion"/>
  </si>
  <si>
    <t>* 직원 건강진단비</t>
    <phoneticPr fontId="16" type="noConversion"/>
  </si>
  <si>
    <t>기타후생경비 -&gt; 기관운영비로 편입</t>
    <phoneticPr fontId="16" type="noConversion"/>
  </si>
  <si>
    <t>*생계비(2월 수급전환 3명)</t>
    <phoneticPr fontId="16" type="noConversion"/>
  </si>
  <si>
    <t>*생계비(3월 수급전환 4명)</t>
    <phoneticPr fontId="16" type="noConversion"/>
  </si>
  <si>
    <t>*생계비(1월~6월)</t>
    <phoneticPr fontId="16" type="noConversion"/>
  </si>
  <si>
    <t xml:space="preserve"> *경상보조금 42명</t>
    <phoneticPr fontId="16" type="noConversion"/>
  </si>
  <si>
    <t>회</t>
    <phoneticPr fontId="16" type="noConversion"/>
  </si>
  <si>
    <t xml:space="preserve"> &lt;식대수입&gt;</t>
    <phoneticPr fontId="16" type="noConversion"/>
  </si>
  <si>
    <t xml:space="preserve"> 가.명절휴가비</t>
    <phoneticPr fontId="16" type="noConversion"/>
  </si>
  <si>
    <t>&lt;시설운영지원금 : 6종&gt;</t>
  </si>
  <si>
    <t>(6종)</t>
  </si>
  <si>
    <t xml:space="preserve"> * 예금이자(6종)</t>
  </si>
  <si>
    <t>*냉난방비 추가 지원</t>
    <phoneticPr fontId="16" type="noConversion"/>
  </si>
  <si>
    <t xml:space="preserve"> * 냉난방비 추가 지원</t>
    <phoneticPr fontId="16" type="noConversion"/>
  </si>
  <si>
    <t>* 직원복리후생</t>
  </si>
  <si>
    <t>1. 우수직원표창</t>
  </si>
  <si>
    <t>2. 직원복리후생사업</t>
  </si>
  <si>
    <t>3. 종사자능력개발지원사업</t>
  </si>
  <si>
    <t>4. 장기근속직원포상</t>
  </si>
  <si>
    <t>5. 동아리활동지원</t>
  </si>
  <si>
    <t>6. 직원야유회</t>
  </si>
  <si>
    <t>* 직원교육훈련비</t>
  </si>
  <si>
    <t>1. 직원외부교육비</t>
  </si>
  <si>
    <t>2. 직원하계연수비</t>
  </si>
  <si>
    <t>* 기타운영비(윤리위원회활동비,개원기념행사비)</t>
  </si>
  <si>
    <t>6. 업무추진비</t>
  </si>
  <si>
    <t xml:space="preserve"> 업무추진비 지원금</t>
  </si>
  <si>
    <t>* 회의비</t>
  </si>
  <si>
    <t xml:space="preserve">   - 우수직원포상 및 축하 꽃다발</t>
  </si>
  <si>
    <t xml:space="preserve">   - 직원축일 및 생일축하 도서상품권</t>
  </si>
  <si>
    <t xml:space="preserve">   - 야간근로자 특수건강검진비</t>
  </si>
  <si>
    <t xml:space="preserve">   - 독감예방접종</t>
  </si>
  <si>
    <t xml:space="preserve">   - 직원야유회</t>
  </si>
  <si>
    <t xml:space="preserve">   - 직원연찬회</t>
  </si>
  <si>
    <t xml:space="preserve">   - 퇴직자 선물 및 기타비용</t>
  </si>
  <si>
    <t xml:space="preserve">   - 종사자 능력개별 지원사업(자격증 취득)</t>
  </si>
  <si>
    <t xml:space="preserve">   - 장기근속직원 포상(외식상품권/케익)</t>
  </si>
  <si>
    <t xml:space="preserve">   - 직원 동아리활동 지원</t>
  </si>
  <si>
    <t xml:space="preserve">   - 열정직원(외식상품권)</t>
  </si>
  <si>
    <t>일용잡급</t>
  </si>
  <si>
    <t>1. 회의관련 다과비 등</t>
  </si>
  <si>
    <t>2. 운영위원회 참석수당</t>
  </si>
  <si>
    <t>* 기관운영비</t>
    <phoneticPr fontId="16" type="noConversion"/>
  </si>
  <si>
    <t>1. 기관방문 손님접대용 다과 및 운영위원 선물 구입</t>
    <phoneticPr fontId="16" type="noConversion"/>
  </si>
  <si>
    <t>명</t>
    <phoneticPr fontId="16" type="noConversion"/>
  </si>
  <si>
    <t>회</t>
    <phoneticPr fontId="16" type="noConversion"/>
  </si>
  <si>
    <t>5. 기타운영비</t>
    <phoneticPr fontId="16" type="noConversion"/>
  </si>
  <si>
    <t>기타운영비 지원금 :</t>
    <phoneticPr fontId="16" type="noConversion"/>
  </si>
  <si>
    <t>2. 직원내부교육비</t>
    <phoneticPr fontId="16" type="noConversion"/>
  </si>
  <si>
    <t>4. 사업운영평가</t>
    <phoneticPr fontId="16" type="noConversion"/>
  </si>
  <si>
    <t>5. 신입직원교육(산하시설견학)</t>
    <phoneticPr fontId="16" type="noConversion"/>
  </si>
  <si>
    <t>6. 팀별/층별 워크숍</t>
    <phoneticPr fontId="16" type="noConversion"/>
  </si>
  <si>
    <t>7. 윤리위원회 활동비</t>
    <phoneticPr fontId="16" type="noConversion"/>
  </si>
  <si>
    <t>8. 개원기념행사비</t>
    <phoneticPr fontId="16" type="noConversion"/>
  </si>
  <si>
    <t>1.경상보조금 (종사자42명)</t>
    <phoneticPr fontId="16" type="noConversion"/>
  </si>
  <si>
    <t xml:space="preserve"> A.경상보조금 42명</t>
    <phoneticPr fontId="16" type="noConversion"/>
  </si>
  <si>
    <t>1.경상보조금 42명</t>
    <phoneticPr fontId="16" type="noConversion"/>
  </si>
  <si>
    <t>5.제수당</t>
    <phoneticPr fontId="16" type="noConversion"/>
  </si>
  <si>
    <t>4.휴일근로수당</t>
    <phoneticPr fontId="16" type="noConversion"/>
  </si>
  <si>
    <t>2. 제수당</t>
    <phoneticPr fontId="16" type="noConversion"/>
  </si>
  <si>
    <t>시간</t>
    <phoneticPr fontId="16" type="noConversion"/>
  </si>
  <si>
    <t>시간</t>
    <phoneticPr fontId="16" type="noConversion"/>
  </si>
  <si>
    <t xml:space="preserve"> 라.연차보상수당(생활지도원:이승연)</t>
    <phoneticPr fontId="16" type="noConversion"/>
  </si>
  <si>
    <t>7. 운영비</t>
    <phoneticPr fontId="16" type="noConversion"/>
  </si>
  <si>
    <t>1. 여비</t>
    <phoneticPr fontId="16" type="noConversion"/>
  </si>
  <si>
    <t>운영비</t>
    <phoneticPr fontId="16" type="noConversion"/>
  </si>
  <si>
    <t xml:space="preserve">  - 경기마라톤</t>
    <phoneticPr fontId="16" type="noConversion"/>
  </si>
  <si>
    <t>3. 행복공방</t>
    <phoneticPr fontId="16" type="noConversion"/>
  </si>
  <si>
    <t>2. 가정방문(가정통신문)</t>
    <phoneticPr fontId="16" type="noConversion"/>
  </si>
  <si>
    <t>(비지정)</t>
    <phoneticPr fontId="16" type="noConversion"/>
  </si>
  <si>
    <t>명</t>
    <phoneticPr fontId="16" type="noConversion"/>
  </si>
  <si>
    <t>보조</t>
    <phoneticPr fontId="16" type="noConversion"/>
  </si>
  <si>
    <t>4. 연료비 자부담 보충액</t>
    <phoneticPr fontId="16" type="noConversion"/>
  </si>
  <si>
    <t>후원</t>
    <phoneticPr fontId="16" type="noConversion"/>
  </si>
  <si>
    <t>입소</t>
    <phoneticPr fontId="16" type="noConversion"/>
  </si>
  <si>
    <t>1. 사회적응/여가활동</t>
    <phoneticPr fontId="16" type="noConversion"/>
  </si>
  <si>
    <t>2. 계절별여행</t>
    <phoneticPr fontId="16" type="noConversion"/>
  </si>
  <si>
    <t>3. 자립가정체험(요리활동)</t>
    <phoneticPr fontId="16" type="noConversion"/>
  </si>
  <si>
    <t>4. 자치회의</t>
    <phoneticPr fontId="16" type="noConversion"/>
  </si>
  <si>
    <t>5. 송년회</t>
    <phoneticPr fontId="16" type="noConversion"/>
  </si>
  <si>
    <t>6. 생일프로그램</t>
    <phoneticPr fontId="16" type="noConversion"/>
  </si>
  <si>
    <t>7. 건강관리(경기마라톤, 트레킹, 등산 등)</t>
    <phoneticPr fontId="16" type="noConversion"/>
  </si>
  <si>
    <t>7.보조금(6종) 잔액</t>
    <phoneticPr fontId="16" type="noConversion"/>
  </si>
  <si>
    <t>8.보조금(6종) 예금이자</t>
    <phoneticPr fontId="16" type="noConversion"/>
  </si>
  <si>
    <t>9.재활프로그램 보조금 예금이자</t>
    <phoneticPr fontId="16" type="noConversion"/>
  </si>
  <si>
    <t>회</t>
    <phoneticPr fontId="16" type="noConversion"/>
  </si>
  <si>
    <t>후원</t>
    <phoneticPr fontId="16" type="noConversion"/>
  </si>
  <si>
    <t>산              출              기              초</t>
    <phoneticPr fontId="16" type="noConversion"/>
  </si>
  <si>
    <t>5.증축 구조 안전진단용역대금(지정후원금 이월금)</t>
    <phoneticPr fontId="16" type="noConversion"/>
  </si>
  <si>
    <t>(2월 수급전환 3명)</t>
    <phoneticPr fontId="16" type="noConversion"/>
  </si>
  <si>
    <t>(3월 수급전환 4명)</t>
    <phoneticPr fontId="16" type="noConversion"/>
  </si>
  <si>
    <t>* 입소비용수입 (1월)</t>
    <phoneticPr fontId="16" type="noConversion"/>
  </si>
  <si>
    <t xml:space="preserve">  - 예금이자 수입</t>
    <phoneticPr fontId="16" type="noConversion"/>
  </si>
  <si>
    <t xml:space="preserve">  *예금이자 수입</t>
    <phoneticPr fontId="16" type="noConversion"/>
  </si>
  <si>
    <t>7. 식권 수입(공익 등)</t>
    <phoneticPr fontId="16" type="noConversion"/>
  </si>
  <si>
    <t>법인</t>
  </si>
  <si>
    <t>11. 직원야유회</t>
    <phoneticPr fontId="16" type="noConversion"/>
  </si>
  <si>
    <t>1. 외부교육</t>
    <phoneticPr fontId="16" type="noConversion"/>
  </si>
  <si>
    <t xml:space="preserve"> 1) 직무교육</t>
    <phoneticPr fontId="16" type="noConversion"/>
  </si>
  <si>
    <t xml:space="preserve"> 2) 보수교육</t>
    <phoneticPr fontId="16" type="noConversion"/>
  </si>
  <si>
    <t>2. 내부교육</t>
    <phoneticPr fontId="16" type="noConversion"/>
  </si>
  <si>
    <t xml:space="preserve"> 1) 직원내부교육</t>
    <phoneticPr fontId="16" type="noConversion"/>
  </si>
  <si>
    <t xml:space="preserve"> 2) 직원하계연수비</t>
    <phoneticPr fontId="16" type="noConversion"/>
  </si>
  <si>
    <t>9. 자기개발비</t>
    <phoneticPr fontId="16" type="noConversion"/>
  </si>
  <si>
    <t>10 동아리활동지원</t>
    <phoneticPr fontId="16" type="noConversion"/>
  </si>
  <si>
    <t>2. 직원포상(10년/우수직원)</t>
    <phoneticPr fontId="16" type="noConversion"/>
  </si>
  <si>
    <t>3 직원복리후생비</t>
    <phoneticPr fontId="16" type="noConversion"/>
  </si>
  <si>
    <t>4. 직원축일 및 생일축하 도서상품권</t>
    <phoneticPr fontId="16" type="noConversion"/>
  </si>
  <si>
    <t>12.아름다운가게 사업비 반납금</t>
    <phoneticPr fontId="16" type="noConversion"/>
  </si>
  <si>
    <t>7.환경개선사업비 - 프로그램실 개보수</t>
    <phoneticPr fontId="16" type="noConversion"/>
  </si>
  <si>
    <t xml:space="preserve">  - 마사회 치료기구 구입비</t>
    <phoneticPr fontId="16" type="noConversion"/>
  </si>
  <si>
    <t>원</t>
    <phoneticPr fontId="16" type="noConversion"/>
  </si>
  <si>
    <t>지정</t>
    <phoneticPr fontId="16" type="noConversion"/>
  </si>
  <si>
    <t>원</t>
    <phoneticPr fontId="16" type="noConversion"/>
  </si>
  <si>
    <t>* 푸드트력 운영 수입</t>
    <phoneticPr fontId="16" type="noConversion"/>
  </si>
  <si>
    <t>잡수</t>
    <phoneticPr fontId="16" type="noConversion"/>
  </si>
  <si>
    <t>3. 퇴소 후 사후관리</t>
    <phoneticPr fontId="16" type="noConversion"/>
  </si>
  <si>
    <t>회</t>
    <phoneticPr fontId="16" type="noConversion"/>
  </si>
  <si>
    <t>11. 정수기 임대료 / 공기청정기 / 기타 수용비및 수수료</t>
    <phoneticPr fontId="16" type="noConversion"/>
  </si>
  <si>
    <t>2. 운영위원회 참석수당</t>
    <phoneticPr fontId="16" type="noConversion"/>
  </si>
  <si>
    <t>보조금
(6종/재활)</t>
    <phoneticPr fontId="16" type="noConversion"/>
  </si>
  <si>
    <t>*입소자 구료비(특별피복비)</t>
    <phoneticPr fontId="16" type="noConversion"/>
  </si>
  <si>
    <t>7. 자기개발비</t>
    <phoneticPr fontId="16" type="noConversion"/>
  </si>
  <si>
    <t>8. 동아리활동지원</t>
    <phoneticPr fontId="16" type="noConversion"/>
  </si>
  <si>
    <t>9. 직원야유회</t>
    <phoneticPr fontId="16" type="noConversion"/>
  </si>
  <si>
    <t>8. 윤리위원회 활동비</t>
    <phoneticPr fontId="16" type="noConversion"/>
  </si>
  <si>
    <t>6종</t>
  </si>
  <si>
    <t>2. 자치회의</t>
    <phoneticPr fontId="16" type="noConversion"/>
  </si>
  <si>
    <t>3. 인권지킴이단</t>
    <phoneticPr fontId="16" type="noConversion"/>
  </si>
  <si>
    <t>6. 이용인상담</t>
    <phoneticPr fontId="16" type="noConversion"/>
  </si>
  <si>
    <t>4. 맛집원정대</t>
    <phoneticPr fontId="16" type="noConversion"/>
  </si>
  <si>
    <t>* 입소자 제작 물품판매 수입(행복공방 등)</t>
    <phoneticPr fontId="16" type="noConversion"/>
  </si>
  <si>
    <t>8. 일용잡급</t>
    <phoneticPr fontId="16" type="noConversion"/>
  </si>
  <si>
    <t xml:space="preserve"> B.인건비지원(6종 : 운전원, 생활지도원, 조리보조원 3명)</t>
    <phoneticPr fontId="16" type="noConversion"/>
  </si>
  <si>
    <t>2.인건비지원(6종)</t>
    <phoneticPr fontId="16" type="noConversion"/>
  </si>
  <si>
    <t xml:space="preserve"> 나. 법인지원인력 퇴직금</t>
    <phoneticPr fontId="16" type="noConversion"/>
  </si>
  <si>
    <t xml:space="preserve"> B.인건비지원(6종)</t>
    <phoneticPr fontId="16" type="noConversion"/>
  </si>
  <si>
    <t>7. 주방 소모품비, 주방식기세척기 린스, 세제, 유지방분해제 등</t>
    <phoneticPr fontId="16" type="noConversion"/>
  </si>
  <si>
    <t>1. 사무용품비(문구류)</t>
    <phoneticPr fontId="16" type="noConversion"/>
  </si>
  <si>
    <t>1.차량유류대/정비(운영비)</t>
    <phoneticPr fontId="16" type="noConversion"/>
  </si>
  <si>
    <t xml:space="preserve">  차량유류대/정비(6종)</t>
    <phoneticPr fontId="16" type="noConversion"/>
  </si>
  <si>
    <t>2.간병인비 지원(6종)</t>
    <phoneticPr fontId="16" type="noConversion"/>
  </si>
  <si>
    <t>※ 의료재활사업비</t>
    <phoneticPr fontId="16" type="noConversion"/>
  </si>
  <si>
    <t>10. 별 베이커리</t>
    <phoneticPr fontId="16" type="noConversion"/>
  </si>
  <si>
    <t>(푸드트럭운영비 지정후원 이월금)</t>
    <phoneticPr fontId="16" type="noConversion"/>
  </si>
  <si>
    <t>(로타리클럽 지정후원 이월금)</t>
    <phoneticPr fontId="16" type="noConversion"/>
  </si>
  <si>
    <t>(행복공방 몬띠판매수익금)</t>
    <phoneticPr fontId="16" type="noConversion"/>
  </si>
  <si>
    <t>(행복공방,사랑빚은 판매수익금 이월액)</t>
    <phoneticPr fontId="16" type="noConversion"/>
  </si>
  <si>
    <t>(재활PG 사업비)</t>
    <phoneticPr fontId="16" type="noConversion"/>
  </si>
  <si>
    <t>(푸드트럭 사업수입 수익금)</t>
    <phoneticPr fontId="16" type="noConversion"/>
  </si>
  <si>
    <t>입소</t>
    <phoneticPr fontId="16" type="noConversion"/>
  </si>
  <si>
    <t>* 직원축일 및 생일축하 도서상품권</t>
    <phoneticPr fontId="16" type="noConversion"/>
  </si>
  <si>
    <t>후원</t>
    <phoneticPr fontId="16" type="noConversion"/>
  </si>
  <si>
    <t>(지정)</t>
    <phoneticPr fontId="16" type="noConversion"/>
  </si>
  <si>
    <t>10. 직원복리후생비(직원교육)</t>
    <phoneticPr fontId="16" type="noConversion"/>
  </si>
  <si>
    <r>
      <t>⑤</t>
    </r>
    <r>
      <rPr>
        <sz val="9"/>
        <rFont val="맑은 고딕"/>
        <family val="3"/>
        <charset val="129"/>
      </rPr>
      <t xml:space="preserve"> 기타세금</t>
    </r>
    <phoneticPr fontId="16" type="noConversion"/>
  </si>
  <si>
    <t>&lt;2023년도 2차 추경예산 세입내역&gt;</t>
    <phoneticPr fontId="16" type="noConversion"/>
  </si>
  <si>
    <t>2023년
1차 추경예산
(B)
(단위:천원)</t>
    <phoneticPr fontId="16" type="noConversion"/>
  </si>
  <si>
    <t>&lt;2023년도 2차 추경예산 세출내역&gt;</t>
    <phoneticPr fontId="16" type="noConversion"/>
  </si>
  <si>
    <t>후원</t>
    <phoneticPr fontId="16" type="noConversion"/>
  </si>
  <si>
    <t>지정</t>
    <phoneticPr fontId="16" type="noConversion"/>
  </si>
  <si>
    <t>지정(바자회수입)</t>
    <phoneticPr fontId="16" type="noConversion"/>
  </si>
  <si>
    <t>9. 개원기념행사비(바자회)</t>
    <phoneticPr fontId="16" type="noConversion"/>
  </si>
  <si>
    <t>2. 마사회 치료기구(견인치료기/로잉머신기)</t>
    <phoneticPr fontId="16" type="noConversion"/>
  </si>
  <si>
    <t>4. 음식물처리기</t>
    <phoneticPr fontId="16" type="noConversion"/>
  </si>
  <si>
    <t>6종</t>
    <phoneticPr fontId="16" type="noConversion"/>
  </si>
  <si>
    <t>비지정</t>
    <phoneticPr fontId="16" type="noConversion"/>
  </si>
  <si>
    <t>3. 차량구입비(바자회 수익금/지정후원)</t>
    <phoneticPr fontId="16" type="noConversion"/>
  </si>
  <si>
    <t>환경개선사업비</t>
    <phoneticPr fontId="16" type="noConversion"/>
  </si>
  <si>
    <t>2024년
2차 추경예산
(B)
(단위:천원)</t>
    <phoneticPr fontId="16" type="noConversion"/>
  </si>
  <si>
    <t>2023년 2차 추경예산액(B)         (단위:천원)</t>
    <phoneticPr fontId="16" type="noConversion"/>
  </si>
  <si>
    <t>2023년
1차 추경예산
(A)
(단위:천원)</t>
    <phoneticPr fontId="16" type="noConversion"/>
  </si>
  <si>
    <t>3. 예산심의 사업계획수립</t>
    <phoneticPr fontId="16" type="noConversion"/>
  </si>
  <si>
    <t>11. 실무자워크숍</t>
    <phoneticPr fontId="16" type="noConversion"/>
  </si>
  <si>
    <t>* 기타 잡수입(산재대체인력지원금)</t>
    <phoneticPr fontId="16" type="noConversion"/>
  </si>
  <si>
    <t xml:space="preserve">  - 자산취득비:차량구입비(바자회 수익)</t>
    <phoneticPr fontId="16" type="noConversion"/>
  </si>
  <si>
    <t>6. 기타비품구입</t>
    <phoneticPr fontId="16" type="noConversion"/>
  </si>
  <si>
    <t>7. 기타자산취득비</t>
    <phoneticPr fontId="16" type="noConversion"/>
  </si>
  <si>
    <t>5. 희망나눔사업(청소기)</t>
    <phoneticPr fontId="16" type="noConversion"/>
  </si>
  <si>
    <t>지정</t>
    <phoneticPr fontId="16" type="noConversion"/>
  </si>
  <si>
    <t>비지정</t>
    <phoneticPr fontId="16" type="noConversion"/>
  </si>
  <si>
    <t>5. 생일프로그램</t>
    <phoneticPr fontId="16" type="noConversion"/>
  </si>
  <si>
    <t>후원</t>
    <phoneticPr fontId="16" type="noConversion"/>
  </si>
  <si>
    <t xml:space="preserve"> (이용인 환갑 포함)</t>
    <phoneticPr fontId="16" type="noConversion"/>
  </si>
  <si>
    <t>*생계비(11월~12월 퇴소 1명)</t>
    <phoneticPr fontId="16" type="noConversion"/>
  </si>
  <si>
    <t>2023년
2차 추경예산</t>
    <phoneticPr fontId="33" type="noConversion"/>
  </si>
  <si>
    <t>2023년
1차 추경예산</t>
    <phoneticPr fontId="33" type="noConversion"/>
  </si>
  <si>
    <t>□ 2023년도 2차 추경예산 세 입 · 세 출 총  괄  표</t>
    <phoneticPr fontId="33" type="noConversion"/>
  </si>
  <si>
    <t>입소</t>
    <phoneticPr fontId="16" type="noConversion"/>
  </si>
  <si>
    <t>(김장 자부담)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</si>
</sst>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_ ;[Red]\-#,##0\ "/>
    <numFmt numFmtId="191" formatCode="&quot;×&quot;0.0%"/>
    <numFmt numFmtId="197" formatCode="&quot;×&quot;#,##0&quot;h&quot;;[Red]#,##0\ &quot;h&quot;"/>
    <numFmt numFmtId="198" formatCode="&quot;×&quot;#,##0&quot;월&quot;;[Red]#,##0\ &quot;월&quot;"/>
  </numFmts>
  <fonts count="71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3" tint="0.39997558519241921"/>
      <name val="맑은 고딕"/>
      <family val="3"/>
      <charset val="129"/>
      <scheme val="major"/>
    </font>
    <font>
      <sz val="10"/>
      <name val="바탕체"/>
      <family val="1"/>
      <charset val="129"/>
    </font>
    <font>
      <sz val="10"/>
      <color rgb="FFFF0000"/>
      <name val="바탕체"/>
      <family val="1"/>
      <charset val="129"/>
    </font>
    <font>
      <sz val="10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IBK iDream M"/>
      <family val="3"/>
      <charset val="129"/>
    </font>
    <font>
      <sz val="11"/>
      <color rgb="FFFF0000"/>
      <name val="맑은 고딕"/>
      <family val="3"/>
      <charset val="129"/>
      <scheme val="major"/>
    </font>
    <font>
      <b/>
      <sz val="10"/>
      <color rgb="FFFF0000"/>
      <name val="바탕체"/>
      <family val="1"/>
      <charset val="129"/>
    </font>
    <font>
      <sz val="10"/>
      <color indexed="81"/>
      <name val="Tahoma"/>
      <family val="2"/>
    </font>
    <font>
      <sz val="10"/>
      <color indexed="81"/>
      <name val="돋움"/>
      <family val="3"/>
      <charset val="129"/>
    </font>
    <font>
      <b/>
      <sz val="12"/>
      <color rgb="FFFF0000"/>
      <name val="바탕체"/>
      <family val="1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</font>
    <font>
      <b/>
      <sz val="11"/>
      <color theme="4"/>
      <name val="바탕체"/>
      <family val="1"/>
      <charset val="129"/>
    </font>
    <font>
      <b/>
      <sz val="10"/>
      <name val="바탕체"/>
      <family val="1"/>
      <charset val="129"/>
    </font>
    <font>
      <b/>
      <sz val="10"/>
      <color indexed="8"/>
      <name val="바탕체"/>
      <family val="1"/>
      <charset val="129"/>
    </font>
    <font>
      <sz val="10"/>
      <color rgb="FF1212F6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28">
    <xf numFmtId="0" fontId="0" fillId="0" borderId="0" applyFill="0" applyAlignment="0">
      <alignment vertical="center"/>
    </xf>
    <xf numFmtId="9" fontId="15" fillId="0" borderId="0" applyFont="0" applyFill="0" applyAlignment="0" applyProtection="0">
      <alignment vertical="center"/>
    </xf>
    <xf numFmtId="41" fontId="15" fillId="0" borderId="0" applyFont="0" applyFill="0" applyAlignment="0" applyProtection="0">
      <alignment vertical="center"/>
    </xf>
    <xf numFmtId="0" fontId="15" fillId="0" borderId="0" applyFill="0" applyAlignment="0"/>
    <xf numFmtId="0" fontId="18" fillId="0" borderId="0"/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57" fillId="0" borderId="0" applyFont="0" applyFill="0" applyBorder="0" applyAlignment="0" applyProtection="0">
      <alignment vertical="center"/>
    </xf>
    <xf numFmtId="41" fontId="57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57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2" fontId="58" fillId="0" borderId="0" applyFont="0" applyFill="0" applyBorder="0" applyAlignment="0" applyProtection="0">
      <alignment vertical="center"/>
    </xf>
    <xf numFmtId="0" fontId="56" fillId="0" borderId="0"/>
    <xf numFmtId="0" fontId="1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18" fillId="0" borderId="0">
      <alignment vertical="center"/>
    </xf>
    <xf numFmtId="0" fontId="59" fillId="0" borderId="0">
      <alignment vertical="center"/>
    </xf>
    <xf numFmtId="0" fontId="5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803">
    <xf numFmtId="0" fontId="0" fillId="0" borderId="0" xfId="0" applyFill="1" applyAlignment="1">
      <alignment vertical="center"/>
    </xf>
    <xf numFmtId="0" fontId="17" fillId="0" borderId="0" xfId="3" applyFont="1" applyFill="1" applyAlignment="1">
      <alignment vertical="center"/>
    </xf>
    <xf numFmtId="176" fontId="17" fillId="0" borderId="0" xfId="3" applyNumberFormat="1" applyFont="1" applyFill="1" applyAlignment="1">
      <alignment vertical="center"/>
    </xf>
    <xf numFmtId="0" fontId="17" fillId="0" borderId="0" xfId="3" applyFont="1" applyFill="1" applyAlignment="1">
      <alignment horizontal="center" vertical="center"/>
    </xf>
    <xf numFmtId="0" fontId="17" fillId="0" borderId="0" xfId="3" applyFont="1" applyFill="1" applyAlignment="1">
      <alignment horizontal="center" vertical="center" wrapText="1"/>
    </xf>
    <xf numFmtId="178" fontId="17" fillId="0" borderId="0" xfId="3" applyNumberFormat="1" applyFont="1" applyFill="1" applyAlignment="1">
      <alignment vertical="center"/>
    </xf>
    <xf numFmtId="177" fontId="17" fillId="0" borderId="0" xfId="3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9" fontId="17" fillId="0" borderId="0" xfId="3" applyNumberFormat="1" applyFont="1" applyFill="1" applyAlignment="1">
      <alignment horizontal="center" vertical="center"/>
    </xf>
    <xf numFmtId="0" fontId="17" fillId="0" borderId="0" xfId="0" applyFont="1" applyFill="1">
      <alignment vertical="center"/>
    </xf>
    <xf numFmtId="38" fontId="17" fillId="0" borderId="0" xfId="3" applyNumberFormat="1" applyFont="1" applyFill="1" applyAlignment="1">
      <alignment vertical="center"/>
    </xf>
    <xf numFmtId="0" fontId="19" fillId="0" borderId="16" xfId="3" applyFont="1" applyFill="1" applyBorder="1" applyAlignment="1">
      <alignment horizontal="center" vertical="center" wrapText="1"/>
    </xf>
    <xf numFmtId="0" fontId="19" fillId="0" borderId="3" xfId="3" applyFont="1" applyFill="1" applyBorder="1" applyAlignment="1">
      <alignment horizontal="center" vertical="center" wrapText="1"/>
    </xf>
    <xf numFmtId="9" fontId="20" fillId="0" borderId="3" xfId="3" applyNumberFormat="1" applyFont="1" applyFill="1" applyBorder="1" applyAlignment="1">
      <alignment horizontal="center" vertical="center"/>
    </xf>
    <xf numFmtId="0" fontId="22" fillId="0" borderId="22" xfId="3" applyFont="1" applyFill="1" applyBorder="1" applyAlignment="1">
      <alignment vertical="center"/>
    </xf>
    <xf numFmtId="176" fontId="22" fillId="0" borderId="22" xfId="3" applyNumberFormat="1" applyFont="1" applyFill="1" applyBorder="1" applyAlignment="1">
      <alignment horizontal="center" vertical="center"/>
    </xf>
    <xf numFmtId="9" fontId="19" fillId="0" borderId="26" xfId="3" applyNumberFormat="1" applyFont="1" applyFill="1" applyBorder="1" applyAlignment="1">
      <alignment horizontal="center" vertical="center"/>
    </xf>
    <xf numFmtId="0" fontId="19" fillId="0" borderId="2" xfId="3" applyFont="1" applyFill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178" fontId="19" fillId="0" borderId="1" xfId="3" applyNumberFormat="1" applyFont="1" applyFill="1" applyBorder="1" applyAlignment="1">
      <alignment vertical="center"/>
    </xf>
    <xf numFmtId="177" fontId="19" fillId="0" borderId="1" xfId="3" applyNumberFormat="1" applyFont="1" applyFill="1" applyBorder="1" applyAlignment="1">
      <alignment vertical="center"/>
    </xf>
    <xf numFmtId="9" fontId="19" fillId="0" borderId="1" xfId="3" applyNumberFormat="1" applyFont="1" applyFill="1" applyBorder="1" applyAlignment="1">
      <alignment horizontal="center" vertical="center"/>
    </xf>
    <xf numFmtId="0" fontId="22" fillId="0" borderId="28" xfId="3" applyFont="1" applyFill="1" applyBorder="1" applyAlignment="1">
      <alignment vertical="center"/>
    </xf>
    <xf numFmtId="176" fontId="24" fillId="0" borderId="29" xfId="3" applyNumberFormat="1" applyFont="1" applyFill="1" applyBorder="1" applyAlignment="1">
      <alignment vertical="center"/>
    </xf>
    <xf numFmtId="176" fontId="22" fillId="0" borderId="29" xfId="3" applyNumberFormat="1" applyFont="1" applyFill="1" applyBorder="1" applyAlignment="1">
      <alignment vertical="center"/>
    </xf>
    <xf numFmtId="0" fontId="19" fillId="0" borderId="31" xfId="3" applyFont="1" applyFill="1" applyBorder="1" applyAlignment="1">
      <alignment horizontal="center" vertical="center" wrapText="1"/>
    </xf>
    <xf numFmtId="0" fontId="19" fillId="0" borderId="26" xfId="3" applyFont="1" applyFill="1" applyBorder="1" applyAlignment="1">
      <alignment horizontal="center" vertical="center" wrapText="1"/>
    </xf>
    <xf numFmtId="0" fontId="19" fillId="0" borderId="25" xfId="3" applyFont="1" applyFill="1" applyBorder="1" applyAlignment="1">
      <alignment horizontal="center" vertical="center" wrapText="1"/>
    </xf>
    <xf numFmtId="178" fontId="19" fillId="0" borderId="26" xfId="3" applyNumberFormat="1" applyFont="1" applyFill="1" applyBorder="1" applyAlignment="1">
      <alignment vertical="center"/>
    </xf>
    <xf numFmtId="177" fontId="19" fillId="0" borderId="26" xfId="3" applyNumberFormat="1" applyFont="1" applyFill="1" applyBorder="1" applyAlignment="1">
      <alignment vertical="center"/>
    </xf>
    <xf numFmtId="176" fontId="19" fillId="0" borderId="0" xfId="3" applyNumberFormat="1" applyFont="1" applyFill="1" applyAlignment="1">
      <alignment horizontal="left" vertical="center"/>
    </xf>
    <xf numFmtId="0" fontId="19" fillId="0" borderId="0" xfId="3" applyFont="1" applyFill="1" applyAlignment="1">
      <alignment horizontal="center" vertical="center"/>
    </xf>
    <xf numFmtId="41" fontId="19" fillId="0" borderId="0" xfId="2" applyFont="1" applyFill="1" applyAlignment="1">
      <alignment vertical="center"/>
    </xf>
    <xf numFmtId="0" fontId="19" fillId="0" borderId="17" xfId="3" applyFont="1" applyFill="1" applyBorder="1" applyAlignment="1">
      <alignment horizontal="center" vertical="center" wrapText="1"/>
    </xf>
    <xf numFmtId="0" fontId="19" fillId="0" borderId="11" xfId="3" applyFont="1" applyFill="1" applyBorder="1" applyAlignment="1">
      <alignment horizontal="center" vertical="center" wrapText="1"/>
    </xf>
    <xf numFmtId="0" fontId="19" fillId="0" borderId="31" xfId="3" applyFont="1" applyFill="1" applyBorder="1" applyAlignment="1">
      <alignment vertical="center" wrapText="1"/>
    </xf>
    <xf numFmtId="178" fontId="19" fillId="0" borderId="11" xfId="3" applyNumberFormat="1" applyFont="1" applyFill="1" applyBorder="1" applyAlignment="1">
      <alignment vertical="center"/>
    </xf>
    <xf numFmtId="177" fontId="19" fillId="0" borderId="11" xfId="3" applyNumberFormat="1" applyFont="1" applyFill="1" applyBorder="1" applyAlignment="1">
      <alignment vertical="center"/>
    </xf>
    <xf numFmtId="0" fontId="19" fillId="0" borderId="13" xfId="3" applyFont="1" applyFill="1" applyBorder="1" applyAlignment="1">
      <alignment vertical="center"/>
    </xf>
    <xf numFmtId="176" fontId="19" fillId="0" borderId="13" xfId="3" applyNumberFormat="1" applyFont="1" applyFill="1" applyBorder="1" applyAlignment="1">
      <alignment vertical="center"/>
    </xf>
    <xf numFmtId="0" fontId="19" fillId="0" borderId="32" xfId="3" applyFont="1" applyFill="1" applyBorder="1" applyAlignment="1">
      <alignment vertical="center"/>
    </xf>
    <xf numFmtId="176" fontId="19" fillId="0" borderId="0" xfId="3" applyNumberFormat="1" applyFont="1" applyFill="1" applyAlignment="1">
      <alignment horizontal="right" vertical="center"/>
    </xf>
    <xf numFmtId="178" fontId="19" fillId="0" borderId="0" xfId="3" applyNumberFormat="1" applyFont="1" applyFill="1" applyAlignment="1">
      <alignment horizontal="center" vertical="center"/>
    </xf>
    <xf numFmtId="9" fontId="19" fillId="0" borderId="26" xfId="1" applyFont="1" applyFill="1" applyBorder="1" applyAlignment="1">
      <alignment horizontal="center" vertical="center"/>
    </xf>
    <xf numFmtId="0" fontId="19" fillId="0" borderId="35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horizontal="right" vertical="center"/>
    </xf>
    <xf numFmtId="42" fontId="19" fillId="0" borderId="0" xfId="3" applyNumberFormat="1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8" fontId="27" fillId="0" borderId="0" xfId="0" applyNumberFormat="1" applyFont="1">
      <alignment vertical="center"/>
    </xf>
    <xf numFmtId="9" fontId="19" fillId="0" borderId="0" xfId="1" applyFont="1" applyFill="1" applyAlignment="1">
      <alignment horizontal="center" vertical="center"/>
    </xf>
    <xf numFmtId="10" fontId="19" fillId="0" borderId="0" xfId="1" applyNumberFormat="1" applyFont="1" applyFill="1" applyAlignment="1">
      <alignment horizontal="center" vertical="center"/>
    </xf>
    <xf numFmtId="180" fontId="19" fillId="0" borderId="0" xfId="2" applyNumberFormat="1" applyFont="1" applyFill="1" applyAlignment="1">
      <alignment horizontal="center" vertical="center"/>
    </xf>
    <xf numFmtId="0" fontId="19" fillId="0" borderId="26" xfId="3" applyFont="1" applyFill="1" applyBorder="1" applyAlignment="1">
      <alignment vertical="center" wrapText="1"/>
    </xf>
    <xf numFmtId="0" fontId="19" fillId="0" borderId="11" xfId="3" applyFont="1" applyFill="1" applyBorder="1" applyAlignment="1">
      <alignment vertical="center" wrapText="1"/>
    </xf>
    <xf numFmtId="9" fontId="19" fillId="0" borderId="11" xfId="1" applyFont="1" applyFill="1" applyBorder="1" applyAlignment="1">
      <alignment horizontal="center" vertical="center"/>
    </xf>
    <xf numFmtId="0" fontId="19" fillId="0" borderId="14" xfId="3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vertical="center"/>
    </xf>
    <xf numFmtId="0" fontId="19" fillId="0" borderId="1" xfId="3" applyFont="1" applyFill="1" applyBorder="1" applyAlignment="1">
      <alignment horizontal="center" vertical="center"/>
    </xf>
    <xf numFmtId="176" fontId="19" fillId="0" borderId="29" xfId="3" applyNumberFormat="1" applyFont="1" applyFill="1" applyBorder="1" applyAlignment="1">
      <alignment vertical="center"/>
    </xf>
    <xf numFmtId="0" fontId="19" fillId="0" borderId="26" xfId="3" applyFont="1" applyFill="1" applyBorder="1" applyAlignment="1">
      <alignment horizontal="center" vertical="center"/>
    </xf>
    <xf numFmtId="0" fontId="19" fillId="0" borderId="25" xfId="3" applyFont="1" applyFill="1" applyBorder="1" applyAlignment="1">
      <alignment horizontal="center" vertical="center"/>
    </xf>
    <xf numFmtId="0" fontId="19" fillId="0" borderId="25" xfId="3" applyFont="1" applyFill="1" applyBorder="1" applyAlignment="1">
      <alignment vertical="center"/>
    </xf>
    <xf numFmtId="0" fontId="19" fillId="0" borderId="6" xfId="3" applyFont="1" applyFill="1" applyBorder="1" applyAlignment="1">
      <alignment vertical="center" wrapText="1"/>
    </xf>
    <xf numFmtId="0" fontId="19" fillId="0" borderId="7" xfId="3" applyFont="1" applyFill="1" applyBorder="1" applyAlignment="1">
      <alignment horizontal="center" vertical="center"/>
    </xf>
    <xf numFmtId="0" fontId="19" fillId="0" borderId="7" xfId="3" applyFont="1" applyFill="1" applyBorder="1" applyAlignment="1">
      <alignment horizontal="center" vertical="center" wrapText="1"/>
    </xf>
    <xf numFmtId="38" fontId="19" fillId="0" borderId="13" xfId="3" applyNumberFormat="1" applyFont="1" applyFill="1" applyBorder="1" applyAlignment="1">
      <alignment vertical="center"/>
    </xf>
    <xf numFmtId="9" fontId="19" fillId="0" borderId="3" xfId="1" applyFont="1" applyFill="1" applyBorder="1" applyAlignment="1">
      <alignment horizontal="center" vertical="center"/>
    </xf>
    <xf numFmtId="38" fontId="19" fillId="0" borderId="26" xfId="3" applyNumberFormat="1" applyFont="1" applyFill="1" applyBorder="1" applyAlignment="1">
      <alignment vertical="center"/>
    </xf>
    <xf numFmtId="38" fontId="19" fillId="0" borderId="11" xfId="3" applyNumberFormat="1" applyFont="1" applyFill="1" applyBorder="1" applyAlignment="1">
      <alignment vertical="center"/>
    </xf>
    <xf numFmtId="0" fontId="21" fillId="0" borderId="2" xfId="3" applyFont="1" applyFill="1" applyBorder="1" applyAlignment="1">
      <alignment horizontal="center" vertical="center" wrapText="1"/>
    </xf>
    <xf numFmtId="38" fontId="19" fillId="0" borderId="1" xfId="3" applyNumberFormat="1" applyFont="1" applyFill="1" applyBorder="1" applyAlignment="1">
      <alignment vertical="center"/>
    </xf>
    <xf numFmtId="176" fontId="19" fillId="0" borderId="1" xfId="0" applyNumberFormat="1" applyFont="1" applyFill="1" applyBorder="1" applyAlignment="1">
      <alignment vertical="center"/>
    </xf>
    <xf numFmtId="38" fontId="23" fillId="0" borderId="26" xfId="3" applyNumberFormat="1" applyFont="1" applyFill="1" applyBorder="1" applyAlignment="1">
      <alignment vertical="center"/>
    </xf>
    <xf numFmtId="0" fontId="21" fillId="0" borderId="14" xfId="3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right" vertical="center"/>
    </xf>
    <xf numFmtId="9" fontId="19" fillId="0" borderId="1" xfId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center" vertical="center" wrapText="1"/>
    </xf>
    <xf numFmtId="38" fontId="31" fillId="0" borderId="1" xfId="3" applyNumberFormat="1" applyFont="1" applyFill="1" applyBorder="1" applyAlignment="1">
      <alignment vertical="center"/>
    </xf>
    <xf numFmtId="38" fontId="19" fillId="0" borderId="0" xfId="3" applyNumberFormat="1" applyFont="1" applyFill="1" applyAlignment="1">
      <alignment vertical="center"/>
    </xf>
    <xf numFmtId="38" fontId="31" fillId="0" borderId="11" xfId="4" applyNumberFormat="1" applyFont="1" applyBorder="1" applyAlignment="1">
      <alignment vertical="center"/>
    </xf>
    <xf numFmtId="0" fontId="31" fillId="0" borderId="0" xfId="4" applyFont="1" applyAlignment="1">
      <alignment horizontal="center" vertical="center"/>
    </xf>
    <xf numFmtId="0" fontId="19" fillId="0" borderId="6" xfId="3" applyFont="1" applyFill="1" applyBorder="1" applyAlignment="1">
      <alignment horizontal="center" vertical="center" wrapText="1"/>
    </xf>
    <xf numFmtId="38" fontId="19" fillId="0" borderId="7" xfId="3" applyNumberFormat="1" applyFont="1" applyFill="1" applyBorder="1" applyAlignment="1">
      <alignment vertical="center"/>
    </xf>
    <xf numFmtId="0" fontId="24" fillId="0" borderId="29" xfId="3" applyFont="1" applyFill="1" applyBorder="1" applyAlignment="1">
      <alignment vertical="center"/>
    </xf>
    <xf numFmtId="0" fontId="19" fillId="0" borderId="40" xfId="3" applyFont="1" applyFill="1" applyBorder="1" applyAlignment="1">
      <alignment vertical="center"/>
    </xf>
    <xf numFmtId="176" fontId="19" fillId="0" borderId="51" xfId="3" applyNumberFormat="1" applyFont="1" applyFill="1" applyBorder="1" applyAlignment="1">
      <alignment vertical="center"/>
    </xf>
    <xf numFmtId="177" fontId="19" fillId="0" borderId="3" xfId="3" applyNumberFormat="1" applyFont="1" applyFill="1" applyBorder="1" applyAlignment="1">
      <alignment horizontal="center" vertical="center" wrapText="1"/>
    </xf>
    <xf numFmtId="176" fontId="21" fillId="0" borderId="0" xfId="3" applyNumberFormat="1" applyFont="1" applyFill="1" applyAlignment="1">
      <alignment vertical="center"/>
    </xf>
    <xf numFmtId="38" fontId="19" fillId="0" borderId="32" xfId="3" applyNumberFormat="1" applyFont="1" applyFill="1" applyBorder="1" applyAlignment="1">
      <alignment vertical="center"/>
    </xf>
    <xf numFmtId="38" fontId="19" fillId="0" borderId="35" xfId="3" applyNumberFormat="1" applyFont="1" applyFill="1" applyBorder="1" applyAlignment="1">
      <alignment vertical="center"/>
    </xf>
    <xf numFmtId="38" fontId="19" fillId="0" borderId="33" xfId="3" applyNumberFormat="1" applyFont="1" applyFill="1" applyBorder="1" applyAlignment="1">
      <alignment vertical="center"/>
    </xf>
    <xf numFmtId="38" fontId="19" fillId="0" borderId="37" xfId="3" applyNumberFormat="1" applyFont="1" applyFill="1" applyBorder="1" applyAlignment="1">
      <alignment vertical="center"/>
    </xf>
    <xf numFmtId="0" fontId="19" fillId="0" borderId="29" xfId="3" applyFont="1" applyFill="1" applyBorder="1" applyAlignment="1">
      <alignment vertical="center"/>
    </xf>
    <xf numFmtId="38" fontId="31" fillId="0" borderId="11" xfId="4" applyNumberFormat="1" applyFont="1" applyBorder="1" applyAlignment="1">
      <alignment horizontal="center" vertical="center" wrapText="1"/>
    </xf>
    <xf numFmtId="9" fontId="21" fillId="0" borderId="20" xfId="1" applyFont="1" applyFill="1" applyBorder="1" applyAlignment="1">
      <alignment horizontal="center" vertical="center"/>
    </xf>
    <xf numFmtId="9" fontId="19" fillId="0" borderId="13" xfId="1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horizontal="center" vertical="center" wrapText="1"/>
    </xf>
    <xf numFmtId="38" fontId="19" fillId="0" borderId="20" xfId="3" applyNumberFormat="1" applyFont="1" applyFill="1" applyBorder="1" applyAlignment="1">
      <alignment vertical="center"/>
    </xf>
    <xf numFmtId="9" fontId="19" fillId="0" borderId="20" xfId="1" applyFont="1" applyFill="1" applyBorder="1" applyAlignment="1">
      <alignment horizontal="center" vertical="center"/>
    </xf>
    <xf numFmtId="9" fontId="17" fillId="0" borderId="0" xfId="1" applyFont="1" applyFill="1" applyAlignment="1">
      <alignment horizontal="center" vertical="center"/>
    </xf>
    <xf numFmtId="178" fontId="20" fillId="0" borderId="3" xfId="3" applyNumberFormat="1" applyFont="1" applyFill="1" applyBorder="1" applyAlignment="1">
      <alignment horizontal="center" vertical="center" wrapText="1"/>
    </xf>
    <xf numFmtId="0" fontId="21" fillId="0" borderId="0" xfId="3" applyFont="1" applyFill="1" applyAlignment="1">
      <alignment vertical="center"/>
    </xf>
    <xf numFmtId="38" fontId="29" fillId="0" borderId="1" xfId="3" applyNumberFormat="1" applyFont="1" applyFill="1" applyBorder="1" applyAlignment="1">
      <alignment vertical="center"/>
    </xf>
    <xf numFmtId="9" fontId="29" fillId="0" borderId="1" xfId="1" applyFont="1" applyFill="1" applyBorder="1" applyAlignment="1">
      <alignment horizontal="center" vertical="center"/>
    </xf>
    <xf numFmtId="0" fontId="21" fillId="0" borderId="31" xfId="3" applyFont="1" applyFill="1" applyBorder="1" applyAlignment="1">
      <alignment horizontal="center" vertical="center" wrapText="1"/>
    </xf>
    <xf numFmtId="38" fontId="21" fillId="0" borderId="20" xfId="3" applyNumberFormat="1" applyFont="1" applyFill="1" applyBorder="1" applyAlignment="1">
      <alignment vertical="center"/>
    </xf>
    <xf numFmtId="0" fontId="21" fillId="0" borderId="1" xfId="3" applyFont="1" applyFill="1" applyBorder="1" applyAlignment="1">
      <alignment horizontal="center" vertical="center" wrapText="1"/>
    </xf>
    <xf numFmtId="38" fontId="21" fillId="0" borderId="1" xfId="3" applyNumberFormat="1" applyFont="1" applyFill="1" applyBorder="1" applyAlignment="1">
      <alignment vertical="center"/>
    </xf>
    <xf numFmtId="9" fontId="21" fillId="0" borderId="1" xfId="1" applyFont="1" applyFill="1" applyBorder="1" applyAlignment="1">
      <alignment horizontal="center" vertical="center"/>
    </xf>
    <xf numFmtId="0" fontId="13" fillId="0" borderId="0" xfId="7">
      <alignment vertical="center"/>
    </xf>
    <xf numFmtId="0" fontId="32" fillId="0" borderId="0" xfId="7" applyFont="1">
      <alignment vertical="center"/>
    </xf>
    <xf numFmtId="0" fontId="34" fillId="0" borderId="0" xfId="7" applyFont="1" applyAlignment="1">
      <alignment horizontal="right"/>
    </xf>
    <xf numFmtId="0" fontId="13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0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9" fillId="0" borderId="14" xfId="3" applyNumberFormat="1" applyFont="1" applyFill="1" applyBorder="1" applyAlignment="1">
      <alignment horizontal="center" vertical="center"/>
    </xf>
    <xf numFmtId="0" fontId="19" fillId="0" borderId="27" xfId="3" applyFont="1" applyFill="1" applyBorder="1" applyAlignment="1">
      <alignment horizontal="center" vertical="center" wrapText="1"/>
    </xf>
    <xf numFmtId="9" fontId="19" fillId="0" borderId="11" xfId="3" applyNumberFormat="1" applyFont="1" applyFill="1" applyBorder="1" applyAlignment="1">
      <alignment horizontal="center" vertical="center"/>
    </xf>
    <xf numFmtId="0" fontId="25" fillId="0" borderId="40" xfId="3" applyFont="1" applyFill="1" applyBorder="1" applyAlignment="1">
      <alignment vertical="center"/>
    </xf>
    <xf numFmtId="0" fontId="26" fillId="0" borderId="51" xfId="3" applyFont="1" applyFill="1" applyBorder="1" applyAlignment="1">
      <alignment vertical="center"/>
    </xf>
    <xf numFmtId="176" fontId="26" fillId="0" borderId="51" xfId="3" applyNumberFormat="1" applyFont="1" applyFill="1" applyBorder="1" applyAlignment="1">
      <alignment vertical="center"/>
    </xf>
    <xf numFmtId="176" fontId="25" fillId="0" borderId="51" xfId="3" applyNumberFormat="1" applyFont="1" applyFill="1" applyBorder="1" applyAlignment="1">
      <alignment vertical="center"/>
    </xf>
    <xf numFmtId="177" fontId="19" fillId="0" borderId="0" xfId="3" applyNumberFormat="1" applyFont="1" applyFill="1" applyAlignment="1">
      <alignment vertical="center"/>
    </xf>
    <xf numFmtId="178" fontId="31" fillId="0" borderId="0" xfId="0" applyNumberFormat="1" applyFont="1">
      <alignment vertical="center"/>
    </xf>
    <xf numFmtId="42" fontId="19" fillId="0" borderId="14" xfId="3" applyNumberFormat="1" applyFont="1" applyFill="1" applyBorder="1" applyAlignment="1">
      <alignment horizontal="center" vertical="center"/>
    </xf>
    <xf numFmtId="178" fontId="19" fillId="0" borderId="14" xfId="3" applyNumberFormat="1" applyFont="1" applyFill="1" applyBorder="1" applyAlignment="1">
      <alignment horizontal="center" vertical="center"/>
    </xf>
    <xf numFmtId="180" fontId="19" fillId="0" borderId="14" xfId="2" applyNumberFormat="1" applyFont="1" applyFill="1" applyBorder="1" applyAlignment="1">
      <alignment horizontal="center" vertical="center"/>
    </xf>
    <xf numFmtId="178" fontId="27" fillId="0" borderId="14" xfId="0" applyNumberFormat="1" applyFont="1" applyBorder="1">
      <alignment vertical="center"/>
    </xf>
    <xf numFmtId="178" fontId="24" fillId="0" borderId="1" xfId="3" applyNumberFormat="1" applyFont="1" applyFill="1" applyBorder="1" applyAlignment="1">
      <alignment vertical="center"/>
    </xf>
    <xf numFmtId="177" fontId="24" fillId="0" borderId="1" xfId="3" applyNumberFormat="1" applyFont="1" applyFill="1" applyBorder="1" applyAlignment="1">
      <alignment vertical="center"/>
    </xf>
    <xf numFmtId="9" fontId="24" fillId="0" borderId="1" xfId="3" applyNumberFormat="1" applyFont="1" applyFill="1" applyBorder="1" applyAlignment="1">
      <alignment horizontal="center" vertical="center"/>
    </xf>
    <xf numFmtId="178" fontId="36" fillId="0" borderId="20" xfId="3" applyNumberFormat="1" applyFont="1" applyFill="1" applyBorder="1" applyAlignment="1">
      <alignment vertical="center"/>
    </xf>
    <xf numFmtId="177" fontId="36" fillId="0" borderId="20" xfId="3" applyNumberFormat="1" applyFont="1" applyFill="1" applyBorder="1" applyAlignment="1">
      <alignment vertical="center"/>
    </xf>
    <xf numFmtId="9" fontId="36" fillId="0" borderId="20" xfId="1" applyFont="1" applyFill="1" applyBorder="1" applyAlignment="1">
      <alignment horizontal="center" vertical="center"/>
    </xf>
    <xf numFmtId="178" fontId="22" fillId="0" borderId="23" xfId="3" applyNumberFormat="1" applyFont="1" applyFill="1" applyBorder="1" applyAlignment="1">
      <alignment vertical="center"/>
    </xf>
    <xf numFmtId="9" fontId="22" fillId="0" borderId="23" xfId="3" applyNumberFormat="1" applyFont="1" applyFill="1" applyBorder="1" applyAlignment="1">
      <alignment horizontal="center" vertical="center"/>
    </xf>
    <xf numFmtId="176" fontId="19" fillId="0" borderId="14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8" fontId="29" fillId="0" borderId="11" xfId="3" applyNumberFormat="1" applyFont="1" applyFill="1" applyBorder="1" applyAlignment="1">
      <alignment vertical="center"/>
    </xf>
    <xf numFmtId="177" fontId="24" fillId="0" borderId="11" xfId="3" applyNumberFormat="1" applyFont="1" applyFill="1" applyBorder="1" applyAlignment="1">
      <alignment vertical="center"/>
    </xf>
    <xf numFmtId="9" fontId="24" fillId="0" borderId="11" xfId="3" applyNumberFormat="1" applyFont="1" applyFill="1" applyBorder="1" applyAlignment="1">
      <alignment horizontal="center" vertical="center"/>
    </xf>
    <xf numFmtId="0" fontId="22" fillId="0" borderId="35" xfId="3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37" fillId="0" borderId="51" xfId="3" applyNumberFormat="1" applyFont="1" applyFill="1" applyBorder="1" applyAlignment="1">
      <alignment vertical="center"/>
    </xf>
    <xf numFmtId="178" fontId="29" fillId="0" borderId="1" xfId="3" applyNumberFormat="1" applyFont="1" applyFill="1" applyBorder="1" applyAlignment="1">
      <alignment vertical="center"/>
    </xf>
    <xf numFmtId="41" fontId="19" fillId="0" borderId="29" xfId="2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horizontal="right" vertical="center"/>
    </xf>
    <xf numFmtId="0" fontId="19" fillId="0" borderId="28" xfId="3" applyFont="1" applyFill="1" applyBorder="1" applyAlignment="1">
      <alignment vertical="center"/>
    </xf>
    <xf numFmtId="9" fontId="19" fillId="0" borderId="53" xfId="1" applyFont="1" applyFill="1" applyBorder="1" applyAlignment="1">
      <alignment vertical="center"/>
    </xf>
    <xf numFmtId="177" fontId="19" fillId="0" borderId="29" xfId="3" applyNumberFormat="1" applyFont="1" applyFill="1" applyBorder="1" applyAlignment="1">
      <alignment vertical="center"/>
    </xf>
    <xf numFmtId="178" fontId="38" fillId="0" borderId="20" xfId="3" applyNumberFormat="1" applyFont="1" applyFill="1" applyBorder="1" applyAlignment="1">
      <alignment vertical="center"/>
    </xf>
    <xf numFmtId="177" fontId="38" fillId="0" borderId="20" xfId="3" applyNumberFormat="1" applyFont="1" applyFill="1" applyBorder="1" applyAlignment="1">
      <alignment vertical="center"/>
    </xf>
    <xf numFmtId="9" fontId="38" fillId="0" borderId="20" xfId="1" applyFont="1" applyFill="1" applyBorder="1" applyAlignment="1">
      <alignment horizontal="center" vertical="center"/>
    </xf>
    <xf numFmtId="0" fontId="39" fillId="0" borderId="40" xfId="3" applyFont="1" applyFill="1" applyBorder="1" applyAlignment="1">
      <alignment vertical="center"/>
    </xf>
    <xf numFmtId="176" fontId="39" fillId="0" borderId="51" xfId="3" applyNumberFormat="1" applyFont="1" applyFill="1" applyBorder="1" applyAlignment="1">
      <alignment vertical="center"/>
    </xf>
    <xf numFmtId="0" fontId="39" fillId="0" borderId="51" xfId="3" applyFont="1" applyFill="1" applyBorder="1" applyAlignment="1">
      <alignment horizontal="center" vertical="center"/>
    </xf>
    <xf numFmtId="0" fontId="39" fillId="0" borderId="51" xfId="3" applyFont="1" applyFill="1" applyBorder="1" applyAlignment="1">
      <alignment vertical="center"/>
    </xf>
    <xf numFmtId="0" fontId="39" fillId="0" borderId="0" xfId="3" applyFont="1" applyFill="1" applyAlignment="1">
      <alignment vertical="center"/>
    </xf>
    <xf numFmtId="176" fontId="39" fillId="0" borderId="0" xfId="3" applyNumberFormat="1" applyFont="1" applyFill="1" applyAlignment="1">
      <alignment vertical="center"/>
    </xf>
    <xf numFmtId="0" fontId="39" fillId="0" borderId="0" xfId="3" applyFont="1" applyFill="1" applyAlignment="1">
      <alignment horizontal="center" vertical="center"/>
    </xf>
    <xf numFmtId="176" fontId="39" fillId="0" borderId="0" xfId="3" applyNumberFormat="1" applyFont="1" applyFill="1" applyAlignment="1">
      <alignment horizontal="right" vertical="center"/>
    </xf>
    <xf numFmtId="0" fontId="19" fillId="0" borderId="17" xfId="3" applyFont="1" applyFill="1" applyBorder="1" applyAlignment="1">
      <alignment vertical="center" wrapText="1"/>
    </xf>
    <xf numFmtId="177" fontId="29" fillId="0" borderId="26" xfId="3" applyNumberFormat="1" applyFont="1" applyFill="1" applyBorder="1" applyAlignment="1">
      <alignment vertical="center"/>
    </xf>
    <xf numFmtId="9" fontId="29" fillId="0" borderId="26" xfId="1" applyFont="1" applyFill="1" applyBorder="1" applyAlignment="1">
      <alignment horizontal="center" vertical="center"/>
    </xf>
    <xf numFmtId="177" fontId="29" fillId="0" borderId="1" xfId="3" applyNumberFormat="1" applyFont="1" applyFill="1" applyBorder="1" applyAlignment="1">
      <alignment vertical="center"/>
    </xf>
    <xf numFmtId="0" fontId="11" fillId="0" borderId="20" xfId="7" applyFont="1" applyBorder="1" applyAlignment="1">
      <alignment horizontal="center" vertical="center"/>
    </xf>
    <xf numFmtId="176" fontId="29" fillId="0" borderId="0" xfId="3" applyNumberFormat="1" applyFont="1" applyFill="1" applyAlignment="1">
      <alignment vertical="center"/>
    </xf>
    <xf numFmtId="9" fontId="19" fillId="0" borderId="32" xfId="1" applyFont="1" applyFill="1" applyBorder="1" applyAlignment="1">
      <alignment horizontal="center" vertical="center"/>
    </xf>
    <xf numFmtId="0" fontId="29" fillId="0" borderId="0" xfId="3" applyFont="1" applyFill="1" applyAlignment="1">
      <alignment vertical="center"/>
    </xf>
    <xf numFmtId="176" fontId="29" fillId="0" borderId="0" xfId="3" applyNumberFormat="1" applyFont="1" applyFill="1" applyAlignment="1">
      <alignment horizontal="right" vertical="center"/>
    </xf>
    <xf numFmtId="0" fontId="29" fillId="0" borderId="32" xfId="3" applyFont="1" applyFill="1" applyBorder="1" applyAlignment="1">
      <alignment vertical="center"/>
    </xf>
    <xf numFmtId="0" fontId="38" fillId="0" borderId="0" xfId="3" applyFont="1" applyFill="1" applyAlignment="1">
      <alignment horizontal="center" vertical="center"/>
    </xf>
    <xf numFmtId="0" fontId="31" fillId="0" borderId="32" xfId="3" applyFont="1" applyFill="1" applyBorder="1" applyAlignment="1">
      <alignment vertical="center"/>
    </xf>
    <xf numFmtId="0" fontId="31" fillId="0" borderId="35" xfId="3" applyFont="1" applyFill="1" applyBorder="1" applyAlignment="1">
      <alignment vertical="center"/>
    </xf>
    <xf numFmtId="0" fontId="31" fillId="0" borderId="40" xfId="3" applyFont="1" applyFill="1" applyBorder="1" applyAlignment="1">
      <alignment vertical="center"/>
    </xf>
    <xf numFmtId="0" fontId="31" fillId="0" borderId="33" xfId="3" applyFont="1" applyFill="1" applyBorder="1" applyAlignment="1">
      <alignment vertical="center"/>
    </xf>
    <xf numFmtId="190" fontId="22" fillId="0" borderId="23" xfId="3" applyNumberFormat="1" applyFont="1" applyFill="1" applyBorder="1" applyAlignment="1">
      <alignment vertical="center"/>
    </xf>
    <xf numFmtId="0" fontId="40" fillId="0" borderId="14" xfId="3" applyFont="1" applyFill="1" applyBorder="1" applyAlignment="1">
      <alignment vertical="center"/>
    </xf>
    <xf numFmtId="176" fontId="31" fillId="0" borderId="29" xfId="3" applyNumberFormat="1" applyFont="1" applyFill="1" applyBorder="1" applyAlignment="1">
      <alignment vertical="center"/>
    </xf>
    <xf numFmtId="176" fontId="19" fillId="0" borderId="0" xfId="3" applyNumberFormat="1" applyFont="1" applyFill="1" applyAlignment="1">
      <alignment vertical="center"/>
    </xf>
    <xf numFmtId="0" fontId="19" fillId="0" borderId="0" xfId="3" applyFont="1" applyFill="1" applyAlignment="1">
      <alignment vertical="center"/>
    </xf>
    <xf numFmtId="41" fontId="31" fillId="0" borderId="0" xfId="2" applyFont="1" applyFill="1" applyAlignment="1">
      <alignment vertical="center"/>
    </xf>
    <xf numFmtId="0" fontId="40" fillId="0" borderId="40" xfId="3" applyFont="1" applyFill="1" applyBorder="1" applyAlignment="1">
      <alignment vertical="center"/>
    </xf>
    <xf numFmtId="0" fontId="40" fillId="0" borderId="29" xfId="3" applyFont="1" applyFill="1" applyBorder="1" applyAlignment="1">
      <alignment vertical="center"/>
    </xf>
    <xf numFmtId="176" fontId="40" fillId="0" borderId="29" xfId="3" applyNumberFormat="1" applyFont="1" applyFill="1" applyBorder="1" applyAlignment="1">
      <alignment vertical="center"/>
    </xf>
    <xf numFmtId="176" fontId="40" fillId="0" borderId="51" xfId="3" applyNumberFormat="1" applyFont="1" applyFill="1" applyBorder="1" applyAlignment="1">
      <alignment horizontal="right" vertical="center"/>
    </xf>
    <xf numFmtId="0" fontId="31" fillId="0" borderId="29" xfId="3" applyFont="1" applyFill="1" applyBorder="1" applyAlignment="1">
      <alignment vertical="center"/>
    </xf>
    <xf numFmtId="176" fontId="41" fillId="0" borderId="0" xfId="3" applyNumberFormat="1" applyFont="1" applyFill="1" applyAlignment="1">
      <alignment vertical="center"/>
    </xf>
    <xf numFmtId="0" fontId="41" fillId="0" borderId="0" xfId="3" applyFont="1" applyFill="1" applyAlignment="1">
      <alignment vertical="center"/>
    </xf>
    <xf numFmtId="41" fontId="39" fillId="0" borderId="8" xfId="0" applyNumberFormat="1" applyFont="1" applyFill="1" applyBorder="1" applyAlignment="1">
      <alignment vertical="center"/>
    </xf>
    <xf numFmtId="38" fontId="39" fillId="0" borderId="8" xfId="3" applyNumberFormat="1" applyFont="1" applyFill="1" applyBorder="1" applyAlignment="1">
      <alignment vertical="center"/>
    </xf>
    <xf numFmtId="9" fontId="39" fillId="0" borderId="8" xfId="3" applyNumberFormat="1" applyFont="1" applyFill="1" applyBorder="1" applyAlignment="1">
      <alignment horizontal="center" vertical="center"/>
    </xf>
    <xf numFmtId="0" fontId="39" fillId="0" borderId="10" xfId="3" applyFont="1" applyFill="1" applyBorder="1" applyAlignment="1">
      <alignment vertical="center"/>
    </xf>
    <xf numFmtId="0" fontId="39" fillId="0" borderId="43" xfId="3" applyFont="1" applyFill="1" applyBorder="1" applyAlignment="1">
      <alignment vertical="center"/>
    </xf>
    <xf numFmtId="176" fontId="39" fillId="0" borderId="43" xfId="3" applyNumberFormat="1" applyFont="1" applyFill="1" applyBorder="1" applyAlignment="1">
      <alignment vertical="center"/>
    </xf>
    <xf numFmtId="41" fontId="37" fillId="0" borderId="26" xfId="0" applyNumberFormat="1" applyFont="1" applyFill="1" applyBorder="1" applyAlignment="1">
      <alignment vertical="center"/>
    </xf>
    <xf numFmtId="38" fontId="37" fillId="0" borderId="26" xfId="3" applyNumberFormat="1" applyFont="1" applyFill="1" applyBorder="1" applyAlignment="1">
      <alignment vertical="center"/>
    </xf>
    <xf numFmtId="9" fontId="37" fillId="0" borderId="20" xfId="1" applyFont="1" applyFill="1" applyBorder="1" applyAlignment="1">
      <alignment horizontal="center" vertical="center"/>
    </xf>
    <xf numFmtId="0" fontId="37" fillId="0" borderId="0" xfId="3" applyFont="1" applyFill="1" applyAlignment="1">
      <alignment vertical="center"/>
    </xf>
    <xf numFmtId="176" fontId="37" fillId="0" borderId="0" xfId="3" applyNumberFormat="1" applyFont="1" applyFill="1" applyAlignment="1">
      <alignment vertical="center"/>
    </xf>
    <xf numFmtId="0" fontId="42" fillId="0" borderId="20" xfId="3" applyFont="1" applyFill="1" applyBorder="1" applyAlignment="1">
      <alignment horizontal="center" vertical="center" wrapText="1"/>
    </xf>
    <xf numFmtId="176" fontId="42" fillId="0" borderId="20" xfId="0" applyNumberFormat="1" applyFont="1" applyFill="1" applyBorder="1" applyAlignment="1">
      <alignment vertical="center"/>
    </xf>
    <xf numFmtId="38" fontId="42" fillId="0" borderId="20" xfId="3" applyNumberFormat="1" applyFont="1" applyFill="1" applyBorder="1" applyAlignment="1">
      <alignment vertical="center"/>
    </xf>
    <xf numFmtId="9" fontId="42" fillId="0" borderId="20" xfId="1" applyFont="1" applyFill="1" applyBorder="1" applyAlignment="1">
      <alignment horizontal="center" vertical="center"/>
    </xf>
    <xf numFmtId="0" fontId="43" fillId="0" borderId="51" xfId="3" applyFont="1" applyFill="1" applyBorder="1" applyAlignment="1">
      <alignment vertical="center"/>
    </xf>
    <xf numFmtId="176" fontId="43" fillId="0" borderId="51" xfId="3" applyNumberFormat="1" applyFont="1" applyFill="1" applyBorder="1" applyAlignment="1">
      <alignment vertical="center"/>
    </xf>
    <xf numFmtId="176" fontId="29" fillId="0" borderId="0" xfId="3" applyNumberFormat="1" applyFont="1" applyFill="1" applyAlignment="1">
      <alignment horizontal="center" vertical="center"/>
    </xf>
    <xf numFmtId="180" fontId="29" fillId="0" borderId="0" xfId="2" applyNumberFormat="1" applyFont="1" applyFill="1" applyAlignment="1">
      <alignment horizontal="center" vertical="center"/>
    </xf>
    <xf numFmtId="0" fontId="29" fillId="0" borderId="0" xfId="3" applyFont="1" applyFill="1" applyAlignment="1">
      <alignment horizontal="center" vertical="center"/>
    </xf>
    <xf numFmtId="0" fontId="29" fillId="0" borderId="35" xfId="3" applyFont="1" applyFill="1" applyBorder="1" applyAlignment="1">
      <alignment vertical="center"/>
    </xf>
    <xf numFmtId="176" fontId="29" fillId="0" borderId="14" xfId="3" applyNumberFormat="1" applyFont="1" applyFill="1" applyBorder="1" applyAlignment="1">
      <alignment vertical="center"/>
    </xf>
    <xf numFmtId="176" fontId="29" fillId="0" borderId="14" xfId="3" applyNumberFormat="1" applyFont="1" applyFill="1" applyBorder="1" applyAlignment="1">
      <alignment horizontal="right" vertical="center"/>
    </xf>
    <xf numFmtId="0" fontId="19" fillId="0" borderId="14" xfId="3" applyFont="1" applyFill="1" applyBorder="1" applyAlignment="1">
      <alignment vertical="center"/>
    </xf>
    <xf numFmtId="179" fontId="29" fillId="0" borderId="0" xfId="1" applyNumberFormat="1" applyFont="1" applyFill="1" applyAlignment="1">
      <alignment horizontal="right" vertical="center"/>
    </xf>
    <xf numFmtId="189" fontId="29" fillId="0" borderId="0" xfId="1" applyNumberFormat="1" applyFont="1" applyFill="1" applyAlignment="1">
      <alignment horizontal="center" vertical="center"/>
    </xf>
    <xf numFmtId="41" fontId="29" fillId="0" borderId="0" xfId="2" applyFont="1" applyFill="1" applyAlignment="1">
      <alignment vertical="center"/>
    </xf>
    <xf numFmtId="177" fontId="29" fillId="0" borderId="14" xfId="3" applyNumberFormat="1" applyFont="1" applyFill="1" applyBorder="1" applyAlignment="1">
      <alignment vertical="center"/>
    </xf>
    <xf numFmtId="41" fontId="29" fillId="0" borderId="14" xfId="2" applyFont="1" applyFill="1" applyBorder="1" applyAlignment="1">
      <alignment vertical="center"/>
    </xf>
    <xf numFmtId="176" fontId="29" fillId="0" borderId="14" xfId="3" applyNumberFormat="1" applyFont="1" applyFill="1" applyBorder="1" applyAlignment="1">
      <alignment horizontal="center" vertical="center"/>
    </xf>
    <xf numFmtId="9" fontId="29" fillId="0" borderId="14" xfId="1" applyFont="1" applyFill="1" applyBorder="1" applyAlignment="1">
      <alignment horizontal="left" vertical="center"/>
    </xf>
    <xf numFmtId="176" fontId="38" fillId="0" borderId="0" xfId="3" applyNumberFormat="1" applyFont="1" applyFill="1" applyAlignment="1">
      <alignment vertical="center"/>
    </xf>
    <xf numFmtId="42" fontId="31" fillId="0" borderId="0" xfId="3" applyNumberFormat="1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178" fontId="31" fillId="0" borderId="0" xfId="3" applyNumberFormat="1" applyFont="1" applyFill="1" applyAlignment="1">
      <alignment horizontal="center" vertical="center"/>
    </xf>
    <xf numFmtId="180" fontId="31" fillId="0" borderId="0" xfId="2" applyNumberFormat="1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0" borderId="0" xfId="3" applyFont="1" applyFill="1" applyAlignment="1">
      <alignment vertical="center" wrapText="1"/>
    </xf>
    <xf numFmtId="0" fontId="31" fillId="0" borderId="0" xfId="0" applyFont="1" applyFill="1" applyAlignment="1">
      <alignment horizontal="right" vertical="center"/>
    </xf>
    <xf numFmtId="0" fontId="31" fillId="0" borderId="14" xfId="3" applyFont="1" applyFill="1" applyBorder="1" applyAlignment="1">
      <alignment horizontal="center" vertical="center"/>
    </xf>
    <xf numFmtId="0" fontId="40" fillId="0" borderId="0" xfId="3" applyFont="1" applyFill="1" applyAlignment="1">
      <alignment vertical="center"/>
    </xf>
    <xf numFmtId="0" fontId="31" fillId="0" borderId="0" xfId="0" applyFont="1" applyFill="1">
      <alignment vertical="center"/>
    </xf>
    <xf numFmtId="176" fontId="31" fillId="0" borderId="14" xfId="3" applyNumberFormat="1" applyFont="1" applyFill="1" applyBorder="1" applyAlignment="1">
      <alignment horizontal="right" vertical="center"/>
    </xf>
    <xf numFmtId="0" fontId="31" fillId="0" borderId="13" xfId="3" applyFont="1" applyFill="1" applyBorder="1" applyAlignment="1">
      <alignment vertical="center"/>
    </xf>
    <xf numFmtId="176" fontId="31" fillId="0" borderId="13" xfId="3" applyNumberFormat="1" applyFont="1" applyFill="1" applyBorder="1" applyAlignment="1">
      <alignment vertical="center"/>
    </xf>
    <xf numFmtId="41" fontId="47" fillId="0" borderId="11" xfId="8" applyFont="1" applyBorder="1" applyAlignment="1">
      <alignment vertical="center"/>
    </xf>
    <xf numFmtId="182" fontId="47" fillId="0" borderId="12" xfId="8" applyNumberFormat="1" applyFont="1" applyBorder="1" applyAlignment="1">
      <alignment vertical="center"/>
    </xf>
    <xf numFmtId="0" fontId="48" fillId="0" borderId="11" xfId="7" applyFont="1" applyBorder="1" applyAlignment="1">
      <alignment horizontal="center" vertical="center"/>
    </xf>
    <xf numFmtId="41" fontId="49" fillId="0" borderId="11" xfId="8" applyFont="1" applyBorder="1" applyAlignment="1">
      <alignment vertical="center"/>
    </xf>
    <xf numFmtId="0" fontId="48" fillId="0" borderId="20" xfId="7" applyFont="1" applyBorder="1" applyAlignment="1">
      <alignment horizontal="center" vertical="center"/>
    </xf>
    <xf numFmtId="41" fontId="49" fillId="0" borderId="20" xfId="8" applyFont="1" applyBorder="1">
      <alignment vertical="center"/>
    </xf>
    <xf numFmtId="182" fontId="49" fillId="0" borderId="12" xfId="8" applyNumberFormat="1" applyFont="1" applyBorder="1" applyAlignment="1">
      <alignment vertical="center"/>
    </xf>
    <xf numFmtId="0" fontId="38" fillId="0" borderId="0" xfId="3" applyFont="1" applyFill="1" applyAlignment="1">
      <alignment vertical="center"/>
    </xf>
    <xf numFmtId="0" fontId="31" fillId="0" borderId="14" xfId="0" applyFont="1" applyFill="1" applyBorder="1">
      <alignment vertical="center"/>
    </xf>
    <xf numFmtId="0" fontId="31" fillId="0" borderId="29" xfId="3" applyFont="1" applyFill="1" applyBorder="1" applyAlignment="1">
      <alignment vertical="center" wrapText="1"/>
    </xf>
    <xf numFmtId="176" fontId="31" fillId="0" borderId="51" xfId="3" applyNumberFormat="1" applyFont="1" applyFill="1" applyBorder="1" applyAlignment="1">
      <alignment horizontal="right" vertical="center"/>
    </xf>
    <xf numFmtId="178" fontId="36" fillId="0" borderId="20" xfId="3" applyNumberFormat="1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vertical="center"/>
    </xf>
    <xf numFmtId="0" fontId="21" fillId="0" borderId="37" xfId="3" applyFont="1" applyFill="1" applyBorder="1" applyAlignment="1">
      <alignment vertical="center"/>
    </xf>
    <xf numFmtId="176" fontId="21" fillId="0" borderId="13" xfId="3" applyNumberFormat="1" applyFont="1" applyFill="1" applyBorder="1" applyAlignment="1">
      <alignment vertical="center"/>
    </xf>
    <xf numFmtId="188" fontId="19" fillId="0" borderId="0" xfId="1" applyNumberFormat="1" applyFont="1" applyFill="1" applyAlignment="1">
      <alignment horizontal="center" vertical="center"/>
    </xf>
    <xf numFmtId="42" fontId="50" fillId="0" borderId="0" xfId="3" applyNumberFormat="1" applyFont="1" applyFill="1" applyAlignment="1">
      <alignment horizontal="center" vertical="center"/>
    </xf>
    <xf numFmtId="184" fontId="19" fillId="0" borderId="0" xfId="1" applyNumberFormat="1" applyFont="1" applyFill="1" applyAlignment="1">
      <alignment horizontal="center" vertical="center"/>
    </xf>
    <xf numFmtId="183" fontId="19" fillId="0" borderId="0" xfId="1" applyNumberFormat="1" applyFont="1" applyFill="1" applyAlignment="1">
      <alignment horizontal="center" vertical="center"/>
    </xf>
    <xf numFmtId="187" fontId="19" fillId="0" borderId="0" xfId="1" applyNumberFormat="1" applyFont="1" applyFill="1" applyAlignment="1">
      <alignment horizontal="center" vertical="center"/>
    </xf>
    <xf numFmtId="178" fontId="19" fillId="0" borderId="0" xfId="3" applyNumberFormat="1" applyFont="1" applyFill="1" applyAlignment="1">
      <alignment vertical="center"/>
    </xf>
    <xf numFmtId="9" fontId="19" fillId="0" borderId="14" xfId="1" applyFont="1" applyFill="1" applyBorder="1" applyAlignment="1">
      <alignment horizontal="center" vertical="center"/>
    </xf>
    <xf numFmtId="177" fontId="19" fillId="0" borderId="14" xfId="3" applyNumberFormat="1" applyFont="1" applyFill="1" applyBorder="1" applyAlignment="1">
      <alignment vertical="center"/>
    </xf>
    <xf numFmtId="181" fontId="19" fillId="0" borderId="0" xfId="1" applyNumberFormat="1" applyFont="1" applyFill="1" applyAlignment="1">
      <alignment vertical="center"/>
    </xf>
    <xf numFmtId="0" fontId="19" fillId="0" borderId="10" xfId="3" applyFont="1" applyFill="1" applyBorder="1" applyAlignment="1">
      <alignment vertical="center"/>
    </xf>
    <xf numFmtId="41" fontId="19" fillId="0" borderId="14" xfId="2" applyFont="1" applyFill="1" applyBorder="1" applyAlignment="1">
      <alignment vertical="center"/>
    </xf>
    <xf numFmtId="191" fontId="19" fillId="0" borderId="0" xfId="1" applyNumberFormat="1" applyFont="1" applyFill="1" applyAlignment="1">
      <alignment horizontal="center" vertical="center"/>
    </xf>
    <xf numFmtId="185" fontId="19" fillId="0" borderId="0" xfId="3" applyNumberFormat="1" applyFont="1" applyFill="1" applyAlignment="1">
      <alignment vertical="center"/>
    </xf>
    <xf numFmtId="189" fontId="19" fillId="0" borderId="0" xfId="1" applyNumberFormat="1" applyFont="1" applyFill="1" applyAlignment="1">
      <alignment horizontal="center" vertical="center"/>
    </xf>
    <xf numFmtId="9" fontId="19" fillId="0" borderId="0" xfId="1" applyFont="1" applyFill="1" applyAlignment="1">
      <alignment horizontal="left" vertical="center"/>
    </xf>
    <xf numFmtId="9" fontId="19" fillId="0" borderId="51" xfId="1" applyFont="1" applyFill="1" applyBorder="1" applyAlignment="1">
      <alignment vertical="center"/>
    </xf>
    <xf numFmtId="9" fontId="29" fillId="0" borderId="0" xfId="1" applyFont="1" applyFill="1" applyAlignment="1">
      <alignment horizontal="left" vertical="center"/>
    </xf>
    <xf numFmtId="9" fontId="29" fillId="0" borderId="0" xfId="1" applyFont="1" applyFill="1" applyAlignment="1">
      <alignment horizontal="right" vertical="center"/>
    </xf>
    <xf numFmtId="177" fontId="29" fillId="0" borderId="0" xfId="3" applyNumberFormat="1" applyFont="1" applyFill="1" applyAlignment="1">
      <alignment vertical="center"/>
    </xf>
    <xf numFmtId="9" fontId="29" fillId="0" borderId="14" xfId="1" applyFont="1" applyFill="1" applyBorder="1" applyAlignment="1">
      <alignment vertical="center"/>
    </xf>
    <xf numFmtId="9" fontId="29" fillId="0" borderId="51" xfId="1" applyFont="1" applyFill="1" applyBorder="1" applyAlignment="1">
      <alignment vertical="center"/>
    </xf>
    <xf numFmtId="176" fontId="29" fillId="0" borderId="29" xfId="3" applyNumberFormat="1" applyFont="1" applyFill="1" applyBorder="1" applyAlignment="1">
      <alignment horizontal="center" vertical="center"/>
    </xf>
    <xf numFmtId="41" fontId="29" fillId="0" borderId="29" xfId="2" applyFont="1" applyFill="1" applyBorder="1" applyAlignment="1">
      <alignment vertical="center"/>
    </xf>
    <xf numFmtId="176" fontId="29" fillId="0" borderId="29" xfId="3" applyNumberFormat="1" applyFont="1" applyFill="1" applyBorder="1" applyAlignment="1">
      <alignment vertical="center"/>
    </xf>
    <xf numFmtId="177" fontId="29" fillId="0" borderId="29" xfId="3" applyNumberFormat="1" applyFont="1" applyFill="1" applyBorder="1" applyAlignment="1">
      <alignment vertical="center"/>
    </xf>
    <xf numFmtId="176" fontId="29" fillId="0" borderId="29" xfId="3" applyNumberFormat="1" applyFont="1" applyFill="1" applyBorder="1" applyAlignment="1">
      <alignment horizontal="right" vertical="center"/>
    </xf>
    <xf numFmtId="0" fontId="29" fillId="0" borderId="40" xfId="3" applyFont="1" applyFill="1" applyBorder="1" applyAlignment="1">
      <alignment vertical="center"/>
    </xf>
    <xf numFmtId="178" fontId="31" fillId="0" borderId="26" xfId="3" applyNumberFormat="1" applyFont="1" applyFill="1" applyBorder="1" applyAlignment="1">
      <alignment vertical="center"/>
    </xf>
    <xf numFmtId="178" fontId="29" fillId="0" borderId="26" xfId="3" applyNumberFormat="1" applyFont="1" applyFill="1" applyBorder="1" applyAlignment="1">
      <alignment vertical="center"/>
    </xf>
    <xf numFmtId="0" fontId="19" fillId="0" borderId="41" xfId="3" applyFont="1" applyFill="1" applyBorder="1" applyAlignment="1">
      <alignment horizontal="center" vertical="center" wrapText="1"/>
    </xf>
    <xf numFmtId="178" fontId="31" fillId="0" borderId="0" xfId="3" applyNumberFormat="1" applyFont="1" applyFill="1" applyAlignment="1">
      <alignment vertical="center"/>
    </xf>
    <xf numFmtId="185" fontId="31" fillId="0" borderId="0" xfId="3" applyNumberFormat="1" applyFont="1" applyFill="1" applyAlignment="1">
      <alignment horizontal="center" vertical="center"/>
    </xf>
    <xf numFmtId="187" fontId="31" fillId="0" borderId="0" xfId="1" applyNumberFormat="1" applyFont="1" applyFill="1" applyAlignment="1">
      <alignment horizontal="center" vertical="center"/>
    </xf>
    <xf numFmtId="0" fontId="10" fillId="0" borderId="20" xfId="7" applyFont="1" applyBorder="1" applyAlignment="1">
      <alignment horizontal="center" vertical="center"/>
    </xf>
    <xf numFmtId="0" fontId="13" fillId="0" borderId="45" xfId="7" applyBorder="1">
      <alignment vertical="center"/>
    </xf>
    <xf numFmtId="0" fontId="13" fillId="0" borderId="13" xfId="7" applyBorder="1">
      <alignment vertical="center"/>
    </xf>
    <xf numFmtId="176" fontId="21" fillId="0" borderId="13" xfId="3" applyNumberFormat="1" applyFont="1" applyFill="1" applyBorder="1" applyAlignment="1">
      <alignment horizontal="right" vertical="center"/>
    </xf>
    <xf numFmtId="176" fontId="38" fillId="0" borderId="0" xfId="3" applyNumberFormat="1" applyFont="1" applyFill="1" applyAlignment="1">
      <alignment horizontal="center" vertical="center"/>
    </xf>
    <xf numFmtId="178" fontId="36" fillId="0" borderId="11" xfId="3" applyNumberFormat="1" applyFont="1" applyFill="1" applyBorder="1" applyAlignment="1">
      <alignment horizontal="center" vertical="center"/>
    </xf>
    <xf numFmtId="178" fontId="36" fillId="0" borderId="11" xfId="3" applyNumberFormat="1" applyFont="1" applyFill="1" applyBorder="1" applyAlignment="1">
      <alignment vertical="center"/>
    </xf>
    <xf numFmtId="177" fontId="36" fillId="0" borderId="11" xfId="3" applyNumberFormat="1" applyFont="1" applyFill="1" applyBorder="1" applyAlignment="1">
      <alignment vertical="center"/>
    </xf>
    <xf numFmtId="9" fontId="36" fillId="0" borderId="11" xfId="1" applyFont="1" applyFill="1" applyBorder="1" applyAlignment="1">
      <alignment horizontal="center" vertical="center"/>
    </xf>
    <xf numFmtId="178" fontId="29" fillId="0" borderId="1" xfId="3" applyNumberFormat="1" applyFont="1" applyFill="1" applyBorder="1" applyAlignment="1">
      <alignment horizontal="center" vertical="center"/>
    </xf>
    <xf numFmtId="178" fontId="29" fillId="0" borderId="26" xfId="3" applyNumberFormat="1" applyFont="1" applyFill="1" applyBorder="1" applyAlignment="1">
      <alignment horizontal="center" vertical="center"/>
    </xf>
    <xf numFmtId="0" fontId="31" fillId="0" borderId="0" xfId="3" applyFont="1" applyFill="1" applyAlignment="1">
      <alignment horizontal="center" vertical="center"/>
    </xf>
    <xf numFmtId="178" fontId="24" fillId="0" borderId="26" xfId="3" applyNumberFormat="1" applyFont="1" applyFill="1" applyBorder="1" applyAlignment="1">
      <alignment vertical="center"/>
    </xf>
    <xf numFmtId="177" fontId="24" fillId="0" borderId="26" xfId="3" applyNumberFormat="1" applyFont="1" applyFill="1" applyBorder="1" applyAlignment="1">
      <alignment vertical="center"/>
    </xf>
    <xf numFmtId="9" fontId="24" fillId="0" borderId="26" xfId="3" applyNumberFormat="1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vertical="center"/>
    </xf>
    <xf numFmtId="176" fontId="31" fillId="0" borderId="0" xfId="3" applyNumberFormat="1" applyFont="1" applyFill="1" applyAlignment="1">
      <alignment horizontal="left" vertical="center"/>
    </xf>
    <xf numFmtId="0" fontId="31" fillId="0" borderId="32" xfId="3" applyFont="1" applyFill="1" applyBorder="1" applyAlignment="1">
      <alignment horizontal="left" vertical="center"/>
    </xf>
    <xf numFmtId="181" fontId="31" fillId="0" borderId="0" xfId="1" applyNumberFormat="1" applyFont="1" applyFill="1" applyAlignment="1">
      <alignment vertical="center"/>
    </xf>
    <xf numFmtId="0" fontId="31" fillId="0" borderId="26" xfId="3" applyFont="1" applyFill="1" applyBorder="1" applyAlignment="1">
      <alignment horizontal="center" vertical="center" wrapText="1"/>
    </xf>
    <xf numFmtId="176" fontId="19" fillId="0" borderId="26" xfId="0" applyNumberFormat="1" applyFont="1" applyFill="1" applyBorder="1" applyAlignment="1">
      <alignment vertical="center"/>
    </xf>
    <xf numFmtId="176" fontId="31" fillId="0" borderId="29" xfId="3" applyNumberFormat="1" applyFont="1" applyFill="1" applyBorder="1" applyAlignment="1">
      <alignment horizontal="left" vertical="center"/>
    </xf>
    <xf numFmtId="176" fontId="31" fillId="0" borderId="14" xfId="3" applyNumberFormat="1" applyFont="1" applyFill="1" applyBorder="1" applyAlignment="1">
      <alignment horizontal="left" vertical="center"/>
    </xf>
    <xf numFmtId="177" fontId="31" fillId="0" borderId="26" xfId="3" applyNumberFormat="1" applyFont="1" applyFill="1" applyBorder="1" applyAlignment="1">
      <alignment vertical="center"/>
    </xf>
    <xf numFmtId="9" fontId="31" fillId="0" borderId="26" xfId="3" applyNumberFormat="1" applyFont="1" applyFill="1" applyBorder="1" applyAlignment="1">
      <alignment horizontal="center" vertical="center"/>
    </xf>
    <xf numFmtId="177" fontId="31" fillId="0" borderId="1" xfId="3" applyNumberFormat="1" applyFont="1" applyFill="1" applyBorder="1" applyAlignment="1">
      <alignment vertical="center"/>
    </xf>
    <xf numFmtId="9" fontId="31" fillId="0" borderId="1" xfId="3" applyNumberFormat="1" applyFont="1" applyFill="1" applyBorder="1" applyAlignment="1">
      <alignment horizontal="center" vertical="center"/>
    </xf>
    <xf numFmtId="0" fontId="31" fillId="0" borderId="7" xfId="3" applyFont="1" applyFill="1" applyBorder="1" applyAlignment="1">
      <alignment horizontal="center" vertical="center" wrapText="1"/>
    </xf>
    <xf numFmtId="178" fontId="31" fillId="0" borderId="7" xfId="3" applyNumberFormat="1" applyFont="1" applyFill="1" applyBorder="1" applyAlignment="1">
      <alignment vertical="center"/>
    </xf>
    <xf numFmtId="177" fontId="31" fillId="0" borderId="7" xfId="3" applyNumberFormat="1" applyFont="1" applyFill="1" applyBorder="1" applyAlignment="1">
      <alignment vertical="center"/>
    </xf>
    <xf numFmtId="9" fontId="31" fillId="0" borderId="7" xfId="3" applyNumberFormat="1" applyFont="1" applyFill="1" applyBorder="1" applyAlignment="1">
      <alignment horizontal="center" vertical="center"/>
    </xf>
    <xf numFmtId="0" fontId="40" fillId="0" borderId="37" xfId="3" applyFont="1" applyFill="1" applyBorder="1" applyAlignment="1">
      <alignment vertical="center"/>
    </xf>
    <xf numFmtId="0" fontId="40" fillId="0" borderId="13" xfId="3" applyFont="1" applyFill="1" applyBorder="1" applyAlignment="1">
      <alignment vertical="center"/>
    </xf>
    <xf numFmtId="10" fontId="31" fillId="0" borderId="0" xfId="1" applyNumberFormat="1" applyFont="1" applyFill="1" applyAlignment="1">
      <alignment horizontal="center" vertical="center"/>
    </xf>
    <xf numFmtId="9" fontId="31" fillId="0" borderId="0" xfId="1" applyFont="1" applyFill="1" applyAlignment="1">
      <alignment horizontal="center" vertical="center"/>
    </xf>
    <xf numFmtId="0" fontId="40" fillId="0" borderId="22" xfId="3" applyFont="1" applyFill="1" applyBorder="1" applyAlignment="1">
      <alignment vertical="center"/>
    </xf>
    <xf numFmtId="0" fontId="31" fillId="0" borderId="37" xfId="3" applyFont="1" applyFill="1" applyBorder="1" applyAlignment="1">
      <alignment vertical="center"/>
    </xf>
    <xf numFmtId="176" fontId="31" fillId="0" borderId="13" xfId="3" applyNumberFormat="1" applyFont="1" applyFill="1" applyBorder="1" applyAlignment="1">
      <alignment horizontal="center" vertical="center"/>
    </xf>
    <xf numFmtId="176" fontId="38" fillId="0" borderId="0" xfId="3" applyNumberFormat="1" applyFont="1" applyFill="1" applyAlignment="1">
      <alignment horizontal="left" vertical="center"/>
    </xf>
    <xf numFmtId="38" fontId="38" fillId="0" borderId="1" xfId="3" applyNumberFormat="1" applyFont="1" applyFill="1" applyBorder="1" applyAlignment="1">
      <alignment vertical="center"/>
    </xf>
    <xf numFmtId="178" fontId="31" fillId="0" borderId="0" xfId="3" applyNumberFormat="1" applyFont="1" applyFill="1" applyAlignment="1">
      <alignment horizontal="right" vertical="center"/>
    </xf>
    <xf numFmtId="38" fontId="31" fillId="0" borderId="20" xfId="3" applyNumberFormat="1" applyFont="1" applyFill="1" applyBorder="1" applyAlignment="1">
      <alignment vertical="center"/>
    </xf>
    <xf numFmtId="38" fontId="29" fillId="0" borderId="26" xfId="3" applyNumberFormat="1" applyFont="1" applyFill="1" applyBorder="1" applyAlignment="1">
      <alignment vertical="center"/>
    </xf>
    <xf numFmtId="38" fontId="45" fillId="0" borderId="20" xfId="3" applyNumberFormat="1" applyFont="1" applyFill="1" applyBorder="1" applyAlignment="1">
      <alignment vertical="center"/>
    </xf>
    <xf numFmtId="41" fontId="38" fillId="0" borderId="0" xfId="2" applyFont="1" applyFill="1" applyAlignment="1">
      <alignment vertical="center"/>
    </xf>
    <xf numFmtId="0" fontId="9" fillId="0" borderId="20" xfId="7" applyFont="1" applyBorder="1" applyAlignment="1">
      <alignment horizontal="center" vertical="center"/>
    </xf>
    <xf numFmtId="0" fontId="31" fillId="0" borderId="0" xfId="3" applyFont="1" applyFill="1" applyAlignment="1">
      <alignment horizontal="left" vertical="center"/>
    </xf>
    <xf numFmtId="176" fontId="41" fillId="0" borderId="0" xfId="3" applyNumberFormat="1" applyFont="1" applyFill="1" applyAlignment="1">
      <alignment horizontal="center" vertical="center"/>
    </xf>
    <xf numFmtId="0" fontId="41" fillId="0" borderId="0" xfId="3" applyFont="1" applyFill="1" applyAlignment="1">
      <alignment horizontal="center" vertical="center"/>
    </xf>
    <xf numFmtId="176" fontId="40" fillId="0" borderId="29" xfId="3" applyNumberFormat="1" applyFont="1" applyFill="1" applyBorder="1" applyAlignment="1">
      <alignment horizontal="right" vertical="center"/>
    </xf>
    <xf numFmtId="176" fontId="31" fillId="0" borderId="0" xfId="3" applyNumberFormat="1" applyFont="1" applyFill="1" applyAlignment="1">
      <alignment vertical="center"/>
    </xf>
    <xf numFmtId="0" fontId="31" fillId="0" borderId="0" xfId="3" applyFont="1" applyFill="1" applyAlignment="1">
      <alignment vertical="center"/>
    </xf>
    <xf numFmtId="176" fontId="31" fillId="0" borderId="0" xfId="3" applyNumberFormat="1" applyFont="1" applyFill="1" applyAlignment="1">
      <alignment horizontal="center" vertical="center"/>
    </xf>
    <xf numFmtId="176" fontId="31" fillId="0" borderId="0" xfId="3" applyNumberFormat="1" applyFont="1" applyFill="1" applyAlignment="1">
      <alignment horizontal="right" vertical="center"/>
    </xf>
    <xf numFmtId="42" fontId="29" fillId="0" borderId="0" xfId="3" applyNumberFormat="1" applyFont="1" applyFill="1" applyAlignment="1">
      <alignment horizontal="center" vertical="center"/>
    </xf>
    <xf numFmtId="0" fontId="38" fillId="0" borderId="32" xfId="3" applyFont="1" applyFill="1" applyBorder="1" applyAlignment="1">
      <alignment vertical="center"/>
    </xf>
    <xf numFmtId="181" fontId="38" fillId="0" borderId="0" xfId="1" applyNumberFormat="1" applyFont="1" applyFill="1" applyAlignment="1">
      <alignment vertical="center"/>
    </xf>
    <xf numFmtId="42" fontId="38" fillId="0" borderId="0" xfId="3" applyNumberFormat="1" applyFont="1" applyFill="1" applyAlignment="1">
      <alignment horizontal="center" vertical="center"/>
    </xf>
    <xf numFmtId="189" fontId="38" fillId="0" borderId="0" xfId="1" applyNumberFormat="1" applyFont="1" applyFill="1" applyAlignment="1">
      <alignment horizontal="center" vertical="center"/>
    </xf>
    <xf numFmtId="176" fontId="19" fillId="0" borderId="22" xfId="3" applyNumberFormat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vertical="center"/>
    </xf>
    <xf numFmtId="0" fontId="31" fillId="0" borderId="39" xfId="3" applyFont="1" applyFill="1" applyBorder="1" applyAlignment="1">
      <alignment vertical="center"/>
    </xf>
    <xf numFmtId="0" fontId="31" fillId="0" borderId="10" xfId="3" applyFont="1" applyFill="1" applyBorder="1" applyAlignment="1">
      <alignment vertical="center"/>
    </xf>
    <xf numFmtId="0" fontId="19" fillId="0" borderId="43" xfId="3" applyFont="1" applyFill="1" applyBorder="1" applyAlignment="1">
      <alignment vertical="center"/>
    </xf>
    <xf numFmtId="176" fontId="19" fillId="0" borderId="43" xfId="3" applyNumberFormat="1" applyFont="1" applyFill="1" applyBorder="1" applyAlignment="1">
      <alignment vertical="center"/>
    </xf>
    <xf numFmtId="0" fontId="40" fillId="0" borderId="43" xfId="3" applyFont="1" applyFill="1" applyBorder="1" applyAlignment="1">
      <alignment vertical="center"/>
    </xf>
    <xf numFmtId="38" fontId="38" fillId="0" borderId="26" xfId="3" applyNumberFormat="1" applyFont="1" applyFill="1" applyBorder="1" applyAlignment="1">
      <alignment vertical="center"/>
    </xf>
    <xf numFmtId="38" fontId="53" fillId="0" borderId="26" xfId="3" applyNumberFormat="1" applyFont="1" applyFill="1" applyBorder="1" applyAlignment="1">
      <alignment vertical="center"/>
    </xf>
    <xf numFmtId="38" fontId="38" fillId="0" borderId="32" xfId="3" applyNumberFormat="1" applyFont="1" applyFill="1" applyBorder="1" applyAlignment="1">
      <alignment horizontal="center" vertical="center"/>
    </xf>
    <xf numFmtId="38" fontId="53" fillId="0" borderId="32" xfId="3" applyNumberFormat="1" applyFont="1" applyFill="1" applyBorder="1" applyAlignment="1">
      <alignment horizontal="center" vertical="center"/>
    </xf>
    <xf numFmtId="41" fontId="17" fillId="0" borderId="0" xfId="2" applyFont="1" applyFill="1" applyAlignment="1">
      <alignment vertical="center"/>
    </xf>
    <xf numFmtId="0" fontId="38" fillId="0" borderId="26" xfId="3" applyFont="1" applyFill="1" applyBorder="1" applyAlignment="1">
      <alignment horizontal="center" vertical="center"/>
    </xf>
    <xf numFmtId="0" fontId="31" fillId="0" borderId="0" xfId="3" applyFont="1" applyFill="1" applyAlignment="1">
      <alignment horizontal="left" vertical="center" wrapText="1"/>
    </xf>
    <xf numFmtId="9" fontId="31" fillId="0" borderId="0" xfId="1" applyFont="1" applyFill="1" applyAlignment="1">
      <alignment horizontal="left" vertical="center"/>
    </xf>
    <xf numFmtId="178" fontId="27" fillId="0" borderId="0" xfId="0" applyNumberFormat="1" applyFont="1" applyFill="1">
      <alignment vertical="center"/>
    </xf>
    <xf numFmtId="178" fontId="31" fillId="0" borderId="0" xfId="0" applyNumberFormat="1" applyFont="1" applyFill="1">
      <alignment vertical="center"/>
    </xf>
    <xf numFmtId="178" fontId="31" fillId="0" borderId="29" xfId="0" applyNumberFormat="1" applyFont="1" applyFill="1" applyBorder="1">
      <alignment vertical="center"/>
    </xf>
    <xf numFmtId="9" fontId="31" fillId="0" borderId="26" xfId="1" applyFont="1" applyFill="1" applyBorder="1" applyAlignment="1">
      <alignment horizontal="center" vertical="center"/>
    </xf>
    <xf numFmtId="41" fontId="47" fillId="0" borderId="11" xfId="8" applyFont="1" applyFill="1" applyBorder="1" applyAlignment="1">
      <alignment vertical="center"/>
    </xf>
    <xf numFmtId="41" fontId="49" fillId="0" borderId="11" xfId="8" applyFont="1" applyFill="1" applyBorder="1" applyAlignment="1">
      <alignment vertical="center"/>
    </xf>
    <xf numFmtId="41" fontId="0" fillId="0" borderId="20" xfId="8" applyFont="1" applyFill="1" applyBorder="1">
      <alignment vertical="center"/>
    </xf>
    <xf numFmtId="41" fontId="49" fillId="0" borderId="20" xfId="8" applyFont="1" applyFill="1" applyBorder="1">
      <alignment vertical="center"/>
    </xf>
    <xf numFmtId="9" fontId="31" fillId="0" borderId="1" xfId="1" applyFont="1" applyFill="1" applyBorder="1" applyAlignment="1">
      <alignment horizontal="center" vertical="center"/>
    </xf>
    <xf numFmtId="9" fontId="31" fillId="0" borderId="7" xfId="1" applyFont="1" applyFill="1" applyBorder="1" applyAlignment="1">
      <alignment horizontal="center" vertical="center"/>
    </xf>
    <xf numFmtId="176" fontId="40" fillId="0" borderId="0" xfId="3" applyNumberFormat="1" applyFont="1" applyFill="1" applyAlignment="1">
      <alignment vertical="center"/>
    </xf>
    <xf numFmtId="176" fontId="40" fillId="0" borderId="14" xfId="3" applyNumberFormat="1" applyFont="1" applyFill="1" applyBorder="1" applyAlignment="1">
      <alignment vertical="center"/>
    </xf>
    <xf numFmtId="176" fontId="40" fillId="0" borderId="14" xfId="3" applyNumberFormat="1" applyFont="1" applyFill="1" applyBorder="1" applyAlignment="1">
      <alignment horizontal="right" vertical="center"/>
    </xf>
    <xf numFmtId="0" fontId="40" fillId="0" borderId="35" xfId="3" applyFont="1" applyFill="1" applyBorder="1" applyAlignment="1">
      <alignment vertical="center"/>
    </xf>
    <xf numFmtId="0" fontId="13" fillId="0" borderId="2" xfId="7" applyBorder="1" applyAlignment="1">
      <alignment horizontal="center" vertical="center"/>
    </xf>
    <xf numFmtId="0" fontId="13" fillId="0" borderId="17" xfId="7" applyBorder="1" applyAlignment="1">
      <alignment horizontal="center" vertical="center"/>
    </xf>
    <xf numFmtId="41" fontId="13" fillId="0" borderId="0" xfId="7" applyNumberFormat="1">
      <alignment vertical="center"/>
    </xf>
    <xf numFmtId="0" fontId="6" fillId="0" borderId="3" xfId="7" applyFont="1" applyBorder="1" applyAlignment="1">
      <alignment horizontal="center" vertical="center"/>
    </xf>
    <xf numFmtId="0" fontId="38" fillId="0" borderId="14" xfId="3" applyFont="1" applyFill="1" applyBorder="1" applyAlignment="1">
      <alignment vertical="center"/>
    </xf>
    <xf numFmtId="0" fontId="39" fillId="0" borderId="14" xfId="3" applyFont="1" applyFill="1" applyBorder="1" applyAlignment="1">
      <alignment vertical="center"/>
    </xf>
    <xf numFmtId="41" fontId="31" fillId="0" borderId="0" xfId="2" applyFont="1" applyFill="1">
      <alignment vertical="center"/>
    </xf>
    <xf numFmtId="0" fontId="38" fillId="0" borderId="32" xfId="3" applyFont="1" applyFill="1" applyBorder="1" applyAlignment="1">
      <alignment horizontal="center" vertical="center" wrapText="1"/>
    </xf>
    <xf numFmtId="41" fontId="31" fillId="0" borderId="0" xfId="2" applyFont="1" applyFill="1" applyAlignment="1">
      <alignment horizontal="center" vertical="center"/>
    </xf>
    <xf numFmtId="41" fontId="19" fillId="0" borderId="0" xfId="2" applyFont="1" applyFill="1" applyAlignment="1">
      <alignment horizontal="center" vertical="center"/>
    </xf>
    <xf numFmtId="186" fontId="19" fillId="0" borderId="0" xfId="3" applyNumberFormat="1" applyFont="1" applyFill="1" applyAlignment="1">
      <alignment horizontal="center" vertical="center"/>
    </xf>
    <xf numFmtId="186" fontId="31" fillId="0" borderId="0" xfId="3" applyNumberFormat="1" applyFont="1" applyFill="1" applyAlignment="1">
      <alignment horizontal="center" vertical="center"/>
    </xf>
    <xf numFmtId="0" fontId="40" fillId="0" borderId="32" xfId="3" applyFont="1" applyFill="1" applyBorder="1" applyAlignment="1">
      <alignment vertical="center"/>
    </xf>
    <xf numFmtId="186" fontId="38" fillId="0" borderId="0" xfId="3" applyNumberFormat="1" applyFont="1" applyFill="1" applyAlignment="1">
      <alignment horizontal="center" vertical="center"/>
    </xf>
    <xf numFmtId="176" fontId="17" fillId="0" borderId="0" xfId="3" applyNumberFormat="1" applyFont="1" applyFill="1" applyAlignment="1">
      <alignment horizontal="center" vertical="center"/>
    </xf>
    <xf numFmtId="176" fontId="22" fillId="0" borderId="24" xfId="3" applyNumberFormat="1" applyFont="1" applyFill="1" applyBorder="1" applyAlignment="1">
      <alignment horizontal="center" vertical="center"/>
    </xf>
    <xf numFmtId="176" fontId="22" fillId="0" borderId="34" xfId="3" applyNumberFormat="1" applyFont="1" applyFill="1" applyBorder="1" applyAlignment="1">
      <alignment horizontal="center" vertical="center"/>
    </xf>
    <xf numFmtId="176" fontId="31" fillId="0" borderId="5" xfId="3" applyNumberFormat="1" applyFont="1" applyFill="1" applyBorder="1" applyAlignment="1">
      <alignment horizontal="center" vertical="center"/>
    </xf>
    <xf numFmtId="176" fontId="22" fillId="0" borderId="30" xfId="3" applyNumberFormat="1" applyFont="1" applyFill="1" applyBorder="1" applyAlignment="1">
      <alignment horizontal="center" vertical="center"/>
    </xf>
    <xf numFmtId="176" fontId="22" fillId="0" borderId="36" xfId="3" applyNumberFormat="1" applyFont="1" applyFill="1" applyBorder="1" applyAlignment="1">
      <alignment horizontal="center" vertical="center"/>
    </xf>
    <xf numFmtId="176" fontId="39" fillId="0" borderId="52" xfId="3" applyNumberFormat="1" applyFont="1" applyFill="1" applyBorder="1" applyAlignment="1">
      <alignment horizontal="center" vertical="center"/>
    </xf>
    <xf numFmtId="176" fontId="37" fillId="0" borderId="52" xfId="3" applyNumberFormat="1" applyFont="1" applyFill="1" applyBorder="1" applyAlignment="1">
      <alignment horizontal="center" vertical="center"/>
    </xf>
    <xf numFmtId="176" fontId="19" fillId="0" borderId="52" xfId="3" applyNumberFormat="1" applyFont="1" applyFill="1" applyBorder="1" applyAlignment="1">
      <alignment horizontal="center" vertical="center"/>
    </xf>
    <xf numFmtId="176" fontId="19" fillId="0" borderId="5" xfId="3" applyNumberFormat="1" applyFont="1" applyFill="1" applyBorder="1" applyAlignment="1">
      <alignment horizontal="center" vertical="center"/>
    </xf>
    <xf numFmtId="176" fontId="19" fillId="0" borderId="34" xfId="3" applyNumberFormat="1" applyFont="1" applyFill="1" applyBorder="1" applyAlignment="1">
      <alignment horizontal="center" vertical="center"/>
    </xf>
    <xf numFmtId="176" fontId="19" fillId="0" borderId="36" xfId="3" applyNumberFormat="1" applyFont="1" applyFill="1" applyBorder="1" applyAlignment="1">
      <alignment horizontal="center" vertical="center"/>
    </xf>
    <xf numFmtId="176" fontId="19" fillId="0" borderId="30" xfId="3" applyNumberFormat="1" applyFont="1" applyFill="1" applyBorder="1" applyAlignment="1">
      <alignment horizontal="center" vertical="center"/>
    </xf>
    <xf numFmtId="176" fontId="38" fillId="0" borderId="5" xfId="3" applyNumberFormat="1" applyFont="1" applyFill="1" applyBorder="1" applyAlignment="1">
      <alignment horizontal="center" vertical="center"/>
    </xf>
    <xf numFmtId="176" fontId="29" fillId="0" borderId="52" xfId="3" applyNumberFormat="1" applyFont="1" applyFill="1" applyBorder="1" applyAlignment="1">
      <alignment horizontal="center" vertical="center"/>
    </xf>
    <xf numFmtId="176" fontId="29" fillId="0" borderId="5" xfId="3" applyNumberFormat="1" applyFont="1" applyFill="1" applyBorder="1" applyAlignment="1">
      <alignment horizontal="center" vertical="center"/>
    </xf>
    <xf numFmtId="176" fontId="29" fillId="0" borderId="36" xfId="3" applyNumberFormat="1" applyFont="1" applyFill="1" applyBorder="1" applyAlignment="1">
      <alignment horizontal="center" vertical="center"/>
    </xf>
    <xf numFmtId="176" fontId="21" fillId="0" borderId="38" xfId="3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19" fillId="0" borderId="5" xfId="3" applyFont="1" applyFill="1" applyBorder="1" applyAlignment="1">
      <alignment horizontal="center" vertical="center"/>
    </xf>
    <xf numFmtId="176" fontId="40" fillId="0" borderId="38" xfId="3" applyNumberFormat="1" applyFont="1" applyFill="1" applyBorder="1" applyAlignment="1">
      <alignment horizontal="center" vertical="center"/>
    </xf>
    <xf numFmtId="176" fontId="21" fillId="0" borderId="36" xfId="3" applyNumberFormat="1" applyFont="1" applyFill="1" applyBorder="1" applyAlignment="1">
      <alignment horizontal="center" vertical="center"/>
    </xf>
    <xf numFmtId="176" fontId="19" fillId="0" borderId="44" xfId="3" applyNumberFormat="1" applyFont="1" applyFill="1" applyBorder="1" applyAlignment="1">
      <alignment horizontal="center" vertical="center"/>
    </xf>
    <xf numFmtId="176" fontId="31" fillId="0" borderId="36" xfId="3" applyNumberFormat="1" applyFont="1" applyFill="1" applyBorder="1" applyAlignment="1">
      <alignment horizontal="center" vertical="center"/>
    </xf>
    <xf numFmtId="176" fontId="40" fillId="0" borderId="5" xfId="3" applyNumberFormat="1" applyFont="1" applyFill="1" applyBorder="1" applyAlignment="1">
      <alignment horizontal="center" vertical="center"/>
    </xf>
    <xf numFmtId="176" fontId="31" fillId="0" borderId="30" xfId="3" applyNumberFormat="1" applyFont="1" applyFill="1" applyBorder="1" applyAlignment="1">
      <alignment horizontal="center" vertical="center"/>
    </xf>
    <xf numFmtId="176" fontId="40" fillId="0" borderId="44" xfId="3" applyNumberFormat="1" applyFont="1" applyFill="1" applyBorder="1" applyAlignment="1">
      <alignment horizontal="center" vertical="center"/>
    </xf>
    <xf numFmtId="0" fontId="38" fillId="0" borderId="52" xfId="3" applyFont="1" applyFill="1" applyBorder="1" applyAlignment="1">
      <alignment horizontal="center" vertical="center" wrapText="1"/>
    </xf>
    <xf numFmtId="176" fontId="31" fillId="0" borderId="52" xfId="3" applyNumberFormat="1" applyFont="1" applyFill="1" applyBorder="1" applyAlignment="1">
      <alignment horizontal="center" vertical="center"/>
    </xf>
    <xf numFmtId="176" fontId="31" fillId="0" borderId="38" xfId="3" applyNumberFormat="1" applyFont="1" applyFill="1" applyBorder="1" applyAlignment="1">
      <alignment horizontal="center" vertical="center"/>
    </xf>
    <xf numFmtId="41" fontId="17" fillId="0" borderId="0" xfId="3" applyNumberFormat="1" applyFont="1" applyFill="1" applyAlignment="1">
      <alignment horizontal="center" vertical="center"/>
    </xf>
    <xf numFmtId="9" fontId="38" fillId="0" borderId="0" xfId="1" applyFont="1" applyFill="1" applyAlignment="1">
      <alignment horizontal="center" vertical="center"/>
    </xf>
    <xf numFmtId="176" fontId="22" fillId="0" borderId="53" xfId="3" applyNumberFormat="1" applyFont="1" applyFill="1" applyBorder="1" applyAlignment="1">
      <alignment horizontal="center" vertical="center"/>
    </xf>
    <xf numFmtId="176" fontId="22" fillId="0" borderId="29" xfId="3" applyNumberFormat="1" applyFont="1" applyFill="1" applyBorder="1" applyAlignment="1">
      <alignment horizontal="center" vertical="center"/>
    </xf>
    <xf numFmtId="176" fontId="22" fillId="0" borderId="14" xfId="3" applyNumberFormat="1" applyFont="1" applyFill="1" applyBorder="1" applyAlignment="1">
      <alignment horizontal="center" vertical="center"/>
    </xf>
    <xf numFmtId="176" fontId="39" fillId="0" borderId="51" xfId="3" applyNumberFormat="1" applyFont="1" applyFill="1" applyBorder="1" applyAlignment="1">
      <alignment horizontal="center" vertical="center"/>
    </xf>
    <xf numFmtId="176" fontId="25" fillId="0" borderId="51" xfId="3" applyNumberFormat="1" applyFont="1" applyFill="1" applyBorder="1" applyAlignment="1">
      <alignment horizontal="center" vertical="center"/>
    </xf>
    <xf numFmtId="176" fontId="21" fillId="0" borderId="13" xfId="3" applyNumberFormat="1" applyFont="1" applyFill="1" applyBorder="1" applyAlignment="1">
      <alignment horizontal="center" vertical="center"/>
    </xf>
    <xf numFmtId="0" fontId="21" fillId="0" borderId="0" xfId="3" applyFont="1" applyFill="1" applyAlignment="1">
      <alignment horizontal="center" vertical="center"/>
    </xf>
    <xf numFmtId="176" fontId="31" fillId="0" borderId="14" xfId="3" applyNumberFormat="1" applyFont="1" applyFill="1" applyBorder="1" applyAlignment="1">
      <alignment horizontal="center" vertical="center"/>
    </xf>
    <xf numFmtId="176" fontId="31" fillId="0" borderId="29" xfId="3" applyNumberFormat="1" applyFont="1" applyFill="1" applyBorder="1" applyAlignment="1">
      <alignment horizontal="center" vertical="center"/>
    </xf>
    <xf numFmtId="0" fontId="31" fillId="0" borderId="13" xfId="3" applyFont="1" applyFill="1" applyBorder="1" applyAlignment="1">
      <alignment horizontal="center" vertical="center"/>
    </xf>
    <xf numFmtId="180" fontId="19" fillId="0" borderId="29" xfId="2" applyNumberFormat="1" applyFont="1" applyFill="1" applyBorder="1" applyAlignment="1">
      <alignment horizontal="center" vertical="center"/>
    </xf>
    <xf numFmtId="180" fontId="29" fillId="0" borderId="29" xfId="2" applyNumberFormat="1" applyFont="1" applyFill="1" applyBorder="1" applyAlignment="1">
      <alignment horizontal="center" vertical="center"/>
    </xf>
    <xf numFmtId="180" fontId="29" fillId="0" borderId="14" xfId="2" applyNumberFormat="1" applyFont="1" applyFill="1" applyBorder="1" applyAlignment="1">
      <alignment horizontal="center" vertical="center"/>
    </xf>
    <xf numFmtId="41" fontId="19" fillId="0" borderId="29" xfId="2" applyFont="1" applyFill="1" applyBorder="1" applyAlignment="1">
      <alignment horizontal="center" vertical="center"/>
    </xf>
    <xf numFmtId="176" fontId="38" fillId="0" borderId="36" xfId="3" applyNumberFormat="1" applyFont="1" applyFill="1" applyBorder="1" applyAlignment="1">
      <alignment horizontal="center" vertical="center"/>
    </xf>
    <xf numFmtId="0" fontId="38" fillId="0" borderId="35" xfId="3" applyFont="1" applyFill="1" applyBorder="1" applyAlignment="1">
      <alignment vertical="center"/>
    </xf>
    <xf numFmtId="176" fontId="21" fillId="0" borderId="0" xfId="3" applyNumberFormat="1" applyFont="1" applyFill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176" fontId="19" fillId="0" borderId="13" xfId="3" applyNumberFormat="1" applyFont="1" applyFill="1" applyBorder="1" applyAlignment="1">
      <alignment horizontal="center" vertical="center"/>
    </xf>
    <xf numFmtId="176" fontId="39" fillId="0" borderId="43" xfId="3" applyNumberFormat="1" applyFont="1" applyFill="1" applyBorder="1" applyAlignment="1">
      <alignment horizontal="center" vertical="center"/>
    </xf>
    <xf numFmtId="176" fontId="37" fillId="0" borderId="0" xfId="3" applyNumberFormat="1" applyFont="1" applyFill="1" applyAlignment="1">
      <alignment horizontal="center" vertical="center"/>
    </xf>
    <xf numFmtId="176" fontId="43" fillId="0" borderId="51" xfId="3" applyNumberFormat="1" applyFont="1" applyFill="1" applyBorder="1" applyAlignment="1">
      <alignment horizontal="center" vertical="center"/>
    </xf>
    <xf numFmtId="176" fontId="21" fillId="0" borderId="14" xfId="3" applyNumberFormat="1" applyFont="1" applyFill="1" applyBorder="1" applyAlignment="1">
      <alignment horizontal="center" vertical="center"/>
    </xf>
    <xf numFmtId="176" fontId="40" fillId="0" borderId="29" xfId="3" applyNumberFormat="1" applyFont="1" applyFill="1" applyBorder="1" applyAlignment="1">
      <alignment horizontal="center" vertical="center"/>
    </xf>
    <xf numFmtId="176" fontId="40" fillId="0" borderId="0" xfId="3" applyNumberFormat="1" applyFont="1" applyFill="1" applyAlignment="1">
      <alignment horizontal="center" vertical="center"/>
    </xf>
    <xf numFmtId="0" fontId="31" fillId="0" borderId="0" xfId="3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176" fontId="40" fillId="0" borderId="51" xfId="3" applyNumberFormat="1" applyFont="1" applyFill="1" applyBorder="1" applyAlignment="1">
      <alignment horizontal="center" vertical="center"/>
    </xf>
    <xf numFmtId="176" fontId="40" fillId="0" borderId="14" xfId="3" applyNumberFormat="1" applyFont="1" applyFill="1" applyBorder="1" applyAlignment="1">
      <alignment horizontal="center" vertical="center"/>
    </xf>
    <xf numFmtId="178" fontId="44" fillId="0" borderId="0" xfId="0" applyNumberFormat="1" applyFont="1" applyFill="1" applyAlignment="1">
      <alignment horizontal="center" vertical="center"/>
    </xf>
    <xf numFmtId="178" fontId="27" fillId="0" borderId="0" xfId="0" applyNumberFormat="1" applyFont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176" fontId="31" fillId="0" borderId="0" xfId="0" applyNumberFormat="1" applyFont="1" applyFill="1" applyAlignment="1">
      <alignment horizontal="center" vertical="center"/>
    </xf>
    <xf numFmtId="176" fontId="31" fillId="0" borderId="0" xfId="4" applyNumberFormat="1" applyFont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1" fillId="0" borderId="29" xfId="3" applyFont="1" applyFill="1" applyBorder="1" applyAlignment="1">
      <alignment horizontal="center" vertical="center" wrapText="1"/>
    </xf>
    <xf numFmtId="0" fontId="31" fillId="0" borderId="14" xfId="3" applyFont="1" applyFill="1" applyBorder="1" applyAlignment="1">
      <alignment vertical="center" wrapText="1"/>
    </xf>
    <xf numFmtId="0" fontId="31" fillId="0" borderId="14" xfId="3" applyFont="1" applyFill="1" applyBorder="1" applyAlignment="1">
      <alignment horizontal="center" vertical="center" wrapText="1"/>
    </xf>
    <xf numFmtId="197" fontId="31" fillId="0" borderId="0" xfId="3" applyNumberFormat="1" applyFont="1" applyFill="1" applyAlignment="1">
      <alignment horizontal="center" vertical="center"/>
    </xf>
    <xf numFmtId="198" fontId="31" fillId="0" borderId="0" xfId="3" applyNumberFormat="1" applyFont="1" applyFill="1" applyAlignment="1">
      <alignment vertical="center"/>
    </xf>
    <xf numFmtId="176" fontId="19" fillId="0" borderId="51" xfId="3" applyNumberFormat="1" applyFont="1" applyFill="1" applyBorder="1" applyAlignment="1">
      <alignment horizontal="center" vertical="center"/>
    </xf>
    <xf numFmtId="176" fontId="19" fillId="0" borderId="0" xfId="3" applyNumberFormat="1" applyFont="1" applyFill="1" applyAlignment="1">
      <alignment horizontal="center" vertical="center"/>
    </xf>
    <xf numFmtId="176" fontId="19" fillId="0" borderId="29" xfId="3" applyNumberFormat="1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vertical="center"/>
    </xf>
    <xf numFmtId="0" fontId="19" fillId="0" borderId="13" xfId="3" applyFont="1" applyFill="1" applyBorder="1" applyAlignment="1">
      <alignment horizontal="center" vertical="center"/>
    </xf>
    <xf numFmtId="176" fontId="24" fillId="0" borderId="29" xfId="3" applyNumberFormat="1" applyFont="1" applyFill="1" applyBorder="1" applyAlignment="1">
      <alignment horizontal="center" vertical="center"/>
    </xf>
    <xf numFmtId="176" fontId="24" fillId="0" borderId="14" xfId="3" applyNumberFormat="1" applyFont="1" applyFill="1" applyBorder="1" applyAlignment="1">
      <alignment horizontal="center" vertical="center"/>
    </xf>
    <xf numFmtId="176" fontId="26" fillId="0" borderId="51" xfId="3" applyNumberFormat="1" applyFont="1" applyFill="1" applyBorder="1" applyAlignment="1">
      <alignment horizontal="center" vertical="center"/>
    </xf>
    <xf numFmtId="42" fontId="19" fillId="0" borderId="29" xfId="3" applyNumberFormat="1" applyFont="1" applyFill="1" applyBorder="1" applyAlignment="1">
      <alignment horizontal="center" vertical="center"/>
    </xf>
    <xf numFmtId="42" fontId="29" fillId="0" borderId="29" xfId="3" applyNumberFormat="1" applyFont="1" applyFill="1" applyBorder="1" applyAlignment="1">
      <alignment horizontal="center" vertical="center"/>
    </xf>
    <xf numFmtId="42" fontId="29" fillId="0" borderId="14" xfId="3" applyNumberFormat="1" applyFont="1" applyFill="1" applyBorder="1" applyAlignment="1">
      <alignment horizontal="center" vertical="center"/>
    </xf>
    <xf numFmtId="178" fontId="31" fillId="0" borderId="0" xfId="0" applyNumberFormat="1" applyFont="1" applyFill="1" applyAlignment="1">
      <alignment horizontal="center" vertical="center"/>
    </xf>
    <xf numFmtId="178" fontId="27" fillId="0" borderId="0" xfId="0" applyNumberFormat="1" applyFont="1" applyFill="1" applyAlignment="1">
      <alignment horizontal="center" vertical="center"/>
    </xf>
    <xf numFmtId="178" fontId="28" fillId="0" borderId="0" xfId="0" applyNumberFormat="1" applyFont="1" applyFill="1" applyAlignment="1">
      <alignment horizontal="center" vertical="center"/>
    </xf>
    <xf numFmtId="178" fontId="31" fillId="0" borderId="29" xfId="0" applyNumberFormat="1" applyFont="1" applyFill="1" applyBorder="1" applyAlignment="1">
      <alignment horizontal="center" vertical="center"/>
    </xf>
    <xf numFmtId="178" fontId="28" fillId="0" borderId="0" xfId="0" applyNumberFormat="1" applyFont="1" applyAlignment="1">
      <alignment horizontal="center" vertical="center"/>
    </xf>
    <xf numFmtId="178" fontId="44" fillId="0" borderId="0" xfId="0" applyNumberFormat="1" applyFont="1" applyAlignment="1">
      <alignment horizontal="center" vertical="center"/>
    </xf>
    <xf numFmtId="178" fontId="27" fillId="0" borderId="14" xfId="0" applyNumberFormat="1" applyFont="1" applyBorder="1" applyAlignment="1">
      <alignment horizontal="center" vertical="center"/>
    </xf>
    <xf numFmtId="176" fontId="19" fillId="0" borderId="0" xfId="0" applyNumberFormat="1" applyFont="1" applyFill="1" applyAlignment="1">
      <alignment horizontal="center" vertical="center"/>
    </xf>
    <xf numFmtId="0" fontId="21" fillId="0" borderId="13" xfId="3" applyFont="1" applyFill="1" applyBorder="1" applyAlignment="1">
      <alignment horizontal="center" vertical="center"/>
    </xf>
    <xf numFmtId="0" fontId="21" fillId="0" borderId="14" xfId="3" applyFont="1" applyFill="1" applyBorder="1" applyAlignment="1">
      <alignment horizontal="center" vertical="center"/>
    </xf>
    <xf numFmtId="176" fontId="19" fillId="0" borderId="43" xfId="3" applyNumberFormat="1" applyFont="1" applyFill="1" applyBorder="1" applyAlignment="1">
      <alignment horizontal="center" vertical="center"/>
    </xf>
    <xf numFmtId="0" fontId="40" fillId="0" borderId="0" xfId="3" applyFont="1" applyFill="1" applyAlignment="1">
      <alignment horizontal="center" vertical="center"/>
    </xf>
    <xf numFmtId="0" fontId="40" fillId="0" borderId="13" xfId="3" applyFont="1" applyFill="1" applyBorder="1" applyAlignment="1">
      <alignment horizontal="center" vertical="center"/>
    </xf>
    <xf numFmtId="178" fontId="60" fillId="0" borderId="0" xfId="0" applyNumberFormat="1" applyFont="1" applyAlignment="1">
      <alignment horizontal="center" vertical="center"/>
    </xf>
    <xf numFmtId="176" fontId="37" fillId="0" borderId="51" xfId="3" applyNumberFormat="1" applyFont="1" applyFill="1" applyBorder="1" applyAlignment="1">
      <alignment horizontal="center" vertical="center"/>
    </xf>
    <xf numFmtId="176" fontId="19" fillId="0" borderId="53" xfId="3" applyNumberFormat="1" applyFont="1" applyFill="1" applyBorder="1" applyAlignment="1">
      <alignment horizontal="center" vertical="center"/>
    </xf>
    <xf numFmtId="176" fontId="29" fillId="0" borderId="51" xfId="3" applyNumberFormat="1" applyFont="1" applyFill="1" applyBorder="1" applyAlignment="1">
      <alignment horizontal="center" vertical="center"/>
    </xf>
    <xf numFmtId="0" fontId="29" fillId="0" borderId="14" xfId="3" applyFont="1" applyFill="1" applyBorder="1" applyAlignment="1">
      <alignment horizontal="center" vertical="center"/>
    </xf>
    <xf numFmtId="176" fontId="19" fillId="0" borderId="22" xfId="3" applyNumberFormat="1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horizontal="center" vertical="center"/>
    </xf>
    <xf numFmtId="0" fontId="40" fillId="0" borderId="43" xfId="3" applyFont="1" applyFill="1" applyBorder="1" applyAlignment="1">
      <alignment horizontal="center" vertical="center"/>
    </xf>
    <xf numFmtId="176" fontId="17" fillId="0" borderId="0" xfId="3" applyNumberFormat="1" applyFont="1" applyFill="1" applyAlignment="1">
      <alignment horizontal="right" vertical="center"/>
    </xf>
    <xf numFmtId="176" fontId="19" fillId="0" borderId="13" xfId="3" applyNumberFormat="1" applyFont="1" applyFill="1" applyBorder="1" applyAlignment="1">
      <alignment horizontal="right" vertical="center"/>
    </xf>
    <xf numFmtId="176" fontId="39" fillId="0" borderId="43" xfId="3" applyNumberFormat="1" applyFont="1" applyFill="1" applyBorder="1" applyAlignment="1">
      <alignment horizontal="right" vertical="center"/>
    </xf>
    <xf numFmtId="176" fontId="37" fillId="0" borderId="0" xfId="3" applyNumberFormat="1" applyFont="1" applyFill="1" applyAlignment="1">
      <alignment horizontal="right" vertical="center"/>
    </xf>
    <xf numFmtId="176" fontId="43" fillId="0" borderId="51" xfId="3" applyNumberFormat="1" applyFont="1" applyFill="1" applyBorder="1" applyAlignment="1">
      <alignment horizontal="right" vertical="center"/>
    </xf>
    <xf numFmtId="0" fontId="31" fillId="0" borderId="14" xfId="3" applyFont="1" applyFill="1" applyBorder="1" applyAlignment="1">
      <alignment horizontal="right" vertical="center"/>
    </xf>
    <xf numFmtId="0" fontId="41" fillId="0" borderId="14" xfId="0" applyFont="1" applyFill="1" applyBorder="1" applyAlignment="1">
      <alignment horizontal="right" vertical="center"/>
    </xf>
    <xf numFmtId="0" fontId="31" fillId="0" borderId="13" xfId="3" applyFont="1" applyFill="1" applyBorder="1" applyAlignment="1">
      <alignment horizontal="right" vertical="center"/>
    </xf>
    <xf numFmtId="176" fontId="41" fillId="0" borderId="0" xfId="3" applyNumberFormat="1" applyFont="1" applyFill="1" applyAlignment="1">
      <alignment horizontal="right" vertical="center"/>
    </xf>
    <xf numFmtId="178" fontId="27" fillId="0" borderId="0" xfId="0" applyNumberFormat="1" applyFont="1" applyAlignment="1">
      <alignment horizontal="right" vertical="center"/>
    </xf>
    <xf numFmtId="176" fontId="31" fillId="0" borderId="0" xfId="4" applyNumberFormat="1" applyFont="1" applyAlignment="1">
      <alignment horizontal="right" vertical="center"/>
    </xf>
    <xf numFmtId="0" fontId="31" fillId="0" borderId="14" xfId="0" applyFont="1" applyFill="1" applyBorder="1" applyAlignment="1">
      <alignment horizontal="right" vertical="center"/>
    </xf>
    <xf numFmtId="41" fontId="31" fillId="0" borderId="0" xfId="2" applyFont="1" applyFill="1" applyAlignment="1">
      <alignment horizontal="right" vertical="center"/>
    </xf>
    <xf numFmtId="9" fontId="31" fillId="0" borderId="0" xfId="1" applyFont="1" applyFill="1" applyAlignment="1">
      <alignment horizontal="right" vertical="center"/>
    </xf>
    <xf numFmtId="41" fontId="31" fillId="0" borderId="14" xfId="2" applyFont="1" applyFill="1" applyBorder="1" applyAlignment="1">
      <alignment horizontal="right" vertical="center"/>
    </xf>
    <xf numFmtId="176" fontId="31" fillId="0" borderId="51" xfId="3" applyNumberFormat="1" applyFont="1" applyFill="1" applyBorder="1" applyAlignment="1">
      <alignment horizontal="center" vertical="center"/>
    </xf>
    <xf numFmtId="176" fontId="40" fillId="0" borderId="51" xfId="3" applyNumberFormat="1" applyFont="1" applyFill="1" applyBorder="1" applyAlignment="1">
      <alignment vertical="center"/>
    </xf>
    <xf numFmtId="0" fontId="40" fillId="0" borderId="51" xfId="3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176" fontId="40" fillId="0" borderId="0" xfId="3" applyNumberFormat="1" applyFont="1" applyFill="1" applyAlignment="1">
      <alignment horizontal="right" vertical="center"/>
    </xf>
    <xf numFmtId="179" fontId="31" fillId="0" borderId="0" xfId="1" applyNumberFormat="1" applyFont="1" applyFill="1" applyAlignment="1">
      <alignment horizontal="right" vertical="center"/>
    </xf>
    <xf numFmtId="9" fontId="31" fillId="0" borderId="0" xfId="3" applyNumberFormat="1" applyFont="1" applyFill="1" applyAlignment="1">
      <alignment horizontal="center" vertical="center"/>
    </xf>
    <xf numFmtId="178" fontId="27" fillId="0" borderId="0" xfId="0" applyNumberFormat="1" applyFont="1" applyFill="1" applyAlignment="1">
      <alignment horizontal="right" vertical="center"/>
    </xf>
    <xf numFmtId="184" fontId="31" fillId="0" borderId="0" xfId="1" applyNumberFormat="1" applyFont="1" applyFill="1" applyAlignment="1">
      <alignment horizontal="center" vertical="center"/>
    </xf>
    <xf numFmtId="188" fontId="31" fillId="0" borderId="0" xfId="1" applyNumberFormat="1" applyFont="1" applyFill="1" applyAlignment="1">
      <alignment horizontal="center" vertical="center"/>
    </xf>
    <xf numFmtId="0" fontId="31" fillId="0" borderId="51" xfId="3" applyFont="1" applyFill="1" applyBorder="1" applyAlignment="1">
      <alignment vertical="center"/>
    </xf>
    <xf numFmtId="0" fontId="40" fillId="0" borderId="51" xfId="3" applyFont="1" applyFill="1" applyBorder="1" applyAlignment="1">
      <alignment horizontal="center" vertical="center"/>
    </xf>
    <xf numFmtId="0" fontId="65" fillId="0" borderId="0" xfId="3" applyFont="1" applyFill="1" applyAlignment="1">
      <alignment vertical="center"/>
    </xf>
    <xf numFmtId="0" fontId="54" fillId="0" borderId="0" xfId="0" applyFont="1" applyFill="1" applyAlignment="1">
      <alignment horizontal="right" vertical="center"/>
    </xf>
    <xf numFmtId="0" fontId="54" fillId="0" borderId="0" xfId="0" applyFont="1" applyFill="1" applyAlignment="1">
      <alignment horizontal="center" vertical="center"/>
    </xf>
    <xf numFmtId="38" fontId="17" fillId="0" borderId="26" xfId="3" applyNumberFormat="1" applyFont="1" applyFill="1" applyBorder="1" applyAlignment="1">
      <alignment vertical="center"/>
    </xf>
    <xf numFmtId="41" fontId="67" fillId="0" borderId="0" xfId="2" applyFont="1" applyFill="1" applyAlignment="1">
      <alignment vertical="center"/>
    </xf>
    <xf numFmtId="176" fontId="70" fillId="0" borderId="5" xfId="3" applyNumberFormat="1" applyFont="1" applyFill="1" applyBorder="1" applyAlignment="1">
      <alignment horizontal="center" vertical="center"/>
    </xf>
    <xf numFmtId="176" fontId="38" fillId="0" borderId="44" xfId="3" applyNumberFormat="1" applyFont="1" applyFill="1" applyBorder="1" applyAlignment="1">
      <alignment horizontal="center" vertical="center"/>
    </xf>
    <xf numFmtId="176" fontId="42" fillId="0" borderId="52" xfId="3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9" fillId="0" borderId="31" xfId="3" applyFont="1" applyFill="1" applyBorder="1" applyAlignment="1">
      <alignment horizontal="center" vertical="center" wrapText="1"/>
    </xf>
    <xf numFmtId="0" fontId="19" fillId="0" borderId="26" xfId="3" applyFont="1" applyFill="1" applyBorder="1" applyAlignment="1">
      <alignment horizontal="center" vertical="center" wrapText="1"/>
    </xf>
    <xf numFmtId="0" fontId="19" fillId="0" borderId="25" xfId="3" applyFont="1" applyFill="1" applyBorder="1" applyAlignment="1">
      <alignment horizontal="center" vertical="center" wrapText="1"/>
    </xf>
    <xf numFmtId="9" fontId="19" fillId="0" borderId="26" xfId="1" applyFont="1" applyFill="1" applyBorder="1" applyAlignment="1">
      <alignment horizontal="center" vertical="center"/>
    </xf>
    <xf numFmtId="38" fontId="19" fillId="0" borderId="26" xfId="3" applyNumberFormat="1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right" vertical="center"/>
    </xf>
    <xf numFmtId="38" fontId="19" fillId="0" borderId="0" xfId="3" applyNumberFormat="1" applyFont="1" applyFill="1" applyAlignment="1">
      <alignment vertical="center"/>
    </xf>
    <xf numFmtId="38" fontId="19" fillId="0" borderId="32" xfId="3" applyNumberFormat="1" applyFont="1" applyFill="1" applyBorder="1" applyAlignment="1">
      <alignment vertical="center"/>
    </xf>
    <xf numFmtId="176" fontId="40" fillId="0" borderId="29" xfId="3" applyNumberFormat="1" applyFont="1" applyFill="1" applyBorder="1" applyAlignment="1">
      <alignment vertical="center"/>
    </xf>
    <xf numFmtId="176" fontId="40" fillId="0" borderId="51" xfId="3" applyNumberFormat="1" applyFont="1" applyFill="1" applyBorder="1" applyAlignment="1">
      <alignment horizontal="right" vertical="center"/>
    </xf>
    <xf numFmtId="176" fontId="39" fillId="0" borderId="43" xfId="3" applyNumberFormat="1" applyFont="1" applyFill="1" applyBorder="1" applyAlignment="1">
      <alignment vertical="center"/>
    </xf>
    <xf numFmtId="176" fontId="37" fillId="0" borderId="0" xfId="3" applyNumberFormat="1" applyFont="1" applyFill="1" applyAlignment="1">
      <alignment vertical="center"/>
    </xf>
    <xf numFmtId="176" fontId="43" fillId="0" borderId="51" xfId="3" applyNumberFormat="1" applyFont="1" applyFill="1" applyBorder="1" applyAlignment="1">
      <alignment vertical="center"/>
    </xf>
    <xf numFmtId="42" fontId="31" fillId="0" borderId="0" xfId="3" applyNumberFormat="1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180" fontId="31" fillId="0" borderId="0" xfId="2" applyNumberFormat="1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0" borderId="0" xfId="3" applyFont="1" applyFill="1" applyAlignment="1">
      <alignment horizontal="center" vertical="center"/>
    </xf>
    <xf numFmtId="176" fontId="19" fillId="0" borderId="26" xfId="0" applyNumberFormat="1" applyFont="1" applyFill="1" applyBorder="1" applyAlignment="1">
      <alignment vertical="center"/>
    </xf>
    <xf numFmtId="178" fontId="31" fillId="0" borderId="0" xfId="3" applyNumberFormat="1" applyFont="1" applyFill="1" applyAlignment="1">
      <alignment horizontal="right" vertical="center"/>
    </xf>
    <xf numFmtId="176" fontId="40" fillId="0" borderId="29" xfId="3" applyNumberFormat="1" applyFont="1" applyFill="1" applyBorder="1" applyAlignment="1">
      <alignment horizontal="right" vertical="center"/>
    </xf>
    <xf numFmtId="176" fontId="31" fillId="0" borderId="0" xfId="3" applyNumberFormat="1" applyFont="1" applyFill="1" applyAlignment="1">
      <alignment vertical="center"/>
    </xf>
    <xf numFmtId="0" fontId="31" fillId="0" borderId="0" xfId="3" applyFont="1" applyFill="1" applyAlignment="1">
      <alignment vertical="center"/>
    </xf>
    <xf numFmtId="176" fontId="31" fillId="0" borderId="0" xfId="3" applyNumberFormat="1" applyFont="1" applyFill="1" applyAlignment="1">
      <alignment horizontal="center" vertical="center"/>
    </xf>
    <xf numFmtId="176" fontId="31" fillId="0" borderId="0" xfId="3" applyNumberFormat="1" applyFont="1" applyFill="1" applyAlignment="1">
      <alignment horizontal="right" vertical="center"/>
    </xf>
    <xf numFmtId="38" fontId="53" fillId="0" borderId="26" xfId="3" applyNumberFormat="1" applyFont="1" applyFill="1" applyBorder="1" applyAlignment="1">
      <alignment vertical="center"/>
    </xf>
    <xf numFmtId="41" fontId="17" fillId="0" borderId="0" xfId="2" applyFont="1" applyFill="1" applyAlignment="1">
      <alignment vertical="center"/>
    </xf>
    <xf numFmtId="176" fontId="40" fillId="0" borderId="14" xfId="3" applyNumberFormat="1" applyFont="1" applyFill="1" applyBorder="1" applyAlignment="1">
      <alignment vertical="center"/>
    </xf>
    <xf numFmtId="176" fontId="40" fillId="0" borderId="14" xfId="3" applyNumberFormat="1" applyFont="1" applyFill="1" applyBorder="1" applyAlignment="1">
      <alignment horizontal="right" vertical="center"/>
    </xf>
    <xf numFmtId="176" fontId="31" fillId="0" borderId="14" xfId="3" applyNumberFormat="1" applyFont="1" applyFill="1" applyBorder="1" applyAlignment="1">
      <alignment horizontal="center" vertical="center"/>
    </xf>
    <xf numFmtId="178" fontId="27" fillId="0" borderId="0" xfId="0" applyNumberFormat="1" applyFont="1" applyAlignment="1">
      <alignment horizontal="center" vertical="center"/>
    </xf>
    <xf numFmtId="178" fontId="27" fillId="0" borderId="0" xfId="0" applyNumberFormat="1" applyFont="1" applyAlignment="1">
      <alignment horizontal="right" vertical="center"/>
    </xf>
    <xf numFmtId="176" fontId="40" fillId="0" borderId="0" xfId="3" applyNumberFormat="1" applyFont="1" applyFill="1" applyAlignment="1">
      <alignment horizontal="right" vertical="center"/>
    </xf>
    <xf numFmtId="176" fontId="19" fillId="0" borderId="0" xfId="3" applyNumberFormat="1" applyFont="1" applyFill="1" applyAlignment="1">
      <alignment horizontal="center" vertical="center"/>
    </xf>
    <xf numFmtId="0" fontId="31" fillId="0" borderId="14" xfId="3" applyFont="1" applyFill="1" applyBorder="1" applyAlignment="1">
      <alignment vertical="center"/>
    </xf>
    <xf numFmtId="176" fontId="40" fillId="0" borderId="51" xfId="3" applyNumberFormat="1" applyFont="1" applyFill="1" applyBorder="1" applyAlignment="1">
      <alignment vertical="center"/>
    </xf>
    <xf numFmtId="176" fontId="22" fillId="0" borderId="29" xfId="3" applyNumberFormat="1" applyFont="1" applyFill="1" applyBorder="1" applyAlignment="1">
      <alignment horizontal="right" vertical="center"/>
    </xf>
    <xf numFmtId="41" fontId="19" fillId="0" borderId="0" xfId="2" applyFont="1" applyFill="1" applyAlignment="1">
      <alignment vertical="center"/>
    </xf>
    <xf numFmtId="176" fontId="19" fillId="0" borderId="0" xfId="3" applyNumberFormat="1" applyFont="1" applyFill="1" applyAlignment="1">
      <alignment horizontal="right" vertical="center"/>
    </xf>
    <xf numFmtId="176" fontId="19" fillId="0" borderId="14" xfId="3" applyNumberFormat="1" applyFont="1" applyFill="1" applyBorder="1" applyAlignment="1">
      <alignment horizontal="right" vertical="center"/>
    </xf>
    <xf numFmtId="176" fontId="19" fillId="0" borderId="29" xfId="3" applyNumberFormat="1" applyFont="1" applyFill="1" applyBorder="1" applyAlignment="1">
      <alignment vertical="center"/>
    </xf>
    <xf numFmtId="176" fontId="19" fillId="0" borderId="51" xfId="3" applyNumberFormat="1" applyFont="1" applyFill="1" applyBorder="1" applyAlignment="1">
      <alignment vertical="center"/>
    </xf>
    <xf numFmtId="176" fontId="19" fillId="0" borderId="51" xfId="3" applyNumberFormat="1" applyFont="1" applyFill="1" applyBorder="1" applyAlignment="1">
      <alignment horizontal="right" vertical="center"/>
    </xf>
    <xf numFmtId="176" fontId="19" fillId="0" borderId="14" xfId="3" applyNumberFormat="1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right" vertical="center"/>
    </xf>
    <xf numFmtId="176" fontId="37" fillId="0" borderId="51" xfId="3" applyNumberFormat="1" applyFont="1" applyFill="1" applyBorder="1" applyAlignment="1">
      <alignment horizontal="right" vertical="center"/>
    </xf>
    <xf numFmtId="176" fontId="37" fillId="0" borderId="14" xfId="3" applyNumberFormat="1" applyFont="1" applyFill="1" applyBorder="1" applyAlignment="1">
      <alignment horizontal="right" vertical="center"/>
    </xf>
    <xf numFmtId="176" fontId="19" fillId="0" borderId="29" xfId="3" applyNumberFormat="1" applyFont="1" applyFill="1" applyBorder="1" applyAlignment="1">
      <alignment horizontal="right" vertical="center"/>
    </xf>
    <xf numFmtId="176" fontId="19" fillId="0" borderId="53" xfId="3" applyNumberFormat="1" applyFont="1" applyFill="1" applyBorder="1" applyAlignment="1">
      <alignment horizontal="right" vertical="center"/>
    </xf>
    <xf numFmtId="176" fontId="39" fillId="0" borderId="14" xfId="3" applyNumberFormat="1" applyFont="1" applyFill="1" applyBorder="1" applyAlignment="1">
      <alignment horizontal="right" vertical="center"/>
    </xf>
    <xf numFmtId="176" fontId="39" fillId="0" borderId="51" xfId="3" applyNumberFormat="1" applyFont="1" applyFill="1" applyBorder="1" applyAlignment="1">
      <alignment horizontal="right" vertical="center"/>
    </xf>
    <xf numFmtId="178" fontId="22" fillId="0" borderId="43" xfId="3" applyNumberFormat="1" applyFont="1" applyFill="1" applyBorder="1" applyAlignment="1">
      <alignment vertical="center"/>
    </xf>
    <xf numFmtId="176" fontId="29" fillId="0" borderId="0" xfId="3" applyNumberFormat="1" applyFont="1" applyFill="1" applyAlignment="1">
      <alignment vertical="center"/>
    </xf>
    <xf numFmtId="176" fontId="29" fillId="0" borderId="0" xfId="3" applyNumberFormat="1" applyFont="1" applyFill="1" applyAlignment="1">
      <alignment horizontal="right" vertical="center"/>
    </xf>
    <xf numFmtId="176" fontId="19" fillId="0" borderId="0" xfId="3" applyNumberFormat="1" applyFont="1" applyFill="1" applyAlignment="1">
      <alignment vertical="center"/>
    </xf>
    <xf numFmtId="176" fontId="29" fillId="0" borderId="14" xfId="3" applyNumberFormat="1" applyFont="1" applyFill="1" applyBorder="1" applyAlignment="1">
      <alignment horizontal="right" vertical="center"/>
    </xf>
    <xf numFmtId="176" fontId="31" fillId="0" borderId="14" xfId="3" applyNumberFormat="1" applyFont="1" applyFill="1" applyBorder="1" applyAlignment="1">
      <alignment horizontal="right" vertical="center"/>
    </xf>
    <xf numFmtId="176" fontId="31" fillId="0" borderId="13" xfId="3" applyNumberFormat="1" applyFont="1" applyFill="1" applyBorder="1" applyAlignment="1">
      <alignment vertical="center"/>
    </xf>
    <xf numFmtId="176" fontId="31" fillId="0" borderId="51" xfId="3" applyNumberFormat="1" applyFont="1" applyFill="1" applyBorder="1" applyAlignment="1">
      <alignment horizontal="right" vertical="center"/>
    </xf>
    <xf numFmtId="177" fontId="21" fillId="0" borderId="13" xfId="3" applyNumberFormat="1" applyFont="1" applyFill="1" applyBorder="1" applyAlignment="1">
      <alignment horizontal="right" vertical="center"/>
    </xf>
    <xf numFmtId="176" fontId="29" fillId="0" borderId="51" xfId="3" applyNumberFormat="1" applyFont="1" applyFill="1" applyBorder="1" applyAlignment="1">
      <alignment horizontal="right" vertical="center"/>
    </xf>
    <xf numFmtId="176" fontId="21" fillId="0" borderId="13" xfId="3" applyNumberFormat="1" applyFont="1" applyFill="1" applyBorder="1" applyAlignment="1">
      <alignment horizontal="right" vertical="center"/>
    </xf>
    <xf numFmtId="176" fontId="38" fillId="0" borderId="0" xfId="3" applyNumberFormat="1" applyFont="1" applyFill="1" applyAlignment="1">
      <alignment horizontal="right" vertical="center"/>
    </xf>
    <xf numFmtId="176" fontId="31" fillId="0" borderId="29" xfId="3" applyNumberFormat="1" applyFont="1" applyFill="1" applyBorder="1" applyAlignment="1">
      <alignment horizontal="right" vertical="center"/>
    </xf>
    <xf numFmtId="177" fontId="40" fillId="0" borderId="13" xfId="3" applyNumberFormat="1" applyFont="1" applyFill="1" applyBorder="1" applyAlignment="1">
      <alignment horizontal="right" vertical="center"/>
    </xf>
    <xf numFmtId="177" fontId="31" fillId="0" borderId="0" xfId="3" applyNumberFormat="1" applyFont="1" applyFill="1" applyAlignment="1">
      <alignment horizontal="right" vertical="center"/>
    </xf>
    <xf numFmtId="176" fontId="31" fillId="0" borderId="0" xfId="3" applyNumberFormat="1" applyFont="1" applyFill="1" applyAlignment="1">
      <alignment vertical="center"/>
    </xf>
    <xf numFmtId="176" fontId="31" fillId="0" borderId="0" xfId="3" applyNumberFormat="1" applyFont="1" applyFill="1" applyAlignment="1">
      <alignment horizontal="right" vertical="center"/>
    </xf>
    <xf numFmtId="176" fontId="22" fillId="0" borderId="53" xfId="3" applyNumberFormat="1" applyFont="1" applyFill="1" applyBorder="1" applyAlignment="1">
      <alignment horizontal="right" vertical="center"/>
    </xf>
    <xf numFmtId="176" fontId="19" fillId="0" borderId="43" xfId="3" applyNumberFormat="1" applyFont="1" applyFill="1" applyBorder="1" applyAlignment="1">
      <alignment horizontal="right" vertical="center"/>
    </xf>
    <xf numFmtId="177" fontId="40" fillId="0" borderId="0" xfId="3" applyNumberFormat="1" applyFont="1" applyFill="1" applyAlignment="1">
      <alignment horizontal="right" vertical="center"/>
    </xf>
    <xf numFmtId="176" fontId="38" fillId="0" borderId="14" xfId="3" applyNumberFormat="1" applyFont="1" applyFill="1" applyBorder="1" applyAlignment="1">
      <alignment horizontal="right" vertical="center"/>
    </xf>
    <xf numFmtId="177" fontId="21" fillId="0" borderId="14" xfId="3" applyNumberFormat="1" applyFont="1" applyFill="1" applyBorder="1" applyAlignment="1">
      <alignment horizontal="right" vertical="center"/>
    </xf>
    <xf numFmtId="177" fontId="31" fillId="0" borderId="43" xfId="3" applyNumberFormat="1" applyFont="1" applyFill="1" applyBorder="1" applyAlignment="1">
      <alignment horizontal="right" vertical="center"/>
    </xf>
    <xf numFmtId="176" fontId="31" fillId="0" borderId="14" xfId="3" applyNumberFormat="1" applyFont="1" applyFill="1" applyBorder="1" applyAlignment="1">
      <alignment vertical="center"/>
    </xf>
    <xf numFmtId="0" fontId="13" fillId="0" borderId="2" xfId="7" applyBorder="1" applyAlignment="1">
      <alignment horizontal="center" vertical="center"/>
    </xf>
    <xf numFmtId="0" fontId="13" fillId="0" borderId="17" xfId="7" applyBorder="1" applyAlignment="1">
      <alignment horizontal="center" vertical="center"/>
    </xf>
    <xf numFmtId="0" fontId="13" fillId="0" borderId="31" xfId="7" applyBorder="1" applyAlignment="1">
      <alignment horizontal="center" vertical="center"/>
    </xf>
    <xf numFmtId="41" fontId="67" fillId="0" borderId="0" xfId="0" applyNumberFormat="1" applyFont="1" applyFill="1" applyAlignment="1">
      <alignment vertical="center"/>
    </xf>
    <xf numFmtId="178" fontId="40" fillId="0" borderId="0" xfId="0" applyNumberFormat="1" applyFont="1" applyFill="1" applyAlignment="1">
      <alignment horizontal="right" vertical="center"/>
    </xf>
    <xf numFmtId="38" fontId="19" fillId="0" borderId="26" xfId="3" applyNumberFormat="1" applyFont="1" applyFill="1" applyBorder="1" applyAlignment="1">
      <alignment vertical="center"/>
    </xf>
    <xf numFmtId="176" fontId="19" fillId="0" borderId="1" xfId="0" applyNumberFormat="1" applyFont="1" applyFill="1" applyBorder="1" applyAlignment="1">
      <alignment vertical="center"/>
    </xf>
    <xf numFmtId="41" fontId="39" fillId="0" borderId="8" xfId="0" applyNumberFormat="1" applyFont="1" applyFill="1" applyBorder="1" applyAlignment="1">
      <alignment vertical="center"/>
    </xf>
    <xf numFmtId="41" fontId="37" fillId="0" borderId="26" xfId="0" applyNumberFormat="1" applyFont="1" applyFill="1" applyBorder="1" applyAlignment="1">
      <alignment vertical="center"/>
    </xf>
    <xf numFmtId="176" fontId="42" fillId="0" borderId="20" xfId="0" applyNumberFormat="1" applyFont="1" applyFill="1" applyBorder="1" applyAlignment="1">
      <alignment vertical="center"/>
    </xf>
    <xf numFmtId="38" fontId="38" fillId="0" borderId="26" xfId="3" applyNumberFormat="1" applyFont="1" applyFill="1" applyBorder="1" applyAlignment="1">
      <alignment vertical="center"/>
    </xf>
    <xf numFmtId="38" fontId="53" fillId="0" borderId="26" xfId="3" applyNumberFormat="1" applyFont="1" applyFill="1" applyBorder="1" applyAlignment="1">
      <alignment vertical="center"/>
    </xf>
    <xf numFmtId="38" fontId="19" fillId="0" borderId="26" xfId="3" applyNumberFormat="1" applyFont="1" applyFill="1" applyBorder="1" applyAlignment="1">
      <alignment vertical="center"/>
    </xf>
    <xf numFmtId="3" fontId="30" fillId="0" borderId="0" xfId="0" applyNumberFormat="1" applyFont="1" applyFill="1" applyAlignment="1">
      <alignment vertical="center"/>
    </xf>
    <xf numFmtId="38" fontId="19" fillId="0" borderId="11" xfId="3" applyNumberFormat="1" applyFont="1" applyFill="1" applyBorder="1" applyAlignment="1">
      <alignment vertical="center"/>
    </xf>
    <xf numFmtId="38" fontId="19" fillId="0" borderId="1" xfId="3" applyNumberFormat="1" applyFont="1" applyFill="1" applyBorder="1" applyAlignment="1">
      <alignment vertical="center"/>
    </xf>
    <xf numFmtId="38" fontId="19" fillId="0" borderId="32" xfId="3" applyNumberFormat="1" applyFont="1" applyFill="1" applyBorder="1" applyAlignment="1">
      <alignment vertical="center"/>
    </xf>
    <xf numFmtId="38" fontId="38" fillId="0" borderId="26" xfId="3" applyNumberFormat="1" applyFont="1" applyFill="1" applyBorder="1" applyAlignment="1">
      <alignment vertical="center"/>
    </xf>
    <xf numFmtId="38" fontId="53" fillId="0" borderId="26" xfId="3" applyNumberFormat="1" applyFont="1" applyFill="1" applyBorder="1" applyAlignment="1">
      <alignment vertical="center"/>
    </xf>
    <xf numFmtId="38" fontId="38" fillId="0" borderId="32" xfId="3" applyNumberFormat="1" applyFont="1" applyFill="1" applyBorder="1" applyAlignment="1">
      <alignment horizontal="center" vertical="center"/>
    </xf>
    <xf numFmtId="38" fontId="53" fillId="0" borderId="32" xfId="3" applyNumberFormat="1" applyFont="1" applyFill="1" applyBorder="1" applyAlignment="1">
      <alignment horizontal="center" vertical="center"/>
    </xf>
    <xf numFmtId="38" fontId="53" fillId="0" borderId="0" xfId="3" applyNumberFormat="1" applyFont="1" applyFill="1" applyAlignment="1">
      <alignment horizontal="center" vertical="center"/>
    </xf>
    <xf numFmtId="38" fontId="19" fillId="0" borderId="26" xfId="3" applyNumberFormat="1" applyFont="1" applyFill="1" applyBorder="1" applyAlignment="1">
      <alignment vertical="center"/>
    </xf>
    <xf numFmtId="38" fontId="19" fillId="0" borderId="1" xfId="3" applyNumberFormat="1" applyFont="1" applyFill="1" applyBorder="1" applyAlignment="1">
      <alignment vertical="center"/>
    </xf>
    <xf numFmtId="38" fontId="29" fillId="0" borderId="1" xfId="3" applyNumberFormat="1" applyFont="1" applyFill="1" applyBorder="1" applyAlignment="1">
      <alignment vertical="center"/>
    </xf>
    <xf numFmtId="38" fontId="21" fillId="0" borderId="20" xfId="3" applyNumberFormat="1" applyFont="1" applyFill="1" applyBorder="1" applyAlignment="1">
      <alignment vertical="center"/>
    </xf>
    <xf numFmtId="38" fontId="29" fillId="0" borderId="26" xfId="3" applyNumberFormat="1" applyFont="1" applyFill="1" applyBorder="1" applyAlignment="1">
      <alignment vertical="center"/>
    </xf>
    <xf numFmtId="38" fontId="38" fillId="0" borderId="26" xfId="3" applyNumberFormat="1" applyFont="1" applyFill="1" applyBorder="1" applyAlignment="1">
      <alignment vertical="center"/>
    </xf>
    <xf numFmtId="38" fontId="53" fillId="0" borderId="26" xfId="3" applyNumberFormat="1" applyFont="1" applyFill="1" applyBorder="1" applyAlignment="1">
      <alignment vertical="center"/>
    </xf>
    <xf numFmtId="38" fontId="19" fillId="0" borderId="1" xfId="3" applyNumberFormat="1" applyFont="1" applyFill="1" applyBorder="1" applyAlignment="1">
      <alignment vertical="center"/>
    </xf>
    <xf numFmtId="38" fontId="19" fillId="0" borderId="26" xfId="3" applyNumberFormat="1" applyFont="1" applyFill="1" applyBorder="1" applyAlignment="1">
      <alignment vertical="center"/>
    </xf>
    <xf numFmtId="38" fontId="19" fillId="0" borderId="11" xfId="3" applyNumberFormat="1" applyFont="1" applyFill="1" applyBorder="1" applyAlignment="1">
      <alignment vertical="center"/>
    </xf>
    <xf numFmtId="38" fontId="19" fillId="0" borderId="1" xfId="3" applyNumberFormat="1" applyFont="1" applyFill="1" applyBorder="1" applyAlignment="1">
      <alignment vertical="center"/>
    </xf>
    <xf numFmtId="38" fontId="31" fillId="0" borderId="11" xfId="4" applyNumberFormat="1" applyFont="1" applyBorder="1" applyAlignment="1">
      <alignment horizontal="center" vertical="center" wrapText="1"/>
    </xf>
    <xf numFmtId="38" fontId="21" fillId="0" borderId="1" xfId="3" applyNumberFormat="1" applyFont="1" applyFill="1" applyBorder="1" applyAlignment="1">
      <alignment vertical="center"/>
    </xf>
    <xf numFmtId="38" fontId="38" fillId="0" borderId="26" xfId="3" applyNumberFormat="1" applyFont="1" applyFill="1" applyBorder="1" applyAlignment="1">
      <alignment vertical="center"/>
    </xf>
    <xf numFmtId="38" fontId="53" fillId="0" borderId="26" xfId="3" applyNumberFormat="1" applyFont="1" applyFill="1" applyBorder="1" applyAlignment="1">
      <alignment vertical="center"/>
    </xf>
    <xf numFmtId="0" fontId="17" fillId="0" borderId="0" xfId="3" applyFont="1" applyFill="1" applyAlignment="1">
      <alignment vertical="center"/>
    </xf>
    <xf numFmtId="176" fontId="17" fillId="0" borderId="0" xfId="3" applyNumberFormat="1" applyFont="1" applyFill="1" applyAlignment="1">
      <alignment vertical="center"/>
    </xf>
    <xf numFmtId="0" fontId="17" fillId="0" borderId="0" xfId="3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>
      <alignment vertical="center"/>
    </xf>
    <xf numFmtId="176" fontId="19" fillId="0" borderId="13" xfId="3" applyNumberFormat="1" applyFont="1" applyFill="1" applyBorder="1" applyAlignment="1">
      <alignment vertical="center"/>
    </xf>
    <xf numFmtId="38" fontId="19" fillId="0" borderId="26" xfId="3" applyNumberFormat="1" applyFont="1" applyFill="1" applyBorder="1" applyAlignment="1">
      <alignment vertical="center"/>
    </xf>
    <xf numFmtId="38" fontId="19" fillId="0" borderId="11" xfId="3" applyNumberFormat="1" applyFont="1" applyFill="1" applyBorder="1" applyAlignment="1">
      <alignment vertical="center"/>
    </xf>
    <xf numFmtId="38" fontId="19" fillId="0" borderId="1" xfId="3" applyNumberFormat="1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right" vertical="center"/>
    </xf>
    <xf numFmtId="38" fontId="19" fillId="0" borderId="20" xfId="3" applyNumberFormat="1" applyFont="1" applyFill="1" applyBorder="1" applyAlignment="1">
      <alignment vertical="center"/>
    </xf>
    <xf numFmtId="176" fontId="40" fillId="0" borderId="29" xfId="3" applyNumberFormat="1" applyFont="1" applyFill="1" applyBorder="1" applyAlignment="1">
      <alignment vertical="center"/>
    </xf>
    <xf numFmtId="176" fontId="40" fillId="0" borderId="51" xfId="3" applyNumberFormat="1" applyFont="1" applyFill="1" applyBorder="1" applyAlignment="1">
      <alignment horizontal="right" vertical="center"/>
    </xf>
    <xf numFmtId="41" fontId="39" fillId="0" borderId="8" xfId="0" applyNumberFormat="1" applyFont="1" applyFill="1" applyBorder="1" applyAlignment="1">
      <alignment vertical="center"/>
    </xf>
    <xf numFmtId="176" fontId="39" fillId="0" borderId="43" xfId="3" applyNumberFormat="1" applyFont="1" applyFill="1" applyBorder="1" applyAlignment="1">
      <alignment vertical="center"/>
    </xf>
    <xf numFmtId="176" fontId="37" fillId="0" borderId="0" xfId="3" applyNumberFormat="1" applyFont="1" applyFill="1" applyAlignment="1">
      <alignment vertical="center"/>
    </xf>
    <xf numFmtId="176" fontId="43" fillId="0" borderId="51" xfId="3" applyNumberFormat="1" applyFont="1" applyFill="1" applyBorder="1" applyAlignment="1">
      <alignment vertical="center"/>
    </xf>
    <xf numFmtId="0" fontId="31" fillId="0" borderId="0" xfId="0" applyFont="1" applyFill="1" applyAlignment="1">
      <alignment horizontal="center" vertical="center"/>
    </xf>
    <xf numFmtId="0" fontId="31" fillId="0" borderId="14" xfId="3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horizontal="right" vertical="center"/>
    </xf>
    <xf numFmtId="176" fontId="31" fillId="0" borderId="13" xfId="3" applyNumberFormat="1" applyFont="1" applyFill="1" applyBorder="1" applyAlignment="1">
      <alignment vertical="center"/>
    </xf>
    <xf numFmtId="178" fontId="31" fillId="0" borderId="0" xfId="0" applyNumberFormat="1" applyFont="1" applyFill="1" applyAlignment="1">
      <alignment horizontal="right" vertical="center"/>
    </xf>
    <xf numFmtId="176" fontId="31" fillId="0" borderId="51" xfId="3" applyNumberFormat="1" applyFont="1" applyFill="1" applyBorder="1" applyAlignment="1">
      <alignment horizontal="right" vertical="center"/>
    </xf>
    <xf numFmtId="0" fontId="31" fillId="0" borderId="0" xfId="3" applyFont="1" applyFill="1" applyAlignment="1">
      <alignment horizontal="center" vertical="center"/>
    </xf>
    <xf numFmtId="176" fontId="31" fillId="0" borderId="29" xfId="3" applyNumberFormat="1" applyFont="1" applyFill="1" applyBorder="1" applyAlignment="1">
      <alignment horizontal="right" vertical="center"/>
    </xf>
    <xf numFmtId="178" fontId="31" fillId="0" borderId="0" xfId="3" applyNumberFormat="1" applyFont="1" applyFill="1" applyAlignment="1">
      <alignment horizontal="right" vertical="center"/>
    </xf>
    <xf numFmtId="3" fontId="31" fillId="0" borderId="0" xfId="0" applyNumberFormat="1" applyFont="1" applyFill="1" applyAlignment="1">
      <alignment vertical="center"/>
    </xf>
    <xf numFmtId="176" fontId="41" fillId="0" borderId="0" xfId="3" applyNumberFormat="1" applyFont="1" applyFill="1" applyAlignment="1">
      <alignment horizontal="center" vertical="center"/>
    </xf>
    <xf numFmtId="176" fontId="40" fillId="0" borderId="29" xfId="3" applyNumberFormat="1" applyFont="1" applyFill="1" applyBorder="1" applyAlignment="1">
      <alignment horizontal="right" vertical="center"/>
    </xf>
    <xf numFmtId="176" fontId="31" fillId="0" borderId="0" xfId="3" applyNumberFormat="1" applyFont="1" applyFill="1" applyAlignment="1">
      <alignment vertical="center"/>
    </xf>
    <xf numFmtId="176" fontId="31" fillId="0" borderId="0" xfId="3" applyNumberFormat="1" applyFont="1" applyFill="1" applyAlignment="1">
      <alignment horizontal="center" vertical="center"/>
    </xf>
    <xf numFmtId="176" fontId="31" fillId="0" borderId="0" xfId="3" applyNumberFormat="1" applyFont="1" applyFill="1" applyAlignment="1">
      <alignment horizontal="right" vertical="center"/>
    </xf>
    <xf numFmtId="38" fontId="38" fillId="0" borderId="26" xfId="3" applyNumberFormat="1" applyFont="1" applyFill="1" applyBorder="1" applyAlignment="1">
      <alignment vertical="center"/>
    </xf>
    <xf numFmtId="38" fontId="53" fillId="0" borderId="26" xfId="3" applyNumberFormat="1" applyFont="1" applyFill="1" applyBorder="1" applyAlignment="1">
      <alignment vertical="center"/>
    </xf>
    <xf numFmtId="41" fontId="17" fillId="0" borderId="0" xfId="2" applyFont="1" applyFill="1" applyAlignment="1">
      <alignment vertical="center"/>
    </xf>
    <xf numFmtId="41" fontId="17" fillId="0" borderId="0" xfId="2" applyFont="1" applyFill="1" applyAlignment="1">
      <alignment horizontal="center" vertical="center"/>
    </xf>
    <xf numFmtId="178" fontId="31" fillId="0" borderId="14" xfId="3" applyNumberFormat="1" applyFont="1" applyFill="1" applyBorder="1" applyAlignment="1">
      <alignment horizontal="right" vertical="center"/>
    </xf>
    <xf numFmtId="176" fontId="40" fillId="0" borderId="14" xfId="3" applyNumberFormat="1" applyFont="1" applyFill="1" applyBorder="1" applyAlignment="1">
      <alignment vertical="center"/>
    </xf>
    <xf numFmtId="176" fontId="40" fillId="0" borderId="14" xfId="3" applyNumberFormat="1" applyFont="1" applyFill="1" applyBorder="1" applyAlignment="1">
      <alignment horizontal="right" vertical="center"/>
    </xf>
    <xf numFmtId="178" fontId="31" fillId="0" borderId="14" xfId="0" applyNumberFormat="1" applyFont="1" applyFill="1" applyBorder="1" applyAlignment="1">
      <alignment horizontal="right" vertical="center"/>
    </xf>
    <xf numFmtId="176" fontId="17" fillId="0" borderId="0" xfId="3" applyNumberFormat="1" applyFont="1" applyFill="1" applyAlignment="1">
      <alignment horizontal="center" vertical="center"/>
    </xf>
    <xf numFmtId="176" fontId="31" fillId="0" borderId="5" xfId="3" applyNumberFormat="1" applyFont="1" applyFill="1" applyBorder="1" applyAlignment="1">
      <alignment horizontal="center" vertical="center"/>
    </xf>
    <xf numFmtId="176" fontId="19" fillId="0" borderId="52" xfId="3" applyNumberFormat="1" applyFont="1" applyFill="1" applyBorder="1" applyAlignment="1">
      <alignment horizontal="center" vertical="center"/>
    </xf>
    <xf numFmtId="176" fontId="19" fillId="0" borderId="5" xfId="3" applyNumberFormat="1" applyFont="1" applyFill="1" applyBorder="1" applyAlignment="1">
      <alignment horizontal="center" vertical="center"/>
    </xf>
    <xf numFmtId="176" fontId="19" fillId="0" borderId="36" xfId="3" applyNumberFormat="1" applyFont="1" applyFill="1" applyBorder="1" applyAlignment="1">
      <alignment horizontal="center" vertical="center"/>
    </xf>
    <xf numFmtId="176" fontId="19" fillId="0" borderId="30" xfId="3" applyNumberFormat="1" applyFont="1" applyFill="1" applyBorder="1" applyAlignment="1">
      <alignment horizontal="center" vertical="center"/>
    </xf>
    <xf numFmtId="176" fontId="38" fillId="0" borderId="5" xfId="3" applyNumberFormat="1" applyFont="1" applyFill="1" applyBorder="1" applyAlignment="1">
      <alignment horizontal="center" vertical="center"/>
    </xf>
    <xf numFmtId="176" fontId="29" fillId="0" borderId="5" xfId="3" applyNumberFormat="1" applyFont="1" applyFill="1" applyBorder="1" applyAlignment="1">
      <alignment horizontal="center" vertical="center"/>
    </xf>
    <xf numFmtId="176" fontId="29" fillId="0" borderId="36" xfId="3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176" fontId="31" fillId="0" borderId="36" xfId="3" applyNumberFormat="1" applyFont="1" applyFill="1" applyBorder="1" applyAlignment="1">
      <alignment horizontal="center" vertical="center"/>
    </xf>
    <xf numFmtId="176" fontId="31" fillId="0" borderId="30" xfId="3" applyNumberFormat="1" applyFont="1" applyFill="1" applyBorder="1" applyAlignment="1">
      <alignment horizontal="center" vertical="center"/>
    </xf>
    <xf numFmtId="176" fontId="31" fillId="0" borderId="52" xfId="3" applyNumberFormat="1" applyFont="1" applyFill="1" applyBorder="1" applyAlignment="1">
      <alignment horizontal="center" vertical="center"/>
    </xf>
    <xf numFmtId="176" fontId="31" fillId="0" borderId="38" xfId="3" applyNumberFormat="1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horizontal="center" vertical="center"/>
    </xf>
    <xf numFmtId="176" fontId="31" fillId="0" borderId="29" xfId="3" applyNumberFormat="1" applyFont="1" applyFill="1" applyBorder="1" applyAlignment="1">
      <alignment horizontal="center" vertical="center"/>
    </xf>
    <xf numFmtId="0" fontId="31" fillId="0" borderId="13" xfId="3" applyFont="1" applyFill="1" applyBorder="1" applyAlignment="1">
      <alignment horizontal="center" vertical="center"/>
    </xf>
    <xf numFmtId="176" fontId="38" fillId="0" borderId="36" xfId="3" applyNumberFormat="1" applyFont="1" applyFill="1" applyBorder="1" applyAlignment="1">
      <alignment horizontal="center" vertical="center"/>
    </xf>
    <xf numFmtId="176" fontId="31" fillId="0" borderId="51" xfId="3" applyNumberFormat="1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176" fontId="19" fillId="0" borderId="13" xfId="3" applyNumberFormat="1" applyFont="1" applyFill="1" applyBorder="1" applyAlignment="1">
      <alignment horizontal="center" vertical="center"/>
    </xf>
    <xf numFmtId="176" fontId="39" fillId="0" borderId="43" xfId="3" applyNumberFormat="1" applyFont="1" applyFill="1" applyBorder="1" applyAlignment="1">
      <alignment horizontal="center" vertical="center"/>
    </xf>
    <xf numFmtId="176" fontId="37" fillId="0" borderId="0" xfId="3" applyNumberFormat="1" applyFont="1" applyFill="1" applyAlignment="1">
      <alignment horizontal="center" vertical="center"/>
    </xf>
    <xf numFmtId="176" fontId="43" fillId="0" borderId="51" xfId="3" applyNumberFormat="1" applyFont="1" applyFill="1" applyBorder="1" applyAlignment="1">
      <alignment horizontal="center" vertical="center"/>
    </xf>
    <xf numFmtId="176" fontId="21" fillId="0" borderId="14" xfId="3" applyNumberFormat="1" applyFont="1" applyFill="1" applyBorder="1" applyAlignment="1">
      <alignment horizontal="center" vertical="center"/>
    </xf>
    <xf numFmtId="176" fontId="40" fillId="0" borderId="29" xfId="3" applyNumberFormat="1" applyFont="1" applyFill="1" applyBorder="1" applyAlignment="1">
      <alignment horizontal="center" vertical="center"/>
    </xf>
    <xf numFmtId="176" fontId="40" fillId="0" borderId="0" xfId="3" applyNumberFormat="1" applyFont="1" applyFill="1" applyAlignment="1">
      <alignment horizontal="center" vertical="center"/>
    </xf>
    <xf numFmtId="176" fontId="40" fillId="0" borderId="51" xfId="3" applyNumberFormat="1" applyFont="1" applyFill="1" applyBorder="1" applyAlignment="1">
      <alignment horizontal="center" vertical="center"/>
    </xf>
    <xf numFmtId="176" fontId="40" fillId="0" borderId="14" xfId="3" applyNumberFormat="1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41" fontId="17" fillId="0" borderId="0" xfId="0" applyNumberFormat="1" applyFont="1" applyFill="1" applyAlignment="1">
      <alignment vertical="center"/>
    </xf>
    <xf numFmtId="176" fontId="29" fillId="0" borderId="30" xfId="3" applyNumberFormat="1" applyFont="1" applyFill="1" applyBorder="1" applyAlignment="1">
      <alignment horizontal="center" vertical="center"/>
    </xf>
    <xf numFmtId="176" fontId="41" fillId="0" borderId="5" xfId="3" applyNumberFormat="1" applyFont="1" applyFill="1" applyBorder="1" applyAlignment="1">
      <alignment horizontal="center" vertical="center"/>
    </xf>
    <xf numFmtId="176" fontId="41" fillId="0" borderId="36" xfId="3" applyNumberFormat="1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19" fillId="0" borderId="36" xfId="3" applyFont="1" applyFill="1" applyBorder="1" applyAlignment="1">
      <alignment horizontal="center" vertical="center"/>
    </xf>
    <xf numFmtId="41" fontId="17" fillId="0" borderId="0" xfId="0" applyNumberFormat="1" applyFont="1" applyFill="1">
      <alignment vertical="center"/>
    </xf>
    <xf numFmtId="41" fontId="64" fillId="0" borderId="0" xfId="2" applyFont="1" applyFill="1" applyAlignment="1">
      <alignment horizontal="center" vertical="center"/>
    </xf>
    <xf numFmtId="176" fontId="40" fillId="0" borderId="0" xfId="3" applyNumberFormat="1" applyFont="1" applyFill="1" applyAlignment="1">
      <alignment horizontal="right" vertical="center"/>
    </xf>
    <xf numFmtId="0" fontId="67" fillId="0" borderId="0" xfId="0" applyFont="1" applyFill="1" applyAlignment="1">
      <alignment vertical="center"/>
    </xf>
    <xf numFmtId="0" fontId="67" fillId="0" borderId="0" xfId="3" applyFont="1" applyFill="1" applyAlignment="1">
      <alignment vertical="center"/>
    </xf>
    <xf numFmtId="0" fontId="67" fillId="0" borderId="0" xfId="0" applyFont="1" applyFill="1">
      <alignment vertical="center"/>
    </xf>
    <xf numFmtId="41" fontId="67" fillId="0" borderId="0" xfId="2" applyFont="1" applyFill="1">
      <alignment vertical="center"/>
    </xf>
    <xf numFmtId="41" fontId="68" fillId="0" borderId="0" xfId="2" applyFont="1" applyFill="1" applyAlignment="1">
      <alignment vertical="center"/>
    </xf>
    <xf numFmtId="41" fontId="68" fillId="0" borderId="0" xfId="2" applyFont="1" applyFill="1">
      <alignment vertical="center"/>
    </xf>
    <xf numFmtId="41" fontId="61" fillId="0" borderId="0" xfId="2" applyFont="1" applyFill="1">
      <alignment vertical="center"/>
    </xf>
    <xf numFmtId="41" fontId="69" fillId="0" borderId="0" xfId="2" applyFont="1" applyFill="1" applyAlignment="1">
      <alignment vertical="center"/>
    </xf>
    <xf numFmtId="3" fontId="67" fillId="0" borderId="0" xfId="0" applyNumberFormat="1" applyFont="1" applyFill="1">
      <alignment vertical="center"/>
    </xf>
    <xf numFmtId="41" fontId="55" fillId="0" borderId="0" xfId="2" applyFont="1" applyFill="1" applyAlignment="1">
      <alignment vertical="center"/>
    </xf>
    <xf numFmtId="41" fontId="61" fillId="0" borderId="0" xfId="2" applyFont="1" applyFill="1" applyAlignment="1">
      <alignment vertical="center"/>
    </xf>
    <xf numFmtId="0" fontId="9" fillId="0" borderId="2" xfId="7" applyFont="1" applyBorder="1" applyAlignment="1">
      <alignment horizontal="center" vertical="center"/>
    </xf>
    <xf numFmtId="176" fontId="40" fillId="0" borderId="51" xfId="3" applyNumberFormat="1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vertical="center"/>
    </xf>
    <xf numFmtId="3" fontId="31" fillId="0" borderId="14" xfId="0" applyNumberFormat="1" applyFont="1" applyFill="1" applyBorder="1" applyAlignment="1">
      <alignment vertical="center"/>
    </xf>
    <xf numFmtId="178" fontId="31" fillId="0" borderId="0" xfId="0" applyNumberFormat="1" applyFont="1" applyFill="1" applyBorder="1" applyAlignment="1">
      <alignment horizontal="right" vertical="center"/>
    </xf>
    <xf numFmtId="0" fontId="46" fillId="0" borderId="17" xfId="7" applyFont="1" applyBorder="1" applyAlignment="1">
      <alignment horizontal="center" vertical="center"/>
    </xf>
    <xf numFmtId="0" fontId="46" fillId="0" borderId="11" xfId="7" applyFont="1" applyBorder="1" applyAlignment="1">
      <alignment horizontal="center" vertical="center"/>
    </xf>
    <xf numFmtId="0" fontId="13" fillId="0" borderId="2" xfId="7" applyBorder="1" applyAlignment="1">
      <alignment horizontal="center" vertical="center"/>
    </xf>
    <xf numFmtId="0" fontId="13" fillId="0" borderId="17" xfId="7" applyBorder="1" applyAlignment="1">
      <alignment horizontal="center" vertical="center"/>
    </xf>
    <xf numFmtId="0" fontId="13" fillId="0" borderId="31" xfId="7" applyBorder="1" applyAlignment="1">
      <alignment horizontal="center" vertical="center"/>
    </xf>
    <xf numFmtId="0" fontId="13" fillId="0" borderId="6" xfId="7" applyBorder="1" applyAlignment="1">
      <alignment horizontal="center" vertical="center"/>
    </xf>
    <xf numFmtId="0" fontId="35" fillId="0" borderId="42" xfId="7" applyFont="1" applyBorder="1" applyAlignment="1">
      <alignment horizontal="center" vertical="center"/>
    </xf>
    <xf numFmtId="0" fontId="35" fillId="0" borderId="8" xfId="7" applyFont="1" applyBorder="1" applyAlignment="1">
      <alignment horizontal="center" vertical="center"/>
    </xf>
    <xf numFmtId="0" fontId="35" fillId="0" borderId="10" xfId="7" applyFont="1" applyBorder="1" applyAlignment="1">
      <alignment horizontal="center" vertical="center"/>
    </xf>
    <xf numFmtId="0" fontId="35" fillId="0" borderId="9" xfId="7" applyFont="1" applyBorder="1" applyAlignment="1">
      <alignment horizontal="center" vertical="center"/>
    </xf>
    <xf numFmtId="0" fontId="35" fillId="0" borderId="15" xfId="7" applyFont="1" applyBorder="1" applyAlignment="1">
      <alignment horizontal="center" vertical="center"/>
    </xf>
    <xf numFmtId="0" fontId="35" fillId="0" borderId="20" xfId="7" applyFont="1" applyBorder="1" applyAlignment="1">
      <alignment horizontal="center" vertical="center"/>
    </xf>
    <xf numFmtId="0" fontId="35" fillId="0" borderId="46" xfId="7" applyFont="1" applyBorder="1" applyAlignment="1">
      <alignment horizontal="center" vertical="center"/>
    </xf>
    <xf numFmtId="0" fontId="35" fillId="0" borderId="47" xfId="7" applyFont="1" applyBorder="1" applyAlignment="1">
      <alignment horizontal="center" vertical="center"/>
    </xf>
    <xf numFmtId="0" fontId="35" fillId="0" borderId="20" xfId="7" applyFont="1" applyBorder="1" applyAlignment="1">
      <alignment horizontal="center" vertical="center" wrapText="1"/>
    </xf>
    <xf numFmtId="0" fontId="35" fillId="0" borderId="47" xfId="7" applyFont="1" applyBorder="1" applyAlignment="1">
      <alignment horizontal="center" vertical="center" wrapText="1"/>
    </xf>
    <xf numFmtId="0" fontId="35" fillId="0" borderId="40" xfId="7" applyFont="1" applyBorder="1" applyAlignment="1">
      <alignment horizontal="center" vertical="center"/>
    </xf>
    <xf numFmtId="0" fontId="35" fillId="0" borderId="48" xfId="7" applyFont="1" applyBorder="1" applyAlignment="1">
      <alignment horizontal="center" vertical="center"/>
    </xf>
    <xf numFmtId="0" fontId="35" fillId="0" borderId="18" xfId="7" applyFont="1" applyBorder="1" applyAlignment="1">
      <alignment horizontal="center" vertical="center"/>
    </xf>
    <xf numFmtId="0" fontId="35" fillId="0" borderId="49" xfId="7" applyFont="1" applyBorder="1" applyAlignment="1">
      <alignment horizontal="center" vertical="center"/>
    </xf>
    <xf numFmtId="176" fontId="19" fillId="0" borderId="51" xfId="3" applyNumberFormat="1" applyFont="1" applyFill="1" applyBorder="1" applyAlignment="1">
      <alignment horizontal="center" vertical="center"/>
    </xf>
    <xf numFmtId="176" fontId="19" fillId="0" borderId="0" xfId="3" applyNumberFormat="1" applyFont="1" applyFill="1" applyAlignment="1">
      <alignment horizontal="center" vertical="center"/>
    </xf>
    <xf numFmtId="176" fontId="19" fillId="0" borderId="29" xfId="3" applyNumberFormat="1" applyFont="1" applyFill="1" applyBorder="1" applyAlignment="1">
      <alignment horizontal="center" vertical="center"/>
    </xf>
    <xf numFmtId="0" fontId="38" fillId="0" borderId="40" xfId="3" applyFont="1" applyFill="1" applyBorder="1" applyAlignment="1">
      <alignment horizontal="center" vertical="center" wrapText="1"/>
    </xf>
    <xf numFmtId="0" fontId="38" fillId="0" borderId="19" xfId="3" applyFont="1" applyFill="1" applyBorder="1" applyAlignment="1">
      <alignment horizontal="center" vertical="center" wrapText="1"/>
    </xf>
    <xf numFmtId="176" fontId="19" fillId="0" borderId="22" xfId="3" applyNumberFormat="1" applyFont="1" applyFill="1" applyBorder="1" applyAlignment="1">
      <alignment horizontal="center" vertical="center"/>
    </xf>
    <xf numFmtId="0" fontId="19" fillId="0" borderId="13" xfId="3" applyFont="1" applyFill="1" applyBorder="1" applyAlignment="1">
      <alignment horizontal="left" vertical="center" wrapText="1"/>
    </xf>
    <xf numFmtId="0" fontId="19" fillId="0" borderId="42" xfId="3" applyFont="1" applyFill="1" applyBorder="1" applyAlignment="1">
      <alignment horizontal="center" vertical="center" wrapText="1"/>
    </xf>
    <xf numFmtId="0" fontId="19" fillId="0" borderId="8" xfId="3" applyFont="1" applyFill="1" applyBorder="1" applyAlignment="1">
      <alignment horizontal="center" vertical="center" wrapText="1"/>
    </xf>
    <xf numFmtId="178" fontId="20" fillId="0" borderId="23" xfId="3" applyNumberFormat="1" applyFont="1" applyFill="1" applyBorder="1" applyAlignment="1">
      <alignment horizontal="center" vertical="center" wrapText="1"/>
    </xf>
    <xf numFmtId="178" fontId="20" fillId="0" borderId="7" xfId="3" applyNumberFormat="1" applyFont="1" applyFill="1" applyBorder="1" applyAlignment="1">
      <alignment horizontal="center" vertical="center" wrapText="1"/>
    </xf>
    <xf numFmtId="0" fontId="22" fillId="0" borderId="21" xfId="3" applyFont="1" applyFill="1" applyBorder="1" applyAlignment="1">
      <alignment horizontal="center" vertical="center" wrapText="1"/>
    </xf>
    <xf numFmtId="0" fontId="22" fillId="0" borderId="22" xfId="3" applyFont="1" applyFill="1" applyBorder="1" applyAlignment="1">
      <alignment horizontal="center" vertical="center" wrapText="1"/>
    </xf>
    <xf numFmtId="0" fontId="22" fillId="0" borderId="54" xfId="3" applyFont="1" applyFill="1" applyBorder="1" applyAlignment="1">
      <alignment horizontal="center" vertical="center" wrapText="1"/>
    </xf>
    <xf numFmtId="0" fontId="19" fillId="0" borderId="8" xfId="3" applyFont="1" applyFill="1" applyBorder="1" applyAlignment="1">
      <alignment horizontal="center" vertical="center"/>
    </xf>
    <xf numFmtId="0" fontId="19" fillId="0" borderId="39" xfId="3" applyFont="1" applyFill="1" applyBorder="1" applyAlignment="1">
      <alignment horizontal="center" vertical="center"/>
    </xf>
    <xf numFmtId="0" fontId="19" fillId="0" borderId="22" xfId="3" applyFont="1" applyFill="1" applyBorder="1" applyAlignment="1">
      <alignment horizontal="center" vertical="center"/>
    </xf>
    <xf numFmtId="0" fontId="19" fillId="0" borderId="24" xfId="3" applyFont="1" applyFill="1" applyBorder="1" applyAlignment="1">
      <alignment horizontal="center" vertical="center"/>
    </xf>
    <xf numFmtId="0" fontId="19" fillId="0" borderId="37" xfId="3" applyFont="1" applyFill="1" applyBorder="1" applyAlignment="1">
      <alignment horizontal="center" vertical="center"/>
    </xf>
    <xf numFmtId="0" fontId="19" fillId="0" borderId="13" xfId="3" applyFont="1" applyFill="1" applyBorder="1" applyAlignment="1">
      <alignment horizontal="center" vertical="center"/>
    </xf>
    <xf numFmtId="0" fontId="19" fillId="0" borderId="38" xfId="3" applyFont="1" applyFill="1" applyBorder="1" applyAlignment="1">
      <alignment horizontal="center" vertical="center"/>
    </xf>
    <xf numFmtId="176" fontId="31" fillId="0" borderId="51" xfId="3" applyNumberFormat="1" applyFont="1" applyFill="1" applyBorder="1" applyAlignment="1">
      <alignment horizontal="center" vertical="center"/>
    </xf>
    <xf numFmtId="0" fontId="19" fillId="0" borderId="35" xfId="3" applyFont="1" applyFill="1" applyBorder="1" applyAlignment="1">
      <alignment horizontal="center" vertical="center" wrapText="1"/>
    </xf>
    <xf numFmtId="0" fontId="19" fillId="0" borderId="41" xfId="3" applyFont="1" applyFill="1" applyBorder="1" applyAlignment="1">
      <alignment horizontal="center" vertical="center" wrapText="1"/>
    </xf>
    <xf numFmtId="0" fontId="21" fillId="0" borderId="20" xfId="3" applyFont="1" applyFill="1" applyBorder="1" applyAlignment="1">
      <alignment horizontal="center" vertical="center" wrapText="1"/>
    </xf>
    <xf numFmtId="0" fontId="21" fillId="0" borderId="33" xfId="3" applyFont="1" applyFill="1" applyBorder="1" applyAlignment="1">
      <alignment horizontal="center" vertical="center" wrapText="1"/>
    </xf>
    <xf numFmtId="0" fontId="21" fillId="0" borderId="27" xfId="3" applyFont="1" applyFill="1" applyBorder="1" applyAlignment="1">
      <alignment horizontal="center" vertical="center" wrapText="1"/>
    </xf>
    <xf numFmtId="0" fontId="19" fillId="0" borderId="40" xfId="3" applyFont="1" applyFill="1" applyBorder="1" applyAlignment="1">
      <alignment horizontal="center" vertical="center" wrapText="1"/>
    </xf>
    <xf numFmtId="0" fontId="19" fillId="0" borderId="19" xfId="3" applyFont="1" applyFill="1" applyBorder="1" applyAlignment="1">
      <alignment horizontal="center" vertical="center" wrapText="1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vertical="center"/>
    </xf>
    <xf numFmtId="0" fontId="31" fillId="0" borderId="13" xfId="3" applyFont="1" applyFill="1" applyBorder="1" applyAlignment="1">
      <alignment horizontal="left" vertical="center" wrapText="1"/>
    </xf>
    <xf numFmtId="178" fontId="20" fillId="0" borderId="10" xfId="3" applyNumberFormat="1" applyFont="1" applyFill="1" applyBorder="1" applyAlignment="1">
      <alignment horizontal="center" vertical="center" wrapText="1"/>
    </xf>
    <xf numFmtId="178" fontId="20" fillId="0" borderId="43" xfId="3" applyNumberFormat="1" applyFont="1" applyFill="1" applyBorder="1" applyAlignment="1">
      <alignment horizontal="center" vertical="center" wrapText="1"/>
    </xf>
    <xf numFmtId="178" fontId="20" fillId="0" borderId="50" xfId="3" applyNumberFormat="1" applyFont="1" applyFill="1" applyBorder="1" applyAlignment="1">
      <alignment horizontal="center" vertical="center" wrapText="1"/>
    </xf>
    <xf numFmtId="0" fontId="39" fillId="0" borderId="42" xfId="3" applyFont="1" applyFill="1" applyBorder="1" applyAlignment="1">
      <alignment horizontal="center" vertical="center" wrapText="1"/>
    </xf>
    <xf numFmtId="0" fontId="39" fillId="0" borderId="8" xfId="3" applyFont="1" applyFill="1" applyBorder="1" applyAlignment="1">
      <alignment horizontal="center" vertical="center" wrapText="1"/>
    </xf>
    <xf numFmtId="0" fontId="37" fillId="0" borderId="32" xfId="3" applyFont="1" applyFill="1" applyBorder="1" applyAlignment="1">
      <alignment horizontal="center" vertical="center" wrapText="1"/>
    </xf>
    <xf numFmtId="0" fontId="37" fillId="0" borderId="25" xfId="3" applyFont="1" applyFill="1" applyBorder="1" applyAlignment="1">
      <alignment horizontal="center" vertical="center" wrapText="1"/>
    </xf>
    <xf numFmtId="176" fontId="40" fillId="0" borderId="51" xfId="3" applyNumberFormat="1" applyFont="1" applyFill="1" applyBorder="1" applyAlignment="1">
      <alignment vertical="center"/>
    </xf>
    <xf numFmtId="0" fontId="40" fillId="0" borderId="51" xfId="3" applyFont="1" applyFill="1" applyBorder="1" applyAlignment="1">
      <alignment vertical="center"/>
    </xf>
    <xf numFmtId="0" fontId="31" fillId="0" borderId="0" xfId="3" applyFont="1" applyFill="1" applyAlignment="1">
      <alignment horizontal="left" vertical="center" wrapText="1"/>
    </xf>
  </cellXfs>
  <cellStyles count="128">
    <cellStyle name="백분율" xfId="1" builtinId="5"/>
    <cellStyle name="쉼표 [0]" xfId="2" builtinId="6"/>
    <cellStyle name="쉼표 [0] 2" xfId="6"/>
    <cellStyle name="쉼표 [0] 2 2" xfId="8"/>
    <cellStyle name="쉼표 [0] 2 2 2" xfId="16"/>
    <cellStyle name="쉼표 [0] 2 2 2 2" xfId="28"/>
    <cellStyle name="쉼표 [0] 2 2 2 2 2" xfId="74"/>
    <cellStyle name="쉼표 [0] 2 2 2 2 3" xfId="99"/>
    <cellStyle name="쉼표 [0] 2 2 2 2 4" xfId="124"/>
    <cellStyle name="쉼표 [0] 2 2 2 3" xfId="62"/>
    <cellStyle name="쉼표 [0] 2 2 2 4" xfId="87"/>
    <cellStyle name="쉼표 [0] 2 2 2 5" xfId="112"/>
    <cellStyle name="쉼표 [0] 2 2 3" xfId="22"/>
    <cellStyle name="쉼표 [0] 2 2 3 2" xfId="68"/>
    <cellStyle name="쉼표 [0] 2 2 3 3" xfId="93"/>
    <cellStyle name="쉼표 [0] 2 2 3 4" xfId="118"/>
    <cellStyle name="쉼표 [0] 2 2 4" xfId="33"/>
    <cellStyle name="쉼표 [0] 2 2 5" xfId="56"/>
    <cellStyle name="쉼표 [0] 2 2 6" xfId="81"/>
    <cellStyle name="쉼표 [0] 2 2 7" xfId="106"/>
    <cellStyle name="쉼표 [0] 2 3" xfId="10"/>
    <cellStyle name="쉼표 [0] 2 3 2" xfId="18"/>
    <cellStyle name="쉼표 [0] 2 3 2 2" xfId="30"/>
    <cellStyle name="쉼표 [0] 2 3 2 2 2" xfId="76"/>
    <cellStyle name="쉼표 [0] 2 3 2 2 3" xfId="101"/>
    <cellStyle name="쉼표 [0] 2 3 2 2 4" xfId="126"/>
    <cellStyle name="쉼표 [0] 2 3 2 3" xfId="64"/>
    <cellStyle name="쉼표 [0] 2 3 2 4" xfId="89"/>
    <cellStyle name="쉼표 [0] 2 3 2 5" xfId="114"/>
    <cellStyle name="쉼표 [0] 2 3 3" xfId="24"/>
    <cellStyle name="쉼표 [0] 2 3 3 2" xfId="70"/>
    <cellStyle name="쉼표 [0] 2 3 3 3" xfId="95"/>
    <cellStyle name="쉼표 [0] 2 3 3 4" xfId="120"/>
    <cellStyle name="쉼표 [0] 2 3 4" xfId="34"/>
    <cellStyle name="쉼표 [0] 2 3 5" xfId="58"/>
    <cellStyle name="쉼표 [0] 2 3 6" xfId="83"/>
    <cellStyle name="쉼표 [0] 2 3 7" xfId="108"/>
    <cellStyle name="쉼표 [0] 2 4" xfId="14"/>
    <cellStyle name="쉼표 [0] 2 4 2" xfId="26"/>
    <cellStyle name="쉼표 [0] 2 4 2 2" xfId="72"/>
    <cellStyle name="쉼표 [0] 2 4 2 3" xfId="97"/>
    <cellStyle name="쉼표 [0] 2 4 2 4" xfId="122"/>
    <cellStyle name="쉼표 [0] 2 4 3" xfId="60"/>
    <cellStyle name="쉼표 [0] 2 4 4" xfId="85"/>
    <cellStyle name="쉼표 [0] 2 4 5" xfId="110"/>
    <cellStyle name="쉼표 [0] 2 5" xfId="20"/>
    <cellStyle name="쉼표 [0] 2 5 2" xfId="66"/>
    <cellStyle name="쉼표 [0] 2 5 3" xfId="91"/>
    <cellStyle name="쉼표 [0] 2 5 4" xfId="116"/>
    <cellStyle name="쉼표 [0] 2 6" xfId="32"/>
    <cellStyle name="쉼표 [0] 2 7" xfId="54"/>
    <cellStyle name="쉼표 [0] 2 8" xfId="79"/>
    <cellStyle name="쉼표 [0] 2 9" xfId="104"/>
    <cellStyle name="쉼표 [0] 3" xfId="35"/>
    <cellStyle name="쉼표 [0] 4" xfId="36"/>
    <cellStyle name="쉼표 [0] 5" xfId="37"/>
    <cellStyle name="쉼표 [0] 6" xfId="38"/>
    <cellStyle name="쉼표 [0] 7" xfId="31"/>
    <cellStyle name="통화 [0]" xfId="3" builtinId="7"/>
    <cellStyle name="통화 [0] 2" xfId="39"/>
    <cellStyle name="표준" xfId="0" builtinId="0"/>
    <cellStyle name="표준 2" xfId="5"/>
    <cellStyle name="표준 2 2" xfId="7"/>
    <cellStyle name="표준 2 2 2" xfId="15"/>
    <cellStyle name="표준 2 2 2 2" xfId="27"/>
    <cellStyle name="표준 2 2 2 2 2" xfId="73"/>
    <cellStyle name="표준 2 2 2 2 3" xfId="98"/>
    <cellStyle name="표준 2 2 2 2 4" xfId="123"/>
    <cellStyle name="표준 2 2 2 3" xfId="61"/>
    <cellStyle name="표준 2 2 2 4" xfId="86"/>
    <cellStyle name="표준 2 2 2 5" xfId="111"/>
    <cellStyle name="표준 2 2 3" xfId="21"/>
    <cellStyle name="표준 2 2 3 2" xfId="67"/>
    <cellStyle name="표준 2 2 3 3" xfId="92"/>
    <cellStyle name="표준 2 2 3 4" xfId="117"/>
    <cellStyle name="표준 2 2 4" xfId="40"/>
    <cellStyle name="표준 2 2 5" xfId="55"/>
    <cellStyle name="표준 2 2 6" xfId="80"/>
    <cellStyle name="표준 2 2 7" xfId="105"/>
    <cellStyle name="표준 2 3" xfId="9"/>
    <cellStyle name="표준 2 3 2" xfId="17"/>
    <cellStyle name="표준 2 3 2 2" xfId="29"/>
    <cellStyle name="표준 2 3 2 2 2" xfId="75"/>
    <cellStyle name="표준 2 3 2 2 3" xfId="100"/>
    <cellStyle name="표준 2 3 2 2 4" xfId="125"/>
    <cellStyle name="표준 2 3 2 3" xfId="63"/>
    <cellStyle name="표준 2 3 2 4" xfId="88"/>
    <cellStyle name="표준 2 3 2 5" xfId="113"/>
    <cellStyle name="표준 2 3 3" xfId="23"/>
    <cellStyle name="표준 2 3 3 2" xfId="69"/>
    <cellStyle name="표준 2 3 3 3" xfId="94"/>
    <cellStyle name="표준 2 3 3 4" xfId="119"/>
    <cellStyle name="표준 2 3 4" xfId="41"/>
    <cellStyle name="표준 2 3 5" xfId="57"/>
    <cellStyle name="표준 2 3 6" xfId="82"/>
    <cellStyle name="표준 2 3 7" xfId="107"/>
    <cellStyle name="표준 2 4" xfId="13"/>
    <cellStyle name="표준 2 4 2" xfId="25"/>
    <cellStyle name="표준 2 4 2 2" xfId="71"/>
    <cellStyle name="표준 2 4 2 3" xfId="96"/>
    <cellStyle name="표준 2 4 2 4" xfId="121"/>
    <cellStyle name="표준 2 4 3" xfId="59"/>
    <cellStyle name="표준 2 4 4" xfId="84"/>
    <cellStyle name="표준 2 4 5" xfId="109"/>
    <cellStyle name="표준 2 5" xfId="19"/>
    <cellStyle name="표준 2 5 2" xfId="65"/>
    <cellStyle name="표준 2 5 3" xfId="90"/>
    <cellStyle name="표준 2 5 4" xfId="115"/>
    <cellStyle name="표준 2 6" xfId="53"/>
    <cellStyle name="표준 2 7" xfId="78"/>
    <cellStyle name="표준 2 8" xfId="103"/>
    <cellStyle name="표준 3" xfId="12"/>
    <cellStyle name="표준 3 2" xfId="43"/>
    <cellStyle name="표준 3 2 2" xfId="44"/>
    <cellStyle name="표준 3 3" xfId="45"/>
    <cellStyle name="표준 3 4" xfId="42"/>
    <cellStyle name="표준 4" xfId="11"/>
    <cellStyle name="표준 4 2" xfId="46"/>
    <cellStyle name="표준 5" xfId="47"/>
    <cellStyle name="표준 5 2" xfId="48"/>
    <cellStyle name="표준 5 3" xfId="49"/>
    <cellStyle name="표준 5 4" xfId="50"/>
    <cellStyle name="표준 6" xfId="51"/>
    <cellStyle name="표준 7" xfId="52"/>
    <cellStyle name="표준 7 2" xfId="77"/>
    <cellStyle name="표준 7 3" xfId="102"/>
    <cellStyle name="표준 7 4" xfId="127"/>
    <cellStyle name="표준_2003경기장복예산안" xfId="4"/>
  </cellStyles>
  <dxfs count="0"/>
  <tableStyles count="0" defaultTableStyle="TableStyleMedium9" defaultPivotStyle="PivotStyleLight16"/>
  <colors>
    <mruColors>
      <color rgb="FFFFFF00"/>
      <color rgb="FFFF5353"/>
      <color rgb="FFFFCCCC"/>
      <color rgb="FF1212F6"/>
      <color rgb="FF00FFFF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8148;&#45796;&#51032;~1/DOCUME~1/&#52852;&#52852;&#50724;~1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B1:M29"/>
  <sheetViews>
    <sheetView tabSelected="1" zoomScale="85" zoomScaleNormal="85" workbookViewId="0">
      <selection activeCell="E13" sqref="E13"/>
    </sheetView>
  </sheetViews>
  <sheetFormatPr defaultRowHeight="16.5"/>
  <cols>
    <col min="1" max="1" width="1.44140625" style="109" customWidth="1"/>
    <col min="2" max="2" width="11.5546875" style="109" bestFit="1" customWidth="1"/>
    <col min="3" max="3" width="13.33203125" style="109" bestFit="1" customWidth="1"/>
    <col min="4" max="5" width="18" style="109" bestFit="1" customWidth="1"/>
    <col min="6" max="6" width="16" style="109" bestFit="1" customWidth="1"/>
    <col min="7" max="7" width="9.6640625" style="109" bestFit="1" customWidth="1"/>
    <col min="8" max="8" width="13.33203125" style="109" bestFit="1" customWidth="1"/>
    <col min="9" max="10" width="18" style="109" bestFit="1" customWidth="1"/>
    <col min="11" max="11" width="16" style="109" bestFit="1" customWidth="1"/>
    <col min="12" max="16384" width="8.88671875" style="109"/>
  </cols>
  <sheetData>
    <row r="1" spans="2:13" ht="9.9499999999999993" customHeight="1"/>
    <row r="2" spans="2:13" ht="26.25">
      <c r="B2" s="110" t="s">
        <v>866</v>
      </c>
      <c r="K2" s="111" t="s">
        <v>228</v>
      </c>
    </row>
    <row r="3" spans="2:13" ht="9.9499999999999993" customHeight="1" thickBot="1"/>
    <row r="4" spans="2:13" ht="30" customHeight="1">
      <c r="B4" s="747" t="s">
        <v>140</v>
      </c>
      <c r="C4" s="748"/>
      <c r="D4" s="748"/>
      <c r="E4" s="748"/>
      <c r="F4" s="749"/>
      <c r="G4" s="747" t="s">
        <v>141</v>
      </c>
      <c r="H4" s="748"/>
      <c r="I4" s="748"/>
      <c r="J4" s="748"/>
      <c r="K4" s="750"/>
    </row>
    <row r="5" spans="2:13" ht="16.5" customHeight="1">
      <c r="B5" s="751" t="s">
        <v>142</v>
      </c>
      <c r="C5" s="752"/>
      <c r="D5" s="755" t="s">
        <v>865</v>
      </c>
      <c r="E5" s="755" t="s">
        <v>864</v>
      </c>
      <c r="F5" s="757" t="s">
        <v>143</v>
      </c>
      <c r="G5" s="751" t="s">
        <v>142</v>
      </c>
      <c r="H5" s="752"/>
      <c r="I5" s="755" t="s">
        <v>865</v>
      </c>
      <c r="J5" s="755" t="s">
        <v>864</v>
      </c>
      <c r="K5" s="759" t="s">
        <v>143</v>
      </c>
    </row>
    <row r="6" spans="2:13" ht="22.5" customHeight="1" thickBot="1">
      <c r="B6" s="753"/>
      <c r="C6" s="754"/>
      <c r="D6" s="756"/>
      <c r="E6" s="756"/>
      <c r="F6" s="758"/>
      <c r="G6" s="753"/>
      <c r="H6" s="754"/>
      <c r="I6" s="756"/>
      <c r="J6" s="756"/>
      <c r="K6" s="760"/>
    </row>
    <row r="7" spans="2:13" ht="24.95" customHeight="1" thickTop="1">
      <c r="B7" s="741" t="s">
        <v>144</v>
      </c>
      <c r="C7" s="742"/>
      <c r="D7" s="239">
        <f>D8+D10+D12+D17+D20+D22+D24</f>
        <v>3051239</v>
      </c>
      <c r="E7" s="239">
        <f>E8+E10+E12+E17+E20+E22+E24</f>
        <v>3135263</v>
      </c>
      <c r="F7" s="239">
        <f>F8+F10+F12+F17+F20+F22+F24</f>
        <v>84024</v>
      </c>
      <c r="G7" s="741" t="s">
        <v>144</v>
      </c>
      <c r="H7" s="742"/>
      <c r="I7" s="239">
        <f>SUM(I8:I26)/2</f>
        <v>3051239</v>
      </c>
      <c r="J7" s="365">
        <f>SUM(J8:J26)/2</f>
        <v>3135263</v>
      </c>
      <c r="K7" s="240">
        <f>SUM(K8:K26)/2</f>
        <v>84024</v>
      </c>
      <c r="M7" s="377"/>
    </row>
    <row r="8" spans="2:13" ht="24.95" customHeight="1">
      <c r="B8" s="743" t="s">
        <v>145</v>
      </c>
      <c r="C8" s="241" t="s">
        <v>192</v>
      </c>
      <c r="D8" s="242">
        <f>D9</f>
        <v>95380</v>
      </c>
      <c r="E8" s="242">
        <f>E9</f>
        <v>95380</v>
      </c>
      <c r="F8" s="114">
        <f t="shared" ref="F8:F25" si="0">E8-D8</f>
        <v>0</v>
      </c>
      <c r="G8" s="743" t="s">
        <v>147</v>
      </c>
      <c r="H8" s="241" t="s">
        <v>192</v>
      </c>
      <c r="I8" s="242">
        <f>SUM(I9:I11)</f>
        <v>2563963</v>
      </c>
      <c r="J8" s="366">
        <f>SUM(J9:J11)</f>
        <v>2584174</v>
      </c>
      <c r="K8" s="245">
        <f>SUM(K9:K11)</f>
        <v>20211</v>
      </c>
    </row>
    <row r="9" spans="2:13" ht="24.95" customHeight="1">
      <c r="B9" s="744"/>
      <c r="C9" s="112" t="s">
        <v>146</v>
      </c>
      <c r="D9" s="113">
        <f>세입!E5</f>
        <v>95380</v>
      </c>
      <c r="E9" s="113">
        <f>세입!F5</f>
        <v>95380</v>
      </c>
      <c r="F9" s="114">
        <f t="shared" si="0"/>
        <v>0</v>
      </c>
      <c r="G9" s="745"/>
      <c r="H9" s="112" t="s">
        <v>148</v>
      </c>
      <c r="I9" s="113">
        <f>세출!D6</f>
        <v>2330247</v>
      </c>
      <c r="J9" s="367">
        <f>세출!E6</f>
        <v>2330247</v>
      </c>
      <c r="K9" s="115">
        <f>J9-I9</f>
        <v>0</v>
      </c>
    </row>
    <row r="10" spans="2:13" ht="24.95" customHeight="1">
      <c r="B10" s="735" t="s">
        <v>240</v>
      </c>
      <c r="C10" s="243" t="s">
        <v>192</v>
      </c>
      <c r="D10" s="244">
        <f>D11</f>
        <v>4400</v>
      </c>
      <c r="E10" s="244">
        <f>E11</f>
        <v>3052</v>
      </c>
      <c r="F10" s="114">
        <f t="shared" si="0"/>
        <v>-1348</v>
      </c>
      <c r="G10" s="745"/>
      <c r="H10" s="112" t="s">
        <v>150</v>
      </c>
      <c r="I10" s="113">
        <f>세출!D107</f>
        <v>11452</v>
      </c>
      <c r="J10" s="367">
        <f>세출!E107</f>
        <v>16586</v>
      </c>
      <c r="K10" s="115">
        <f t="shared" ref="K10:K26" si="1">J10-I10</f>
        <v>5134</v>
      </c>
    </row>
    <row r="11" spans="2:13" ht="24.95" customHeight="1">
      <c r="B11" s="609"/>
      <c r="C11" s="332" t="s">
        <v>240</v>
      </c>
      <c r="D11" s="113">
        <f>세입!E10</f>
        <v>4400</v>
      </c>
      <c r="E11" s="113">
        <f>세입!F10</f>
        <v>3052</v>
      </c>
      <c r="F11" s="114">
        <f t="shared" si="0"/>
        <v>-1348</v>
      </c>
      <c r="G11" s="744"/>
      <c r="H11" s="112" t="s">
        <v>86</v>
      </c>
      <c r="I11" s="113">
        <f>세출!D121</f>
        <v>222264</v>
      </c>
      <c r="J11" s="367">
        <f>세출!E121</f>
        <v>237341</v>
      </c>
      <c r="K11" s="115">
        <f t="shared" si="1"/>
        <v>15077</v>
      </c>
    </row>
    <row r="12" spans="2:13" ht="24.95" customHeight="1">
      <c r="B12" s="607" t="s">
        <v>149</v>
      </c>
      <c r="C12" s="243" t="s">
        <v>192</v>
      </c>
      <c r="D12" s="244">
        <f>SUM(D13:D16)</f>
        <v>2519939</v>
      </c>
      <c r="E12" s="244">
        <f>SUM(E13:E16)</f>
        <v>2509154</v>
      </c>
      <c r="F12" s="114">
        <f t="shared" si="0"/>
        <v>-10785</v>
      </c>
      <c r="G12" s="743" t="s">
        <v>87</v>
      </c>
      <c r="H12" s="243" t="s">
        <v>192</v>
      </c>
      <c r="I12" s="244">
        <f>SUM(I13:I15)</f>
        <v>101169</v>
      </c>
      <c r="J12" s="368">
        <f>SUM(J13:J15)</f>
        <v>191300</v>
      </c>
      <c r="K12" s="115">
        <f t="shared" si="1"/>
        <v>90131</v>
      </c>
    </row>
    <row r="13" spans="2:13" ht="24.95" customHeight="1">
      <c r="B13" s="609"/>
      <c r="C13" s="170" t="s">
        <v>154</v>
      </c>
      <c r="D13" s="113">
        <f>세입!E17</f>
        <v>1661962</v>
      </c>
      <c r="E13" s="113">
        <f>세입!F17</f>
        <v>1657961</v>
      </c>
      <c r="F13" s="114">
        <f t="shared" si="0"/>
        <v>-4001</v>
      </c>
      <c r="G13" s="745"/>
      <c r="H13" s="112" t="s">
        <v>88</v>
      </c>
      <c r="I13" s="113">
        <f>세출!D206</f>
        <v>0</v>
      </c>
      <c r="J13" s="367">
        <f>세출!E206</f>
        <v>0</v>
      </c>
      <c r="K13" s="115">
        <f t="shared" si="1"/>
        <v>0</v>
      </c>
    </row>
    <row r="14" spans="2:13" ht="24.95" customHeight="1">
      <c r="B14" s="609"/>
      <c r="C14" s="170" t="s">
        <v>155</v>
      </c>
      <c r="D14" s="113">
        <f>세입!E52</f>
        <v>138201</v>
      </c>
      <c r="E14" s="113">
        <f>세입!F52</f>
        <v>137261</v>
      </c>
      <c r="F14" s="114">
        <f t="shared" si="0"/>
        <v>-940</v>
      </c>
      <c r="G14" s="745"/>
      <c r="H14" s="112" t="s">
        <v>91</v>
      </c>
      <c r="I14" s="113">
        <f>세출!D213</f>
        <v>71609</v>
      </c>
      <c r="J14" s="367">
        <f>세출!E213</f>
        <v>168691</v>
      </c>
      <c r="K14" s="115">
        <f t="shared" si="1"/>
        <v>97082</v>
      </c>
    </row>
    <row r="15" spans="2:13" ht="24.95" customHeight="1">
      <c r="B15" s="609"/>
      <c r="C15" s="170" t="s">
        <v>156</v>
      </c>
      <c r="D15" s="113">
        <f>세입!E122</f>
        <v>719776</v>
      </c>
      <c r="E15" s="113">
        <f>세입!F122</f>
        <v>713932</v>
      </c>
      <c r="F15" s="114">
        <f t="shared" si="0"/>
        <v>-5844</v>
      </c>
      <c r="G15" s="744"/>
      <c r="H15" s="112" t="s">
        <v>93</v>
      </c>
      <c r="I15" s="113">
        <f>세출!D227</f>
        <v>29560</v>
      </c>
      <c r="J15" s="367">
        <f>세출!E227</f>
        <v>22609</v>
      </c>
      <c r="K15" s="115">
        <f t="shared" si="1"/>
        <v>-6951</v>
      </c>
    </row>
    <row r="16" spans="2:13" ht="24.95" customHeight="1">
      <c r="B16" s="608"/>
      <c r="C16" s="287" t="s">
        <v>215</v>
      </c>
      <c r="D16" s="113">
        <f>세입!E189</f>
        <v>0</v>
      </c>
      <c r="E16" s="113">
        <f>세입!F189</f>
        <v>0</v>
      </c>
      <c r="F16" s="114">
        <f t="shared" si="0"/>
        <v>0</v>
      </c>
      <c r="G16" s="743" t="s">
        <v>96</v>
      </c>
      <c r="H16" s="243" t="s">
        <v>192</v>
      </c>
      <c r="I16" s="244">
        <f>SUM(I17:I22)</f>
        <v>376197</v>
      </c>
      <c r="J16" s="368">
        <f>SUM(J17:J22)</f>
        <v>349877</v>
      </c>
      <c r="K16" s="115">
        <f t="shared" si="1"/>
        <v>-26320</v>
      </c>
    </row>
    <row r="17" spans="2:11" ht="24.95" customHeight="1">
      <c r="B17" s="607" t="s">
        <v>89</v>
      </c>
      <c r="C17" s="243" t="s">
        <v>192</v>
      </c>
      <c r="D17" s="244">
        <f>SUM(D18:D19)</f>
        <v>147095</v>
      </c>
      <c r="E17" s="244">
        <f>SUM(E18:E19)</f>
        <v>242359</v>
      </c>
      <c r="F17" s="114">
        <f t="shared" si="0"/>
        <v>95264</v>
      </c>
      <c r="G17" s="745"/>
      <c r="H17" s="112" t="s">
        <v>97</v>
      </c>
      <c r="I17" s="113">
        <f>세출!D245</f>
        <v>199866</v>
      </c>
      <c r="J17" s="367">
        <f>세출!E245</f>
        <v>196567</v>
      </c>
      <c r="K17" s="115">
        <f t="shared" si="1"/>
        <v>-3299</v>
      </c>
    </row>
    <row r="18" spans="2:11" ht="24.95" customHeight="1">
      <c r="B18" s="609"/>
      <c r="C18" s="112" t="s">
        <v>90</v>
      </c>
      <c r="D18" s="113">
        <f>세입!E193</f>
        <v>68585</v>
      </c>
      <c r="E18" s="113">
        <f>세입!F193</f>
        <v>163849</v>
      </c>
      <c r="F18" s="114">
        <f t="shared" si="0"/>
        <v>95264</v>
      </c>
      <c r="G18" s="745"/>
      <c r="H18" s="112" t="s">
        <v>100</v>
      </c>
      <c r="I18" s="113">
        <f>세출!D265</f>
        <v>6600</v>
      </c>
      <c r="J18" s="367">
        <f>세출!E265</f>
        <v>6530</v>
      </c>
      <c r="K18" s="115">
        <f t="shared" si="1"/>
        <v>-70</v>
      </c>
    </row>
    <row r="19" spans="2:11" ht="24.95" customHeight="1">
      <c r="B19" s="608"/>
      <c r="C19" s="112" t="s">
        <v>92</v>
      </c>
      <c r="D19" s="113">
        <f>세입!E207</f>
        <v>78510</v>
      </c>
      <c r="E19" s="113">
        <f>세입!F207</f>
        <v>78510</v>
      </c>
      <c r="F19" s="114">
        <f t="shared" si="0"/>
        <v>0</v>
      </c>
      <c r="G19" s="745"/>
      <c r="H19" s="112" t="s">
        <v>103</v>
      </c>
      <c r="I19" s="113">
        <f>세출!D269</f>
        <v>4080</v>
      </c>
      <c r="J19" s="367">
        <f>세출!E269</f>
        <v>4080</v>
      </c>
      <c r="K19" s="115">
        <f t="shared" si="1"/>
        <v>0</v>
      </c>
    </row>
    <row r="20" spans="2:11" ht="24.95" customHeight="1">
      <c r="B20" s="607" t="s">
        <v>94</v>
      </c>
      <c r="C20" s="243" t="s">
        <v>192</v>
      </c>
      <c r="D20" s="244">
        <f>D21</f>
        <v>85571</v>
      </c>
      <c r="E20" s="244">
        <f>E21</f>
        <v>85571</v>
      </c>
      <c r="F20" s="114">
        <f t="shared" si="0"/>
        <v>0</v>
      </c>
      <c r="G20" s="745"/>
      <c r="H20" s="112" t="s">
        <v>104</v>
      </c>
      <c r="I20" s="113">
        <f>세출!D272</f>
        <v>12140</v>
      </c>
      <c r="J20" s="367">
        <f>세출!E272</f>
        <v>5840</v>
      </c>
      <c r="K20" s="115">
        <f t="shared" si="1"/>
        <v>-6300</v>
      </c>
    </row>
    <row r="21" spans="2:11" ht="24.95" customHeight="1">
      <c r="B21" s="608"/>
      <c r="C21" s="112" t="s">
        <v>95</v>
      </c>
      <c r="D21" s="113">
        <f>세입!E219</f>
        <v>85571</v>
      </c>
      <c r="E21" s="113">
        <f>세입!F219</f>
        <v>85571</v>
      </c>
      <c r="F21" s="114">
        <f t="shared" si="0"/>
        <v>0</v>
      </c>
      <c r="G21" s="745"/>
      <c r="H21" s="112" t="s">
        <v>105</v>
      </c>
      <c r="I21" s="113">
        <f>세출!D280</f>
        <v>33800</v>
      </c>
      <c r="J21" s="367">
        <f>세출!E280</f>
        <v>29800</v>
      </c>
      <c r="K21" s="115">
        <f t="shared" si="1"/>
        <v>-4000</v>
      </c>
    </row>
    <row r="22" spans="2:11" ht="24.95" customHeight="1">
      <c r="B22" s="375" t="s">
        <v>98</v>
      </c>
      <c r="C22" s="243" t="s">
        <v>192</v>
      </c>
      <c r="D22" s="244">
        <f>D23</f>
        <v>128374</v>
      </c>
      <c r="E22" s="244">
        <f>E23</f>
        <v>128376</v>
      </c>
      <c r="F22" s="114">
        <f t="shared" si="0"/>
        <v>2</v>
      </c>
      <c r="G22" s="744"/>
      <c r="H22" s="112" t="s">
        <v>106</v>
      </c>
      <c r="I22" s="113">
        <f>세출!D285</f>
        <v>119711</v>
      </c>
      <c r="J22" s="367">
        <f>세출!E285</f>
        <v>107060</v>
      </c>
      <c r="K22" s="115">
        <f t="shared" si="1"/>
        <v>-12651</v>
      </c>
    </row>
    <row r="23" spans="2:11" ht="24.95" customHeight="1">
      <c r="B23" s="376"/>
      <c r="C23" s="112" t="s">
        <v>99</v>
      </c>
      <c r="D23" s="113">
        <f>세입!E345</f>
        <v>128374</v>
      </c>
      <c r="E23" s="113">
        <f>세입!F345</f>
        <v>128376</v>
      </c>
      <c r="F23" s="114">
        <f t="shared" si="0"/>
        <v>2</v>
      </c>
      <c r="G23" s="743" t="s">
        <v>107</v>
      </c>
      <c r="H23" s="243" t="s">
        <v>192</v>
      </c>
      <c r="I23" s="244">
        <v>0</v>
      </c>
      <c r="J23" s="244">
        <f>J24</f>
        <v>0</v>
      </c>
      <c r="K23" s="115">
        <f t="shared" si="1"/>
        <v>0</v>
      </c>
    </row>
    <row r="24" spans="2:11" ht="24.95" customHeight="1">
      <c r="B24" s="375" t="s">
        <v>101</v>
      </c>
      <c r="C24" s="243" t="s">
        <v>192</v>
      </c>
      <c r="D24" s="244">
        <f>D25</f>
        <v>70480</v>
      </c>
      <c r="E24" s="244">
        <f>E25</f>
        <v>71371</v>
      </c>
      <c r="F24" s="114">
        <f t="shared" si="0"/>
        <v>891</v>
      </c>
      <c r="G24" s="744"/>
      <c r="H24" s="112" t="s">
        <v>108</v>
      </c>
      <c r="I24" s="113">
        <v>0</v>
      </c>
      <c r="J24" s="113">
        <v>0</v>
      </c>
      <c r="K24" s="115">
        <f t="shared" si="1"/>
        <v>0</v>
      </c>
    </row>
    <row r="25" spans="2:11" ht="24.95" customHeight="1">
      <c r="B25" s="376"/>
      <c r="C25" s="112" t="s">
        <v>102</v>
      </c>
      <c r="D25" s="113">
        <f>세입!E378</f>
        <v>70480</v>
      </c>
      <c r="E25" s="113">
        <f>세입!F378</f>
        <v>71371</v>
      </c>
      <c r="F25" s="114">
        <f t="shared" si="0"/>
        <v>891</v>
      </c>
      <c r="G25" s="743" t="s">
        <v>109</v>
      </c>
      <c r="H25" s="243" t="s">
        <v>192</v>
      </c>
      <c r="I25" s="244">
        <f>I26</f>
        <v>9910</v>
      </c>
      <c r="J25" s="244">
        <f>J26</f>
        <v>9912</v>
      </c>
      <c r="K25" s="115">
        <f t="shared" si="1"/>
        <v>2</v>
      </c>
    </row>
    <row r="26" spans="2:11" ht="24.95" customHeight="1" thickBot="1">
      <c r="B26" s="288"/>
      <c r="C26" s="289"/>
      <c r="D26" s="289"/>
      <c r="E26" s="289"/>
      <c r="F26" s="289"/>
      <c r="G26" s="746"/>
      <c r="H26" s="378" t="s">
        <v>662</v>
      </c>
      <c r="I26" s="116">
        <f>세출!D406</f>
        <v>9910</v>
      </c>
      <c r="J26" s="116">
        <f>세출!E399</f>
        <v>9912</v>
      </c>
      <c r="K26" s="117">
        <f t="shared" si="1"/>
        <v>2</v>
      </c>
    </row>
    <row r="27" spans="2:11" ht="24.95" customHeight="1"/>
    <row r="28" spans="2:11" ht="24.95" customHeight="1"/>
    <row r="29" spans="2:11" ht="24.95" customHeight="1"/>
  </sheetData>
  <mergeCells count="18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7:C7"/>
    <mergeCell ref="G7:H7"/>
    <mergeCell ref="B8:B9"/>
    <mergeCell ref="G8:G11"/>
    <mergeCell ref="G25:G26"/>
    <mergeCell ref="G16:G22"/>
    <mergeCell ref="G23:G24"/>
    <mergeCell ref="G12:G15"/>
  </mergeCells>
  <phoneticPr fontId="1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AM406"/>
  <sheetViews>
    <sheetView zoomScale="85" zoomScaleNormal="8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P17" sqref="P17"/>
    </sheetView>
  </sheetViews>
  <sheetFormatPr defaultColWidth="13.77734375" defaultRowHeight="19.5" customHeight="1"/>
  <cols>
    <col min="1" max="3" width="8.33203125" style="4" customWidth="1"/>
    <col min="4" max="4" width="12.88671875" style="4" bestFit="1" customWidth="1"/>
    <col min="5" max="5" width="10.109375" style="5" bestFit="1" customWidth="1"/>
    <col min="6" max="6" width="9.44140625" style="5" bestFit="1" customWidth="1"/>
    <col min="7" max="7" width="9.44140625" style="6" bestFit="1" customWidth="1"/>
    <col min="8" max="8" width="6.6640625" style="8" bestFit="1" customWidth="1"/>
    <col min="9" max="9" width="20.218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1.109375" style="2" bestFit="1" customWidth="1"/>
    <col min="14" max="14" width="3.109375" style="389" customWidth="1"/>
    <col min="15" max="15" width="3.88671875" style="389" bestFit="1" customWidth="1"/>
    <col min="16" max="16" width="7.6640625" style="2" bestFit="1" customWidth="1"/>
    <col min="17" max="17" width="4.88671875" style="389" customWidth="1"/>
    <col min="18" max="18" width="5.33203125" style="389" bestFit="1" customWidth="1"/>
    <col min="19" max="19" width="6.77734375" style="2" bestFit="1" customWidth="1"/>
    <col min="20" max="20" width="2.77734375" style="389" bestFit="1" customWidth="1"/>
    <col min="21" max="21" width="2.109375" style="389" bestFit="1" customWidth="1"/>
    <col min="22" max="22" width="5.77734375" style="2" bestFit="1" customWidth="1"/>
    <col min="23" max="23" width="2.5546875" style="389" customWidth="1"/>
    <col min="24" max="24" width="12.44140625" style="2" bestFit="1" customWidth="1"/>
    <col min="25" max="25" width="2.77734375" style="389" customWidth="1"/>
    <col min="26" max="29" width="13.77734375" style="1"/>
    <col min="30" max="30" width="2.77734375" style="1" bestFit="1" customWidth="1"/>
    <col min="31" max="31" width="7.88671875" style="1" bestFit="1" customWidth="1"/>
    <col min="32" max="32" width="3.33203125" style="1" bestFit="1" customWidth="1"/>
    <col min="33" max="33" width="2.77734375" style="1" bestFit="1" customWidth="1"/>
    <col min="34" max="34" width="2.6640625" style="1" bestFit="1" customWidth="1"/>
    <col min="35" max="35" width="3.33203125" style="1" bestFit="1" customWidth="1"/>
    <col min="36" max="36" width="2.77734375" style="1" bestFit="1" customWidth="1"/>
    <col min="37" max="37" width="3.5546875" style="1" bestFit="1" customWidth="1"/>
    <col min="38" max="38" width="3.33203125" style="1" bestFit="1" customWidth="1"/>
    <col min="39" max="16384" width="13.77734375" style="1"/>
  </cols>
  <sheetData>
    <row r="1" spans="1:26" s="7" customFormat="1" ht="19.5" customHeight="1" thickBot="1">
      <c r="A1" s="767" t="s">
        <v>835</v>
      </c>
      <c r="B1" s="767"/>
      <c r="C1" s="767"/>
      <c r="D1" s="767"/>
      <c r="E1" s="5"/>
      <c r="F1" s="5"/>
      <c r="G1" s="6"/>
      <c r="H1" s="8"/>
      <c r="I1" s="1"/>
      <c r="J1" s="2"/>
      <c r="K1" s="2"/>
      <c r="L1" s="2"/>
      <c r="M1" s="2"/>
      <c r="N1" s="389"/>
      <c r="O1" s="389"/>
      <c r="P1" s="2"/>
      <c r="Q1" s="389"/>
      <c r="R1" s="389"/>
      <c r="S1" s="2"/>
      <c r="T1" s="389"/>
      <c r="U1" s="389"/>
      <c r="V1" s="2"/>
      <c r="W1" s="389"/>
      <c r="X1" s="2"/>
      <c r="Y1" s="389"/>
    </row>
    <row r="2" spans="1:26" s="3" customFormat="1" ht="27" customHeight="1">
      <c r="A2" s="768" t="s">
        <v>313</v>
      </c>
      <c r="B2" s="769"/>
      <c r="C2" s="769"/>
      <c r="D2" s="769"/>
      <c r="E2" s="770" t="s">
        <v>836</v>
      </c>
      <c r="F2" s="770" t="s">
        <v>848</v>
      </c>
      <c r="G2" s="775" t="s">
        <v>23</v>
      </c>
      <c r="H2" s="775"/>
      <c r="I2" s="776" t="s">
        <v>314</v>
      </c>
      <c r="J2" s="777"/>
      <c r="K2" s="777"/>
      <c r="L2" s="777"/>
      <c r="M2" s="777"/>
      <c r="N2" s="777"/>
      <c r="O2" s="777"/>
      <c r="P2" s="777"/>
      <c r="Q2" s="777"/>
      <c r="R2" s="777"/>
      <c r="S2" s="777"/>
      <c r="T2" s="777"/>
      <c r="U2" s="777"/>
      <c r="V2" s="777"/>
      <c r="W2" s="777"/>
      <c r="X2" s="777"/>
      <c r="Y2" s="778"/>
    </row>
    <row r="3" spans="1:26" s="3" customFormat="1" ht="32.25" customHeight="1" thickBot="1">
      <c r="A3" s="11" t="s">
        <v>1</v>
      </c>
      <c r="B3" s="12" t="s">
        <v>2</v>
      </c>
      <c r="C3" s="12" t="s">
        <v>315</v>
      </c>
      <c r="D3" s="12" t="s">
        <v>316</v>
      </c>
      <c r="E3" s="771"/>
      <c r="F3" s="771"/>
      <c r="G3" s="86" t="s">
        <v>317</v>
      </c>
      <c r="H3" s="13" t="s">
        <v>4</v>
      </c>
      <c r="I3" s="779"/>
      <c r="J3" s="780"/>
      <c r="K3" s="780"/>
      <c r="L3" s="780"/>
      <c r="M3" s="780"/>
      <c r="N3" s="780"/>
      <c r="O3" s="780"/>
      <c r="P3" s="780"/>
      <c r="Q3" s="780"/>
      <c r="R3" s="780"/>
      <c r="S3" s="780"/>
      <c r="T3" s="780"/>
      <c r="U3" s="780"/>
      <c r="V3" s="780"/>
      <c r="W3" s="780"/>
      <c r="X3" s="780"/>
      <c r="Y3" s="781"/>
    </row>
    <row r="4" spans="1:26" s="3" customFormat="1" ht="19.5" customHeight="1">
      <c r="A4" s="772" t="s">
        <v>24</v>
      </c>
      <c r="B4" s="773"/>
      <c r="C4" s="773"/>
      <c r="D4" s="774"/>
      <c r="E4" s="137">
        <f>SUM(E5,E10,E14,E16,E192,E212,E219,E345,E378)</f>
        <v>3051239</v>
      </c>
      <c r="F4" s="137">
        <f>SUM(F5,F10,F14,F16,F192,F212,F219,F345,F378)</f>
        <v>3135263</v>
      </c>
      <c r="G4" s="181">
        <f>SUM(G5,G10,G14,G16,G192,G212,G219,G345,G378)</f>
        <v>84024</v>
      </c>
      <c r="H4" s="138">
        <f>IF(E4=0,0,G4/E4)</f>
        <v>2.753766584656266E-2</v>
      </c>
      <c r="I4" s="14" t="s">
        <v>318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583">
        <f>SUM(X5,X10,X14,X16,X192,X212,X219,X345,X378)</f>
        <v>3135263000</v>
      </c>
      <c r="Y4" s="390" t="s">
        <v>319</v>
      </c>
      <c r="Z4" s="419"/>
    </row>
    <row r="5" spans="1:26" ht="21" customHeight="1" thickBot="1">
      <c r="A5" s="17" t="s">
        <v>320</v>
      </c>
      <c r="B5" s="18" t="s">
        <v>320</v>
      </c>
      <c r="C5" s="119" t="s">
        <v>321</v>
      </c>
      <c r="D5" s="119" t="s">
        <v>321</v>
      </c>
      <c r="E5" s="131">
        <v>95380</v>
      </c>
      <c r="F5" s="131">
        <f>ROUND(X5/1000,0)</f>
        <v>95380</v>
      </c>
      <c r="G5" s="132">
        <f>F5-E5</f>
        <v>0</v>
      </c>
      <c r="H5" s="133">
        <f>IF(E5=0,0,G5/E5)</f>
        <v>0</v>
      </c>
      <c r="I5" s="22" t="s">
        <v>322</v>
      </c>
      <c r="J5" s="83"/>
      <c r="K5" s="23"/>
      <c r="L5" s="23"/>
      <c r="M5" s="23"/>
      <c r="N5" s="467"/>
      <c r="O5" s="467"/>
      <c r="P5" s="24"/>
      <c r="Q5" s="421" t="s">
        <v>323</v>
      </c>
      <c r="R5" s="421"/>
      <c r="S5" s="347"/>
      <c r="T5" s="421"/>
      <c r="U5" s="421"/>
      <c r="V5" s="347"/>
      <c r="W5" s="421"/>
      <c r="X5" s="600">
        <f>SUM(X6:X9)</f>
        <v>95380000</v>
      </c>
      <c r="Y5" s="391" t="s">
        <v>25</v>
      </c>
      <c r="Z5" s="419"/>
    </row>
    <row r="6" spans="1:26" ht="21" customHeight="1">
      <c r="A6" s="25" t="s">
        <v>324</v>
      </c>
      <c r="B6" s="26" t="s">
        <v>111</v>
      </c>
      <c r="C6" s="27" t="s">
        <v>111</v>
      </c>
      <c r="D6" s="27" t="s">
        <v>111</v>
      </c>
      <c r="E6" s="299"/>
      <c r="F6" s="299"/>
      <c r="G6" s="300"/>
      <c r="H6" s="301"/>
      <c r="I6" s="304" t="s">
        <v>770</v>
      </c>
      <c r="J6" s="303"/>
      <c r="K6" s="298"/>
      <c r="L6" s="298"/>
      <c r="M6" s="337">
        <v>380000</v>
      </c>
      <c r="N6" s="339" t="s">
        <v>319</v>
      </c>
      <c r="O6" s="298" t="s">
        <v>325</v>
      </c>
      <c r="P6" s="337">
        <v>27</v>
      </c>
      <c r="Q6" s="339" t="s">
        <v>326</v>
      </c>
      <c r="R6" s="298" t="s">
        <v>325</v>
      </c>
      <c r="S6" s="186">
        <v>1</v>
      </c>
      <c r="T6" s="339" t="s">
        <v>327</v>
      </c>
      <c r="U6" s="339" t="s">
        <v>328</v>
      </c>
      <c r="V6" s="339"/>
      <c r="W6" s="339"/>
      <c r="X6" s="598">
        <f>M6*P6*S6</f>
        <v>10260000</v>
      </c>
      <c r="Y6" s="392" t="s">
        <v>319</v>
      </c>
      <c r="Z6" s="419"/>
    </row>
    <row r="7" spans="1:26" ht="21" customHeight="1">
      <c r="A7" s="25"/>
      <c r="B7" s="26"/>
      <c r="C7" s="27"/>
      <c r="D7" s="27"/>
      <c r="E7" s="299"/>
      <c r="F7" s="299"/>
      <c r="G7" s="300"/>
      <c r="H7" s="301"/>
      <c r="I7" s="304" t="s">
        <v>768</v>
      </c>
      <c r="J7" s="303"/>
      <c r="K7" s="298"/>
      <c r="L7" s="298"/>
      <c r="M7" s="337">
        <v>380000</v>
      </c>
      <c r="N7" s="339" t="s">
        <v>55</v>
      </c>
      <c r="O7" s="298" t="s">
        <v>292</v>
      </c>
      <c r="P7" s="337">
        <v>24</v>
      </c>
      <c r="Q7" s="339" t="s">
        <v>293</v>
      </c>
      <c r="R7" s="298" t="s">
        <v>292</v>
      </c>
      <c r="S7" s="186">
        <v>1</v>
      </c>
      <c r="T7" s="339" t="s">
        <v>0</v>
      </c>
      <c r="U7" s="339" t="s">
        <v>291</v>
      </c>
      <c r="V7" s="339"/>
      <c r="W7" s="339"/>
      <c r="X7" s="598">
        <f>M7*P7*S7</f>
        <v>9120000</v>
      </c>
      <c r="Y7" s="392" t="s">
        <v>55</v>
      </c>
      <c r="Z7" s="419"/>
    </row>
    <row r="8" spans="1:26" ht="21" customHeight="1">
      <c r="A8" s="25"/>
      <c r="B8" s="26"/>
      <c r="C8" s="27"/>
      <c r="D8" s="27"/>
      <c r="E8" s="299"/>
      <c r="F8" s="299"/>
      <c r="G8" s="300"/>
      <c r="H8" s="301"/>
      <c r="I8" s="304" t="s">
        <v>769</v>
      </c>
      <c r="J8" s="303"/>
      <c r="K8" s="298"/>
      <c r="L8" s="298"/>
      <c r="M8" s="337">
        <v>380000</v>
      </c>
      <c r="N8" s="339" t="s">
        <v>55</v>
      </c>
      <c r="O8" s="298" t="s">
        <v>56</v>
      </c>
      <c r="P8" s="337">
        <v>20</v>
      </c>
      <c r="Q8" s="339" t="s">
        <v>54</v>
      </c>
      <c r="R8" s="298" t="s">
        <v>56</v>
      </c>
      <c r="S8" s="186">
        <v>10</v>
      </c>
      <c r="T8" s="339" t="s">
        <v>0</v>
      </c>
      <c r="U8" s="339" t="s">
        <v>53</v>
      </c>
      <c r="V8" s="339"/>
      <c r="W8" s="339"/>
      <c r="X8" s="598">
        <f>M8*P8*S8</f>
        <v>76000000</v>
      </c>
      <c r="Y8" s="392" t="s">
        <v>55</v>
      </c>
      <c r="Z8" s="419"/>
    </row>
    <row r="9" spans="1:26" ht="21" customHeight="1">
      <c r="A9" s="25"/>
      <c r="B9" s="26"/>
      <c r="C9" s="27"/>
      <c r="D9" s="27"/>
      <c r="E9" s="28"/>
      <c r="F9" s="28"/>
      <c r="G9" s="29"/>
      <c r="H9" s="16"/>
      <c r="I9" s="304"/>
      <c r="J9" s="303"/>
      <c r="K9" s="298"/>
      <c r="L9" s="298"/>
      <c r="M9" s="337"/>
      <c r="N9" s="339"/>
      <c r="O9" s="298"/>
      <c r="P9" s="337"/>
      <c r="Q9" s="339"/>
      <c r="R9" s="298"/>
      <c r="S9" s="186"/>
      <c r="T9" s="339"/>
      <c r="U9" s="339"/>
      <c r="V9" s="339"/>
      <c r="W9" s="339"/>
      <c r="X9" s="598">
        <f>M9*P9*S9</f>
        <v>0</v>
      </c>
      <c r="Y9" s="392" t="s">
        <v>319</v>
      </c>
      <c r="Z9" s="419"/>
    </row>
    <row r="10" spans="1:26" s="7" customFormat="1" ht="19.5" customHeight="1" thickBot="1">
      <c r="A10" s="17" t="s">
        <v>329</v>
      </c>
      <c r="B10" s="18" t="s">
        <v>329</v>
      </c>
      <c r="C10" s="18" t="s">
        <v>329</v>
      </c>
      <c r="D10" s="18" t="s">
        <v>329</v>
      </c>
      <c r="E10" s="131">
        <v>4400</v>
      </c>
      <c r="F10" s="131">
        <f>ROUND(X10/1000,0)</f>
        <v>3052</v>
      </c>
      <c r="G10" s="132">
        <f>F10-E10</f>
        <v>-1348</v>
      </c>
      <c r="H10" s="133">
        <f>IF(E10=0,0,G10/E10)</f>
        <v>-0.30636363636363634</v>
      </c>
      <c r="I10" s="22" t="s">
        <v>330</v>
      </c>
      <c r="J10" s="83"/>
      <c r="K10" s="23"/>
      <c r="L10" s="23"/>
      <c r="M10" s="23"/>
      <c r="N10" s="467"/>
      <c r="O10" s="467"/>
      <c r="P10" s="24"/>
      <c r="Q10" s="422" t="s">
        <v>323</v>
      </c>
      <c r="R10" s="422"/>
      <c r="S10" s="24"/>
      <c r="T10" s="422"/>
      <c r="U10" s="422"/>
      <c r="V10" s="24"/>
      <c r="W10" s="422"/>
      <c r="X10" s="600">
        <f>SUM(X11:X13)</f>
        <v>3052000</v>
      </c>
      <c r="Y10" s="393" t="s">
        <v>25</v>
      </c>
      <c r="Z10" s="419"/>
    </row>
    <row r="11" spans="1:26" s="7" customFormat="1" ht="19.5" customHeight="1">
      <c r="A11" s="25" t="s">
        <v>331</v>
      </c>
      <c r="B11" s="26" t="s">
        <v>331</v>
      </c>
      <c r="C11" s="26" t="s">
        <v>331</v>
      </c>
      <c r="D11" s="26" t="s">
        <v>331</v>
      </c>
      <c r="E11" s="299"/>
      <c r="F11" s="299"/>
      <c r="G11" s="300"/>
      <c r="H11" s="301"/>
      <c r="I11" s="304" t="s">
        <v>810</v>
      </c>
      <c r="J11" s="325"/>
      <c r="K11" s="176"/>
      <c r="L11" s="176"/>
      <c r="M11" s="225"/>
      <c r="N11" s="291"/>
      <c r="O11" s="176"/>
      <c r="P11" s="225"/>
      <c r="Q11" s="291"/>
      <c r="R11" s="176"/>
      <c r="S11" s="331"/>
      <c r="T11" s="291"/>
      <c r="U11" s="291"/>
      <c r="V11" s="291"/>
      <c r="W11" s="291"/>
      <c r="X11" s="598">
        <v>0</v>
      </c>
      <c r="Y11" s="392" t="s">
        <v>358</v>
      </c>
      <c r="Z11" s="419"/>
    </row>
    <row r="12" spans="1:26" s="7" customFormat="1" ht="19.5" customHeight="1">
      <c r="A12" s="25"/>
      <c r="B12" s="26"/>
      <c r="C12" s="26"/>
      <c r="D12" s="26"/>
      <c r="E12" s="299"/>
      <c r="F12" s="299"/>
      <c r="G12" s="300"/>
      <c r="H12" s="301"/>
      <c r="I12" s="304" t="s">
        <v>793</v>
      </c>
      <c r="J12" s="325"/>
      <c r="K12" s="176"/>
      <c r="L12" s="176"/>
      <c r="M12" s="225"/>
      <c r="N12" s="291"/>
      <c r="O12" s="176"/>
      <c r="P12" s="225"/>
      <c r="Q12" s="291"/>
      <c r="R12" s="176"/>
      <c r="S12" s="331"/>
      <c r="T12" s="291"/>
      <c r="U12" s="291"/>
      <c r="V12" s="291"/>
      <c r="W12" s="291"/>
      <c r="X12" s="598">
        <v>2100000</v>
      </c>
      <c r="Y12" s="392" t="s">
        <v>790</v>
      </c>
      <c r="Z12" s="419"/>
    </row>
    <row r="13" spans="1:26" ht="21" customHeight="1">
      <c r="A13" s="33"/>
      <c r="B13" s="34"/>
      <c r="C13" s="34"/>
      <c r="D13" s="34"/>
      <c r="E13" s="28"/>
      <c r="F13" s="28"/>
      <c r="G13" s="29"/>
      <c r="H13" s="16"/>
      <c r="I13" s="304" t="s">
        <v>671</v>
      </c>
      <c r="J13" s="325"/>
      <c r="K13" s="176"/>
      <c r="L13" s="176"/>
      <c r="M13" s="225"/>
      <c r="N13" s="291"/>
      <c r="O13" s="176"/>
      <c r="P13" s="225"/>
      <c r="Q13" s="291"/>
      <c r="R13" s="176"/>
      <c r="S13" s="331"/>
      <c r="T13" s="291"/>
      <c r="U13" s="291"/>
      <c r="V13" s="291"/>
      <c r="W13" s="291"/>
      <c r="X13" s="598">
        <v>952000</v>
      </c>
      <c r="Y13" s="392" t="s">
        <v>655</v>
      </c>
      <c r="Z13" s="419"/>
    </row>
    <row r="14" spans="1:26" ht="21" customHeight="1" thickBot="1">
      <c r="A14" s="17" t="s">
        <v>332</v>
      </c>
      <c r="B14" s="18" t="s">
        <v>332</v>
      </c>
      <c r="C14" s="18" t="s">
        <v>332</v>
      </c>
      <c r="D14" s="18" t="s">
        <v>332</v>
      </c>
      <c r="E14" s="131">
        <v>0</v>
      </c>
      <c r="F14" s="131">
        <f>ROUND(X14/1000,0)</f>
        <v>0</v>
      </c>
      <c r="G14" s="132">
        <f>F14-E14</f>
        <v>0</v>
      </c>
      <c r="H14" s="133">
        <f>IF(E14=0,0,G14/E14)</f>
        <v>0</v>
      </c>
      <c r="I14" s="22" t="s">
        <v>333</v>
      </c>
      <c r="J14" s="83"/>
      <c r="K14" s="23"/>
      <c r="L14" s="23"/>
      <c r="M14" s="23"/>
      <c r="N14" s="467"/>
      <c r="O14" s="467"/>
      <c r="P14" s="24"/>
      <c r="Q14" s="422" t="s">
        <v>323</v>
      </c>
      <c r="R14" s="422"/>
      <c r="S14" s="24"/>
      <c r="T14" s="422"/>
      <c r="U14" s="422"/>
      <c r="V14" s="24"/>
      <c r="W14" s="422"/>
      <c r="X14" s="568">
        <f>X15</f>
        <v>0</v>
      </c>
      <c r="Y14" s="393" t="s">
        <v>25</v>
      </c>
      <c r="Z14" s="419"/>
    </row>
    <row r="15" spans="1:26" ht="21" customHeight="1">
      <c r="A15" s="33" t="s">
        <v>331</v>
      </c>
      <c r="B15" s="34" t="s">
        <v>331</v>
      </c>
      <c r="C15" s="34" t="s">
        <v>331</v>
      </c>
      <c r="D15" s="283" t="s">
        <v>331</v>
      </c>
      <c r="E15" s="140">
        <v>0</v>
      </c>
      <c r="F15" s="141">
        <v>0</v>
      </c>
      <c r="G15" s="142"/>
      <c r="H15" s="143"/>
      <c r="I15" s="144"/>
      <c r="J15" s="145"/>
      <c r="K15" s="146"/>
      <c r="L15" s="146"/>
      <c r="M15" s="146"/>
      <c r="N15" s="468"/>
      <c r="O15" s="468"/>
      <c r="P15" s="147"/>
      <c r="Q15" s="423"/>
      <c r="R15" s="423"/>
      <c r="S15" s="147"/>
      <c r="T15" s="423"/>
      <c r="U15" s="423"/>
      <c r="V15" s="147"/>
      <c r="W15" s="423"/>
      <c r="X15" s="576">
        <v>0</v>
      </c>
      <c r="Y15" s="394" t="s">
        <v>319</v>
      </c>
      <c r="Z15" s="419"/>
    </row>
    <row r="16" spans="1:26" s="7" customFormat="1" ht="19.5" customHeight="1">
      <c r="A16" s="17" t="s">
        <v>334</v>
      </c>
      <c r="B16" s="18" t="s">
        <v>334</v>
      </c>
      <c r="C16" s="764" t="s">
        <v>335</v>
      </c>
      <c r="D16" s="765"/>
      <c r="E16" s="155">
        <f>SUM(E17,E52,E122,E189)</f>
        <v>2519939</v>
      </c>
      <c r="F16" s="155">
        <f>SUM(F17,F52,F122,F189)</f>
        <v>2509154</v>
      </c>
      <c r="G16" s="156">
        <f>F16-E16</f>
        <v>-10785</v>
      </c>
      <c r="H16" s="157">
        <f>IF(E16=0,0,G16/E16)</f>
        <v>-4.2798655046808673E-3</v>
      </c>
      <c r="I16" s="158" t="s">
        <v>336</v>
      </c>
      <c r="J16" s="159"/>
      <c r="K16" s="160"/>
      <c r="L16" s="160"/>
      <c r="M16" s="159"/>
      <c r="N16" s="424"/>
      <c r="O16" s="424"/>
      <c r="P16" s="159"/>
      <c r="Q16" s="424"/>
      <c r="R16" s="160"/>
      <c r="S16" s="161"/>
      <c r="T16" s="160"/>
      <c r="U16" s="160"/>
      <c r="V16" s="161"/>
      <c r="W16" s="160"/>
      <c r="X16" s="581">
        <f>SUM(X17,X52,X122,X189)</f>
        <v>2509154000</v>
      </c>
      <c r="Y16" s="395" t="s">
        <v>25</v>
      </c>
      <c r="Z16" s="419"/>
    </row>
    <row r="17" spans="1:26" s="7" customFormat="1" ht="19.5" customHeight="1">
      <c r="A17" s="25" t="s">
        <v>337</v>
      </c>
      <c r="B17" s="26" t="s">
        <v>331</v>
      </c>
      <c r="C17" s="18" t="s">
        <v>338</v>
      </c>
      <c r="D17" s="250" t="s">
        <v>339</v>
      </c>
      <c r="E17" s="134">
        <f>SUM(E18:E44)</f>
        <v>1661962</v>
      </c>
      <c r="F17" s="134">
        <f>SUM(F18:F44)</f>
        <v>1657961</v>
      </c>
      <c r="G17" s="135">
        <f>F17-E17</f>
        <v>-4001</v>
      </c>
      <c r="H17" s="136">
        <f>IF(E17=0,0,G17/E17)</f>
        <v>-2.4073955962892052E-3</v>
      </c>
      <c r="I17" s="121" t="s">
        <v>340</v>
      </c>
      <c r="J17" s="122"/>
      <c r="K17" s="123"/>
      <c r="L17" s="123"/>
      <c r="M17" s="123"/>
      <c r="N17" s="469"/>
      <c r="O17" s="469"/>
      <c r="P17" s="124"/>
      <c r="Q17" s="425"/>
      <c r="R17" s="425"/>
      <c r="S17" s="124"/>
      <c r="T17" s="425"/>
      <c r="U17" s="425"/>
      <c r="V17" s="148" t="s">
        <v>341</v>
      </c>
      <c r="W17" s="487"/>
      <c r="X17" s="578">
        <f>SUM(X18,X26,X44)</f>
        <v>1657961000</v>
      </c>
      <c r="Y17" s="396" t="s">
        <v>319</v>
      </c>
      <c r="Z17" s="419"/>
    </row>
    <row r="18" spans="1:26" s="7" customFormat="1" ht="19.5" customHeight="1">
      <c r="A18" s="25"/>
      <c r="B18" s="26"/>
      <c r="C18" s="26" t="s">
        <v>334</v>
      </c>
      <c r="D18" s="26" t="s">
        <v>342</v>
      </c>
      <c r="E18" s="282">
        <v>97045</v>
      </c>
      <c r="F18" s="282">
        <f>ROUND(X18/1000,0)</f>
        <v>93169</v>
      </c>
      <c r="G18" s="167">
        <f>F18-E18</f>
        <v>-3876</v>
      </c>
      <c r="H18" s="168">
        <f>IF(E18=0,0,G18/E18)</f>
        <v>-3.9940233912102635E-2</v>
      </c>
      <c r="I18" s="84" t="s">
        <v>343</v>
      </c>
      <c r="J18" s="185"/>
      <c r="K18" s="184"/>
      <c r="L18" s="184"/>
      <c r="M18" s="225"/>
      <c r="N18" s="462"/>
      <c r="O18" s="46"/>
      <c r="P18" s="184"/>
      <c r="Q18" s="462"/>
      <c r="R18" s="384"/>
      <c r="S18" s="362"/>
      <c r="T18" s="473"/>
      <c r="U18" s="462"/>
      <c r="V18" s="269" t="s">
        <v>344</v>
      </c>
      <c r="W18" s="461"/>
      <c r="X18" s="574">
        <f>SUM(X19:X25)</f>
        <v>93169000</v>
      </c>
      <c r="Y18" s="397" t="s">
        <v>319</v>
      </c>
      <c r="Z18" s="419"/>
    </row>
    <row r="19" spans="1:26" s="7" customFormat="1" ht="19.5" customHeight="1">
      <c r="A19" s="35"/>
      <c r="B19" s="26"/>
      <c r="C19" s="26"/>
      <c r="D19" s="26"/>
      <c r="E19" s="28"/>
      <c r="F19" s="281"/>
      <c r="G19" s="29"/>
      <c r="H19" s="43"/>
      <c r="I19" s="177" t="s">
        <v>683</v>
      </c>
      <c r="J19" s="185"/>
      <c r="K19" s="586"/>
      <c r="L19" s="586"/>
      <c r="M19" s="586">
        <v>303266</v>
      </c>
      <c r="N19" s="565" t="s">
        <v>25</v>
      </c>
      <c r="O19" s="46" t="s">
        <v>26</v>
      </c>
      <c r="P19" s="598">
        <v>24</v>
      </c>
      <c r="Q19" s="565" t="s">
        <v>128</v>
      </c>
      <c r="R19" s="384" t="s">
        <v>26</v>
      </c>
      <c r="S19" s="381">
        <v>1</v>
      </c>
      <c r="T19" s="473" t="s">
        <v>29</v>
      </c>
      <c r="U19" s="462" t="s">
        <v>26</v>
      </c>
      <c r="V19" s="268">
        <v>0.9</v>
      </c>
      <c r="W19" s="462" t="s">
        <v>27</v>
      </c>
      <c r="X19" s="599">
        <f>ROUNDUP(M19*P19*S19*V19,-3)</f>
        <v>6551000</v>
      </c>
      <c r="Y19" s="398" t="s">
        <v>319</v>
      </c>
      <c r="Z19" s="419"/>
    </row>
    <row r="20" spans="1:26" s="7" customFormat="1" ht="19.5" customHeight="1">
      <c r="A20" s="35"/>
      <c r="B20" s="26"/>
      <c r="C20" s="26"/>
      <c r="D20" s="26"/>
      <c r="E20" s="28"/>
      <c r="F20" s="281"/>
      <c r="G20" s="29"/>
      <c r="H20" s="43"/>
      <c r="I20" s="177" t="s">
        <v>681</v>
      </c>
      <c r="J20" s="185"/>
      <c r="K20" s="586"/>
      <c r="L20" s="586"/>
      <c r="M20" s="586">
        <v>303266</v>
      </c>
      <c r="N20" s="565" t="s">
        <v>25</v>
      </c>
      <c r="O20" s="46" t="s">
        <v>26</v>
      </c>
      <c r="P20" s="598">
        <v>27</v>
      </c>
      <c r="Q20" s="565" t="s">
        <v>128</v>
      </c>
      <c r="R20" s="384" t="s">
        <v>26</v>
      </c>
      <c r="S20" s="381">
        <v>1</v>
      </c>
      <c r="T20" s="473" t="s">
        <v>29</v>
      </c>
      <c r="U20" s="462" t="s">
        <v>26</v>
      </c>
      <c r="V20" s="268">
        <v>0.9</v>
      </c>
      <c r="W20" s="462" t="s">
        <v>27</v>
      </c>
      <c r="X20" s="599">
        <f>ROUND(M20*P20*S20*V20,-3)</f>
        <v>7369000</v>
      </c>
      <c r="Y20" s="398" t="s">
        <v>319</v>
      </c>
      <c r="Z20" s="419"/>
    </row>
    <row r="21" spans="1:26" s="7" customFormat="1" ht="19.5" customHeight="1">
      <c r="A21" s="35"/>
      <c r="B21" s="26"/>
      <c r="C21" s="26"/>
      <c r="D21" s="26"/>
      <c r="E21" s="28"/>
      <c r="F21" s="281"/>
      <c r="G21" s="29"/>
      <c r="H21" s="43"/>
      <c r="I21" s="177" t="s">
        <v>682</v>
      </c>
      <c r="J21" s="185"/>
      <c r="K21" s="586"/>
      <c r="L21" s="586"/>
      <c r="M21" s="586">
        <v>272937</v>
      </c>
      <c r="N21" s="565" t="s">
        <v>25</v>
      </c>
      <c r="O21" s="46" t="s">
        <v>26</v>
      </c>
      <c r="P21" s="598">
        <v>31</v>
      </c>
      <c r="Q21" s="565" t="s">
        <v>128</v>
      </c>
      <c r="R21" s="384" t="s">
        <v>26</v>
      </c>
      <c r="S21" s="381">
        <v>8</v>
      </c>
      <c r="T21" s="473" t="s">
        <v>29</v>
      </c>
      <c r="U21" s="462" t="s">
        <v>26</v>
      </c>
      <c r="V21" s="268">
        <v>0.9</v>
      </c>
      <c r="W21" s="462" t="s">
        <v>27</v>
      </c>
      <c r="X21" s="599">
        <f>ROUNDDOWN(M21*P21*S21*V21,-3)</f>
        <v>60919000</v>
      </c>
      <c r="Y21" s="398" t="s">
        <v>319</v>
      </c>
      <c r="Z21" s="419"/>
    </row>
    <row r="22" spans="1:26" s="7" customFormat="1" ht="19.5" customHeight="1">
      <c r="A22" s="35"/>
      <c r="B22" s="26"/>
      <c r="C22" s="26"/>
      <c r="D22" s="26"/>
      <c r="E22" s="28"/>
      <c r="F22" s="281"/>
      <c r="G22" s="29"/>
      <c r="H22" s="43"/>
      <c r="I22" s="177" t="s">
        <v>863</v>
      </c>
      <c r="J22" s="185"/>
      <c r="K22" s="586"/>
      <c r="L22" s="586"/>
      <c r="M22" s="586">
        <v>272937</v>
      </c>
      <c r="N22" s="565" t="s">
        <v>25</v>
      </c>
      <c r="O22" s="46" t="s">
        <v>26</v>
      </c>
      <c r="P22" s="598">
        <v>30</v>
      </c>
      <c r="Q22" s="565" t="s">
        <v>128</v>
      </c>
      <c r="R22" s="384" t="s">
        <v>26</v>
      </c>
      <c r="S22" s="381">
        <v>2</v>
      </c>
      <c r="T22" s="473" t="s">
        <v>29</v>
      </c>
      <c r="U22" s="462" t="s">
        <v>26</v>
      </c>
      <c r="V22" s="268">
        <v>0.9</v>
      </c>
      <c r="W22" s="462" t="s">
        <v>27</v>
      </c>
      <c r="X22" s="599">
        <f>ROUND(M22*P22*S22*V22,-3)</f>
        <v>14739000</v>
      </c>
      <c r="Y22" s="398" t="s">
        <v>319</v>
      </c>
      <c r="Z22" s="419"/>
    </row>
    <row r="23" spans="1:26" s="7" customFormat="1" ht="19.5" customHeight="1">
      <c r="A23" s="35"/>
      <c r="B23" s="26"/>
      <c r="C23" s="26"/>
      <c r="D23" s="26"/>
      <c r="E23" s="28"/>
      <c r="F23" s="281"/>
      <c r="G23" s="29"/>
      <c r="H23" s="43"/>
      <c r="I23" s="177" t="s">
        <v>214</v>
      </c>
      <c r="J23" s="185"/>
      <c r="K23" s="586"/>
      <c r="L23" s="586"/>
      <c r="M23" s="586">
        <v>40000</v>
      </c>
      <c r="N23" s="565" t="s">
        <v>25</v>
      </c>
      <c r="O23" s="46" t="s">
        <v>26</v>
      </c>
      <c r="P23" s="598">
        <v>31</v>
      </c>
      <c r="Q23" s="565" t="s">
        <v>128</v>
      </c>
      <c r="R23" s="51" t="s">
        <v>26</v>
      </c>
      <c r="S23" s="381">
        <v>1</v>
      </c>
      <c r="T23" s="473" t="s">
        <v>213</v>
      </c>
      <c r="U23" s="462" t="s">
        <v>26</v>
      </c>
      <c r="V23" s="268">
        <v>0.9</v>
      </c>
      <c r="W23" s="462" t="s">
        <v>27</v>
      </c>
      <c r="X23" s="599">
        <f>ROUNDUP(M23*P23*S23*V23,-3)</f>
        <v>1116000</v>
      </c>
      <c r="Y23" s="398" t="s">
        <v>319</v>
      </c>
      <c r="Z23" s="419"/>
    </row>
    <row r="24" spans="1:26" s="7" customFormat="1" ht="19.5" customHeight="1">
      <c r="A24" s="35"/>
      <c r="B24" s="26"/>
      <c r="C24" s="26"/>
      <c r="D24" s="26"/>
      <c r="E24" s="28"/>
      <c r="F24" s="281"/>
      <c r="G24" s="29"/>
      <c r="H24" s="43"/>
      <c r="I24" s="177" t="s">
        <v>673</v>
      </c>
      <c r="J24" s="570"/>
      <c r="K24" s="125"/>
      <c r="L24" s="125"/>
      <c r="M24" s="586">
        <v>50000</v>
      </c>
      <c r="N24" s="565" t="s">
        <v>25</v>
      </c>
      <c r="O24" s="46" t="s">
        <v>26</v>
      </c>
      <c r="P24" s="598">
        <v>24</v>
      </c>
      <c r="Q24" s="565" t="s">
        <v>128</v>
      </c>
      <c r="R24" s="51" t="s">
        <v>26</v>
      </c>
      <c r="S24" s="32">
        <v>1</v>
      </c>
      <c r="T24" s="462" t="s">
        <v>213</v>
      </c>
      <c r="U24" s="462" t="s">
        <v>26</v>
      </c>
      <c r="V24" s="268">
        <v>0.9</v>
      </c>
      <c r="W24" s="31" t="s">
        <v>27</v>
      </c>
      <c r="X24" s="599">
        <f>ROUNDUP(M24*P24*S24*V24,-3)</f>
        <v>1080000</v>
      </c>
      <c r="Y24" s="398" t="s">
        <v>319</v>
      </c>
      <c r="Z24" s="419"/>
    </row>
    <row r="25" spans="1:26" s="7" customFormat="1" ht="19.5" customHeight="1">
      <c r="A25" s="35"/>
      <c r="B25" s="26"/>
      <c r="C25" s="26"/>
      <c r="D25" s="26"/>
      <c r="E25" s="28"/>
      <c r="F25" s="28"/>
      <c r="G25" s="29"/>
      <c r="H25" s="43"/>
      <c r="I25" s="177" t="s">
        <v>672</v>
      </c>
      <c r="J25" s="570"/>
      <c r="K25" s="125"/>
      <c r="L25" s="125"/>
      <c r="M25" s="586">
        <v>50000</v>
      </c>
      <c r="N25" s="565" t="s">
        <v>25</v>
      </c>
      <c r="O25" s="46" t="s">
        <v>26</v>
      </c>
      <c r="P25" s="598">
        <v>31</v>
      </c>
      <c r="Q25" s="565" t="s">
        <v>128</v>
      </c>
      <c r="R25" s="51" t="s">
        <v>26</v>
      </c>
      <c r="S25" s="32">
        <v>1</v>
      </c>
      <c r="T25" s="462" t="s">
        <v>213</v>
      </c>
      <c r="U25" s="462" t="s">
        <v>26</v>
      </c>
      <c r="V25" s="268">
        <v>0.9</v>
      </c>
      <c r="W25" s="31" t="s">
        <v>27</v>
      </c>
      <c r="X25" s="599">
        <f>ROUNDUP(M25*P25*S25*V25,-3)</f>
        <v>1395000</v>
      </c>
      <c r="Y25" s="398" t="s">
        <v>319</v>
      </c>
      <c r="Z25" s="419"/>
    </row>
    <row r="26" spans="1:26" s="7" customFormat="1" ht="19.5" customHeight="1" thickBot="1">
      <c r="A26" s="35"/>
      <c r="B26" s="26"/>
      <c r="C26" s="26"/>
      <c r="D26" s="18" t="s">
        <v>345</v>
      </c>
      <c r="E26" s="19">
        <v>1494524</v>
      </c>
      <c r="F26" s="149">
        <f>ROUND(X26/1000,0)</f>
        <v>1494524</v>
      </c>
      <c r="G26" s="20">
        <f>F26-E26</f>
        <v>0</v>
      </c>
      <c r="H26" s="75">
        <f>IF(E26=0,0,G26/E26)</f>
        <v>0</v>
      </c>
      <c r="I26" s="152" t="s">
        <v>674</v>
      </c>
      <c r="J26" s="151"/>
      <c r="K26" s="154"/>
      <c r="L26" s="154"/>
      <c r="M26" s="183"/>
      <c r="N26" s="463"/>
      <c r="O26" s="470"/>
      <c r="P26" s="58"/>
      <c r="Q26" s="463"/>
      <c r="R26" s="431"/>
      <c r="S26" s="150"/>
      <c r="T26" s="463"/>
      <c r="U26" s="463"/>
      <c r="V26" s="153" t="s">
        <v>346</v>
      </c>
      <c r="W26" s="488"/>
      <c r="X26" s="580">
        <f>SUM(X27,X28,X33,X37)</f>
        <v>1494524000</v>
      </c>
      <c r="Y26" s="399" t="s">
        <v>347</v>
      </c>
      <c r="Z26" s="419"/>
    </row>
    <row r="27" spans="1:26" s="7" customFormat="1" ht="19.5" customHeight="1">
      <c r="A27" s="35"/>
      <c r="B27" s="26"/>
      <c r="C27" s="26"/>
      <c r="D27" s="26"/>
      <c r="E27" s="28"/>
      <c r="F27" s="28"/>
      <c r="G27" s="29"/>
      <c r="H27" s="43"/>
      <c r="I27" s="178" t="s">
        <v>348</v>
      </c>
      <c r="J27" s="185"/>
      <c r="K27" s="184"/>
      <c r="L27" s="184"/>
      <c r="M27" s="337">
        <v>1364577000</v>
      </c>
      <c r="N27" s="462" t="s">
        <v>347</v>
      </c>
      <c r="O27" s="46" t="s">
        <v>349</v>
      </c>
      <c r="P27" s="267">
        <v>0.7</v>
      </c>
      <c r="Q27" s="462"/>
      <c r="R27" s="462"/>
      <c r="S27" s="184"/>
      <c r="T27" s="462"/>
      <c r="U27" s="462" t="s">
        <v>350</v>
      </c>
      <c r="V27" s="139" t="s">
        <v>351</v>
      </c>
      <c r="W27" s="118"/>
      <c r="X27" s="606">
        <f>ROUND(M27*P27,-3)</f>
        <v>955204000</v>
      </c>
      <c r="Y27" s="400" t="s">
        <v>25</v>
      </c>
      <c r="Z27" s="419"/>
    </row>
    <row r="28" spans="1:26" s="7" customFormat="1" ht="19.5" customHeight="1">
      <c r="A28" s="35"/>
      <c r="B28" s="26"/>
      <c r="C28" s="26"/>
      <c r="D28" s="26"/>
      <c r="E28" s="28"/>
      <c r="F28" s="28"/>
      <c r="G28" s="29"/>
      <c r="H28" s="43"/>
      <c r="I28" s="179" t="s">
        <v>352</v>
      </c>
      <c r="J28" s="185"/>
      <c r="K28" s="184"/>
      <c r="L28" s="184"/>
      <c r="M28" s="184"/>
      <c r="N28" s="462"/>
      <c r="O28" s="462"/>
      <c r="P28" s="184"/>
      <c r="Q28" s="462"/>
      <c r="R28" s="462"/>
      <c r="S28" s="184"/>
      <c r="T28" s="462"/>
      <c r="U28" s="462"/>
      <c r="V28" s="85" t="s">
        <v>351</v>
      </c>
      <c r="W28" s="461"/>
      <c r="X28" s="573">
        <f>SUM(X29:X32)</f>
        <v>304409000</v>
      </c>
      <c r="Y28" s="397" t="s">
        <v>25</v>
      </c>
      <c r="Z28" s="419"/>
    </row>
    <row r="29" spans="1:26" s="7" customFormat="1" ht="19.5" customHeight="1">
      <c r="A29" s="35"/>
      <c r="B29" s="26"/>
      <c r="C29" s="26"/>
      <c r="D29" s="26"/>
      <c r="E29" s="28"/>
      <c r="F29" s="28"/>
      <c r="G29" s="29"/>
      <c r="H29" s="43"/>
      <c r="I29" s="177" t="s">
        <v>353</v>
      </c>
      <c r="J29" s="185"/>
      <c r="K29" s="184"/>
      <c r="L29" s="184"/>
      <c r="M29" s="184">
        <v>131815800</v>
      </c>
      <c r="N29" s="462" t="s">
        <v>347</v>
      </c>
      <c r="O29" s="46" t="s">
        <v>349</v>
      </c>
      <c r="P29" s="267">
        <v>0.7</v>
      </c>
      <c r="Q29" s="462"/>
      <c r="R29" s="462"/>
      <c r="S29" s="184"/>
      <c r="T29" s="462"/>
      <c r="U29" s="462" t="s">
        <v>350</v>
      </c>
      <c r="V29" s="763"/>
      <c r="W29" s="763"/>
      <c r="X29" s="579">
        <f>ROUNDDOWN(M29*P29,-3)</f>
        <v>92271000</v>
      </c>
      <c r="Y29" s="401" t="s">
        <v>347</v>
      </c>
      <c r="Z29" s="419"/>
    </row>
    <row r="30" spans="1:26" s="7" customFormat="1" ht="19.5" customHeight="1">
      <c r="A30" s="35"/>
      <c r="B30" s="26"/>
      <c r="C30" s="26"/>
      <c r="D30" s="26"/>
      <c r="E30" s="28"/>
      <c r="F30" s="28"/>
      <c r="G30" s="29"/>
      <c r="H30" s="43"/>
      <c r="I30" s="177" t="s">
        <v>354</v>
      </c>
      <c r="J30" s="185"/>
      <c r="K30" s="184"/>
      <c r="L30" s="184"/>
      <c r="M30" s="184">
        <v>25873330</v>
      </c>
      <c r="N30" s="462" t="s">
        <v>347</v>
      </c>
      <c r="O30" s="46" t="s">
        <v>349</v>
      </c>
      <c r="P30" s="267">
        <v>0.7</v>
      </c>
      <c r="Q30" s="462"/>
      <c r="R30" s="462"/>
      <c r="S30" s="184"/>
      <c r="T30" s="462"/>
      <c r="U30" s="462" t="s">
        <v>350</v>
      </c>
      <c r="V30" s="762"/>
      <c r="W30" s="762"/>
      <c r="X30" s="570">
        <f>ROUNDUP(M30*P30,-3)</f>
        <v>18112000</v>
      </c>
      <c r="Y30" s="398" t="s">
        <v>347</v>
      </c>
      <c r="Z30" s="419"/>
    </row>
    <row r="31" spans="1:26" s="7" customFormat="1" ht="19.5" customHeight="1">
      <c r="A31" s="35"/>
      <c r="B31" s="26"/>
      <c r="C31" s="26"/>
      <c r="D31" s="26"/>
      <c r="E31" s="28"/>
      <c r="F31" s="28"/>
      <c r="G31" s="29"/>
      <c r="H31" s="43"/>
      <c r="I31" s="177" t="s">
        <v>355</v>
      </c>
      <c r="J31" s="185"/>
      <c r="K31" s="184"/>
      <c r="L31" s="184"/>
      <c r="M31" s="184">
        <v>271839740</v>
      </c>
      <c r="N31" s="462" t="s">
        <v>347</v>
      </c>
      <c r="O31" s="46" t="s">
        <v>349</v>
      </c>
      <c r="P31" s="267">
        <v>0.7</v>
      </c>
      <c r="Q31" s="462"/>
      <c r="R31" s="462"/>
      <c r="S31" s="184"/>
      <c r="T31" s="462"/>
      <c r="U31" s="462" t="s">
        <v>350</v>
      </c>
      <c r="V31" s="762"/>
      <c r="W31" s="762"/>
      <c r="X31" s="570">
        <f>ROUNDUP(M31*P31,-3)</f>
        <v>190288000</v>
      </c>
      <c r="Y31" s="398" t="s">
        <v>347</v>
      </c>
      <c r="Z31" s="419"/>
    </row>
    <row r="32" spans="1:26" s="7" customFormat="1" ht="19.5" customHeight="1">
      <c r="A32" s="35"/>
      <c r="B32" s="26"/>
      <c r="C32" s="26"/>
      <c r="D32" s="26"/>
      <c r="E32" s="28"/>
      <c r="F32" s="28"/>
      <c r="G32" s="29"/>
      <c r="H32" s="43"/>
      <c r="I32" s="177" t="s">
        <v>675</v>
      </c>
      <c r="J32" s="185"/>
      <c r="K32" s="184"/>
      <c r="L32" s="184"/>
      <c r="M32" s="184">
        <v>5339470</v>
      </c>
      <c r="N32" s="462" t="s">
        <v>294</v>
      </c>
      <c r="O32" s="46" t="s">
        <v>296</v>
      </c>
      <c r="P32" s="267">
        <v>0.7</v>
      </c>
      <c r="Q32" s="462"/>
      <c r="R32" s="462"/>
      <c r="S32" s="184"/>
      <c r="T32" s="462"/>
      <c r="U32" s="462" t="s">
        <v>53</v>
      </c>
      <c r="V32" s="762"/>
      <c r="W32" s="762"/>
      <c r="X32" s="570">
        <f>ROUNDUP(M32*P32,-3)</f>
        <v>3738000</v>
      </c>
      <c r="Y32" s="398" t="s">
        <v>294</v>
      </c>
      <c r="Z32" s="419"/>
    </row>
    <row r="33" spans="1:26" s="7" customFormat="1" ht="19.5" customHeight="1">
      <c r="A33" s="35"/>
      <c r="B33" s="26"/>
      <c r="C33" s="26"/>
      <c r="D33" s="26"/>
      <c r="E33" s="28"/>
      <c r="F33" s="28"/>
      <c r="G33" s="29"/>
      <c r="H33" s="43"/>
      <c r="I33" s="178" t="s">
        <v>356</v>
      </c>
      <c r="J33" s="185"/>
      <c r="K33" s="184"/>
      <c r="L33" s="184"/>
      <c r="M33" s="184"/>
      <c r="N33" s="462"/>
      <c r="O33" s="462"/>
      <c r="P33" s="184"/>
      <c r="Q33" s="462"/>
      <c r="R33" s="462"/>
      <c r="S33" s="184"/>
      <c r="T33" s="462"/>
      <c r="U33" s="462"/>
      <c r="V33" s="139" t="s">
        <v>357</v>
      </c>
      <c r="W33" s="118"/>
      <c r="X33" s="575">
        <f>SUM(X34:X36)</f>
        <v>104968000</v>
      </c>
      <c r="Y33" s="400" t="s">
        <v>25</v>
      </c>
      <c r="Z33" s="419"/>
    </row>
    <row r="34" spans="1:26" s="7" customFormat="1" ht="19.5" customHeight="1">
      <c r="A34" s="35"/>
      <c r="B34" s="26"/>
      <c r="C34" s="26"/>
      <c r="D34" s="26"/>
      <c r="E34" s="28"/>
      <c r="F34" s="28"/>
      <c r="G34" s="29"/>
      <c r="H34" s="43"/>
      <c r="I34" s="177" t="s">
        <v>676</v>
      </c>
      <c r="J34" s="185"/>
      <c r="K34" s="184"/>
      <c r="L34" s="184"/>
      <c r="M34" s="184">
        <v>1799445340</v>
      </c>
      <c r="N34" s="462" t="s">
        <v>358</v>
      </c>
      <c r="O34" s="462" t="s">
        <v>359</v>
      </c>
      <c r="P34" s="262">
        <v>12</v>
      </c>
      <c r="Q34" s="46" t="s">
        <v>360</v>
      </c>
      <c r="R34" s="46" t="s">
        <v>361</v>
      </c>
      <c r="S34" s="267">
        <v>0.7</v>
      </c>
      <c r="T34" s="462"/>
      <c r="U34" s="462" t="s">
        <v>362</v>
      </c>
      <c r="V34" s="58"/>
      <c r="W34" s="463"/>
      <c r="X34" s="579">
        <f>ROUND(M34/P34*S34,-3)</f>
        <v>104968000</v>
      </c>
      <c r="Y34" s="401" t="s">
        <v>358</v>
      </c>
      <c r="Z34" s="419"/>
    </row>
    <row r="35" spans="1:26" s="7" customFormat="1" ht="19.5" customHeight="1">
      <c r="A35" s="35"/>
      <c r="B35" s="26"/>
      <c r="C35" s="26"/>
      <c r="D35" s="26"/>
      <c r="E35" s="28"/>
      <c r="F35" s="28"/>
      <c r="G35" s="29"/>
      <c r="H35" s="43"/>
      <c r="I35" s="342"/>
      <c r="J35" s="246"/>
      <c r="K35" s="225"/>
      <c r="L35" s="225"/>
      <c r="M35" s="225"/>
      <c r="N35" s="291"/>
      <c r="O35" s="291"/>
      <c r="P35" s="343"/>
      <c r="Q35" s="344"/>
      <c r="R35" s="344"/>
      <c r="S35" s="345"/>
      <c r="T35" s="291"/>
      <c r="U35" s="291"/>
      <c r="V35" s="225"/>
      <c r="W35" s="291"/>
      <c r="X35" s="594"/>
      <c r="Y35" s="402"/>
      <c r="Z35" s="419"/>
    </row>
    <row r="36" spans="1:26" s="7" customFormat="1" ht="19.5" customHeight="1">
      <c r="A36" s="35"/>
      <c r="B36" s="26"/>
      <c r="C36" s="26"/>
      <c r="D36" s="26"/>
      <c r="E36" s="28"/>
      <c r="F36" s="28"/>
      <c r="G36" s="29"/>
      <c r="H36" s="43"/>
      <c r="I36" s="342"/>
      <c r="J36" s="246"/>
      <c r="K36" s="225"/>
      <c r="L36" s="225"/>
      <c r="M36" s="225"/>
      <c r="N36" s="291"/>
      <c r="O36" s="291"/>
      <c r="P36" s="343"/>
      <c r="Q36" s="344"/>
      <c r="R36" s="344"/>
      <c r="S36" s="345"/>
      <c r="T36" s="291"/>
      <c r="U36" s="291"/>
      <c r="V36" s="225"/>
      <c r="W36" s="291"/>
      <c r="X36" s="594"/>
      <c r="Y36" s="402"/>
      <c r="Z36" s="419"/>
    </row>
    <row r="37" spans="1:26" s="7" customFormat="1" ht="19.5" customHeight="1">
      <c r="A37" s="35"/>
      <c r="B37" s="26"/>
      <c r="C37" s="26"/>
      <c r="D37" s="26"/>
      <c r="E37" s="28"/>
      <c r="F37" s="28"/>
      <c r="G37" s="29"/>
      <c r="H37" s="43"/>
      <c r="I37" s="178" t="s">
        <v>363</v>
      </c>
      <c r="J37" s="185"/>
      <c r="K37" s="184"/>
      <c r="L37" s="184"/>
      <c r="M37" s="184"/>
      <c r="N37" s="462"/>
      <c r="O37" s="462"/>
      <c r="P37" s="184"/>
      <c r="Q37" s="462"/>
      <c r="R37" s="462"/>
      <c r="S37" s="184"/>
      <c r="T37" s="462"/>
      <c r="U37" s="462"/>
      <c r="V37" s="139" t="s">
        <v>357</v>
      </c>
      <c r="W37" s="118"/>
      <c r="X37" s="575">
        <f>SUM(X38:X42)</f>
        <v>129943000</v>
      </c>
      <c r="Y37" s="400" t="s">
        <v>25</v>
      </c>
      <c r="Z37" s="419"/>
    </row>
    <row r="38" spans="1:26" s="7" customFormat="1" ht="19.5" customHeight="1">
      <c r="A38" s="35"/>
      <c r="B38" s="26"/>
      <c r="C38" s="26"/>
      <c r="E38" s="28"/>
      <c r="F38" s="28"/>
      <c r="G38" s="29"/>
      <c r="H38" s="43"/>
      <c r="I38" s="177" t="s">
        <v>364</v>
      </c>
      <c r="J38" s="185"/>
      <c r="K38" s="184"/>
      <c r="L38" s="184"/>
      <c r="M38" s="184">
        <v>1799445340</v>
      </c>
      <c r="N38" s="462" t="s">
        <v>358</v>
      </c>
      <c r="O38" s="46" t="s">
        <v>361</v>
      </c>
      <c r="P38" s="257">
        <v>0.09</v>
      </c>
      <c r="Q38" s="462">
        <v>2</v>
      </c>
      <c r="R38" s="46" t="s">
        <v>361</v>
      </c>
      <c r="S38" s="267">
        <v>0.7</v>
      </c>
      <c r="T38" s="474"/>
      <c r="U38" s="462" t="s">
        <v>362</v>
      </c>
      <c r="V38" s="184"/>
      <c r="W38" s="462"/>
      <c r="X38" s="599">
        <f>ROUND(M38*P38/Q38*S38,-3)</f>
        <v>56683000</v>
      </c>
      <c r="Y38" s="398" t="s">
        <v>358</v>
      </c>
      <c r="Z38" s="419"/>
    </row>
    <row r="39" spans="1:26" s="7" customFormat="1" ht="19.5" customHeight="1">
      <c r="A39" s="35"/>
      <c r="B39" s="26"/>
      <c r="C39" s="26"/>
      <c r="D39" s="26"/>
      <c r="E39" s="28"/>
      <c r="F39" s="28"/>
      <c r="G39" s="29"/>
      <c r="H39" s="43"/>
      <c r="I39" s="177" t="s">
        <v>365</v>
      </c>
      <c r="J39" s="185"/>
      <c r="K39" s="184"/>
      <c r="L39" s="184"/>
      <c r="M39" s="184">
        <v>1799445340</v>
      </c>
      <c r="N39" s="462" t="s">
        <v>358</v>
      </c>
      <c r="O39" s="46" t="s">
        <v>361</v>
      </c>
      <c r="P39" s="256">
        <v>7.0900000000000005E-2</v>
      </c>
      <c r="Q39" s="462">
        <v>2</v>
      </c>
      <c r="R39" s="46" t="s">
        <v>361</v>
      </c>
      <c r="S39" s="267">
        <v>0.7</v>
      </c>
      <c r="T39" s="474"/>
      <c r="U39" s="462" t="s">
        <v>362</v>
      </c>
      <c r="V39" s="184"/>
      <c r="W39" s="462"/>
      <c r="X39" s="599">
        <f>ROUND(M39*P39/Q39*S39,-3)</f>
        <v>44653000</v>
      </c>
      <c r="Y39" s="398" t="s">
        <v>358</v>
      </c>
      <c r="Z39" s="419"/>
    </row>
    <row r="40" spans="1:26" s="7" customFormat="1" ht="19.5" customHeight="1">
      <c r="A40" s="35"/>
      <c r="B40" s="26"/>
      <c r="C40" s="26"/>
      <c r="D40" s="26"/>
      <c r="E40" s="28"/>
      <c r="F40" s="28"/>
      <c r="G40" s="29"/>
      <c r="H40" s="43"/>
      <c r="I40" s="177" t="s">
        <v>366</v>
      </c>
      <c r="J40" s="185"/>
      <c r="K40" s="184"/>
      <c r="L40" s="184"/>
      <c r="M40" s="184">
        <v>44653000</v>
      </c>
      <c r="N40" s="462" t="s">
        <v>358</v>
      </c>
      <c r="O40" s="46" t="s">
        <v>361</v>
      </c>
      <c r="P40" s="50">
        <v>0.12809999999999999</v>
      </c>
      <c r="Q40" s="255"/>
      <c r="R40" s="46"/>
      <c r="S40" s="49"/>
      <c r="T40" s="475"/>
      <c r="U40" s="462" t="s">
        <v>362</v>
      </c>
      <c r="V40" s="184"/>
      <c r="W40" s="462"/>
      <c r="X40" s="599">
        <f>ROUND(M40*P40,-3)</f>
        <v>5720000</v>
      </c>
      <c r="Y40" s="398" t="s">
        <v>358</v>
      </c>
      <c r="Z40" s="419"/>
    </row>
    <row r="41" spans="1:26" s="7" customFormat="1" ht="19.5" customHeight="1">
      <c r="A41" s="35"/>
      <c r="B41" s="26"/>
      <c r="C41" s="26"/>
      <c r="D41" s="26"/>
      <c r="E41" s="28"/>
      <c r="F41" s="28"/>
      <c r="G41" s="29"/>
      <c r="H41" s="43"/>
      <c r="I41" s="177" t="s">
        <v>367</v>
      </c>
      <c r="J41" s="185"/>
      <c r="K41" s="184"/>
      <c r="L41" s="184"/>
      <c r="M41" s="184">
        <v>1799445340</v>
      </c>
      <c r="N41" s="462" t="s">
        <v>358</v>
      </c>
      <c r="O41" s="46" t="s">
        <v>361</v>
      </c>
      <c r="P41" s="50">
        <v>1.15E-2</v>
      </c>
      <c r="Q41" s="46"/>
      <c r="R41" s="46" t="s">
        <v>361</v>
      </c>
      <c r="S41" s="267">
        <v>0.7</v>
      </c>
      <c r="T41" s="474"/>
      <c r="U41" s="462" t="s">
        <v>362</v>
      </c>
      <c r="V41" s="184"/>
      <c r="W41" s="462"/>
      <c r="X41" s="599">
        <f>ROUNDUP(M41*P41*S41,-3)</f>
        <v>14486000</v>
      </c>
      <c r="Y41" s="398" t="s">
        <v>358</v>
      </c>
      <c r="Z41" s="419"/>
    </row>
    <row r="42" spans="1:26" s="7" customFormat="1" ht="19.5" customHeight="1">
      <c r="A42" s="35"/>
      <c r="B42" s="26"/>
      <c r="C42" s="26"/>
      <c r="D42" s="26"/>
      <c r="E42" s="28"/>
      <c r="F42" s="28"/>
      <c r="G42" s="29"/>
      <c r="H42" s="43"/>
      <c r="I42" s="177" t="s">
        <v>368</v>
      </c>
      <c r="J42" s="185"/>
      <c r="K42" s="184"/>
      <c r="L42" s="184"/>
      <c r="M42" s="184">
        <v>1799445340</v>
      </c>
      <c r="N42" s="462" t="s">
        <v>358</v>
      </c>
      <c r="O42" s="46" t="s">
        <v>361</v>
      </c>
      <c r="P42" s="254">
        <v>6.6699999999999997E-3</v>
      </c>
      <c r="Q42" s="46"/>
      <c r="R42" s="46" t="s">
        <v>361</v>
      </c>
      <c r="S42" s="267">
        <v>0.7</v>
      </c>
      <c r="T42" s="474"/>
      <c r="U42" s="462" t="s">
        <v>362</v>
      </c>
      <c r="V42" s="184"/>
      <c r="W42" s="462"/>
      <c r="X42" s="599">
        <f>ROUNDDOWN(M42*P42*S42,-3)</f>
        <v>8401000</v>
      </c>
      <c r="Y42" s="398" t="s">
        <v>358</v>
      </c>
      <c r="Z42" s="419"/>
    </row>
    <row r="43" spans="1:26" s="7" customFormat="1" ht="19.5" customHeight="1">
      <c r="A43" s="35"/>
      <c r="B43" s="26"/>
      <c r="C43" s="26"/>
      <c r="D43" s="26"/>
      <c r="E43" s="28"/>
      <c r="F43" s="28"/>
      <c r="G43" s="29"/>
      <c r="H43" s="43"/>
      <c r="I43" s="382"/>
      <c r="J43" s="217"/>
      <c r="K43" s="184"/>
      <c r="L43" s="184"/>
      <c r="M43" s="184"/>
      <c r="N43" s="462"/>
      <c r="O43" s="46"/>
      <c r="P43" s="254"/>
      <c r="Q43" s="46"/>
      <c r="R43" s="46"/>
      <c r="S43" s="267"/>
      <c r="T43" s="474"/>
      <c r="U43" s="462"/>
      <c r="V43" s="184"/>
      <c r="W43" s="462"/>
      <c r="X43" s="570"/>
      <c r="Y43" s="398"/>
      <c r="Z43" s="419"/>
    </row>
    <row r="44" spans="1:26" s="7" customFormat="1" ht="19.5" customHeight="1">
      <c r="A44" s="35"/>
      <c r="B44" s="26"/>
      <c r="C44" s="26"/>
      <c r="D44" s="18" t="s">
        <v>375</v>
      </c>
      <c r="E44" s="149">
        <v>70393</v>
      </c>
      <c r="F44" s="149">
        <f>ROUND(X44/1000,0)</f>
        <v>70268</v>
      </c>
      <c r="G44" s="169">
        <f>F44-E44</f>
        <v>-125</v>
      </c>
      <c r="H44" s="75">
        <f>IF(E44=0,0,G44/E44)</f>
        <v>-1.7757447473470374E-3</v>
      </c>
      <c r="I44" s="280" t="s">
        <v>376</v>
      </c>
      <c r="J44" s="279"/>
      <c r="K44" s="278"/>
      <c r="L44" s="278"/>
      <c r="M44" s="277"/>
      <c r="N44" s="275"/>
      <c r="O44" s="471"/>
      <c r="P44" s="277"/>
      <c r="Q44" s="275"/>
      <c r="R44" s="432"/>
      <c r="S44" s="276"/>
      <c r="T44" s="275"/>
      <c r="U44" s="275"/>
      <c r="V44" s="274" t="s">
        <v>369</v>
      </c>
      <c r="W44" s="489"/>
      <c r="X44" s="592">
        <f>SUM(X45:X49)</f>
        <v>70268000</v>
      </c>
      <c r="Y44" s="403" t="s">
        <v>358</v>
      </c>
      <c r="Z44" s="419"/>
    </row>
    <row r="45" spans="1:26" s="7" customFormat="1" ht="19.5" customHeight="1">
      <c r="A45" s="35"/>
      <c r="B45" s="26"/>
      <c r="C45" s="26"/>
      <c r="D45" s="26"/>
      <c r="E45" s="28"/>
      <c r="F45" s="28"/>
      <c r="G45" s="29"/>
      <c r="H45" s="43"/>
      <c r="I45" s="175" t="s">
        <v>377</v>
      </c>
      <c r="J45" s="174"/>
      <c r="K45" s="272"/>
      <c r="L45" s="272"/>
      <c r="M45" s="171">
        <v>2549000</v>
      </c>
      <c r="N45" s="211" t="s">
        <v>25</v>
      </c>
      <c r="O45" s="341" t="s">
        <v>26</v>
      </c>
      <c r="P45" s="218">
        <v>30</v>
      </c>
      <c r="Q45" s="211" t="s">
        <v>378</v>
      </c>
      <c r="R45" s="341" t="s">
        <v>361</v>
      </c>
      <c r="S45" s="219">
        <v>0.7</v>
      </c>
      <c r="T45" s="450"/>
      <c r="U45" s="211" t="s">
        <v>362</v>
      </c>
      <c r="V45" s="270"/>
      <c r="W45" s="213"/>
      <c r="X45" s="585">
        <f>M45*P45*S45</f>
        <v>53529000</v>
      </c>
      <c r="Y45" s="404" t="s">
        <v>358</v>
      </c>
      <c r="Z45" s="419"/>
    </row>
    <row r="46" spans="1:26" s="7" customFormat="1" ht="19.5" customHeight="1">
      <c r="A46" s="35"/>
      <c r="B46" s="26"/>
      <c r="C46" s="26"/>
      <c r="D46" s="26"/>
      <c r="E46" s="28"/>
      <c r="F46" s="28"/>
      <c r="G46" s="29"/>
      <c r="H46" s="43"/>
      <c r="I46" s="175" t="s">
        <v>379</v>
      </c>
      <c r="J46" s="174"/>
      <c r="K46" s="272"/>
      <c r="L46" s="272"/>
      <c r="M46" s="171">
        <v>1071000</v>
      </c>
      <c r="N46" s="211" t="s">
        <v>25</v>
      </c>
      <c r="O46" s="341" t="s">
        <v>26</v>
      </c>
      <c r="P46" s="218">
        <v>21</v>
      </c>
      <c r="Q46" s="211" t="s">
        <v>378</v>
      </c>
      <c r="R46" s="341" t="s">
        <v>361</v>
      </c>
      <c r="S46" s="219">
        <v>0.7</v>
      </c>
      <c r="T46" s="450"/>
      <c r="U46" s="211" t="s">
        <v>362</v>
      </c>
      <c r="V46" s="270"/>
      <c r="W46" s="213"/>
      <c r="X46" s="585">
        <f>ROUND(M46*P46*S46,-3)-125000</f>
        <v>15619000</v>
      </c>
      <c r="Y46" s="404" t="s">
        <v>358</v>
      </c>
      <c r="Z46" s="419"/>
    </row>
    <row r="47" spans="1:26" s="7" customFormat="1" ht="19.5" customHeight="1">
      <c r="A47" s="35"/>
      <c r="B47" s="26"/>
      <c r="C47" s="26"/>
      <c r="D47" s="26"/>
      <c r="E47" s="28"/>
      <c r="F47" s="28"/>
      <c r="G47" s="29"/>
      <c r="H47" s="43"/>
      <c r="I47" s="175" t="s">
        <v>691</v>
      </c>
      <c r="J47" s="174"/>
      <c r="K47" s="272"/>
      <c r="L47" s="272"/>
      <c r="M47" s="171">
        <v>1600000</v>
      </c>
      <c r="N47" s="211" t="s">
        <v>25</v>
      </c>
      <c r="O47" s="341" t="s">
        <v>26</v>
      </c>
      <c r="P47" s="218">
        <v>1</v>
      </c>
      <c r="Q47" s="211" t="s">
        <v>685</v>
      </c>
      <c r="R47" s="341" t="s">
        <v>56</v>
      </c>
      <c r="S47" s="219">
        <v>0.7</v>
      </c>
      <c r="T47" s="450"/>
      <c r="U47" s="211" t="s">
        <v>53</v>
      </c>
      <c r="V47" s="270"/>
      <c r="W47" s="213"/>
      <c r="X47" s="585">
        <f t="shared" ref="X47" si="0">ROUND(M47*P47*S47,-3)</f>
        <v>1120000</v>
      </c>
      <c r="Y47" s="404" t="s">
        <v>55</v>
      </c>
      <c r="Z47" s="419"/>
    </row>
    <row r="48" spans="1:26" s="7" customFormat="1" ht="19.5" customHeight="1">
      <c r="A48" s="35"/>
      <c r="B48" s="26"/>
      <c r="C48" s="26"/>
      <c r="D48" s="26"/>
      <c r="E48" s="28"/>
      <c r="F48" s="28"/>
      <c r="G48" s="29"/>
      <c r="H48" s="43"/>
      <c r="I48" s="175"/>
      <c r="J48" s="174"/>
      <c r="K48" s="272"/>
      <c r="L48" s="272"/>
      <c r="M48" s="171"/>
      <c r="N48" s="211"/>
      <c r="O48" s="341"/>
      <c r="P48" s="271"/>
      <c r="Q48" s="211"/>
      <c r="R48" s="212"/>
      <c r="S48" s="220"/>
      <c r="T48" s="211"/>
      <c r="U48" s="211"/>
      <c r="V48" s="270"/>
      <c r="W48" s="213"/>
      <c r="X48" s="585"/>
      <c r="Y48" s="404"/>
      <c r="Z48" s="419"/>
    </row>
    <row r="49" spans="1:26" s="7" customFormat="1" ht="19.5" customHeight="1">
      <c r="A49" s="35"/>
      <c r="B49" s="26"/>
      <c r="C49" s="26"/>
      <c r="D49" s="26"/>
      <c r="E49" s="28"/>
      <c r="F49" s="28"/>
      <c r="G49" s="29"/>
      <c r="H49" s="43"/>
      <c r="I49" s="214" t="s">
        <v>380</v>
      </c>
      <c r="J49" s="174"/>
      <c r="K49" s="272"/>
      <c r="L49" s="272"/>
      <c r="M49" s="171"/>
      <c r="N49" s="211"/>
      <c r="O49" s="341"/>
      <c r="P49" s="171"/>
      <c r="Q49" s="211"/>
      <c r="R49" s="212"/>
      <c r="S49" s="220"/>
      <c r="T49" s="211"/>
      <c r="U49" s="211"/>
      <c r="V49" s="273" t="s">
        <v>369</v>
      </c>
      <c r="W49" s="223"/>
      <c r="X49" s="587">
        <f>X50</f>
        <v>0</v>
      </c>
      <c r="Y49" s="405" t="s">
        <v>358</v>
      </c>
      <c r="Z49" s="419"/>
    </row>
    <row r="50" spans="1:26" s="7" customFormat="1" ht="19.5" customHeight="1">
      <c r="A50" s="35"/>
      <c r="B50" s="26"/>
      <c r="C50" s="26"/>
      <c r="D50" s="26"/>
      <c r="E50" s="28"/>
      <c r="F50" s="28"/>
      <c r="G50" s="29"/>
      <c r="H50" s="43"/>
      <c r="I50" s="175" t="s">
        <v>566</v>
      </c>
      <c r="J50" s="174"/>
      <c r="K50" s="272"/>
      <c r="L50" s="272"/>
      <c r="M50" s="171"/>
      <c r="N50" s="211" t="s">
        <v>25</v>
      </c>
      <c r="O50" s="341" t="s">
        <v>26</v>
      </c>
      <c r="P50" s="271">
        <v>0.5</v>
      </c>
      <c r="Q50" s="211"/>
      <c r="R50" s="212"/>
      <c r="S50" s="220"/>
      <c r="T50" s="211"/>
      <c r="U50" s="211"/>
      <c r="V50" s="270"/>
      <c r="W50" s="213" t="s">
        <v>27</v>
      </c>
      <c r="X50" s="585">
        <f>M50*P50</f>
        <v>0</v>
      </c>
      <c r="Y50" s="404" t="s">
        <v>347</v>
      </c>
      <c r="Z50" s="419"/>
    </row>
    <row r="51" spans="1:26" s="7" customFormat="1" ht="19.5" customHeight="1">
      <c r="A51" s="35"/>
      <c r="B51" s="26"/>
      <c r="C51" s="26"/>
      <c r="D51" s="34"/>
      <c r="E51" s="36"/>
      <c r="F51" s="36"/>
      <c r="G51" s="37"/>
      <c r="H51" s="54"/>
      <c r="I51" s="214"/>
      <c r="J51" s="216"/>
      <c r="K51" s="221"/>
      <c r="L51" s="221"/>
      <c r="M51" s="215"/>
      <c r="N51" s="223"/>
      <c r="O51" s="472"/>
      <c r="P51" s="215"/>
      <c r="Q51" s="223"/>
      <c r="R51" s="433"/>
      <c r="S51" s="222"/>
      <c r="T51" s="223"/>
      <c r="U51" s="223"/>
      <c r="V51" s="224"/>
      <c r="W51" s="490"/>
      <c r="X51" s="587"/>
      <c r="Y51" s="405"/>
      <c r="Z51" s="419"/>
    </row>
    <row r="52" spans="1:26" s="7" customFormat="1" ht="19.5" customHeight="1">
      <c r="A52" s="35"/>
      <c r="B52" s="26"/>
      <c r="C52" s="18" t="s">
        <v>381</v>
      </c>
      <c r="D52" s="250" t="s">
        <v>382</v>
      </c>
      <c r="E52" s="134">
        <f>SUM(E53:E121)</f>
        <v>138201</v>
      </c>
      <c r="F52" s="134">
        <f>SUM(F53:F121)</f>
        <v>137261</v>
      </c>
      <c r="G52" s="135">
        <f>F52-E52</f>
        <v>-940</v>
      </c>
      <c r="H52" s="136">
        <f>IF(E52=0,0,G52/E52)</f>
        <v>-6.8016873973415536E-3</v>
      </c>
      <c r="I52" s="121" t="s">
        <v>383</v>
      </c>
      <c r="J52" s="122"/>
      <c r="K52" s="123"/>
      <c r="L52" s="123"/>
      <c r="M52" s="123"/>
      <c r="N52" s="469"/>
      <c r="O52" s="469"/>
      <c r="P52" s="124"/>
      <c r="Q52" s="425"/>
      <c r="R52" s="425"/>
      <c r="S52" s="124"/>
      <c r="T52" s="425"/>
      <c r="U52" s="425"/>
      <c r="V52" s="148" t="s">
        <v>357</v>
      </c>
      <c r="W52" s="487"/>
      <c r="X52" s="577">
        <f>SUM(X53,X61,X77,X85,X92,X116)</f>
        <v>137261000</v>
      </c>
      <c r="Y52" s="396" t="s">
        <v>358</v>
      </c>
      <c r="Z52" s="419"/>
    </row>
    <row r="53" spans="1:26" s="7" customFormat="1" ht="19.5" customHeight="1">
      <c r="A53" s="35"/>
      <c r="B53" s="26"/>
      <c r="C53" s="26" t="s">
        <v>384</v>
      </c>
      <c r="D53" s="18" t="s">
        <v>385</v>
      </c>
      <c r="E53" s="19">
        <v>7548</v>
      </c>
      <c r="F53" s="149">
        <f>ROUND(X53/1000,0)</f>
        <v>7246</v>
      </c>
      <c r="G53" s="20">
        <f>F53-E53</f>
        <v>-302</v>
      </c>
      <c r="H53" s="75">
        <f>IF(E53=0,0,G53/E53)</f>
        <v>-4.0010598834128247E-2</v>
      </c>
      <c r="I53" s="84" t="s">
        <v>386</v>
      </c>
      <c r="J53" s="92"/>
      <c r="K53" s="58"/>
      <c r="L53" s="58"/>
      <c r="M53" s="58"/>
      <c r="N53" s="463"/>
      <c r="O53" s="470"/>
      <c r="P53" s="58"/>
      <c r="Q53" s="463"/>
      <c r="R53" s="434"/>
      <c r="S53" s="363"/>
      <c r="T53" s="476"/>
      <c r="U53" s="463"/>
      <c r="V53" s="269" t="s">
        <v>369</v>
      </c>
      <c r="W53" s="461"/>
      <c r="X53" s="574">
        <f>SUM(X54:X60)</f>
        <v>7246000</v>
      </c>
      <c r="Y53" s="397" t="s">
        <v>358</v>
      </c>
      <c r="Z53" s="419"/>
    </row>
    <row r="54" spans="1:26" s="7" customFormat="1" ht="19.5" customHeight="1">
      <c r="A54" s="35"/>
      <c r="B54" s="26"/>
      <c r="C54" s="26"/>
      <c r="D54" s="26"/>
      <c r="E54" s="28"/>
      <c r="F54" s="28"/>
      <c r="G54" s="29"/>
      <c r="H54" s="43"/>
      <c r="I54" s="177" t="s">
        <v>683</v>
      </c>
      <c r="J54" s="185"/>
      <c r="K54" s="586"/>
      <c r="L54" s="586"/>
      <c r="M54" s="586">
        <v>303266</v>
      </c>
      <c r="N54" s="565" t="s">
        <v>25</v>
      </c>
      <c r="O54" s="46" t="s">
        <v>26</v>
      </c>
      <c r="P54" s="598">
        <v>24</v>
      </c>
      <c r="Q54" s="565" t="s">
        <v>128</v>
      </c>
      <c r="R54" s="384" t="s">
        <v>26</v>
      </c>
      <c r="S54" s="381">
        <v>1</v>
      </c>
      <c r="T54" s="473" t="s">
        <v>29</v>
      </c>
      <c r="U54" s="462" t="s">
        <v>26</v>
      </c>
      <c r="V54" s="360">
        <v>7.0000000000000007E-2</v>
      </c>
      <c r="W54" s="462" t="s">
        <v>27</v>
      </c>
      <c r="X54" s="599">
        <f>ROUND(M54*P54*S54*V54,-3)</f>
        <v>509000</v>
      </c>
      <c r="Y54" s="398" t="s">
        <v>319</v>
      </c>
      <c r="Z54" s="419"/>
    </row>
    <row r="55" spans="1:26" s="7" customFormat="1" ht="19.5" customHeight="1">
      <c r="A55" s="35"/>
      <c r="B55" s="26"/>
      <c r="C55" s="26"/>
      <c r="D55" s="26"/>
      <c r="E55" s="28"/>
      <c r="F55" s="28"/>
      <c r="G55" s="29"/>
      <c r="H55" s="43"/>
      <c r="I55" s="177" t="s">
        <v>681</v>
      </c>
      <c r="J55" s="185"/>
      <c r="K55" s="586"/>
      <c r="L55" s="586"/>
      <c r="M55" s="586">
        <v>303266</v>
      </c>
      <c r="N55" s="565" t="s">
        <v>25</v>
      </c>
      <c r="O55" s="46" t="s">
        <v>26</v>
      </c>
      <c r="P55" s="598">
        <v>27</v>
      </c>
      <c r="Q55" s="565" t="s">
        <v>128</v>
      </c>
      <c r="R55" s="384" t="s">
        <v>26</v>
      </c>
      <c r="S55" s="381">
        <v>1</v>
      </c>
      <c r="T55" s="473" t="s">
        <v>29</v>
      </c>
      <c r="U55" s="462" t="s">
        <v>26</v>
      </c>
      <c r="V55" s="360">
        <v>7.0000000000000007E-2</v>
      </c>
      <c r="W55" s="462" t="s">
        <v>27</v>
      </c>
      <c r="X55" s="599">
        <f t="shared" ref="X55" si="1">ROUND(M55*P55*S55*V55,-3)</f>
        <v>573000</v>
      </c>
      <c r="Y55" s="398" t="s">
        <v>319</v>
      </c>
      <c r="Z55" s="419"/>
    </row>
    <row r="56" spans="1:26" s="7" customFormat="1" ht="19.5" customHeight="1">
      <c r="A56" s="35"/>
      <c r="B56" s="26"/>
      <c r="C56" s="26"/>
      <c r="D56" s="26"/>
      <c r="E56" s="28"/>
      <c r="F56" s="28"/>
      <c r="G56" s="29"/>
      <c r="H56" s="43"/>
      <c r="I56" s="177" t="s">
        <v>682</v>
      </c>
      <c r="J56" s="185"/>
      <c r="K56" s="586"/>
      <c r="L56" s="586"/>
      <c r="M56" s="586">
        <v>272937</v>
      </c>
      <c r="N56" s="565" t="s">
        <v>25</v>
      </c>
      <c r="O56" s="46" t="s">
        <v>26</v>
      </c>
      <c r="P56" s="598">
        <v>31</v>
      </c>
      <c r="Q56" s="565" t="s">
        <v>128</v>
      </c>
      <c r="R56" s="384" t="s">
        <v>26</v>
      </c>
      <c r="S56" s="381">
        <v>8</v>
      </c>
      <c r="T56" s="473" t="s">
        <v>29</v>
      </c>
      <c r="U56" s="462" t="s">
        <v>26</v>
      </c>
      <c r="V56" s="360">
        <v>7.0000000000000007E-2</v>
      </c>
      <c r="W56" s="462" t="s">
        <v>27</v>
      </c>
      <c r="X56" s="599">
        <f>ROUND(M56*P56*S56*V56,-3)</f>
        <v>4738000</v>
      </c>
      <c r="Y56" s="398" t="s">
        <v>319</v>
      </c>
      <c r="Z56" s="419"/>
    </row>
    <row r="57" spans="1:26" s="7" customFormat="1" ht="19.5" customHeight="1">
      <c r="A57" s="35"/>
      <c r="B57" s="26"/>
      <c r="C57" s="26"/>
      <c r="D57" s="26"/>
      <c r="E57" s="28"/>
      <c r="F57" s="28"/>
      <c r="G57" s="29"/>
      <c r="H57" s="43"/>
      <c r="I57" s="177" t="s">
        <v>863</v>
      </c>
      <c r="J57" s="185"/>
      <c r="K57" s="586"/>
      <c r="L57" s="586"/>
      <c r="M57" s="586">
        <v>272937</v>
      </c>
      <c r="N57" s="565" t="s">
        <v>25</v>
      </c>
      <c r="O57" s="46" t="s">
        <v>26</v>
      </c>
      <c r="P57" s="598">
        <v>30</v>
      </c>
      <c r="Q57" s="565" t="s">
        <v>128</v>
      </c>
      <c r="R57" s="384" t="s">
        <v>26</v>
      </c>
      <c r="S57" s="381">
        <v>2</v>
      </c>
      <c r="T57" s="473" t="s">
        <v>29</v>
      </c>
      <c r="U57" s="462" t="s">
        <v>26</v>
      </c>
      <c r="V57" s="360">
        <v>7.0000000000000007E-2</v>
      </c>
      <c r="W57" s="462" t="s">
        <v>27</v>
      </c>
      <c r="X57" s="599">
        <f>ROUND(M57*P57*S57*V57,-3)</f>
        <v>1146000</v>
      </c>
      <c r="Y57" s="398" t="s">
        <v>319</v>
      </c>
      <c r="Z57" s="419"/>
    </row>
    <row r="58" spans="1:26" s="7" customFormat="1" ht="19.5" customHeight="1">
      <c r="A58" s="35"/>
      <c r="B58" s="26"/>
      <c r="C58" s="26"/>
      <c r="D58" s="26"/>
      <c r="E58" s="28"/>
      <c r="F58" s="28"/>
      <c r="G58" s="29"/>
      <c r="H58" s="43"/>
      <c r="I58" s="177" t="s">
        <v>214</v>
      </c>
      <c r="J58" s="185"/>
      <c r="K58" s="586"/>
      <c r="L58" s="586"/>
      <c r="M58" s="586">
        <v>40000</v>
      </c>
      <c r="N58" s="565" t="s">
        <v>25</v>
      </c>
      <c r="O58" s="46" t="s">
        <v>26</v>
      </c>
      <c r="P58" s="598">
        <v>31</v>
      </c>
      <c r="Q58" s="565" t="s">
        <v>128</v>
      </c>
      <c r="R58" s="51" t="s">
        <v>26</v>
      </c>
      <c r="S58" s="381">
        <v>1</v>
      </c>
      <c r="T58" s="473" t="s">
        <v>213</v>
      </c>
      <c r="U58" s="462" t="s">
        <v>26</v>
      </c>
      <c r="V58" s="360">
        <v>7.0000000000000007E-2</v>
      </c>
      <c r="W58" s="462" t="s">
        <v>27</v>
      </c>
      <c r="X58" s="599">
        <f>ROUNDUP(M58*P58*S58*V58,-3)</f>
        <v>87000</v>
      </c>
      <c r="Y58" s="398" t="s">
        <v>319</v>
      </c>
      <c r="Z58" s="419"/>
    </row>
    <row r="59" spans="1:26" s="7" customFormat="1" ht="19.5" customHeight="1">
      <c r="A59" s="35"/>
      <c r="B59" s="26"/>
      <c r="C59" s="26"/>
      <c r="D59" s="26"/>
      <c r="E59" s="28"/>
      <c r="F59" s="28"/>
      <c r="G59" s="29"/>
      <c r="H59" s="43"/>
      <c r="I59" s="177" t="s">
        <v>673</v>
      </c>
      <c r="J59" s="570"/>
      <c r="K59" s="125"/>
      <c r="L59" s="125"/>
      <c r="M59" s="586">
        <v>50000</v>
      </c>
      <c r="N59" s="565" t="s">
        <v>25</v>
      </c>
      <c r="O59" s="46" t="s">
        <v>26</v>
      </c>
      <c r="P59" s="598">
        <v>24</v>
      </c>
      <c r="Q59" s="565" t="s">
        <v>128</v>
      </c>
      <c r="R59" s="51" t="s">
        <v>26</v>
      </c>
      <c r="S59" s="569">
        <v>1</v>
      </c>
      <c r="T59" s="462" t="s">
        <v>213</v>
      </c>
      <c r="U59" s="462" t="s">
        <v>26</v>
      </c>
      <c r="V59" s="360">
        <v>7.0000000000000007E-2</v>
      </c>
      <c r="W59" s="31" t="s">
        <v>27</v>
      </c>
      <c r="X59" s="599">
        <f>ROUNDUP(M59*P59*S59*V59,-3)</f>
        <v>84000</v>
      </c>
      <c r="Y59" s="398" t="s">
        <v>319</v>
      </c>
      <c r="Z59" s="419"/>
    </row>
    <row r="60" spans="1:26" s="7" customFormat="1" ht="19.5" customHeight="1">
      <c r="A60" s="35"/>
      <c r="B60" s="26"/>
      <c r="C60" s="26"/>
      <c r="D60" s="34"/>
      <c r="E60" s="36"/>
      <c r="F60" s="36"/>
      <c r="G60" s="37"/>
      <c r="H60" s="54"/>
      <c r="I60" s="177" t="s">
        <v>672</v>
      </c>
      <c r="J60" s="570"/>
      <c r="K60" s="125"/>
      <c r="L60" s="125"/>
      <c r="M60" s="586">
        <v>50000</v>
      </c>
      <c r="N60" s="565" t="s">
        <v>25</v>
      </c>
      <c r="O60" s="46" t="s">
        <v>26</v>
      </c>
      <c r="P60" s="598">
        <v>31</v>
      </c>
      <c r="Q60" s="565" t="s">
        <v>128</v>
      </c>
      <c r="R60" s="51" t="s">
        <v>26</v>
      </c>
      <c r="S60" s="569">
        <v>1</v>
      </c>
      <c r="T60" s="462" t="s">
        <v>213</v>
      </c>
      <c r="U60" s="462" t="s">
        <v>26</v>
      </c>
      <c r="V60" s="360">
        <v>7.0000000000000007E-2</v>
      </c>
      <c r="W60" s="31" t="s">
        <v>27</v>
      </c>
      <c r="X60" s="599">
        <f>ROUNDUP(M60*P60*S60*V60,-3)</f>
        <v>109000</v>
      </c>
      <c r="Y60" s="398" t="s">
        <v>319</v>
      </c>
      <c r="Z60" s="419"/>
    </row>
    <row r="61" spans="1:26" s="7" customFormat="1" ht="19.5" customHeight="1" thickBot="1">
      <c r="A61" s="35"/>
      <c r="B61" s="26"/>
      <c r="C61" s="26"/>
      <c r="D61" s="18" t="s">
        <v>387</v>
      </c>
      <c r="E61" s="19">
        <v>96077</v>
      </c>
      <c r="F61" s="149">
        <f>ROUND(X61/1000,0)</f>
        <v>96077</v>
      </c>
      <c r="G61" s="20">
        <f>F61-E61</f>
        <v>0</v>
      </c>
      <c r="H61" s="75">
        <f>IF(E61=0,0,G61/E61)</f>
        <v>0</v>
      </c>
      <c r="I61" s="152" t="s">
        <v>674</v>
      </c>
      <c r="J61" s="151"/>
      <c r="K61" s="154"/>
      <c r="L61" s="154"/>
      <c r="M61" s="58"/>
      <c r="N61" s="463"/>
      <c r="O61" s="470"/>
      <c r="P61" s="58"/>
      <c r="Q61" s="463"/>
      <c r="R61" s="431"/>
      <c r="S61" s="150"/>
      <c r="T61" s="463"/>
      <c r="U61" s="463"/>
      <c r="V61" s="153" t="s">
        <v>369</v>
      </c>
      <c r="W61" s="488"/>
      <c r="X61" s="580">
        <f>SUM(X62,X63,X68,X70)</f>
        <v>96077000</v>
      </c>
      <c r="Y61" s="399" t="s">
        <v>358</v>
      </c>
      <c r="Z61" s="419"/>
    </row>
    <row r="62" spans="1:26" s="7" customFormat="1" ht="19.5" customHeight="1">
      <c r="A62" s="35"/>
      <c r="B62" s="26"/>
      <c r="C62" s="26"/>
      <c r="D62" s="26"/>
      <c r="E62" s="28"/>
      <c r="F62" s="28"/>
      <c r="G62" s="29"/>
      <c r="H62" s="43"/>
      <c r="I62" s="178" t="s">
        <v>370</v>
      </c>
      <c r="J62" s="185"/>
      <c r="K62" s="184"/>
      <c r="L62" s="184"/>
      <c r="M62" s="184">
        <v>1364577000</v>
      </c>
      <c r="N62" s="462" t="s">
        <v>358</v>
      </c>
      <c r="O62" s="46" t="s">
        <v>361</v>
      </c>
      <c r="P62" s="267">
        <v>4.4999999999999998E-2</v>
      </c>
      <c r="Q62" s="462"/>
      <c r="R62" s="462"/>
      <c r="S62" s="184"/>
      <c r="T62" s="462"/>
      <c r="U62" s="462" t="s">
        <v>362</v>
      </c>
      <c r="V62" s="139" t="s">
        <v>357</v>
      </c>
      <c r="W62" s="118"/>
      <c r="X62" s="575">
        <f>ROUND(M62*P62,-3)</f>
        <v>61406000</v>
      </c>
      <c r="Y62" s="400" t="s">
        <v>25</v>
      </c>
      <c r="Z62" s="419"/>
    </row>
    <row r="63" spans="1:26" s="7" customFormat="1" ht="19.5" customHeight="1">
      <c r="A63" s="35"/>
      <c r="B63" s="26"/>
      <c r="C63" s="26"/>
      <c r="D63" s="26"/>
      <c r="E63" s="28"/>
      <c r="F63" s="28"/>
      <c r="G63" s="29"/>
      <c r="H63" s="43"/>
      <c r="I63" s="179" t="s">
        <v>371</v>
      </c>
      <c r="J63" s="185"/>
      <c r="K63" s="184"/>
      <c r="L63" s="184"/>
      <c r="M63" s="184"/>
      <c r="N63" s="462"/>
      <c r="O63" s="462"/>
      <c r="P63" s="184"/>
      <c r="Q63" s="462"/>
      <c r="R63" s="462"/>
      <c r="S63" s="184"/>
      <c r="T63" s="462"/>
      <c r="U63" s="462"/>
      <c r="V63" s="85" t="s">
        <v>357</v>
      </c>
      <c r="W63" s="461"/>
      <c r="X63" s="573">
        <f>SUM(X64:X67)</f>
        <v>19569000</v>
      </c>
      <c r="Y63" s="397" t="s">
        <v>25</v>
      </c>
      <c r="Z63" s="419"/>
    </row>
    <row r="64" spans="1:26" s="7" customFormat="1" ht="19.5" customHeight="1">
      <c r="A64" s="35"/>
      <c r="B64" s="26"/>
      <c r="C64" s="26"/>
      <c r="D64" s="26"/>
      <c r="E64" s="28"/>
      <c r="F64" s="28"/>
      <c r="G64" s="29"/>
      <c r="H64" s="43"/>
      <c r="I64" s="177" t="s">
        <v>372</v>
      </c>
      <c r="J64" s="185"/>
      <c r="K64" s="184"/>
      <c r="L64" s="184"/>
      <c r="M64" s="184">
        <v>131815800</v>
      </c>
      <c r="N64" s="462" t="s">
        <v>358</v>
      </c>
      <c r="O64" s="46" t="s">
        <v>361</v>
      </c>
      <c r="P64" s="267">
        <v>4.4999999999999998E-2</v>
      </c>
      <c r="Q64" s="462"/>
      <c r="R64" s="462"/>
      <c r="S64" s="184"/>
      <c r="T64" s="462"/>
      <c r="U64" s="462" t="s">
        <v>362</v>
      </c>
      <c r="V64" s="763"/>
      <c r="W64" s="763"/>
      <c r="X64" s="579">
        <f>ROUND(M64*P64,-3)</f>
        <v>5932000</v>
      </c>
      <c r="Y64" s="401" t="s">
        <v>358</v>
      </c>
      <c r="Z64" s="419"/>
    </row>
    <row r="65" spans="1:26" s="7" customFormat="1" ht="19.5" customHeight="1">
      <c r="A65" s="35"/>
      <c r="B65" s="26"/>
      <c r="C65" s="26"/>
      <c r="D65" s="26"/>
      <c r="E65" s="28"/>
      <c r="F65" s="28"/>
      <c r="G65" s="29"/>
      <c r="H65" s="43"/>
      <c r="I65" s="177" t="s">
        <v>373</v>
      </c>
      <c r="J65" s="185"/>
      <c r="K65" s="184"/>
      <c r="L65" s="184"/>
      <c r="M65" s="184">
        <v>25873330</v>
      </c>
      <c r="N65" s="462" t="s">
        <v>358</v>
      </c>
      <c r="O65" s="46" t="s">
        <v>361</v>
      </c>
      <c r="P65" s="267">
        <v>4.4999999999999998E-2</v>
      </c>
      <c r="Q65" s="462"/>
      <c r="R65" s="462"/>
      <c r="S65" s="184"/>
      <c r="T65" s="462"/>
      <c r="U65" s="462" t="s">
        <v>362</v>
      </c>
      <c r="V65" s="762"/>
      <c r="W65" s="762"/>
      <c r="X65" s="570">
        <f>ROUND(M65*P65,-3)</f>
        <v>1164000</v>
      </c>
      <c r="Y65" s="398" t="s">
        <v>358</v>
      </c>
      <c r="Z65" s="419"/>
    </row>
    <row r="66" spans="1:26" s="7" customFormat="1" ht="19.5" customHeight="1">
      <c r="A66" s="35"/>
      <c r="B66" s="26"/>
      <c r="C66" s="26"/>
      <c r="D66" s="26"/>
      <c r="E66" s="28"/>
      <c r="F66" s="28"/>
      <c r="G66" s="29"/>
      <c r="H66" s="43"/>
      <c r="I66" s="177" t="s">
        <v>374</v>
      </c>
      <c r="J66" s="185"/>
      <c r="K66" s="184"/>
      <c r="L66" s="184"/>
      <c r="M66" s="184">
        <v>271839740</v>
      </c>
      <c r="N66" s="462" t="s">
        <v>358</v>
      </c>
      <c r="O66" s="46" t="s">
        <v>361</v>
      </c>
      <c r="P66" s="267">
        <v>4.4999999999999998E-2</v>
      </c>
      <c r="Q66" s="462"/>
      <c r="R66" s="462"/>
      <c r="S66" s="184"/>
      <c r="T66" s="462"/>
      <c r="U66" s="462" t="s">
        <v>362</v>
      </c>
      <c r="V66" s="762"/>
      <c r="W66" s="762"/>
      <c r="X66" s="570">
        <f>ROUND(M66*P66,-3)</f>
        <v>12233000</v>
      </c>
      <c r="Y66" s="398" t="s">
        <v>358</v>
      </c>
      <c r="Z66" s="419"/>
    </row>
    <row r="67" spans="1:26" s="7" customFormat="1" ht="19.5" customHeight="1">
      <c r="A67" s="35"/>
      <c r="B67" s="26"/>
      <c r="C67" s="26"/>
      <c r="D67" s="26"/>
      <c r="E67" s="28"/>
      <c r="F67" s="28"/>
      <c r="G67" s="29"/>
      <c r="H67" s="43"/>
      <c r="I67" s="177" t="s">
        <v>675</v>
      </c>
      <c r="J67" s="185"/>
      <c r="K67" s="184"/>
      <c r="L67" s="184"/>
      <c r="M67" s="184">
        <v>5339470</v>
      </c>
      <c r="N67" s="462" t="s">
        <v>294</v>
      </c>
      <c r="O67" s="46" t="s">
        <v>296</v>
      </c>
      <c r="P67" s="267">
        <v>4.4999999999999998E-2</v>
      </c>
      <c r="Q67" s="462"/>
      <c r="R67" s="462"/>
      <c r="S67" s="184"/>
      <c r="T67" s="462"/>
      <c r="U67" s="462" t="s">
        <v>53</v>
      </c>
      <c r="V67" s="762"/>
      <c r="W67" s="762"/>
      <c r="X67" s="570">
        <f>ROUND(M67*P67,-3)</f>
        <v>240000</v>
      </c>
      <c r="Y67" s="398" t="s">
        <v>358</v>
      </c>
      <c r="Z67" s="419"/>
    </row>
    <row r="68" spans="1:26" s="7" customFormat="1" ht="19.5" customHeight="1">
      <c r="A68" s="35"/>
      <c r="B68" s="26"/>
      <c r="C68" s="26"/>
      <c r="D68" s="26"/>
      <c r="E68" s="28"/>
      <c r="F68" s="28"/>
      <c r="G68" s="29"/>
      <c r="H68" s="43"/>
      <c r="I68" s="178" t="s">
        <v>356</v>
      </c>
      <c r="J68" s="185"/>
      <c r="K68" s="184"/>
      <c r="L68" s="184"/>
      <c r="M68" s="184"/>
      <c r="N68" s="462"/>
      <c r="O68" s="462"/>
      <c r="P68" s="184"/>
      <c r="Q68" s="462"/>
      <c r="R68" s="462"/>
      <c r="S68" s="184"/>
      <c r="T68" s="462"/>
      <c r="U68" s="462"/>
      <c r="V68" s="139" t="s">
        <v>357</v>
      </c>
      <c r="W68" s="118"/>
      <c r="X68" s="575">
        <f>SUM(X69:X69)</f>
        <v>6748000</v>
      </c>
      <c r="Y68" s="400" t="s">
        <v>25</v>
      </c>
      <c r="Z68" s="419"/>
    </row>
    <row r="69" spans="1:26" s="7" customFormat="1" ht="19.5" customHeight="1">
      <c r="A69" s="35"/>
      <c r="B69" s="26"/>
      <c r="C69" s="26"/>
      <c r="D69" s="26"/>
      <c r="E69" s="28"/>
      <c r="F69" s="28"/>
      <c r="G69" s="29"/>
      <c r="H69" s="43"/>
      <c r="I69" s="177" t="s">
        <v>684</v>
      </c>
      <c r="J69" s="185"/>
      <c r="K69" s="184"/>
      <c r="L69" s="184"/>
      <c r="M69" s="184">
        <v>1799445340</v>
      </c>
      <c r="N69" s="462" t="s">
        <v>358</v>
      </c>
      <c r="O69" s="462" t="s">
        <v>359</v>
      </c>
      <c r="P69" s="262">
        <v>12</v>
      </c>
      <c r="Q69" s="46" t="s">
        <v>360</v>
      </c>
      <c r="R69" s="46" t="s">
        <v>361</v>
      </c>
      <c r="S69" s="267">
        <v>4.4999999999999998E-2</v>
      </c>
      <c r="T69" s="462"/>
      <c r="U69" s="462" t="s">
        <v>362</v>
      </c>
      <c r="V69" s="58"/>
      <c r="W69" s="463"/>
      <c r="X69" s="579">
        <f>ROUND(M69/P69*S69,-3)</f>
        <v>6748000</v>
      </c>
      <c r="Y69" s="401" t="s">
        <v>358</v>
      </c>
      <c r="Z69" s="419"/>
    </row>
    <row r="70" spans="1:26" s="7" customFormat="1" ht="19.5" customHeight="1">
      <c r="A70" s="35"/>
      <c r="B70" s="26"/>
      <c r="C70" s="26"/>
      <c r="D70" s="26"/>
      <c r="E70" s="28"/>
      <c r="F70" s="28"/>
      <c r="G70" s="29"/>
      <c r="H70" s="43"/>
      <c r="I70" s="178" t="s">
        <v>363</v>
      </c>
      <c r="J70" s="185"/>
      <c r="K70" s="184"/>
      <c r="L70" s="184"/>
      <c r="M70" s="184"/>
      <c r="N70" s="462"/>
      <c r="O70" s="462"/>
      <c r="P70" s="184"/>
      <c r="Q70" s="462"/>
      <c r="R70" s="462"/>
      <c r="S70" s="184"/>
      <c r="T70" s="462"/>
      <c r="U70" s="462"/>
      <c r="V70" s="139" t="s">
        <v>357</v>
      </c>
      <c r="W70" s="118"/>
      <c r="X70" s="575">
        <f>SUM(X71:X75)</f>
        <v>8354000</v>
      </c>
      <c r="Y70" s="400" t="s">
        <v>25</v>
      </c>
      <c r="Z70" s="419"/>
    </row>
    <row r="71" spans="1:26" s="7" customFormat="1" ht="19.5" customHeight="1">
      <c r="A71" s="35"/>
      <c r="B71" s="26"/>
      <c r="C71" s="26"/>
      <c r="D71" s="26"/>
      <c r="E71" s="28"/>
      <c r="F71" s="28"/>
      <c r="G71" s="29"/>
      <c r="H71" s="43"/>
      <c r="I71" s="177" t="s">
        <v>364</v>
      </c>
      <c r="J71" s="185"/>
      <c r="K71" s="184"/>
      <c r="L71" s="184"/>
      <c r="M71" s="184">
        <v>1799445340</v>
      </c>
      <c r="N71" s="462" t="s">
        <v>358</v>
      </c>
      <c r="O71" s="46" t="s">
        <v>361</v>
      </c>
      <c r="P71" s="257">
        <v>0.09</v>
      </c>
      <c r="Q71" s="462">
        <v>2</v>
      </c>
      <c r="R71" s="46" t="s">
        <v>361</v>
      </c>
      <c r="S71" s="267">
        <v>4.4999999999999998E-2</v>
      </c>
      <c r="T71" s="474"/>
      <c r="U71" s="462" t="s">
        <v>362</v>
      </c>
      <c r="V71" s="184"/>
      <c r="W71" s="462"/>
      <c r="X71" s="570">
        <f>ROUND(M71*P71/Q71*S71,-3)</f>
        <v>3644000</v>
      </c>
      <c r="Y71" s="398" t="s">
        <v>358</v>
      </c>
      <c r="Z71" s="419"/>
    </row>
    <row r="72" spans="1:26" s="7" customFormat="1" ht="19.5" customHeight="1">
      <c r="A72" s="35"/>
      <c r="B72" s="26"/>
      <c r="C72" s="26"/>
      <c r="D72" s="26"/>
      <c r="E72" s="28"/>
      <c r="F72" s="28"/>
      <c r="G72" s="29"/>
      <c r="H72" s="43"/>
      <c r="I72" s="177" t="s">
        <v>365</v>
      </c>
      <c r="J72" s="185"/>
      <c r="K72" s="184"/>
      <c r="L72" s="184"/>
      <c r="M72" s="184">
        <v>1799445340</v>
      </c>
      <c r="N72" s="462" t="s">
        <v>358</v>
      </c>
      <c r="O72" s="46" t="s">
        <v>361</v>
      </c>
      <c r="P72" s="256">
        <v>7.0900000000000005E-2</v>
      </c>
      <c r="Q72" s="462">
        <v>2</v>
      </c>
      <c r="R72" s="46" t="s">
        <v>361</v>
      </c>
      <c r="S72" s="267">
        <v>4.4999999999999998E-2</v>
      </c>
      <c r="T72" s="474"/>
      <c r="U72" s="462" t="s">
        <v>362</v>
      </c>
      <c r="V72" s="184"/>
      <c r="W72" s="462"/>
      <c r="X72" s="570">
        <f>ROUND(M72*P72/Q72*S72,-3)</f>
        <v>2871000</v>
      </c>
      <c r="Y72" s="398" t="s">
        <v>358</v>
      </c>
      <c r="Z72" s="419"/>
    </row>
    <row r="73" spans="1:26" s="7" customFormat="1" ht="19.5" customHeight="1">
      <c r="A73" s="35"/>
      <c r="B73" s="26"/>
      <c r="C73" s="26"/>
      <c r="D73" s="26"/>
      <c r="E73" s="28"/>
      <c r="F73" s="28"/>
      <c r="G73" s="29"/>
      <c r="H73" s="43"/>
      <c r="I73" s="177" t="s">
        <v>366</v>
      </c>
      <c r="J73" s="185"/>
      <c r="K73" s="184"/>
      <c r="L73" s="184"/>
      <c r="M73" s="184">
        <v>2871000</v>
      </c>
      <c r="N73" s="462" t="s">
        <v>358</v>
      </c>
      <c r="O73" s="46" t="s">
        <v>361</v>
      </c>
      <c r="P73" s="50">
        <v>0.12809999999999999</v>
      </c>
      <c r="Q73" s="255"/>
      <c r="R73" s="46"/>
      <c r="S73" s="49"/>
      <c r="T73" s="475"/>
      <c r="U73" s="462" t="s">
        <v>362</v>
      </c>
      <c r="V73" s="184"/>
      <c r="W73" s="462"/>
      <c r="X73" s="570">
        <f>ROUND(M73*P73,-3)</f>
        <v>368000</v>
      </c>
      <c r="Y73" s="398" t="s">
        <v>358</v>
      </c>
      <c r="Z73" s="419"/>
    </row>
    <row r="74" spans="1:26" s="7" customFormat="1" ht="19.5" customHeight="1">
      <c r="A74" s="35"/>
      <c r="B74" s="26"/>
      <c r="C74" s="26"/>
      <c r="D74" s="26"/>
      <c r="E74" s="28"/>
      <c r="F74" s="28"/>
      <c r="G74" s="29"/>
      <c r="H74" s="43"/>
      <c r="I74" s="177" t="s">
        <v>367</v>
      </c>
      <c r="J74" s="185"/>
      <c r="K74" s="184"/>
      <c r="L74" s="184"/>
      <c r="M74" s="184">
        <v>1799445340</v>
      </c>
      <c r="N74" s="462" t="s">
        <v>358</v>
      </c>
      <c r="O74" s="46" t="s">
        <v>361</v>
      </c>
      <c r="P74" s="50">
        <v>1.15E-2</v>
      </c>
      <c r="Q74" s="46"/>
      <c r="R74" s="46" t="s">
        <v>361</v>
      </c>
      <c r="S74" s="267">
        <v>4.4999999999999998E-2</v>
      </c>
      <c r="T74" s="474"/>
      <c r="U74" s="462" t="s">
        <v>362</v>
      </c>
      <c r="V74" s="184"/>
      <c r="W74" s="462"/>
      <c r="X74" s="570">
        <f>ROUNDDOWN(M74*P74*S74,-3)</f>
        <v>931000</v>
      </c>
      <c r="Y74" s="398" t="s">
        <v>358</v>
      </c>
      <c r="Z74" s="419"/>
    </row>
    <row r="75" spans="1:26" s="7" customFormat="1" ht="19.5" customHeight="1">
      <c r="A75" s="35"/>
      <c r="B75" s="26"/>
      <c r="C75" s="26"/>
      <c r="D75" s="26"/>
      <c r="E75" s="28"/>
      <c r="F75" s="28"/>
      <c r="G75" s="29"/>
      <c r="H75" s="43"/>
      <c r="I75" s="177" t="s">
        <v>368</v>
      </c>
      <c r="J75" s="185"/>
      <c r="K75" s="184"/>
      <c r="L75" s="184"/>
      <c r="M75" s="184">
        <v>1799445340</v>
      </c>
      <c r="N75" s="462" t="s">
        <v>358</v>
      </c>
      <c r="O75" s="46" t="s">
        <v>361</v>
      </c>
      <c r="P75" s="254">
        <v>6.6699999999999997E-3</v>
      </c>
      <c r="Q75" s="46"/>
      <c r="R75" s="46" t="s">
        <v>361</v>
      </c>
      <c r="S75" s="267">
        <v>4.4999999999999998E-2</v>
      </c>
      <c r="T75" s="474"/>
      <c r="U75" s="462" t="s">
        <v>362</v>
      </c>
      <c r="V75" s="184"/>
      <c r="W75" s="462"/>
      <c r="X75" s="570">
        <f>ROUND(M75*P75*S75,-3)</f>
        <v>540000</v>
      </c>
      <c r="Y75" s="398" t="s">
        <v>358</v>
      </c>
      <c r="Z75" s="419"/>
    </row>
    <row r="76" spans="1:26" s="7" customFormat="1" ht="19.5" customHeight="1">
      <c r="A76" s="35"/>
      <c r="B76" s="26"/>
      <c r="C76" s="26"/>
      <c r="D76" s="26"/>
      <c r="E76" s="28"/>
      <c r="F76" s="28"/>
      <c r="G76" s="29"/>
      <c r="H76" s="43"/>
      <c r="I76" s="338"/>
      <c r="J76" s="185"/>
      <c r="K76" s="184"/>
      <c r="L76" s="184"/>
      <c r="M76" s="184"/>
      <c r="N76" s="462"/>
      <c r="O76" s="46"/>
      <c r="P76" s="254"/>
      <c r="Q76" s="46"/>
      <c r="R76" s="46"/>
      <c r="S76" s="267"/>
      <c r="T76" s="474"/>
      <c r="U76" s="462"/>
      <c r="V76" s="184"/>
      <c r="W76" s="462"/>
      <c r="X76" s="570"/>
      <c r="Y76" s="398"/>
      <c r="Z76" s="419"/>
    </row>
    <row r="77" spans="1:26" s="7" customFormat="1" ht="19.5" customHeight="1" thickBot="1">
      <c r="A77" s="35"/>
      <c r="B77" s="26"/>
      <c r="C77" s="26"/>
      <c r="D77" s="18" t="s">
        <v>375</v>
      </c>
      <c r="E77" s="19">
        <v>4525</v>
      </c>
      <c r="F77" s="149">
        <f>ROUND(X77/1000,0)</f>
        <v>4517</v>
      </c>
      <c r="G77" s="20">
        <f>F77-E77</f>
        <v>-8</v>
      </c>
      <c r="H77" s="75">
        <f>IF(E77=0,0,G77/E77)</f>
        <v>-1.7679558011049724E-3</v>
      </c>
      <c r="I77" s="152" t="s">
        <v>388</v>
      </c>
      <c r="J77" s="151"/>
      <c r="K77" s="154"/>
      <c r="L77" s="154"/>
      <c r="M77" s="58"/>
      <c r="N77" s="463"/>
      <c r="O77" s="470"/>
      <c r="P77" s="58"/>
      <c r="Q77" s="463"/>
      <c r="R77" s="431"/>
      <c r="S77" s="150"/>
      <c r="T77" s="463"/>
      <c r="U77" s="463"/>
      <c r="V77" s="153" t="s">
        <v>369</v>
      </c>
      <c r="W77" s="488"/>
      <c r="X77" s="580">
        <f>SUM(X78:X83)</f>
        <v>4517000</v>
      </c>
      <c r="Y77" s="399" t="s">
        <v>358</v>
      </c>
      <c r="Z77" s="419"/>
    </row>
    <row r="78" spans="1:26" s="7" customFormat="1" ht="19.5" customHeight="1">
      <c r="A78" s="35"/>
      <c r="B78" s="26"/>
      <c r="C78" s="26"/>
      <c r="D78" s="26"/>
      <c r="E78" s="28"/>
      <c r="F78" s="28"/>
      <c r="G78" s="29"/>
      <c r="H78" s="43"/>
      <c r="I78" s="185" t="s">
        <v>389</v>
      </c>
      <c r="J78" s="41"/>
      <c r="K78" s="125"/>
      <c r="L78" s="125"/>
      <c r="M78" s="171">
        <v>2549000</v>
      </c>
      <c r="N78" s="211" t="s">
        <v>25</v>
      </c>
      <c r="O78" s="341" t="s">
        <v>26</v>
      </c>
      <c r="P78" s="218">
        <v>30</v>
      </c>
      <c r="Q78" s="211" t="s">
        <v>295</v>
      </c>
      <c r="R78" s="341" t="s">
        <v>296</v>
      </c>
      <c r="S78" s="219">
        <v>4.4999999999999998E-2</v>
      </c>
      <c r="T78" s="450"/>
      <c r="U78" s="211" t="s">
        <v>362</v>
      </c>
      <c r="V78" s="346"/>
      <c r="W78" s="491"/>
      <c r="X78" s="570">
        <f>ROUND(M78*P78*S78,-3)</f>
        <v>3441000</v>
      </c>
      <c r="Y78" s="398" t="s">
        <v>358</v>
      </c>
      <c r="Z78" s="419"/>
    </row>
    <row r="79" spans="1:26" s="7" customFormat="1" ht="19.5" customHeight="1">
      <c r="A79" s="35"/>
      <c r="B79" s="26"/>
      <c r="C79" s="26"/>
      <c r="D79" s="26"/>
      <c r="E79" s="28"/>
      <c r="F79" s="28"/>
      <c r="G79" s="29"/>
      <c r="H79" s="43"/>
      <c r="I79" s="185" t="s">
        <v>390</v>
      </c>
      <c r="J79" s="41"/>
      <c r="K79" s="125"/>
      <c r="L79" s="125"/>
      <c r="M79" s="171">
        <v>1071000</v>
      </c>
      <c r="N79" s="211" t="s">
        <v>25</v>
      </c>
      <c r="O79" s="341" t="s">
        <v>26</v>
      </c>
      <c r="P79" s="218">
        <v>21</v>
      </c>
      <c r="Q79" s="211" t="s">
        <v>295</v>
      </c>
      <c r="R79" s="341" t="s">
        <v>296</v>
      </c>
      <c r="S79" s="219">
        <v>4.4999999999999998E-2</v>
      </c>
      <c r="T79" s="450"/>
      <c r="U79" s="211" t="s">
        <v>362</v>
      </c>
      <c r="V79" s="184"/>
      <c r="W79" s="462"/>
      <c r="X79" s="570">
        <f>ROUND(M79*P79*S79,-3)-8000</f>
        <v>1004000</v>
      </c>
      <c r="Y79" s="398" t="s">
        <v>358</v>
      </c>
      <c r="Z79" s="419"/>
    </row>
    <row r="80" spans="1:26" s="7" customFormat="1" ht="19.5" customHeight="1">
      <c r="A80" s="35"/>
      <c r="B80" s="26"/>
      <c r="C80" s="26"/>
      <c r="D80" s="26"/>
      <c r="E80" s="28"/>
      <c r="F80" s="28"/>
      <c r="G80" s="29"/>
      <c r="H80" s="43"/>
      <c r="I80" s="185" t="s">
        <v>692</v>
      </c>
      <c r="J80" s="174"/>
      <c r="K80" s="272"/>
      <c r="L80" s="272"/>
      <c r="M80" s="171">
        <v>1600000</v>
      </c>
      <c r="N80" s="211" t="s">
        <v>25</v>
      </c>
      <c r="O80" s="341" t="s">
        <v>26</v>
      </c>
      <c r="P80" s="218">
        <v>1</v>
      </c>
      <c r="Q80" s="211" t="s">
        <v>685</v>
      </c>
      <c r="R80" s="341" t="s">
        <v>56</v>
      </c>
      <c r="S80" s="219">
        <v>4.4999999999999998E-2</v>
      </c>
      <c r="T80" s="450"/>
      <c r="U80" s="211" t="s">
        <v>53</v>
      </c>
      <c r="V80" s="270"/>
      <c r="W80" s="213"/>
      <c r="X80" s="585">
        <f t="shared" ref="X80" si="2">ROUND(M80*P80*S80,-3)</f>
        <v>72000</v>
      </c>
      <c r="Y80" s="404" t="s">
        <v>55</v>
      </c>
      <c r="Z80" s="419"/>
    </row>
    <row r="81" spans="1:26" s="7" customFormat="1" ht="19.5" customHeight="1">
      <c r="A81" s="35"/>
      <c r="B81" s="26"/>
      <c r="C81" s="26"/>
      <c r="D81" s="26"/>
      <c r="E81" s="28"/>
      <c r="F81" s="28"/>
      <c r="G81" s="29"/>
      <c r="H81" s="43"/>
      <c r="I81" s="185"/>
      <c r="J81" s="41"/>
      <c r="K81" s="125"/>
      <c r="L81" s="125"/>
      <c r="M81" s="184"/>
      <c r="N81" s="462"/>
      <c r="O81" s="31"/>
      <c r="P81" s="462"/>
      <c r="Q81" s="462"/>
      <c r="R81" s="46"/>
      <c r="S81" s="267"/>
      <c r="T81" s="462"/>
      <c r="U81" s="462"/>
      <c r="V81" s="462"/>
      <c r="W81" s="462"/>
      <c r="X81" s="570"/>
      <c r="Y81" s="398"/>
      <c r="Z81" s="419"/>
    </row>
    <row r="82" spans="1:26" s="7" customFormat="1" ht="19.5" customHeight="1">
      <c r="A82" s="35"/>
      <c r="B82" s="26"/>
      <c r="C82" s="26"/>
      <c r="D82" s="26"/>
      <c r="E82" s="28"/>
      <c r="F82" s="28"/>
      <c r="G82" s="29"/>
      <c r="H82" s="43"/>
      <c r="I82" s="214" t="s">
        <v>380</v>
      </c>
      <c r="J82" s="174"/>
      <c r="K82" s="272"/>
      <c r="L82" s="272"/>
      <c r="M82" s="171"/>
      <c r="N82" s="211"/>
      <c r="O82" s="341"/>
      <c r="P82" s="171"/>
      <c r="Q82" s="211"/>
      <c r="R82" s="212"/>
      <c r="S82" s="220"/>
      <c r="T82" s="211"/>
      <c r="U82" s="211"/>
      <c r="V82" s="270"/>
      <c r="W82" s="213"/>
      <c r="X82" s="585"/>
      <c r="Y82" s="404"/>
      <c r="Z82" s="419"/>
    </row>
    <row r="83" spans="1:26" s="7" customFormat="1" ht="19.5" customHeight="1">
      <c r="A83" s="35"/>
      <c r="B83" s="26"/>
      <c r="C83" s="26"/>
      <c r="D83" s="26"/>
      <c r="E83" s="28"/>
      <c r="F83" s="28"/>
      <c r="G83" s="29"/>
      <c r="H83" s="43"/>
      <c r="I83" s="175" t="s">
        <v>566</v>
      </c>
      <c r="J83" s="174"/>
      <c r="K83" s="272"/>
      <c r="L83" s="272"/>
      <c r="M83" s="171">
        <v>0</v>
      </c>
      <c r="N83" s="211" t="s">
        <v>25</v>
      </c>
      <c r="O83" s="341" t="s">
        <v>26</v>
      </c>
      <c r="P83" s="271">
        <v>0.5</v>
      </c>
      <c r="Q83" s="211"/>
      <c r="R83" s="212"/>
      <c r="S83" s="220"/>
      <c r="T83" s="211"/>
      <c r="U83" s="211"/>
      <c r="V83" s="270"/>
      <c r="W83" s="213" t="s">
        <v>27</v>
      </c>
      <c r="X83" s="585">
        <f>M83*P83</f>
        <v>0</v>
      </c>
      <c r="Y83" s="404" t="s">
        <v>358</v>
      </c>
      <c r="Z83" s="419"/>
    </row>
    <row r="84" spans="1:26" s="7" customFormat="1" ht="19.5" customHeight="1">
      <c r="A84" s="35"/>
      <c r="B84" s="26"/>
      <c r="C84" s="26"/>
      <c r="D84" s="34"/>
      <c r="E84" s="36"/>
      <c r="F84" s="36"/>
      <c r="G84" s="37"/>
      <c r="H84" s="54"/>
      <c r="I84" s="217"/>
      <c r="J84" s="45"/>
      <c r="K84" s="261"/>
      <c r="L84" s="261"/>
      <c r="M84" s="139"/>
      <c r="N84" s="118"/>
      <c r="O84" s="127"/>
      <c r="P84" s="139"/>
      <c r="Q84" s="118"/>
      <c r="R84" s="129"/>
      <c r="S84" s="264"/>
      <c r="T84" s="118"/>
      <c r="U84" s="118"/>
      <c r="V84" s="260"/>
      <c r="W84" s="55"/>
      <c r="X84" s="571"/>
      <c r="Y84" s="400"/>
      <c r="Z84" s="419"/>
    </row>
    <row r="85" spans="1:26" s="7" customFormat="1" ht="19.5" customHeight="1" thickBot="1">
      <c r="A85" s="35"/>
      <c r="B85" s="26"/>
      <c r="C85" s="26"/>
      <c r="D85" s="18" t="s">
        <v>391</v>
      </c>
      <c r="E85" s="19">
        <v>6280</v>
      </c>
      <c r="F85" s="149">
        <f>ROUND(X85/1000,0)</f>
        <v>6280</v>
      </c>
      <c r="G85" s="20">
        <f>F85-E85</f>
        <v>0</v>
      </c>
      <c r="H85" s="75">
        <f>IF(E85=0,0,G85/E85)</f>
        <v>0</v>
      </c>
      <c r="I85" s="152" t="s">
        <v>392</v>
      </c>
      <c r="J85" s="151"/>
      <c r="K85" s="154"/>
      <c r="L85" s="154"/>
      <c r="M85" s="58"/>
      <c r="N85" s="463"/>
      <c r="O85" s="470"/>
      <c r="P85" s="58"/>
      <c r="Q85" s="463"/>
      <c r="R85" s="431"/>
      <c r="S85" s="150"/>
      <c r="T85" s="463"/>
      <c r="U85" s="463"/>
      <c r="V85" s="153" t="s">
        <v>369</v>
      </c>
      <c r="W85" s="488"/>
      <c r="X85" s="580">
        <f>SUM(X86:X90)</f>
        <v>6280000</v>
      </c>
      <c r="Y85" s="399" t="s">
        <v>358</v>
      </c>
      <c r="Z85" s="419"/>
    </row>
    <row r="86" spans="1:26" s="7" customFormat="1" ht="19.5" customHeight="1">
      <c r="A86" s="35"/>
      <c r="B86" s="26"/>
      <c r="C86" s="26"/>
      <c r="D86" s="26" t="s">
        <v>393</v>
      </c>
      <c r="E86" s="28"/>
      <c r="F86" s="28"/>
      <c r="G86" s="29"/>
      <c r="H86" s="43"/>
      <c r="I86" s="40" t="s">
        <v>394</v>
      </c>
      <c r="J86" s="185"/>
      <c r="K86" s="184"/>
      <c r="L86" s="184"/>
      <c r="M86" s="184">
        <v>500</v>
      </c>
      <c r="N86" s="462" t="s">
        <v>358</v>
      </c>
      <c r="O86" s="31" t="s">
        <v>361</v>
      </c>
      <c r="P86" s="266">
        <v>51</v>
      </c>
      <c r="Q86" s="386">
        <v>365</v>
      </c>
      <c r="R86" s="462" t="s">
        <v>395</v>
      </c>
      <c r="S86" s="265">
        <v>0.3</v>
      </c>
      <c r="T86" s="462"/>
      <c r="U86" s="462" t="s">
        <v>362</v>
      </c>
      <c r="V86" s="184"/>
      <c r="W86" s="462"/>
      <c r="X86" s="599">
        <f>ROUND(M86*P86*Q86*S86,-3)</f>
        <v>2792000</v>
      </c>
      <c r="Y86" s="398" t="s">
        <v>25</v>
      </c>
      <c r="Z86" s="419"/>
    </row>
    <row r="87" spans="1:26" s="7" customFormat="1" ht="19.5" customHeight="1">
      <c r="A87" s="35"/>
      <c r="B87" s="26"/>
      <c r="C87" s="26"/>
      <c r="D87" s="26"/>
      <c r="E87" s="28"/>
      <c r="F87" s="28"/>
      <c r="G87" s="29"/>
      <c r="H87" s="43"/>
      <c r="I87" s="40" t="s">
        <v>396</v>
      </c>
      <c r="J87" s="185"/>
      <c r="K87" s="184"/>
      <c r="L87" s="184"/>
      <c r="M87" s="184">
        <v>5000</v>
      </c>
      <c r="N87" s="462" t="s">
        <v>358</v>
      </c>
      <c r="O87" s="31" t="s">
        <v>361</v>
      </c>
      <c r="P87" s="266">
        <v>51</v>
      </c>
      <c r="Q87" s="385">
        <v>12</v>
      </c>
      <c r="R87" s="462" t="s">
        <v>360</v>
      </c>
      <c r="S87" s="265">
        <v>0.3</v>
      </c>
      <c r="T87" s="462"/>
      <c r="U87" s="462" t="s">
        <v>362</v>
      </c>
      <c r="V87" s="184"/>
      <c r="W87" s="462"/>
      <c r="X87" s="570">
        <f>ROUNDUP(M87*P87*Q87*S87,-3)</f>
        <v>918000</v>
      </c>
      <c r="Y87" s="398" t="s">
        <v>25</v>
      </c>
      <c r="Z87" s="419"/>
    </row>
    <row r="88" spans="1:26" s="7" customFormat="1" ht="19.5" customHeight="1">
      <c r="A88" s="35"/>
      <c r="B88" s="26"/>
      <c r="C88" s="26"/>
      <c r="D88" s="26"/>
      <c r="E88" s="28"/>
      <c r="F88" s="28"/>
      <c r="G88" s="29"/>
      <c r="H88" s="43"/>
      <c r="I88" s="40" t="s">
        <v>800</v>
      </c>
      <c r="J88" s="185"/>
      <c r="K88" s="184"/>
      <c r="L88" s="184"/>
      <c r="M88" s="184">
        <v>20000</v>
      </c>
      <c r="N88" s="462" t="s">
        <v>358</v>
      </c>
      <c r="O88" s="31" t="s">
        <v>361</v>
      </c>
      <c r="P88" s="266">
        <v>51</v>
      </c>
      <c r="Q88" s="385">
        <v>4</v>
      </c>
      <c r="R88" s="462" t="s">
        <v>398</v>
      </c>
      <c r="S88" s="265">
        <v>0.3</v>
      </c>
      <c r="T88" s="462"/>
      <c r="U88" s="462" t="s">
        <v>362</v>
      </c>
      <c r="V88" s="184"/>
      <c r="W88" s="462"/>
      <c r="X88" s="570">
        <f>ROUNDUP(M88*P88*Q88*S88,-3)</f>
        <v>1224000</v>
      </c>
      <c r="Y88" s="398" t="s">
        <v>25</v>
      </c>
      <c r="Z88" s="419"/>
    </row>
    <row r="89" spans="1:26" s="7" customFormat="1" ht="19.5" customHeight="1">
      <c r="A89" s="35"/>
      <c r="B89" s="26"/>
      <c r="C89" s="26"/>
      <c r="D89" s="26"/>
      <c r="E89" s="28"/>
      <c r="F89" s="28"/>
      <c r="G89" s="29"/>
      <c r="H89" s="43"/>
      <c r="I89" s="40" t="s">
        <v>677</v>
      </c>
      <c r="J89" s="185"/>
      <c r="K89" s="184"/>
      <c r="L89" s="184"/>
      <c r="M89" s="184">
        <v>12000</v>
      </c>
      <c r="N89" s="462" t="s">
        <v>358</v>
      </c>
      <c r="O89" s="31" t="s">
        <v>361</v>
      </c>
      <c r="P89" s="266">
        <v>51</v>
      </c>
      <c r="Q89" s="385">
        <v>4</v>
      </c>
      <c r="R89" s="462" t="s">
        <v>398</v>
      </c>
      <c r="S89" s="265">
        <v>0.3</v>
      </c>
      <c r="T89" s="462"/>
      <c r="U89" s="462" t="s">
        <v>362</v>
      </c>
      <c r="V89" s="184"/>
      <c r="W89" s="462"/>
      <c r="X89" s="570">
        <f>ROUND(M89*P89*Q89*S89,-3)</f>
        <v>734000</v>
      </c>
      <c r="Y89" s="398" t="s">
        <v>25</v>
      </c>
      <c r="Z89" s="419"/>
    </row>
    <row r="90" spans="1:26" s="7" customFormat="1" ht="19.5" customHeight="1">
      <c r="A90" s="35"/>
      <c r="B90" s="26"/>
      <c r="C90" s="26"/>
      <c r="D90" s="26"/>
      <c r="E90" s="28"/>
      <c r="F90" s="28"/>
      <c r="G90" s="29"/>
      <c r="H90" s="43"/>
      <c r="I90" s="40" t="s">
        <v>399</v>
      </c>
      <c r="J90" s="185"/>
      <c r="K90" s="184"/>
      <c r="L90" s="184"/>
      <c r="M90" s="184">
        <v>40000</v>
      </c>
      <c r="N90" s="462" t="s">
        <v>358</v>
      </c>
      <c r="O90" s="31" t="s">
        <v>361</v>
      </c>
      <c r="P90" s="266">
        <v>51</v>
      </c>
      <c r="Q90" s="385">
        <v>1</v>
      </c>
      <c r="R90" s="462" t="s">
        <v>398</v>
      </c>
      <c r="S90" s="265">
        <v>0.3</v>
      </c>
      <c r="T90" s="462"/>
      <c r="U90" s="462" t="s">
        <v>362</v>
      </c>
      <c r="V90" s="184"/>
      <c r="W90" s="462"/>
      <c r="X90" s="599">
        <f>ROUND(M90*P90*Q90*S90,-3)</f>
        <v>612000</v>
      </c>
      <c r="Y90" s="398" t="s">
        <v>25</v>
      </c>
      <c r="Z90" s="419"/>
    </row>
    <row r="91" spans="1:26" s="7" customFormat="1" ht="19.5" customHeight="1">
      <c r="A91" s="35"/>
      <c r="B91" s="26"/>
      <c r="C91" s="26"/>
      <c r="D91" s="34"/>
      <c r="E91" s="36"/>
      <c r="F91" s="36"/>
      <c r="G91" s="37"/>
      <c r="H91" s="54"/>
      <c r="I91" s="217"/>
      <c r="J91" s="45"/>
      <c r="K91" s="261"/>
      <c r="L91" s="261"/>
      <c r="M91" s="139"/>
      <c r="N91" s="118"/>
      <c r="O91" s="127"/>
      <c r="P91" s="139"/>
      <c r="Q91" s="118"/>
      <c r="R91" s="129"/>
      <c r="S91" s="264"/>
      <c r="T91" s="118"/>
      <c r="U91" s="118"/>
      <c r="V91" s="260"/>
      <c r="W91" s="55"/>
      <c r="X91" s="571"/>
      <c r="Y91" s="400"/>
      <c r="Z91" s="419"/>
    </row>
    <row r="92" spans="1:26" s="7" customFormat="1" ht="19.5" customHeight="1" thickBot="1">
      <c r="A92" s="35"/>
      <c r="B92" s="26"/>
      <c r="C92" s="26"/>
      <c r="D92" s="18" t="s">
        <v>400</v>
      </c>
      <c r="E92" s="19">
        <v>12537</v>
      </c>
      <c r="F92" s="149">
        <f>ROUND(X92/1000,0)</f>
        <v>11907</v>
      </c>
      <c r="G92" s="20">
        <f>F92-E92</f>
        <v>-630</v>
      </c>
      <c r="H92" s="75">
        <f>IF(E92=0,0,G92/E92)</f>
        <v>-5.0251256281407038E-2</v>
      </c>
      <c r="I92" s="152" t="s">
        <v>688</v>
      </c>
      <c r="J92" s="151"/>
      <c r="K92" s="154"/>
      <c r="L92" s="154"/>
      <c r="M92" s="58"/>
      <c r="N92" s="463"/>
      <c r="O92" s="470"/>
      <c r="P92" s="58"/>
      <c r="Q92" s="463"/>
      <c r="R92" s="431"/>
      <c r="S92" s="150"/>
      <c r="T92" s="463"/>
      <c r="U92" s="463"/>
      <c r="V92" s="153" t="s">
        <v>369</v>
      </c>
      <c r="W92" s="488"/>
      <c r="X92" s="580">
        <f>X93+X111</f>
        <v>11907000</v>
      </c>
      <c r="Y92" s="399" t="s">
        <v>358</v>
      </c>
      <c r="Z92" s="419"/>
    </row>
    <row r="93" spans="1:26" s="7" customFormat="1" ht="19.5" customHeight="1">
      <c r="A93" s="35"/>
      <c r="B93" s="26"/>
      <c r="C93" s="26"/>
      <c r="D93" s="26" t="s">
        <v>689</v>
      </c>
      <c r="E93" s="28"/>
      <c r="F93" s="28"/>
      <c r="G93" s="29"/>
      <c r="H93" s="43"/>
      <c r="I93" s="263" t="s">
        <v>401</v>
      </c>
      <c r="J93" s="41"/>
      <c r="K93" s="125"/>
      <c r="L93" s="125"/>
      <c r="M93" s="184"/>
      <c r="N93" s="462"/>
      <c r="O93" s="46"/>
      <c r="P93" s="184"/>
      <c r="Q93" s="462"/>
      <c r="R93" s="51"/>
      <c r="S93" s="32"/>
      <c r="T93" s="462"/>
      <c r="U93" s="462"/>
      <c r="V93" s="139" t="s">
        <v>402</v>
      </c>
      <c r="W93" s="118"/>
      <c r="X93" s="575">
        <f>SUM(X94,X98,X102,X104)</f>
        <v>11047000</v>
      </c>
      <c r="Y93" s="400" t="s">
        <v>25</v>
      </c>
      <c r="Z93" s="419"/>
    </row>
    <row r="94" spans="1:26" s="7" customFormat="1" ht="19.5" customHeight="1">
      <c r="A94" s="35"/>
      <c r="B94" s="26"/>
      <c r="C94" s="26"/>
      <c r="D94" s="26"/>
      <c r="E94" s="28"/>
      <c r="F94" s="28"/>
      <c r="G94" s="29"/>
      <c r="H94" s="43"/>
      <c r="I94" s="44" t="s">
        <v>403</v>
      </c>
      <c r="J94" s="185"/>
      <c r="K94" s="184"/>
      <c r="L94" s="184"/>
      <c r="M94" s="184"/>
      <c r="N94" s="462"/>
      <c r="O94" s="46"/>
      <c r="P94" s="49"/>
      <c r="Q94" s="462"/>
      <c r="R94" s="462"/>
      <c r="S94" s="184"/>
      <c r="T94" s="462"/>
      <c r="U94" s="462"/>
      <c r="V94" s="139" t="s">
        <v>357</v>
      </c>
      <c r="W94" s="118"/>
      <c r="X94" s="575">
        <f>SUM(X95:X97)</f>
        <v>7367000</v>
      </c>
      <c r="Y94" s="400" t="s">
        <v>25</v>
      </c>
      <c r="Z94" s="419"/>
    </row>
    <row r="95" spans="1:26" s="7" customFormat="1" ht="19.5" customHeight="1">
      <c r="A95" s="35"/>
      <c r="B95" s="26"/>
      <c r="C95" s="26"/>
      <c r="D95" s="26"/>
      <c r="E95" s="28"/>
      <c r="F95" s="28"/>
      <c r="G95" s="29"/>
      <c r="H95" s="43"/>
      <c r="I95" s="180" t="s">
        <v>404</v>
      </c>
      <c r="J95" s="185"/>
      <c r="K95" s="184"/>
      <c r="L95" s="184"/>
      <c r="M95" s="184">
        <v>25900000</v>
      </c>
      <c r="N95" s="462" t="s">
        <v>358</v>
      </c>
      <c r="O95" s="46" t="s">
        <v>361</v>
      </c>
      <c r="P95" s="49">
        <v>0.1</v>
      </c>
      <c r="Q95" s="462"/>
      <c r="R95" s="462"/>
      <c r="S95" s="184"/>
      <c r="T95" s="462"/>
      <c r="U95" s="462" t="s">
        <v>362</v>
      </c>
      <c r="V95" s="58"/>
      <c r="W95" s="463"/>
      <c r="X95" s="572">
        <f>ROUNDDOWN(M95*P95,-3)</f>
        <v>2590000</v>
      </c>
      <c r="Y95" s="401" t="s">
        <v>358</v>
      </c>
      <c r="Z95" s="419"/>
    </row>
    <row r="96" spans="1:26" s="7" customFormat="1" ht="19.5" customHeight="1">
      <c r="A96" s="35"/>
      <c r="B96" s="26"/>
      <c r="C96" s="26"/>
      <c r="D96" s="26"/>
      <c r="E96" s="28"/>
      <c r="F96" s="28"/>
      <c r="G96" s="29"/>
      <c r="H96" s="43"/>
      <c r="I96" s="177" t="s">
        <v>405</v>
      </c>
      <c r="J96" s="185"/>
      <c r="K96" s="184"/>
      <c r="L96" s="184"/>
      <c r="M96" s="184">
        <v>25508000</v>
      </c>
      <c r="N96" s="462" t="s">
        <v>358</v>
      </c>
      <c r="O96" s="46" t="s">
        <v>361</v>
      </c>
      <c r="P96" s="49">
        <v>0.1</v>
      </c>
      <c r="Q96" s="462"/>
      <c r="R96" s="462"/>
      <c r="S96" s="184"/>
      <c r="T96" s="462"/>
      <c r="U96" s="462" t="s">
        <v>362</v>
      </c>
      <c r="V96" s="184"/>
      <c r="W96" s="462"/>
      <c r="X96" s="586">
        <f>ROUND(M96*P96,-3)</f>
        <v>2551000</v>
      </c>
      <c r="Y96" s="398" t="s">
        <v>358</v>
      </c>
      <c r="Z96" s="419"/>
    </row>
    <row r="97" spans="1:26" s="7" customFormat="1" ht="19.5" customHeight="1">
      <c r="A97" s="35"/>
      <c r="B97" s="26"/>
      <c r="C97" s="26"/>
      <c r="D97" s="26"/>
      <c r="E97" s="28"/>
      <c r="F97" s="28"/>
      <c r="G97" s="29"/>
      <c r="H97" s="43"/>
      <c r="I97" s="177" t="s">
        <v>406</v>
      </c>
      <c r="J97" s="185"/>
      <c r="K97" s="184"/>
      <c r="L97" s="184"/>
      <c r="M97" s="184">
        <v>22258000</v>
      </c>
      <c r="N97" s="462" t="s">
        <v>358</v>
      </c>
      <c r="O97" s="46" t="s">
        <v>361</v>
      </c>
      <c r="P97" s="49">
        <v>0.1</v>
      </c>
      <c r="Q97" s="462"/>
      <c r="R97" s="462"/>
      <c r="S97" s="184"/>
      <c r="T97" s="462"/>
      <c r="U97" s="462" t="s">
        <v>362</v>
      </c>
      <c r="V97" s="184"/>
      <c r="W97" s="462"/>
      <c r="X97" s="586">
        <f>ROUND(M97*P97,-3)</f>
        <v>2226000</v>
      </c>
      <c r="Y97" s="398" t="s">
        <v>358</v>
      </c>
      <c r="Z97" s="419"/>
    </row>
    <row r="98" spans="1:26" s="7" customFormat="1" ht="19.5" customHeight="1">
      <c r="A98" s="35"/>
      <c r="B98" s="26"/>
      <c r="C98" s="26"/>
      <c r="D98" s="26"/>
      <c r="E98" s="28"/>
      <c r="F98" s="28"/>
      <c r="G98" s="29"/>
      <c r="H98" s="43"/>
      <c r="I98" s="44" t="s">
        <v>407</v>
      </c>
      <c r="J98" s="185"/>
      <c r="K98" s="184"/>
      <c r="L98" s="184"/>
      <c r="M98" s="184"/>
      <c r="N98" s="462"/>
      <c r="O98" s="462"/>
      <c r="P98" s="184"/>
      <c r="Q98" s="462"/>
      <c r="R98" s="462"/>
      <c r="S98" s="184"/>
      <c r="T98" s="462"/>
      <c r="U98" s="462"/>
      <c r="V98" s="139" t="s">
        <v>357</v>
      </c>
      <c r="W98" s="118"/>
      <c r="X98" s="575">
        <f>SUM(X99:X101)</f>
        <v>1944000</v>
      </c>
      <c r="Y98" s="400" t="s">
        <v>25</v>
      </c>
      <c r="Z98" s="419"/>
    </row>
    <row r="99" spans="1:26" s="7" customFormat="1" ht="19.5" customHeight="1">
      <c r="A99" s="35"/>
      <c r="B99" s="26"/>
      <c r="C99" s="26"/>
      <c r="D99" s="26"/>
      <c r="E99" s="28"/>
      <c r="F99" s="28"/>
      <c r="G99" s="29"/>
      <c r="H99" s="43"/>
      <c r="I99" s="177" t="s">
        <v>372</v>
      </c>
      <c r="J99" s="185"/>
      <c r="K99" s="184"/>
      <c r="L99" s="184"/>
      <c r="M99" s="184">
        <v>7552800</v>
      </c>
      <c r="N99" s="462" t="s">
        <v>358</v>
      </c>
      <c r="O99" s="46" t="s">
        <v>361</v>
      </c>
      <c r="P99" s="49">
        <v>0.1</v>
      </c>
      <c r="Q99" s="462"/>
      <c r="R99" s="462"/>
      <c r="S99" s="184"/>
      <c r="T99" s="462"/>
      <c r="U99" s="462" t="s">
        <v>362</v>
      </c>
      <c r="V99" s="763"/>
      <c r="W99" s="763"/>
      <c r="X99" s="579">
        <f>ROUND(M99*P99,-3)</f>
        <v>755000</v>
      </c>
      <c r="Y99" s="401" t="s">
        <v>358</v>
      </c>
      <c r="Z99" s="419"/>
    </row>
    <row r="100" spans="1:26" s="7" customFormat="1" ht="19.5" customHeight="1">
      <c r="A100" s="35"/>
      <c r="B100" s="26"/>
      <c r="C100" s="26"/>
      <c r="D100" s="26"/>
      <c r="E100" s="28"/>
      <c r="F100" s="28"/>
      <c r="G100" s="29"/>
      <c r="H100" s="43"/>
      <c r="I100" s="175" t="s">
        <v>373</v>
      </c>
      <c r="J100" s="185"/>
      <c r="K100" s="184"/>
      <c r="L100" s="184"/>
      <c r="M100" s="184">
        <v>480000</v>
      </c>
      <c r="N100" s="462" t="s">
        <v>358</v>
      </c>
      <c r="O100" s="46" t="s">
        <v>361</v>
      </c>
      <c r="P100" s="49">
        <v>0.1</v>
      </c>
      <c r="Q100" s="462"/>
      <c r="R100" s="462"/>
      <c r="S100" s="184"/>
      <c r="T100" s="462"/>
      <c r="U100" s="462" t="s">
        <v>362</v>
      </c>
      <c r="V100" s="762"/>
      <c r="W100" s="762"/>
      <c r="X100" s="570">
        <f>ROUND(M100*P100,-3)</f>
        <v>48000</v>
      </c>
      <c r="Y100" s="398" t="s">
        <v>358</v>
      </c>
      <c r="Z100" s="419"/>
    </row>
    <row r="101" spans="1:26" s="7" customFormat="1" ht="19.5" customHeight="1">
      <c r="A101" s="35"/>
      <c r="B101" s="26"/>
      <c r="C101" s="26"/>
      <c r="D101" s="26"/>
      <c r="E101" s="28"/>
      <c r="F101" s="28"/>
      <c r="G101" s="29"/>
      <c r="H101" s="43"/>
      <c r="I101" s="177" t="s">
        <v>374</v>
      </c>
      <c r="J101" s="185"/>
      <c r="K101" s="184"/>
      <c r="L101" s="184"/>
      <c r="M101" s="184">
        <v>11410850</v>
      </c>
      <c r="N101" s="462" t="s">
        <v>358</v>
      </c>
      <c r="O101" s="46" t="s">
        <v>361</v>
      </c>
      <c r="P101" s="49">
        <v>0.1</v>
      </c>
      <c r="Q101" s="462"/>
      <c r="R101" s="462"/>
      <c r="S101" s="184"/>
      <c r="T101" s="462"/>
      <c r="U101" s="462" t="s">
        <v>362</v>
      </c>
      <c r="V101" s="762"/>
      <c r="W101" s="762"/>
      <c r="X101" s="570">
        <f>ROUND(M101*P101,-3)</f>
        <v>1141000</v>
      </c>
      <c r="Y101" s="398" t="s">
        <v>358</v>
      </c>
      <c r="Z101" s="419"/>
    </row>
    <row r="102" spans="1:26" s="7" customFormat="1" ht="19.5" customHeight="1">
      <c r="A102" s="35"/>
      <c r="B102" s="26"/>
      <c r="C102" s="26"/>
      <c r="D102" s="26"/>
      <c r="E102" s="28"/>
      <c r="F102" s="28"/>
      <c r="G102" s="29"/>
      <c r="H102" s="43"/>
      <c r="I102" s="44" t="s">
        <v>408</v>
      </c>
      <c r="J102" s="185"/>
      <c r="K102" s="184"/>
      <c r="L102" s="184"/>
      <c r="M102" s="184"/>
      <c r="N102" s="462"/>
      <c r="O102" s="462"/>
      <c r="P102" s="184"/>
      <c r="Q102" s="462"/>
      <c r="R102" s="462"/>
      <c r="S102" s="184"/>
      <c r="T102" s="462"/>
      <c r="U102" s="462"/>
      <c r="V102" s="139" t="s">
        <v>357</v>
      </c>
      <c r="W102" s="118"/>
      <c r="X102" s="575">
        <f>X103</f>
        <v>776000</v>
      </c>
      <c r="Y102" s="400" t="s">
        <v>25</v>
      </c>
      <c r="Z102" s="419"/>
    </row>
    <row r="103" spans="1:26" s="7" customFormat="1" ht="19.5" customHeight="1">
      <c r="A103" s="35"/>
      <c r="B103" s="26"/>
      <c r="C103" s="26"/>
      <c r="D103" s="26"/>
      <c r="E103" s="28"/>
      <c r="F103" s="28"/>
      <c r="G103" s="29"/>
      <c r="H103" s="43"/>
      <c r="I103" s="177" t="s">
        <v>409</v>
      </c>
      <c r="J103" s="185"/>
      <c r="K103" s="184"/>
      <c r="L103" s="184"/>
      <c r="M103" s="184">
        <v>93109650</v>
      </c>
      <c r="N103" s="462" t="s">
        <v>358</v>
      </c>
      <c r="O103" s="462" t="s">
        <v>359</v>
      </c>
      <c r="P103" s="262">
        <v>12</v>
      </c>
      <c r="Q103" s="46" t="s">
        <v>360</v>
      </c>
      <c r="R103" s="46" t="s">
        <v>361</v>
      </c>
      <c r="S103" s="49">
        <v>0.1</v>
      </c>
      <c r="T103" s="462"/>
      <c r="U103" s="462" t="s">
        <v>362</v>
      </c>
      <c r="V103" s="58"/>
      <c r="W103" s="463"/>
      <c r="X103" s="579">
        <f>ROUNDUP(M103/P103*S103,-3)</f>
        <v>776000</v>
      </c>
      <c r="Y103" s="401" t="s">
        <v>358</v>
      </c>
      <c r="Z103" s="419"/>
    </row>
    <row r="104" spans="1:26" s="7" customFormat="1" ht="19.5" customHeight="1">
      <c r="A104" s="35"/>
      <c r="B104" s="26"/>
      <c r="C104" s="26"/>
      <c r="D104" s="26"/>
      <c r="E104" s="28"/>
      <c r="F104" s="28"/>
      <c r="G104" s="29"/>
      <c r="H104" s="43"/>
      <c r="I104" s="44" t="s">
        <v>410</v>
      </c>
      <c r="J104" s="185"/>
      <c r="K104" s="184"/>
      <c r="L104" s="184"/>
      <c r="M104" s="184"/>
      <c r="N104" s="462"/>
      <c r="O104" s="462"/>
      <c r="P104" s="184"/>
      <c r="Q104" s="462"/>
      <c r="R104" s="462"/>
      <c r="S104" s="184"/>
      <c r="T104" s="462"/>
      <c r="U104" s="462"/>
      <c r="V104" s="139" t="s">
        <v>357</v>
      </c>
      <c r="W104" s="118"/>
      <c r="X104" s="575">
        <f>SUM(X105:X109)</f>
        <v>960000</v>
      </c>
      <c r="Y104" s="400" t="s">
        <v>25</v>
      </c>
      <c r="Z104" s="419"/>
    </row>
    <row r="105" spans="1:26" s="7" customFormat="1" ht="19.5" customHeight="1">
      <c r="A105" s="35"/>
      <c r="B105" s="26"/>
      <c r="C105" s="26"/>
      <c r="D105" s="26"/>
      <c r="E105" s="28"/>
      <c r="F105" s="28"/>
      <c r="G105" s="29"/>
      <c r="H105" s="43"/>
      <c r="I105" s="177" t="s">
        <v>364</v>
      </c>
      <c r="J105" s="185"/>
      <c r="K105" s="184"/>
      <c r="L105" s="184"/>
      <c r="M105" s="184">
        <v>93109650</v>
      </c>
      <c r="N105" s="462" t="s">
        <v>358</v>
      </c>
      <c r="O105" s="46" t="s">
        <v>361</v>
      </c>
      <c r="P105" s="257">
        <v>0.09</v>
      </c>
      <c r="Q105" s="462">
        <v>2</v>
      </c>
      <c r="R105" s="46" t="s">
        <v>361</v>
      </c>
      <c r="S105" s="49">
        <v>0.1</v>
      </c>
      <c r="T105" s="474"/>
      <c r="U105" s="462" t="s">
        <v>362</v>
      </c>
      <c r="V105" s="184"/>
      <c r="W105" s="462"/>
      <c r="X105" s="570">
        <f>ROUNDUP(M105*P105/Q105*S105,-3)</f>
        <v>419000</v>
      </c>
      <c r="Y105" s="398" t="s">
        <v>358</v>
      </c>
      <c r="Z105" s="419"/>
    </row>
    <row r="106" spans="1:26" s="7" customFormat="1" ht="19.5" customHeight="1">
      <c r="A106" s="35"/>
      <c r="B106" s="26"/>
      <c r="C106" s="26"/>
      <c r="D106" s="26"/>
      <c r="E106" s="28"/>
      <c r="F106" s="28"/>
      <c r="G106" s="29"/>
      <c r="H106" s="43"/>
      <c r="I106" s="177" t="s">
        <v>365</v>
      </c>
      <c r="J106" s="185"/>
      <c r="K106" s="184"/>
      <c r="L106" s="184"/>
      <c r="M106" s="184">
        <v>93109650</v>
      </c>
      <c r="N106" s="462" t="s">
        <v>358</v>
      </c>
      <c r="O106" s="46" t="s">
        <v>361</v>
      </c>
      <c r="P106" s="256">
        <v>7.0900000000000005E-2</v>
      </c>
      <c r="Q106" s="462">
        <v>2</v>
      </c>
      <c r="R106" s="46" t="s">
        <v>361</v>
      </c>
      <c r="S106" s="49">
        <v>0.1</v>
      </c>
      <c r="T106" s="474"/>
      <c r="U106" s="462" t="s">
        <v>362</v>
      </c>
      <c r="V106" s="184"/>
      <c r="W106" s="462"/>
      <c r="X106" s="570">
        <f>ROUND(M106*P106/Q106*S106,-3)</f>
        <v>330000</v>
      </c>
      <c r="Y106" s="398" t="s">
        <v>358</v>
      </c>
      <c r="Z106" s="419"/>
    </row>
    <row r="107" spans="1:26" s="7" customFormat="1" ht="19.5" customHeight="1">
      <c r="A107" s="35"/>
      <c r="B107" s="26"/>
      <c r="C107" s="26"/>
      <c r="D107" s="26"/>
      <c r="E107" s="28"/>
      <c r="F107" s="28"/>
      <c r="G107" s="29"/>
      <c r="H107" s="43"/>
      <c r="I107" s="177" t="s">
        <v>366</v>
      </c>
      <c r="J107" s="185"/>
      <c r="K107" s="184"/>
      <c r="L107" s="184"/>
      <c r="M107" s="184">
        <v>330000</v>
      </c>
      <c r="N107" s="462" t="s">
        <v>358</v>
      </c>
      <c r="O107" s="46" t="s">
        <v>361</v>
      </c>
      <c r="P107" s="50">
        <v>0.12809999999999999</v>
      </c>
      <c r="Q107" s="255"/>
      <c r="R107" s="46"/>
      <c r="S107" s="49"/>
      <c r="T107" s="475"/>
      <c r="U107" s="462" t="s">
        <v>362</v>
      </c>
      <c r="V107" s="184"/>
      <c r="W107" s="462"/>
      <c r="X107" s="570">
        <f>ROUND(M107*P107,-3)</f>
        <v>42000</v>
      </c>
      <c r="Y107" s="398" t="s">
        <v>358</v>
      </c>
      <c r="Z107" s="419"/>
    </row>
    <row r="108" spans="1:26" s="7" customFormat="1" ht="19.5" customHeight="1">
      <c r="A108" s="35"/>
      <c r="B108" s="26"/>
      <c r="C108" s="26"/>
      <c r="D108" s="26"/>
      <c r="E108" s="28"/>
      <c r="F108" s="28"/>
      <c r="G108" s="29"/>
      <c r="H108" s="43"/>
      <c r="I108" s="177" t="s">
        <v>367</v>
      </c>
      <c r="J108" s="185"/>
      <c r="K108" s="184"/>
      <c r="L108" s="184"/>
      <c r="M108" s="184">
        <v>93109650</v>
      </c>
      <c r="N108" s="462" t="s">
        <v>358</v>
      </c>
      <c r="O108" s="46" t="s">
        <v>361</v>
      </c>
      <c r="P108" s="50">
        <v>1.15E-2</v>
      </c>
      <c r="Q108" s="46"/>
      <c r="R108" s="46" t="s">
        <v>361</v>
      </c>
      <c r="S108" s="49">
        <v>0.1</v>
      </c>
      <c r="T108" s="474"/>
      <c r="U108" s="462" t="s">
        <v>362</v>
      </c>
      <c r="V108" s="184"/>
      <c r="W108" s="462"/>
      <c r="X108" s="570">
        <f>ROUND(M108*P108*S108,-3)</f>
        <v>107000</v>
      </c>
      <c r="Y108" s="398" t="s">
        <v>358</v>
      </c>
      <c r="Z108" s="419"/>
    </row>
    <row r="109" spans="1:26" s="7" customFormat="1" ht="19.5" customHeight="1">
      <c r="A109" s="35"/>
      <c r="B109" s="26"/>
      <c r="C109" s="26"/>
      <c r="D109" s="26"/>
      <c r="E109" s="28"/>
      <c r="F109" s="28"/>
      <c r="G109" s="29"/>
      <c r="H109" s="43"/>
      <c r="I109" s="177" t="s">
        <v>368</v>
      </c>
      <c r="J109" s="185"/>
      <c r="K109" s="184"/>
      <c r="L109" s="184"/>
      <c r="M109" s="184">
        <v>93109650</v>
      </c>
      <c r="N109" s="462" t="s">
        <v>358</v>
      </c>
      <c r="O109" s="46" t="s">
        <v>361</v>
      </c>
      <c r="P109" s="254">
        <v>6.6699999999999997E-3</v>
      </c>
      <c r="Q109" s="46"/>
      <c r="R109" s="46" t="s">
        <v>361</v>
      </c>
      <c r="S109" s="49">
        <v>0.1</v>
      </c>
      <c r="T109" s="474"/>
      <c r="U109" s="462" t="s">
        <v>362</v>
      </c>
      <c r="V109" s="184"/>
      <c r="W109" s="462"/>
      <c r="X109" s="570">
        <f>ROUND(M109*P109*S109,-3)</f>
        <v>62000</v>
      </c>
      <c r="Y109" s="398" t="s">
        <v>358</v>
      </c>
      <c r="Z109" s="419"/>
    </row>
    <row r="110" spans="1:26" s="7" customFormat="1" ht="19.5" customHeight="1">
      <c r="A110" s="35"/>
      <c r="B110" s="26"/>
      <c r="C110" s="26"/>
      <c r="D110" s="26"/>
      <c r="E110" s="28"/>
      <c r="F110" s="28"/>
      <c r="G110" s="29"/>
      <c r="H110" s="43"/>
      <c r="I110" s="40"/>
      <c r="J110" s="41"/>
      <c r="K110" s="125"/>
      <c r="L110" s="125"/>
      <c r="M110" s="184"/>
      <c r="N110" s="462"/>
      <c r="O110" s="46"/>
      <c r="P110" s="184"/>
      <c r="Q110" s="462"/>
      <c r="R110" s="51"/>
      <c r="S110" s="32"/>
      <c r="T110" s="462"/>
      <c r="U110" s="462"/>
      <c r="V110" s="49"/>
      <c r="W110" s="31"/>
      <c r="X110" s="570"/>
      <c r="Y110" s="398"/>
      <c r="Z110" s="419"/>
    </row>
    <row r="111" spans="1:26" s="7" customFormat="1" ht="19.5" customHeight="1">
      <c r="A111" s="35"/>
      <c r="B111" s="26"/>
      <c r="C111" s="26"/>
      <c r="D111" s="26"/>
      <c r="E111" s="28"/>
      <c r="F111" s="28"/>
      <c r="G111" s="29"/>
      <c r="H111" s="43"/>
      <c r="I111" s="44" t="s">
        <v>411</v>
      </c>
      <c r="J111" s="41"/>
      <c r="K111" s="125"/>
      <c r="L111" s="125"/>
      <c r="M111" s="184"/>
      <c r="N111" s="462"/>
      <c r="O111" s="46"/>
      <c r="P111" s="184"/>
      <c r="Q111" s="462"/>
      <c r="R111" s="51"/>
      <c r="S111" s="32"/>
      <c r="T111" s="462"/>
      <c r="U111" s="462"/>
      <c r="V111" s="139" t="s">
        <v>402</v>
      </c>
      <c r="W111" s="118"/>
      <c r="X111" s="575">
        <f>SUM(X112:X114)</f>
        <v>860000</v>
      </c>
      <c r="Y111" s="400" t="s">
        <v>25</v>
      </c>
      <c r="Z111" s="419"/>
    </row>
    <row r="112" spans="1:26" s="7" customFormat="1" ht="19.5" customHeight="1">
      <c r="A112" s="35"/>
      <c r="B112" s="26"/>
      <c r="C112" s="26"/>
      <c r="D112" s="26"/>
      <c r="E112" s="28"/>
      <c r="F112" s="28"/>
      <c r="G112" s="29"/>
      <c r="H112" s="43"/>
      <c r="I112" s="177" t="s">
        <v>412</v>
      </c>
      <c r="J112" s="338"/>
      <c r="K112" s="337"/>
      <c r="L112" s="337"/>
      <c r="M112" s="284">
        <v>300000</v>
      </c>
      <c r="N112" s="228" t="s">
        <v>358</v>
      </c>
      <c r="O112" s="228" t="s">
        <v>361</v>
      </c>
      <c r="P112" s="298">
        <v>1</v>
      </c>
      <c r="Q112" s="386">
        <v>12</v>
      </c>
      <c r="R112" s="228" t="s">
        <v>360</v>
      </c>
      <c r="S112" s="286">
        <v>0.1</v>
      </c>
      <c r="T112" s="228"/>
      <c r="U112" s="228" t="s">
        <v>362</v>
      </c>
      <c r="V112" s="337"/>
      <c r="W112" s="339"/>
      <c r="X112" s="598">
        <f>M112*P112*Q112*S112</f>
        <v>360000</v>
      </c>
      <c r="Y112" s="392" t="s">
        <v>358</v>
      </c>
      <c r="Z112" s="419"/>
    </row>
    <row r="113" spans="1:39" s="7" customFormat="1" ht="19.5" customHeight="1">
      <c r="A113" s="35"/>
      <c r="B113" s="26"/>
      <c r="C113" s="26"/>
      <c r="D113" s="26"/>
      <c r="E113" s="28"/>
      <c r="F113" s="28"/>
      <c r="G113" s="29"/>
      <c r="H113" s="43"/>
      <c r="I113" s="177" t="s">
        <v>413</v>
      </c>
      <c r="J113" s="185"/>
      <c r="K113" s="184"/>
      <c r="L113" s="184"/>
      <c r="M113" s="259">
        <v>5000000</v>
      </c>
      <c r="N113" s="42" t="s">
        <v>358</v>
      </c>
      <c r="O113" s="42" t="s">
        <v>361</v>
      </c>
      <c r="P113" s="49">
        <v>0.1</v>
      </c>
      <c r="Q113" s="385"/>
      <c r="R113" s="42"/>
      <c r="S113" s="258"/>
      <c r="T113" s="42"/>
      <c r="U113" s="42" t="s">
        <v>362</v>
      </c>
      <c r="V113" s="184"/>
      <c r="W113" s="462"/>
      <c r="X113" s="586">
        <f>M113*P113</f>
        <v>500000</v>
      </c>
      <c r="Y113" s="398" t="s">
        <v>358</v>
      </c>
      <c r="Z113" s="419"/>
    </row>
    <row r="114" spans="1:39" s="7" customFormat="1" ht="19.5" customHeight="1">
      <c r="A114" s="35"/>
      <c r="B114" s="26"/>
      <c r="C114" s="26"/>
      <c r="D114" s="26"/>
      <c r="E114" s="28"/>
      <c r="F114" s="28"/>
      <c r="G114" s="29"/>
      <c r="H114" s="43"/>
      <c r="I114" s="177" t="s">
        <v>414</v>
      </c>
      <c r="J114" s="338"/>
      <c r="K114" s="337"/>
      <c r="L114" s="337"/>
      <c r="M114" s="284">
        <v>70000</v>
      </c>
      <c r="N114" s="228" t="s">
        <v>358</v>
      </c>
      <c r="O114" s="228" t="s">
        <v>361</v>
      </c>
      <c r="P114" s="285">
        <v>1</v>
      </c>
      <c r="Q114" s="386">
        <v>0</v>
      </c>
      <c r="R114" s="228" t="s">
        <v>395</v>
      </c>
      <c r="S114" s="286">
        <v>0.1</v>
      </c>
      <c r="T114" s="228"/>
      <c r="U114" s="228" t="s">
        <v>362</v>
      </c>
      <c r="V114" s="337"/>
      <c r="W114" s="339"/>
      <c r="X114" s="598">
        <f>M114*P114*Q114*S114</f>
        <v>0</v>
      </c>
      <c r="Y114" s="392" t="s">
        <v>358</v>
      </c>
      <c r="Z114" s="419"/>
    </row>
    <row r="115" spans="1:39" s="7" customFormat="1" ht="19.5" customHeight="1">
      <c r="A115" s="35"/>
      <c r="B115" s="26"/>
      <c r="C115" s="26"/>
      <c r="D115" s="34"/>
      <c r="E115" s="36"/>
      <c r="F115" s="36"/>
      <c r="G115" s="37"/>
      <c r="H115" s="54"/>
      <c r="I115" s="217"/>
      <c r="J115" s="45"/>
      <c r="K115" s="261"/>
      <c r="L115" s="261"/>
      <c r="M115" s="139"/>
      <c r="N115" s="118"/>
      <c r="O115" s="127"/>
      <c r="P115" s="139"/>
      <c r="Q115" s="118"/>
      <c r="R115" s="129"/>
      <c r="S115" s="139"/>
      <c r="T115" s="118"/>
      <c r="U115" s="118"/>
      <c r="V115" s="260"/>
      <c r="W115" s="55"/>
      <c r="X115" s="571"/>
      <c r="Y115" s="400"/>
      <c r="Z115" s="419"/>
    </row>
    <row r="116" spans="1:39" s="7" customFormat="1" ht="19.5" customHeight="1">
      <c r="A116" s="35"/>
      <c r="B116" s="26"/>
      <c r="C116" s="26"/>
      <c r="D116" s="26" t="s">
        <v>415</v>
      </c>
      <c r="E116" s="28">
        <v>11234</v>
      </c>
      <c r="F116" s="149">
        <f>ROUND(X116/1000,0)</f>
        <v>11234</v>
      </c>
      <c r="G116" s="29">
        <f>F116-E116</f>
        <v>0</v>
      </c>
      <c r="H116" s="43">
        <f>IF(E116=0,0,G116/E116)</f>
        <v>0</v>
      </c>
      <c r="I116" s="44" t="s">
        <v>416</v>
      </c>
      <c r="J116" s="41"/>
      <c r="K116" s="125"/>
      <c r="L116" s="125"/>
      <c r="M116" s="184"/>
      <c r="N116" s="462"/>
      <c r="O116" s="46"/>
      <c r="P116" s="184"/>
      <c r="Q116" s="462"/>
      <c r="R116" s="51"/>
      <c r="S116" s="32"/>
      <c r="T116" s="462"/>
      <c r="U116" s="462"/>
      <c r="V116" s="139" t="s">
        <v>417</v>
      </c>
      <c r="W116" s="118"/>
      <c r="X116" s="575">
        <f>SUM(X117:X121)</f>
        <v>11234000</v>
      </c>
      <c r="Y116" s="400" t="s">
        <v>25</v>
      </c>
      <c r="Z116" s="419"/>
    </row>
    <row r="117" spans="1:39" s="7" customFormat="1" ht="19.5" customHeight="1">
      <c r="A117" s="35"/>
      <c r="B117" s="26"/>
      <c r="C117" s="26"/>
      <c r="D117" s="26"/>
      <c r="E117" s="28"/>
      <c r="F117" s="28"/>
      <c r="G117" s="29"/>
      <c r="H117" s="43"/>
      <c r="I117" s="173" t="s">
        <v>609</v>
      </c>
      <c r="J117" s="41"/>
      <c r="K117" s="125"/>
      <c r="L117" s="125"/>
      <c r="M117" s="259">
        <v>5839000</v>
      </c>
      <c r="N117" s="42" t="s">
        <v>358</v>
      </c>
      <c r="O117" s="42" t="s">
        <v>361</v>
      </c>
      <c r="P117" s="49">
        <v>0.3</v>
      </c>
      <c r="Q117" s="385"/>
      <c r="R117" s="42"/>
      <c r="S117" s="258"/>
      <c r="T117" s="42"/>
      <c r="U117" s="42" t="s">
        <v>362</v>
      </c>
      <c r="V117" s="184"/>
      <c r="W117" s="462"/>
      <c r="X117" s="586">
        <f>ROUND(M117*P117,-3)</f>
        <v>1752000</v>
      </c>
      <c r="Y117" s="398" t="s">
        <v>358</v>
      </c>
      <c r="Z117" s="419"/>
    </row>
    <row r="118" spans="1:39" s="7" customFormat="1" ht="19.5" customHeight="1">
      <c r="A118" s="35"/>
      <c r="B118" s="26"/>
      <c r="C118" s="26"/>
      <c r="D118" s="26"/>
      <c r="E118" s="28"/>
      <c r="F118" s="28"/>
      <c r="G118" s="29"/>
      <c r="H118" s="43"/>
      <c r="I118" s="173" t="s">
        <v>418</v>
      </c>
      <c r="J118" s="41"/>
      <c r="K118" s="125"/>
      <c r="L118" s="125"/>
      <c r="M118" s="259">
        <v>18964840</v>
      </c>
      <c r="N118" s="42" t="s">
        <v>358</v>
      </c>
      <c r="O118" s="42" t="s">
        <v>361</v>
      </c>
      <c r="P118" s="49">
        <v>0.5</v>
      </c>
      <c r="Q118" s="385"/>
      <c r="R118" s="42"/>
      <c r="S118" s="258"/>
      <c r="T118" s="42"/>
      <c r="U118" s="42" t="s">
        <v>362</v>
      </c>
      <c r="V118" s="184"/>
      <c r="W118" s="462"/>
      <c r="X118" s="586">
        <f>ROUND(M118*P118,-3)</f>
        <v>9482000</v>
      </c>
      <c r="Y118" s="398" t="s">
        <v>358</v>
      </c>
      <c r="Z118" s="419"/>
    </row>
    <row r="119" spans="1:39" s="7" customFormat="1" ht="19.5" customHeight="1">
      <c r="A119" s="35"/>
      <c r="B119" s="26"/>
      <c r="C119" s="26"/>
      <c r="D119" s="26"/>
      <c r="E119" s="28"/>
      <c r="F119" s="28"/>
      <c r="G119" s="29"/>
      <c r="H119" s="43"/>
      <c r="I119" s="173"/>
      <c r="J119" s="41"/>
      <c r="K119" s="125"/>
      <c r="L119" s="125"/>
      <c r="M119" s="259"/>
      <c r="N119" s="42"/>
      <c r="O119" s="42"/>
      <c r="P119" s="49"/>
      <c r="Q119" s="385"/>
      <c r="R119" s="42"/>
      <c r="S119" s="258"/>
      <c r="T119" s="42"/>
      <c r="U119" s="42" t="s">
        <v>53</v>
      </c>
      <c r="V119" s="184"/>
      <c r="W119" s="462"/>
      <c r="X119" s="586">
        <f t="shared" ref="X119:X121" si="3">ROUND(M119*P119,-3)</f>
        <v>0</v>
      </c>
      <c r="Y119" s="398" t="s">
        <v>358</v>
      </c>
      <c r="Z119" s="419"/>
    </row>
    <row r="120" spans="1:39" s="7" customFormat="1" ht="19.5" customHeight="1">
      <c r="A120" s="35"/>
      <c r="B120" s="26"/>
      <c r="C120" s="26"/>
      <c r="D120" s="26"/>
      <c r="E120" s="28"/>
      <c r="F120" s="28"/>
      <c r="G120" s="29"/>
      <c r="H120" s="43"/>
      <c r="I120" s="173"/>
      <c r="J120" s="41"/>
      <c r="K120" s="125"/>
      <c r="L120" s="125"/>
      <c r="M120" s="259"/>
      <c r="N120" s="42"/>
      <c r="O120" s="42"/>
      <c r="P120" s="49"/>
      <c r="Q120" s="385"/>
      <c r="R120" s="42"/>
      <c r="S120" s="258"/>
      <c r="T120" s="42"/>
      <c r="U120" s="42" t="s">
        <v>53</v>
      </c>
      <c r="V120" s="184"/>
      <c r="W120" s="462"/>
      <c r="X120" s="586">
        <f t="shared" ref="X120" si="4">ROUND(M120*P120,-3)</f>
        <v>0</v>
      </c>
      <c r="Y120" s="398" t="s">
        <v>358</v>
      </c>
      <c r="Z120" s="419"/>
    </row>
    <row r="121" spans="1:39" s="7" customFormat="1" ht="19.5" customHeight="1">
      <c r="A121" s="35"/>
      <c r="B121" s="52"/>
      <c r="C121" s="53"/>
      <c r="D121" s="34"/>
      <c r="E121" s="36"/>
      <c r="F121" s="36"/>
      <c r="G121" s="37"/>
      <c r="H121" s="54"/>
      <c r="I121" s="217"/>
      <c r="J121" s="139"/>
      <c r="K121" s="55"/>
      <c r="L121" s="55"/>
      <c r="M121" s="139"/>
      <c r="N121" s="118"/>
      <c r="O121" s="55"/>
      <c r="P121" s="139"/>
      <c r="Q121" s="118"/>
      <c r="R121" s="55"/>
      <c r="S121" s="217"/>
      <c r="T121" s="55"/>
      <c r="U121" s="42" t="s">
        <v>53</v>
      </c>
      <c r="V121" s="184"/>
      <c r="W121" s="462"/>
      <c r="X121" s="575">
        <f t="shared" si="3"/>
        <v>0</v>
      </c>
      <c r="Y121" s="398" t="s">
        <v>358</v>
      </c>
      <c r="Z121" s="419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spans="1:39" ht="21" customHeight="1">
      <c r="A122" s="25"/>
      <c r="B122" s="26"/>
      <c r="C122" s="26" t="s">
        <v>419</v>
      </c>
      <c r="D122" s="250" t="s">
        <v>382</v>
      </c>
      <c r="E122" s="134">
        <f>SUM(E123:E188)</f>
        <v>719776</v>
      </c>
      <c r="F122" s="134">
        <f>SUM(F123:F188)</f>
        <v>713932</v>
      </c>
      <c r="G122" s="135">
        <f>F122-E122</f>
        <v>-5844</v>
      </c>
      <c r="H122" s="136">
        <f>IF(E122=0,0,G122/E122)</f>
        <v>-8.1191926377095092E-3</v>
      </c>
      <c r="I122" s="121" t="s">
        <v>420</v>
      </c>
      <c r="J122" s="122"/>
      <c r="K122" s="123"/>
      <c r="L122" s="123"/>
      <c r="M122" s="123"/>
      <c r="N122" s="469"/>
      <c r="O122" s="469"/>
      <c r="P122" s="124"/>
      <c r="Q122" s="425"/>
      <c r="R122" s="425"/>
      <c r="S122" s="124"/>
      <c r="T122" s="425"/>
      <c r="U122" s="425"/>
      <c r="V122" s="148" t="s">
        <v>357</v>
      </c>
      <c r="W122" s="487"/>
      <c r="X122" s="578">
        <f>SUM(X123,X131,X147,X152,X159,X183)</f>
        <v>713932000</v>
      </c>
      <c r="Y122" s="396" t="s">
        <v>358</v>
      </c>
      <c r="Z122" s="419"/>
    </row>
    <row r="123" spans="1:39" ht="21" customHeight="1">
      <c r="A123" s="25"/>
      <c r="B123" s="26"/>
      <c r="C123" s="26" t="s">
        <v>384</v>
      </c>
      <c r="D123" s="18" t="s">
        <v>385</v>
      </c>
      <c r="E123" s="149">
        <v>3234</v>
      </c>
      <c r="F123" s="149">
        <f>ROUND(X123/1000,0)</f>
        <v>3105</v>
      </c>
      <c r="G123" s="169">
        <f>F123-E123</f>
        <v>-129</v>
      </c>
      <c r="H123" s="103">
        <f>IF(E123=0,0,G123/E123)</f>
        <v>-3.9888682745825604E-2</v>
      </c>
      <c r="I123" s="84" t="s">
        <v>386</v>
      </c>
      <c r="J123" s="92"/>
      <c r="K123" s="58"/>
      <c r="L123" s="58"/>
      <c r="M123" s="58"/>
      <c r="N123" s="463"/>
      <c r="O123" s="470"/>
      <c r="P123" s="58"/>
      <c r="Q123" s="463"/>
      <c r="R123" s="434"/>
      <c r="S123" s="363"/>
      <c r="T123" s="476"/>
      <c r="U123" s="463"/>
      <c r="V123" s="269" t="s">
        <v>369</v>
      </c>
      <c r="W123" s="461"/>
      <c r="X123" s="574">
        <f>SUM(X124:X130)</f>
        <v>3105000</v>
      </c>
      <c r="Y123" s="397" t="s">
        <v>358</v>
      </c>
      <c r="Z123" s="419"/>
    </row>
    <row r="124" spans="1:39" ht="21" customHeight="1">
      <c r="A124" s="25"/>
      <c r="B124" s="26"/>
      <c r="C124" s="26"/>
      <c r="D124" s="26"/>
      <c r="E124" s="28"/>
      <c r="F124" s="28"/>
      <c r="G124" s="29"/>
      <c r="H124" s="43"/>
      <c r="I124" s="177" t="s">
        <v>683</v>
      </c>
      <c r="J124" s="185"/>
      <c r="K124" s="586"/>
      <c r="L124" s="586"/>
      <c r="M124" s="586">
        <v>303266</v>
      </c>
      <c r="N124" s="565" t="s">
        <v>25</v>
      </c>
      <c r="O124" s="46" t="s">
        <v>26</v>
      </c>
      <c r="P124" s="598">
        <v>24</v>
      </c>
      <c r="Q124" s="565" t="s">
        <v>128</v>
      </c>
      <c r="R124" s="384" t="s">
        <v>26</v>
      </c>
      <c r="S124" s="381">
        <v>1</v>
      </c>
      <c r="T124" s="473" t="s">
        <v>29</v>
      </c>
      <c r="U124" s="462" t="s">
        <v>26</v>
      </c>
      <c r="V124" s="360">
        <v>0.03</v>
      </c>
      <c r="W124" s="462" t="s">
        <v>27</v>
      </c>
      <c r="X124" s="599">
        <f>ROUND(M124*P124*S124*V124,-3)</f>
        <v>218000</v>
      </c>
      <c r="Y124" s="398" t="s">
        <v>319</v>
      </c>
      <c r="Z124" s="419"/>
    </row>
    <row r="125" spans="1:39" ht="21" customHeight="1">
      <c r="A125" s="25"/>
      <c r="B125" s="26"/>
      <c r="C125" s="26"/>
      <c r="D125" s="26"/>
      <c r="E125" s="28"/>
      <c r="F125" s="28"/>
      <c r="G125" s="29"/>
      <c r="H125" s="43"/>
      <c r="I125" s="177" t="s">
        <v>681</v>
      </c>
      <c r="J125" s="185"/>
      <c r="K125" s="586"/>
      <c r="L125" s="586"/>
      <c r="M125" s="586">
        <v>303266</v>
      </c>
      <c r="N125" s="565" t="s">
        <v>25</v>
      </c>
      <c r="O125" s="46" t="s">
        <v>26</v>
      </c>
      <c r="P125" s="598">
        <v>27</v>
      </c>
      <c r="Q125" s="565" t="s">
        <v>128</v>
      </c>
      <c r="R125" s="384" t="s">
        <v>26</v>
      </c>
      <c r="S125" s="381">
        <v>1</v>
      </c>
      <c r="T125" s="473" t="s">
        <v>29</v>
      </c>
      <c r="U125" s="462" t="s">
        <v>26</v>
      </c>
      <c r="V125" s="360">
        <v>0.03</v>
      </c>
      <c r="W125" s="462" t="s">
        <v>27</v>
      </c>
      <c r="X125" s="599">
        <f t="shared" ref="X125:X127" si="5">ROUND(M125*P125*S125*V125,-3)</f>
        <v>246000</v>
      </c>
      <c r="Y125" s="398" t="s">
        <v>319</v>
      </c>
      <c r="Z125" s="419"/>
    </row>
    <row r="126" spans="1:39" ht="21" customHeight="1">
      <c r="A126" s="25"/>
      <c r="B126" s="26"/>
      <c r="C126" s="26"/>
      <c r="D126" s="26"/>
      <c r="E126" s="28"/>
      <c r="F126" s="28"/>
      <c r="G126" s="29"/>
      <c r="H126" s="43"/>
      <c r="I126" s="177" t="s">
        <v>682</v>
      </c>
      <c r="J126" s="185"/>
      <c r="K126" s="586"/>
      <c r="L126" s="586"/>
      <c r="M126" s="586">
        <v>272937</v>
      </c>
      <c r="N126" s="565" t="s">
        <v>25</v>
      </c>
      <c r="O126" s="46" t="s">
        <v>26</v>
      </c>
      <c r="P126" s="598">
        <v>31</v>
      </c>
      <c r="Q126" s="565" t="s">
        <v>128</v>
      </c>
      <c r="R126" s="384" t="s">
        <v>26</v>
      </c>
      <c r="S126" s="381">
        <v>8</v>
      </c>
      <c r="T126" s="473" t="s">
        <v>29</v>
      </c>
      <c r="U126" s="462" t="s">
        <v>26</v>
      </c>
      <c r="V126" s="360">
        <v>0.03</v>
      </c>
      <c r="W126" s="462" t="s">
        <v>27</v>
      </c>
      <c r="X126" s="599">
        <f t="shared" si="5"/>
        <v>2031000</v>
      </c>
      <c r="Y126" s="398" t="s">
        <v>319</v>
      </c>
      <c r="Z126" s="419"/>
    </row>
    <row r="127" spans="1:39" ht="21" customHeight="1">
      <c r="A127" s="25"/>
      <c r="B127" s="26"/>
      <c r="C127" s="26"/>
      <c r="D127" s="26"/>
      <c r="E127" s="28"/>
      <c r="F127" s="28"/>
      <c r="G127" s="29"/>
      <c r="H127" s="43"/>
      <c r="I127" s="177" t="s">
        <v>863</v>
      </c>
      <c r="J127" s="185"/>
      <c r="K127" s="586"/>
      <c r="L127" s="586"/>
      <c r="M127" s="586">
        <v>272937</v>
      </c>
      <c r="N127" s="565" t="s">
        <v>25</v>
      </c>
      <c r="O127" s="46" t="s">
        <v>26</v>
      </c>
      <c r="P127" s="598">
        <v>30</v>
      </c>
      <c r="Q127" s="565" t="s">
        <v>128</v>
      </c>
      <c r="R127" s="384" t="s">
        <v>26</v>
      </c>
      <c r="S127" s="381">
        <v>2</v>
      </c>
      <c r="T127" s="473" t="s">
        <v>29</v>
      </c>
      <c r="U127" s="462" t="s">
        <v>26</v>
      </c>
      <c r="V127" s="360">
        <v>0.03</v>
      </c>
      <c r="W127" s="462" t="s">
        <v>27</v>
      </c>
      <c r="X127" s="599">
        <f t="shared" si="5"/>
        <v>491000</v>
      </c>
      <c r="Y127" s="398" t="s">
        <v>319</v>
      </c>
      <c r="Z127" s="419"/>
    </row>
    <row r="128" spans="1:39" ht="21" customHeight="1">
      <c r="A128" s="25"/>
      <c r="B128" s="26"/>
      <c r="C128" s="26"/>
      <c r="D128" s="26"/>
      <c r="E128" s="28"/>
      <c r="F128" s="28"/>
      <c r="G128" s="29"/>
      <c r="H128" s="43"/>
      <c r="I128" s="177" t="s">
        <v>214</v>
      </c>
      <c r="J128" s="185"/>
      <c r="K128" s="586"/>
      <c r="L128" s="586"/>
      <c r="M128" s="586">
        <v>40000</v>
      </c>
      <c r="N128" s="565" t="s">
        <v>25</v>
      </c>
      <c r="O128" s="46" t="s">
        <v>26</v>
      </c>
      <c r="P128" s="598">
        <v>31</v>
      </c>
      <c r="Q128" s="565" t="s">
        <v>128</v>
      </c>
      <c r="R128" s="51" t="s">
        <v>26</v>
      </c>
      <c r="S128" s="381">
        <v>1</v>
      </c>
      <c r="T128" s="473" t="s">
        <v>213</v>
      </c>
      <c r="U128" s="462" t="s">
        <v>26</v>
      </c>
      <c r="V128" s="360">
        <v>0.03</v>
      </c>
      <c r="W128" s="462" t="s">
        <v>27</v>
      </c>
      <c r="X128" s="599">
        <f>ROUND(M128*P128*S128*V128,-3)</f>
        <v>37000</v>
      </c>
      <c r="Y128" s="398" t="s">
        <v>319</v>
      </c>
      <c r="Z128" s="419"/>
    </row>
    <row r="129" spans="1:26" ht="21" customHeight="1">
      <c r="A129" s="25"/>
      <c r="B129" s="26"/>
      <c r="C129" s="26"/>
      <c r="D129" s="26"/>
      <c r="E129" s="28"/>
      <c r="F129" s="28"/>
      <c r="G129" s="29"/>
      <c r="H129" s="43"/>
      <c r="I129" s="177" t="s">
        <v>673</v>
      </c>
      <c r="J129" s="570"/>
      <c r="K129" s="125"/>
      <c r="L129" s="125"/>
      <c r="M129" s="586">
        <v>50000</v>
      </c>
      <c r="N129" s="565" t="s">
        <v>25</v>
      </c>
      <c r="O129" s="46" t="s">
        <v>26</v>
      </c>
      <c r="P129" s="598">
        <v>24</v>
      </c>
      <c r="Q129" s="565" t="s">
        <v>128</v>
      </c>
      <c r="R129" s="51" t="s">
        <v>26</v>
      </c>
      <c r="S129" s="569">
        <v>1</v>
      </c>
      <c r="T129" s="462" t="s">
        <v>213</v>
      </c>
      <c r="U129" s="462" t="s">
        <v>26</v>
      </c>
      <c r="V129" s="360">
        <v>0.03</v>
      </c>
      <c r="W129" s="462" t="s">
        <v>27</v>
      </c>
      <c r="X129" s="599">
        <f t="shared" ref="X129" si="6">ROUNDUP(M129*P129*S129*V129,-3)</f>
        <v>36000</v>
      </c>
      <c r="Y129" s="398" t="s">
        <v>319</v>
      </c>
      <c r="Z129" s="419"/>
    </row>
    <row r="130" spans="1:26" ht="21" customHeight="1">
      <c r="A130" s="25"/>
      <c r="B130" s="26"/>
      <c r="C130" s="26"/>
      <c r="D130" s="34"/>
      <c r="E130" s="36"/>
      <c r="F130" s="36"/>
      <c r="G130" s="37"/>
      <c r="H130" s="54"/>
      <c r="I130" s="177" t="s">
        <v>672</v>
      </c>
      <c r="J130" s="570"/>
      <c r="K130" s="125"/>
      <c r="L130" s="125"/>
      <c r="M130" s="586">
        <v>50000</v>
      </c>
      <c r="N130" s="565" t="s">
        <v>25</v>
      </c>
      <c r="O130" s="46" t="s">
        <v>26</v>
      </c>
      <c r="P130" s="598">
        <v>31</v>
      </c>
      <c r="Q130" s="565" t="s">
        <v>128</v>
      </c>
      <c r="R130" s="51" t="s">
        <v>26</v>
      </c>
      <c r="S130" s="569">
        <v>1</v>
      </c>
      <c r="T130" s="462" t="s">
        <v>213</v>
      </c>
      <c r="U130" s="462" t="s">
        <v>26</v>
      </c>
      <c r="V130" s="360">
        <v>0.03</v>
      </c>
      <c r="W130" s="462" t="s">
        <v>27</v>
      </c>
      <c r="X130" s="599">
        <f>ROUNDDOWN(M130*P130*S130*V130,-3)</f>
        <v>46000</v>
      </c>
      <c r="Y130" s="398" t="s">
        <v>319</v>
      </c>
      <c r="Z130" s="419"/>
    </row>
    <row r="131" spans="1:26" ht="21" customHeight="1" thickBot="1">
      <c r="A131" s="25"/>
      <c r="B131" s="26"/>
      <c r="C131" s="26"/>
      <c r="D131" s="18" t="s">
        <v>387</v>
      </c>
      <c r="E131" s="19">
        <v>544435</v>
      </c>
      <c r="F131" s="149">
        <f>ROUND(X131/1000,0)</f>
        <v>544435</v>
      </c>
      <c r="G131" s="20">
        <f>F131-E131</f>
        <v>0</v>
      </c>
      <c r="H131" s="75">
        <f>IF(E131=0,0,G131/E131)</f>
        <v>0</v>
      </c>
      <c r="I131" s="152" t="s">
        <v>674</v>
      </c>
      <c r="J131" s="151"/>
      <c r="K131" s="154"/>
      <c r="L131" s="154"/>
      <c r="M131" s="58"/>
      <c r="N131" s="463"/>
      <c r="O131" s="470"/>
      <c r="P131" s="58"/>
      <c r="Q131" s="463"/>
      <c r="R131" s="431"/>
      <c r="S131" s="150"/>
      <c r="T131" s="463"/>
      <c r="U131" s="463"/>
      <c r="V131" s="153" t="s">
        <v>369</v>
      </c>
      <c r="W131" s="488"/>
      <c r="X131" s="580">
        <f>SUM(X132,X133,X138,X140)</f>
        <v>544435000</v>
      </c>
      <c r="Y131" s="399" t="s">
        <v>358</v>
      </c>
      <c r="Z131" s="419"/>
    </row>
    <row r="132" spans="1:26" ht="21" customHeight="1">
      <c r="A132" s="25"/>
      <c r="B132" s="26"/>
      <c r="C132" s="26"/>
      <c r="D132" s="26"/>
      <c r="E132" s="28"/>
      <c r="F132" s="28"/>
      <c r="G132" s="29"/>
      <c r="H132" s="43"/>
      <c r="I132" s="178" t="s">
        <v>370</v>
      </c>
      <c r="J132" s="185"/>
      <c r="K132" s="184"/>
      <c r="L132" s="184"/>
      <c r="M132" s="184">
        <v>1364577000</v>
      </c>
      <c r="N132" s="462" t="s">
        <v>358</v>
      </c>
      <c r="O132" s="46" t="s">
        <v>361</v>
      </c>
      <c r="P132" s="267">
        <v>0.255</v>
      </c>
      <c r="Q132" s="462"/>
      <c r="R132" s="462"/>
      <c r="S132" s="184"/>
      <c r="T132" s="462"/>
      <c r="U132" s="462" t="s">
        <v>362</v>
      </c>
      <c r="V132" s="139" t="s">
        <v>357</v>
      </c>
      <c r="W132" s="118"/>
      <c r="X132" s="575">
        <f>ROUNDDOWN(M132*P132,-3)</f>
        <v>347967000</v>
      </c>
      <c r="Y132" s="400" t="s">
        <v>25</v>
      </c>
      <c r="Z132" s="419"/>
    </row>
    <row r="133" spans="1:26" ht="21" customHeight="1">
      <c r="A133" s="25"/>
      <c r="B133" s="26"/>
      <c r="C133" s="26"/>
      <c r="D133" s="26"/>
      <c r="E133" s="28"/>
      <c r="F133" s="28"/>
      <c r="G133" s="29"/>
      <c r="H133" s="43"/>
      <c r="I133" s="179" t="s">
        <v>371</v>
      </c>
      <c r="J133" s="185"/>
      <c r="K133" s="184"/>
      <c r="L133" s="184"/>
      <c r="M133" s="184"/>
      <c r="N133" s="462"/>
      <c r="O133" s="462"/>
      <c r="P133" s="184"/>
      <c r="Q133" s="462"/>
      <c r="R133" s="462"/>
      <c r="S133" s="184"/>
      <c r="T133" s="462"/>
      <c r="U133" s="462"/>
      <c r="V133" s="85" t="s">
        <v>357</v>
      </c>
      <c r="W133" s="461"/>
      <c r="X133" s="573">
        <f>SUM(X134:X137)</f>
        <v>110892000</v>
      </c>
      <c r="Y133" s="397" t="s">
        <v>25</v>
      </c>
      <c r="Z133" s="419"/>
    </row>
    <row r="134" spans="1:26" ht="21" customHeight="1">
      <c r="A134" s="25"/>
      <c r="B134" s="26"/>
      <c r="C134" s="26"/>
      <c r="D134" s="26"/>
      <c r="E134" s="28"/>
      <c r="F134" s="28"/>
      <c r="G134" s="29"/>
      <c r="H134" s="43"/>
      <c r="I134" s="177" t="s">
        <v>372</v>
      </c>
      <c r="J134" s="185"/>
      <c r="K134" s="184"/>
      <c r="L134" s="184"/>
      <c r="M134" s="184">
        <v>131815800</v>
      </c>
      <c r="N134" s="462" t="s">
        <v>358</v>
      </c>
      <c r="O134" s="46" t="s">
        <v>361</v>
      </c>
      <c r="P134" s="267">
        <v>0.255</v>
      </c>
      <c r="Q134" s="462"/>
      <c r="R134" s="462"/>
      <c r="S134" s="184"/>
      <c r="T134" s="462"/>
      <c r="U134" s="462" t="s">
        <v>362</v>
      </c>
      <c r="V134" s="763"/>
      <c r="W134" s="763"/>
      <c r="X134" s="579">
        <f>ROUND(M134*P134,-3)</f>
        <v>33613000</v>
      </c>
      <c r="Y134" s="401" t="s">
        <v>358</v>
      </c>
      <c r="Z134" s="419"/>
    </row>
    <row r="135" spans="1:26" ht="21" customHeight="1">
      <c r="A135" s="25"/>
      <c r="B135" s="26"/>
      <c r="C135" s="26"/>
      <c r="D135" s="26"/>
      <c r="E135" s="28"/>
      <c r="F135" s="28"/>
      <c r="G135" s="29"/>
      <c r="H135" s="43"/>
      <c r="I135" s="177" t="s">
        <v>373</v>
      </c>
      <c r="J135" s="185"/>
      <c r="K135" s="184"/>
      <c r="L135" s="184"/>
      <c r="M135" s="184">
        <v>25873330</v>
      </c>
      <c r="N135" s="462" t="s">
        <v>358</v>
      </c>
      <c r="O135" s="46" t="s">
        <v>361</v>
      </c>
      <c r="P135" s="267">
        <v>0.255</v>
      </c>
      <c r="Q135" s="462"/>
      <c r="R135" s="462"/>
      <c r="S135" s="184"/>
      <c r="T135" s="462"/>
      <c r="U135" s="462" t="s">
        <v>362</v>
      </c>
      <c r="V135" s="762"/>
      <c r="W135" s="762"/>
      <c r="X135" s="570">
        <f>ROUND(M135*P135,-3)</f>
        <v>6598000</v>
      </c>
      <c r="Y135" s="398" t="s">
        <v>358</v>
      </c>
      <c r="Z135" s="419"/>
    </row>
    <row r="136" spans="1:26" ht="21" customHeight="1">
      <c r="A136" s="25"/>
      <c r="B136" s="26"/>
      <c r="C136" s="26"/>
      <c r="D136" s="26"/>
      <c r="E136" s="28"/>
      <c r="F136" s="28"/>
      <c r="G136" s="29"/>
      <c r="H136" s="43"/>
      <c r="I136" s="177" t="s">
        <v>374</v>
      </c>
      <c r="J136" s="185"/>
      <c r="K136" s="184"/>
      <c r="L136" s="184"/>
      <c r="M136" s="184">
        <v>271839740</v>
      </c>
      <c r="N136" s="462" t="s">
        <v>358</v>
      </c>
      <c r="O136" s="46" t="s">
        <v>361</v>
      </c>
      <c r="P136" s="267">
        <v>0.255</v>
      </c>
      <c r="Q136" s="462"/>
      <c r="R136" s="462"/>
      <c r="S136" s="184"/>
      <c r="T136" s="462"/>
      <c r="U136" s="462" t="s">
        <v>362</v>
      </c>
      <c r="V136" s="762"/>
      <c r="W136" s="762"/>
      <c r="X136" s="570">
        <f>ROUND(M136*P136,-3)</f>
        <v>69319000</v>
      </c>
      <c r="Y136" s="398" t="s">
        <v>358</v>
      </c>
      <c r="Z136" s="419"/>
    </row>
    <row r="137" spans="1:26" ht="21" customHeight="1">
      <c r="A137" s="25"/>
      <c r="B137" s="26"/>
      <c r="C137" s="26"/>
      <c r="D137" s="26"/>
      <c r="E137" s="28"/>
      <c r="F137" s="28"/>
      <c r="G137" s="29"/>
      <c r="H137" s="43"/>
      <c r="I137" s="177" t="s">
        <v>675</v>
      </c>
      <c r="J137" s="185"/>
      <c r="K137" s="184"/>
      <c r="L137" s="184"/>
      <c r="M137" s="184">
        <v>5339470</v>
      </c>
      <c r="N137" s="462" t="s">
        <v>294</v>
      </c>
      <c r="O137" s="46" t="s">
        <v>296</v>
      </c>
      <c r="P137" s="267">
        <v>0.255</v>
      </c>
      <c r="Q137" s="462"/>
      <c r="R137" s="462"/>
      <c r="S137" s="184"/>
      <c r="T137" s="462"/>
      <c r="U137" s="462" t="s">
        <v>53</v>
      </c>
      <c r="V137" s="762"/>
      <c r="W137" s="762"/>
      <c r="X137" s="570">
        <f>ROUND(M137*P137,-3)</f>
        <v>1362000</v>
      </c>
      <c r="Y137" s="398" t="s">
        <v>358</v>
      </c>
      <c r="Z137" s="419"/>
    </row>
    <row r="138" spans="1:26" ht="21" customHeight="1">
      <c r="A138" s="25"/>
      <c r="B138" s="26"/>
      <c r="C138" s="26"/>
      <c r="D138" s="26"/>
      <c r="E138" s="28"/>
      <c r="F138" s="28"/>
      <c r="G138" s="29"/>
      <c r="H138" s="43"/>
      <c r="I138" s="178" t="s">
        <v>356</v>
      </c>
      <c r="J138" s="185"/>
      <c r="K138" s="184"/>
      <c r="L138" s="184"/>
      <c r="M138" s="184"/>
      <c r="N138" s="462"/>
      <c r="O138" s="462"/>
      <c r="P138" s="184"/>
      <c r="Q138" s="462"/>
      <c r="R138" s="462"/>
      <c r="S138" s="184"/>
      <c r="T138" s="462"/>
      <c r="U138" s="462"/>
      <c r="V138" s="139" t="s">
        <v>357</v>
      </c>
      <c r="W138" s="118"/>
      <c r="X138" s="575">
        <f>SUM(X139:X139)</f>
        <v>38238000</v>
      </c>
      <c r="Y138" s="400" t="s">
        <v>25</v>
      </c>
      <c r="Z138" s="419"/>
    </row>
    <row r="139" spans="1:26" ht="21" customHeight="1">
      <c r="A139" s="25"/>
      <c r="B139" s="26"/>
      <c r="C139" s="26"/>
      <c r="D139" s="26"/>
      <c r="E139" s="28"/>
      <c r="F139" s="28"/>
      <c r="G139" s="29"/>
      <c r="H139" s="43"/>
      <c r="I139" s="177" t="s">
        <v>684</v>
      </c>
      <c r="J139" s="185"/>
      <c r="K139" s="184"/>
      <c r="L139" s="184"/>
      <c r="M139" s="184">
        <v>1799445340</v>
      </c>
      <c r="N139" s="462" t="s">
        <v>358</v>
      </c>
      <c r="O139" s="462" t="s">
        <v>359</v>
      </c>
      <c r="P139" s="262">
        <v>12</v>
      </c>
      <c r="Q139" s="46" t="s">
        <v>360</v>
      </c>
      <c r="R139" s="46" t="s">
        <v>361</v>
      </c>
      <c r="S139" s="267">
        <v>0.255</v>
      </c>
      <c r="T139" s="462"/>
      <c r="U139" s="462" t="s">
        <v>362</v>
      </c>
      <c r="V139" s="58"/>
      <c r="W139" s="463"/>
      <c r="X139" s="579">
        <f>ROUND(M139/P139*S139,-3)</f>
        <v>38238000</v>
      </c>
      <c r="Y139" s="401" t="s">
        <v>358</v>
      </c>
      <c r="Z139" s="419"/>
    </row>
    <row r="140" spans="1:26" ht="21" customHeight="1">
      <c r="A140" s="25"/>
      <c r="B140" s="26"/>
      <c r="C140" s="26"/>
      <c r="D140" s="26"/>
      <c r="E140" s="28"/>
      <c r="F140" s="28"/>
      <c r="G140" s="29"/>
      <c r="H140" s="43"/>
      <c r="I140" s="178" t="s">
        <v>363</v>
      </c>
      <c r="J140" s="185"/>
      <c r="K140" s="184"/>
      <c r="L140" s="184"/>
      <c r="M140" s="184"/>
      <c r="N140" s="462"/>
      <c r="O140" s="462"/>
      <c r="P140" s="184"/>
      <c r="Q140" s="462"/>
      <c r="R140" s="462"/>
      <c r="S140" s="184"/>
      <c r="T140" s="462"/>
      <c r="U140" s="462"/>
      <c r="V140" s="139" t="s">
        <v>357</v>
      </c>
      <c r="W140" s="118"/>
      <c r="X140" s="575">
        <f>SUM(X141:X145)</f>
        <v>47338000</v>
      </c>
      <c r="Y140" s="400" t="s">
        <v>25</v>
      </c>
      <c r="Z140" s="419"/>
    </row>
    <row r="141" spans="1:26" ht="21" customHeight="1">
      <c r="A141" s="25"/>
      <c r="B141" s="26"/>
      <c r="C141" s="26"/>
      <c r="D141" s="26"/>
      <c r="E141" s="28"/>
      <c r="F141" s="28"/>
      <c r="G141" s="29"/>
      <c r="H141" s="43"/>
      <c r="I141" s="177" t="s">
        <v>364</v>
      </c>
      <c r="J141" s="185"/>
      <c r="K141" s="184"/>
      <c r="L141" s="184"/>
      <c r="M141" s="184">
        <v>1799445340</v>
      </c>
      <c r="N141" s="462" t="s">
        <v>358</v>
      </c>
      <c r="O141" s="46" t="s">
        <v>361</v>
      </c>
      <c r="P141" s="257">
        <v>0.09</v>
      </c>
      <c r="Q141" s="462">
        <v>2</v>
      </c>
      <c r="R141" s="46" t="s">
        <v>361</v>
      </c>
      <c r="S141" s="267">
        <v>0.255</v>
      </c>
      <c r="T141" s="451"/>
      <c r="U141" s="462" t="s">
        <v>362</v>
      </c>
      <c r="V141" s="184"/>
      <c r="W141" s="462"/>
      <c r="X141" s="570">
        <f>ROUND(M141*P141/Q141*S141,-3)</f>
        <v>20649000</v>
      </c>
      <c r="Y141" s="398" t="s">
        <v>358</v>
      </c>
      <c r="Z141" s="419"/>
    </row>
    <row r="142" spans="1:26" ht="21" customHeight="1">
      <c r="A142" s="25"/>
      <c r="B142" s="26"/>
      <c r="C142" s="26"/>
      <c r="D142" s="26"/>
      <c r="E142" s="28"/>
      <c r="F142" s="28"/>
      <c r="G142" s="29"/>
      <c r="H142" s="43"/>
      <c r="I142" s="177" t="s">
        <v>365</v>
      </c>
      <c r="J142" s="185"/>
      <c r="K142" s="184"/>
      <c r="L142" s="184"/>
      <c r="M142" s="184">
        <v>1799445340</v>
      </c>
      <c r="N142" s="462" t="s">
        <v>358</v>
      </c>
      <c r="O142" s="46" t="s">
        <v>361</v>
      </c>
      <c r="P142" s="256">
        <v>7.0900000000000005E-2</v>
      </c>
      <c r="Q142" s="462">
        <v>2</v>
      </c>
      <c r="R142" s="46" t="s">
        <v>361</v>
      </c>
      <c r="S142" s="267">
        <v>0.255</v>
      </c>
      <c r="T142" s="451"/>
      <c r="U142" s="462" t="s">
        <v>362</v>
      </c>
      <c r="V142" s="184"/>
      <c r="W142" s="462"/>
      <c r="X142" s="570">
        <f>ROUND(M142*P142/Q142*S142,-3)</f>
        <v>16267000</v>
      </c>
      <c r="Y142" s="398" t="s">
        <v>358</v>
      </c>
      <c r="Z142" s="419"/>
    </row>
    <row r="143" spans="1:26" ht="21" customHeight="1">
      <c r="A143" s="25"/>
      <c r="B143" s="26"/>
      <c r="C143" s="26"/>
      <c r="D143" s="26"/>
      <c r="E143" s="28"/>
      <c r="F143" s="28"/>
      <c r="G143" s="29"/>
      <c r="H143" s="43"/>
      <c r="I143" s="177" t="s">
        <v>366</v>
      </c>
      <c r="J143" s="185"/>
      <c r="K143" s="184"/>
      <c r="L143" s="184"/>
      <c r="M143" s="184">
        <v>16267000</v>
      </c>
      <c r="N143" s="462" t="s">
        <v>358</v>
      </c>
      <c r="O143" s="46" t="s">
        <v>361</v>
      </c>
      <c r="P143" s="50">
        <v>0.12809999999999999</v>
      </c>
      <c r="Q143" s="255"/>
      <c r="R143" s="46"/>
      <c r="S143" s="49"/>
      <c r="T143" s="477"/>
      <c r="U143" s="462" t="s">
        <v>362</v>
      </c>
      <c r="V143" s="184"/>
      <c r="W143" s="462"/>
      <c r="X143" s="570">
        <f>ROUND(M143*P143,-3)</f>
        <v>2084000</v>
      </c>
      <c r="Y143" s="398" t="s">
        <v>358</v>
      </c>
      <c r="Z143" s="419"/>
    </row>
    <row r="144" spans="1:26" ht="21" customHeight="1">
      <c r="A144" s="25"/>
      <c r="B144" s="26"/>
      <c r="C144" s="26"/>
      <c r="D144" s="26"/>
      <c r="E144" s="28"/>
      <c r="F144" s="28"/>
      <c r="G144" s="29"/>
      <c r="H144" s="43"/>
      <c r="I144" s="177" t="s">
        <v>367</v>
      </c>
      <c r="J144" s="185"/>
      <c r="K144" s="184"/>
      <c r="L144" s="184"/>
      <c r="M144" s="184">
        <v>1799445340</v>
      </c>
      <c r="N144" s="462" t="s">
        <v>358</v>
      </c>
      <c r="O144" s="46" t="s">
        <v>361</v>
      </c>
      <c r="P144" s="50">
        <v>1.15E-2</v>
      </c>
      <c r="Q144" s="46"/>
      <c r="R144" s="46" t="s">
        <v>361</v>
      </c>
      <c r="S144" s="267">
        <v>0.255</v>
      </c>
      <c r="T144" s="451"/>
      <c r="U144" s="462" t="s">
        <v>362</v>
      </c>
      <c r="V144" s="184"/>
      <c r="W144" s="462"/>
      <c r="X144" s="570">
        <f>ROUND(M144*P144*S144,-3)</f>
        <v>5277000</v>
      </c>
      <c r="Y144" s="398" t="s">
        <v>358</v>
      </c>
      <c r="Z144" s="419"/>
    </row>
    <row r="145" spans="1:26" ht="21" customHeight="1">
      <c r="A145" s="25"/>
      <c r="B145" s="26"/>
      <c r="C145" s="26"/>
      <c r="D145" s="26"/>
      <c r="E145" s="28"/>
      <c r="F145" s="28"/>
      <c r="G145" s="29"/>
      <c r="H145" s="43"/>
      <c r="I145" s="177" t="s">
        <v>368</v>
      </c>
      <c r="J145" s="185"/>
      <c r="K145" s="184"/>
      <c r="L145" s="184"/>
      <c r="M145" s="184">
        <v>1799445340</v>
      </c>
      <c r="N145" s="462" t="s">
        <v>358</v>
      </c>
      <c r="O145" s="46" t="s">
        <v>361</v>
      </c>
      <c r="P145" s="254">
        <v>6.6699999999999997E-3</v>
      </c>
      <c r="Q145" s="46"/>
      <c r="R145" s="46" t="s">
        <v>361</v>
      </c>
      <c r="S145" s="267">
        <v>0.255</v>
      </c>
      <c r="T145" s="451"/>
      <c r="U145" s="462" t="s">
        <v>362</v>
      </c>
      <c r="V145" s="184"/>
      <c r="W145" s="462"/>
      <c r="X145" s="570">
        <f>ROUND(M145*P145*S145,-3)</f>
        <v>3061000</v>
      </c>
      <c r="Y145" s="398" t="s">
        <v>358</v>
      </c>
      <c r="Z145" s="419"/>
    </row>
    <row r="146" spans="1:26" ht="21" customHeight="1">
      <c r="A146" s="25"/>
      <c r="B146" s="26"/>
      <c r="C146" s="26"/>
      <c r="D146" s="26"/>
      <c r="E146" s="28"/>
      <c r="F146" s="28"/>
      <c r="G146" s="29"/>
      <c r="H146" s="43"/>
      <c r="I146" s="177"/>
      <c r="J146" s="185"/>
      <c r="K146" s="184"/>
      <c r="L146" s="184"/>
      <c r="M146" s="184"/>
      <c r="N146" s="462"/>
      <c r="O146" s="46"/>
      <c r="P146" s="254"/>
      <c r="Q146" s="46"/>
      <c r="R146" s="46"/>
      <c r="S146" s="267"/>
      <c r="T146" s="451"/>
      <c r="U146" s="462"/>
      <c r="V146" s="184"/>
      <c r="W146" s="462"/>
      <c r="X146" s="570"/>
      <c r="Y146" s="398"/>
      <c r="Z146" s="419"/>
    </row>
    <row r="147" spans="1:26" ht="21" customHeight="1" thickBot="1">
      <c r="A147" s="25"/>
      <c r="B147" s="26"/>
      <c r="C147" s="26"/>
      <c r="D147" s="18" t="s">
        <v>375</v>
      </c>
      <c r="E147" s="19">
        <v>25643</v>
      </c>
      <c r="F147" s="149">
        <f>ROUND(X147/1000,0)</f>
        <v>25598</v>
      </c>
      <c r="G147" s="20">
        <f>F147-E147</f>
        <v>-45</v>
      </c>
      <c r="H147" s="75">
        <f>IF(E147=0,0,G147/E147)</f>
        <v>-1.7548648754045939E-3</v>
      </c>
      <c r="I147" s="152" t="s">
        <v>388</v>
      </c>
      <c r="J147" s="151"/>
      <c r="K147" s="154"/>
      <c r="L147" s="154"/>
      <c r="M147" s="58"/>
      <c r="N147" s="463"/>
      <c r="O147" s="470"/>
      <c r="P147" s="58"/>
      <c r="Q147" s="463"/>
      <c r="R147" s="431"/>
      <c r="S147" s="150"/>
      <c r="T147" s="463"/>
      <c r="U147" s="463"/>
      <c r="V147" s="153" t="s">
        <v>369</v>
      </c>
      <c r="W147" s="488"/>
      <c r="X147" s="580">
        <f>SUM(X148:X150)</f>
        <v>25598000</v>
      </c>
      <c r="Y147" s="399" t="s">
        <v>358</v>
      </c>
      <c r="Z147" s="419"/>
    </row>
    <row r="148" spans="1:26" ht="21" customHeight="1">
      <c r="A148" s="25"/>
      <c r="B148" s="26"/>
      <c r="C148" s="26"/>
      <c r="D148" s="26"/>
      <c r="E148" s="28"/>
      <c r="F148" s="28"/>
      <c r="G148" s="29"/>
      <c r="H148" s="43"/>
      <c r="I148" s="185" t="s">
        <v>389</v>
      </c>
      <c r="J148" s="41"/>
      <c r="K148" s="125"/>
      <c r="L148" s="125"/>
      <c r="M148" s="171">
        <v>2549000</v>
      </c>
      <c r="N148" s="211" t="s">
        <v>25</v>
      </c>
      <c r="O148" s="341" t="s">
        <v>26</v>
      </c>
      <c r="P148" s="218">
        <v>30</v>
      </c>
      <c r="Q148" s="211" t="s">
        <v>295</v>
      </c>
      <c r="R148" s="341" t="s">
        <v>296</v>
      </c>
      <c r="S148" s="219">
        <v>0.255</v>
      </c>
      <c r="T148" s="478"/>
      <c r="U148" s="211" t="s">
        <v>362</v>
      </c>
      <c r="V148" s="766"/>
      <c r="W148" s="766"/>
      <c r="X148" s="570">
        <f>ROUND(M148*P148*S148,-3)</f>
        <v>19500000</v>
      </c>
      <c r="Y148" s="398" t="s">
        <v>358</v>
      </c>
      <c r="Z148" s="419"/>
    </row>
    <row r="149" spans="1:26" ht="21" customHeight="1">
      <c r="A149" s="25"/>
      <c r="B149" s="26"/>
      <c r="C149" s="26"/>
      <c r="D149" s="26"/>
      <c r="E149" s="28"/>
      <c r="F149" s="28"/>
      <c r="G149" s="29"/>
      <c r="H149" s="43"/>
      <c r="I149" s="185" t="s">
        <v>390</v>
      </c>
      <c r="J149" s="41"/>
      <c r="K149" s="125"/>
      <c r="L149" s="125"/>
      <c r="M149" s="171">
        <v>1071000</v>
      </c>
      <c r="N149" s="211" t="s">
        <v>25</v>
      </c>
      <c r="O149" s="341" t="s">
        <v>26</v>
      </c>
      <c r="P149" s="218">
        <v>21</v>
      </c>
      <c r="Q149" s="211" t="s">
        <v>295</v>
      </c>
      <c r="R149" s="341" t="s">
        <v>296</v>
      </c>
      <c r="S149" s="219">
        <v>0.255</v>
      </c>
      <c r="T149" s="478"/>
      <c r="U149" s="211" t="s">
        <v>362</v>
      </c>
      <c r="V149" s="762"/>
      <c r="W149" s="762"/>
      <c r="X149" s="570">
        <f>ROUND(M149*P149*S149,-3)-45000</f>
        <v>5690000</v>
      </c>
      <c r="Y149" s="398" t="s">
        <v>358</v>
      </c>
      <c r="Z149" s="419"/>
    </row>
    <row r="150" spans="1:26" ht="21" customHeight="1">
      <c r="A150" s="25"/>
      <c r="B150" s="26"/>
      <c r="C150" s="26"/>
      <c r="D150" s="26"/>
      <c r="E150" s="28"/>
      <c r="F150" s="28"/>
      <c r="G150" s="29"/>
      <c r="H150" s="43"/>
      <c r="I150" s="185" t="s">
        <v>692</v>
      </c>
      <c r="J150" s="174"/>
      <c r="K150" s="272"/>
      <c r="L150" s="272"/>
      <c r="M150" s="171">
        <v>1600000</v>
      </c>
      <c r="N150" s="211" t="s">
        <v>25</v>
      </c>
      <c r="O150" s="341" t="s">
        <v>26</v>
      </c>
      <c r="P150" s="218">
        <v>1</v>
      </c>
      <c r="Q150" s="211" t="s">
        <v>685</v>
      </c>
      <c r="R150" s="341" t="s">
        <v>56</v>
      </c>
      <c r="S150" s="219">
        <v>0.255</v>
      </c>
      <c r="T150" s="450"/>
      <c r="U150" s="211" t="s">
        <v>53</v>
      </c>
      <c r="V150" s="270"/>
      <c r="W150" s="213"/>
      <c r="X150" s="585">
        <f t="shared" ref="X150" si="7">ROUND(M150*P150*S150,-3)</f>
        <v>408000</v>
      </c>
      <c r="Y150" s="404" t="s">
        <v>55</v>
      </c>
      <c r="Z150" s="419"/>
    </row>
    <row r="151" spans="1:26" ht="21" customHeight="1">
      <c r="A151" s="25"/>
      <c r="B151" s="26"/>
      <c r="C151" s="26"/>
      <c r="D151" s="34"/>
      <c r="E151" s="36"/>
      <c r="F151" s="36"/>
      <c r="G151" s="37"/>
      <c r="H151" s="54"/>
      <c r="I151" s="44"/>
      <c r="J151" s="45"/>
      <c r="K151" s="261"/>
      <c r="L151" s="261"/>
      <c r="M151" s="139"/>
      <c r="N151" s="118"/>
      <c r="O151" s="127"/>
      <c r="P151" s="139"/>
      <c r="Q151" s="118"/>
      <c r="R151" s="129"/>
      <c r="S151" s="264"/>
      <c r="T151" s="118"/>
      <c r="U151" s="118"/>
      <c r="V151" s="260"/>
      <c r="W151" s="55"/>
      <c r="X151" s="571"/>
      <c r="Y151" s="400"/>
      <c r="Z151" s="419"/>
    </row>
    <row r="152" spans="1:26" ht="21" customHeight="1" thickBot="1">
      <c r="A152" s="25"/>
      <c r="B152" s="26"/>
      <c r="C152" s="26"/>
      <c r="D152" s="18" t="s">
        <v>391</v>
      </c>
      <c r="E152" s="19">
        <v>14656</v>
      </c>
      <c r="F152" s="149">
        <f>ROUND(X152/1000,0)</f>
        <v>14656</v>
      </c>
      <c r="G152" s="20">
        <f>F152-E152</f>
        <v>0</v>
      </c>
      <c r="H152" s="75">
        <f>IF(E152=0,0,G152/E152)</f>
        <v>0</v>
      </c>
      <c r="I152" s="152" t="s">
        <v>392</v>
      </c>
      <c r="J152" s="151"/>
      <c r="K152" s="154"/>
      <c r="L152" s="154"/>
      <c r="M152" s="58"/>
      <c r="N152" s="463"/>
      <c r="O152" s="470"/>
      <c r="P152" s="58"/>
      <c r="Q152" s="463"/>
      <c r="R152" s="431"/>
      <c r="S152" s="150"/>
      <c r="T152" s="463"/>
      <c r="U152" s="463"/>
      <c r="V152" s="153" t="s">
        <v>369</v>
      </c>
      <c r="W152" s="488"/>
      <c r="X152" s="580">
        <f>SUM(X153:X157)</f>
        <v>14656000</v>
      </c>
      <c r="Y152" s="399" t="s">
        <v>358</v>
      </c>
      <c r="Z152" s="419"/>
    </row>
    <row r="153" spans="1:26" ht="21" customHeight="1">
      <c r="A153" s="25"/>
      <c r="B153" s="26"/>
      <c r="C153" s="26"/>
      <c r="D153" s="26" t="s">
        <v>393</v>
      </c>
      <c r="E153" s="28"/>
      <c r="F153" s="28"/>
      <c r="G153" s="29"/>
      <c r="H153" s="43"/>
      <c r="I153" s="40" t="s">
        <v>394</v>
      </c>
      <c r="J153" s="185"/>
      <c r="K153" s="184"/>
      <c r="L153" s="184"/>
      <c r="M153" s="184">
        <v>500</v>
      </c>
      <c r="N153" s="462" t="s">
        <v>358</v>
      </c>
      <c r="O153" s="31" t="s">
        <v>296</v>
      </c>
      <c r="P153" s="266">
        <v>51</v>
      </c>
      <c r="Q153" s="386">
        <v>365</v>
      </c>
      <c r="R153" s="462" t="s">
        <v>395</v>
      </c>
      <c r="S153" s="265">
        <v>0.7</v>
      </c>
      <c r="T153" s="462"/>
      <c r="U153" s="462" t="s">
        <v>362</v>
      </c>
      <c r="V153" s="184"/>
      <c r="W153" s="462"/>
      <c r="X153" s="599">
        <f>ROUNDUP(M153*P153*Q153*S153,-3)</f>
        <v>6516000</v>
      </c>
      <c r="Y153" s="398" t="s">
        <v>25</v>
      </c>
      <c r="Z153" s="419"/>
    </row>
    <row r="154" spans="1:26" ht="21" customHeight="1">
      <c r="A154" s="25"/>
      <c r="B154" s="26"/>
      <c r="C154" s="26"/>
      <c r="D154" s="26"/>
      <c r="E154" s="28"/>
      <c r="F154" s="28"/>
      <c r="G154" s="29"/>
      <c r="H154" s="43"/>
      <c r="I154" s="40" t="s">
        <v>396</v>
      </c>
      <c r="J154" s="185"/>
      <c r="K154" s="184"/>
      <c r="L154" s="184"/>
      <c r="M154" s="184">
        <v>5000</v>
      </c>
      <c r="N154" s="462" t="s">
        <v>358</v>
      </c>
      <c r="O154" s="31" t="s">
        <v>296</v>
      </c>
      <c r="P154" s="266">
        <v>51</v>
      </c>
      <c r="Q154" s="385">
        <v>12</v>
      </c>
      <c r="R154" s="462" t="s">
        <v>360</v>
      </c>
      <c r="S154" s="265">
        <v>0.7</v>
      </c>
      <c r="T154" s="462"/>
      <c r="U154" s="462" t="s">
        <v>362</v>
      </c>
      <c r="V154" s="184"/>
      <c r="W154" s="462"/>
      <c r="X154" s="570">
        <f>ROUND(M154*P154*Q154*S154,-3)</f>
        <v>2142000</v>
      </c>
      <c r="Y154" s="398" t="s">
        <v>25</v>
      </c>
      <c r="Z154" s="419"/>
    </row>
    <row r="155" spans="1:26" ht="21" customHeight="1">
      <c r="A155" s="25"/>
      <c r="B155" s="26"/>
      <c r="C155" s="26"/>
      <c r="D155" s="26"/>
      <c r="E155" s="28"/>
      <c r="F155" s="28"/>
      <c r="G155" s="29"/>
      <c r="H155" s="43"/>
      <c r="I155" s="40" t="s">
        <v>397</v>
      </c>
      <c r="J155" s="185"/>
      <c r="K155" s="184"/>
      <c r="L155" s="184"/>
      <c r="M155" s="184">
        <v>20000</v>
      </c>
      <c r="N155" s="462" t="s">
        <v>358</v>
      </c>
      <c r="O155" s="31" t="s">
        <v>296</v>
      </c>
      <c r="P155" s="266">
        <v>51</v>
      </c>
      <c r="Q155" s="385">
        <v>4</v>
      </c>
      <c r="R155" s="462" t="s">
        <v>398</v>
      </c>
      <c r="S155" s="265">
        <v>0.7</v>
      </c>
      <c r="T155" s="462"/>
      <c r="U155" s="462" t="s">
        <v>362</v>
      </c>
      <c r="V155" s="184"/>
      <c r="W155" s="462"/>
      <c r="X155" s="570">
        <f>ROUND(M155*P155*Q155*S155,-3)</f>
        <v>2856000</v>
      </c>
      <c r="Y155" s="398" t="s">
        <v>25</v>
      </c>
      <c r="Z155" s="419"/>
    </row>
    <row r="156" spans="1:26" ht="21" customHeight="1">
      <c r="A156" s="25"/>
      <c r="B156" s="26"/>
      <c r="C156" s="26"/>
      <c r="D156" s="26"/>
      <c r="E156" s="28"/>
      <c r="F156" s="28"/>
      <c r="G156" s="29"/>
      <c r="H156" s="43"/>
      <c r="I156" s="40" t="s">
        <v>677</v>
      </c>
      <c r="J156" s="185"/>
      <c r="K156" s="184"/>
      <c r="L156" s="184"/>
      <c r="M156" s="184">
        <v>12000</v>
      </c>
      <c r="N156" s="462" t="s">
        <v>358</v>
      </c>
      <c r="O156" s="31" t="s">
        <v>296</v>
      </c>
      <c r="P156" s="266">
        <v>51</v>
      </c>
      <c r="Q156" s="385">
        <v>4</v>
      </c>
      <c r="R156" s="462" t="s">
        <v>398</v>
      </c>
      <c r="S156" s="265">
        <v>0.7</v>
      </c>
      <c r="T156" s="462"/>
      <c r="U156" s="462" t="s">
        <v>362</v>
      </c>
      <c r="V156" s="184"/>
      <c r="W156" s="462"/>
      <c r="X156" s="570">
        <f>ROUND(M156*P156*Q156*S156,-3)</f>
        <v>1714000</v>
      </c>
      <c r="Y156" s="398" t="s">
        <v>25</v>
      </c>
      <c r="Z156" s="419"/>
    </row>
    <row r="157" spans="1:26" ht="21" customHeight="1">
      <c r="A157" s="25"/>
      <c r="B157" s="26"/>
      <c r="C157" s="26"/>
      <c r="D157" s="26"/>
      <c r="E157" s="28"/>
      <c r="F157" s="28"/>
      <c r="G157" s="29"/>
      <c r="H157" s="43"/>
      <c r="I157" s="40" t="s">
        <v>399</v>
      </c>
      <c r="J157" s="185"/>
      <c r="K157" s="184"/>
      <c r="L157" s="184"/>
      <c r="M157" s="184">
        <v>40000</v>
      </c>
      <c r="N157" s="462" t="s">
        <v>358</v>
      </c>
      <c r="O157" s="31" t="s">
        <v>296</v>
      </c>
      <c r="P157" s="266">
        <v>51</v>
      </c>
      <c r="Q157" s="385">
        <v>1</v>
      </c>
      <c r="R157" s="462" t="s">
        <v>398</v>
      </c>
      <c r="S157" s="265">
        <v>0.7</v>
      </c>
      <c r="T157" s="462"/>
      <c r="U157" s="462" t="s">
        <v>362</v>
      </c>
      <c r="V157" s="184"/>
      <c r="W157" s="462"/>
      <c r="X157" s="599">
        <f>ROUNDUP(M157*P157*Q157*S157,-3)</f>
        <v>1428000</v>
      </c>
      <c r="Y157" s="398" t="s">
        <v>25</v>
      </c>
      <c r="Z157" s="419"/>
    </row>
    <row r="158" spans="1:26" ht="21" customHeight="1">
      <c r="A158" s="25"/>
      <c r="B158" s="26"/>
      <c r="C158" s="26"/>
      <c r="D158" s="34"/>
      <c r="E158" s="36"/>
      <c r="F158" s="36"/>
      <c r="G158" s="37"/>
      <c r="H158" s="54"/>
      <c r="I158" s="44"/>
      <c r="J158" s="45"/>
      <c r="K158" s="261"/>
      <c r="L158" s="261"/>
      <c r="M158" s="139"/>
      <c r="N158" s="118"/>
      <c r="O158" s="127"/>
      <c r="P158" s="139"/>
      <c r="Q158" s="118"/>
      <c r="R158" s="129"/>
      <c r="S158" s="264"/>
      <c r="T158" s="118"/>
      <c r="U158" s="118"/>
      <c r="V158" s="260"/>
      <c r="W158" s="55"/>
      <c r="X158" s="571"/>
      <c r="Y158" s="400"/>
      <c r="Z158" s="419"/>
    </row>
    <row r="159" spans="1:26" ht="21" customHeight="1" thickBot="1">
      <c r="A159" s="25"/>
      <c r="B159" s="26"/>
      <c r="C159" s="26"/>
      <c r="D159" s="18" t="s">
        <v>400</v>
      </c>
      <c r="E159" s="19">
        <v>112839</v>
      </c>
      <c r="F159" s="149">
        <f>ROUND(X159/1000,0)</f>
        <v>107169</v>
      </c>
      <c r="G159" s="20">
        <f>F159-E159</f>
        <v>-5670</v>
      </c>
      <c r="H159" s="75">
        <f>IF(E159=0,0,G159/E159)</f>
        <v>-5.0248584266078221E-2</v>
      </c>
      <c r="I159" s="152" t="s">
        <v>688</v>
      </c>
      <c r="J159" s="151"/>
      <c r="K159" s="154"/>
      <c r="L159" s="154"/>
      <c r="M159" s="58"/>
      <c r="N159" s="463"/>
      <c r="O159" s="470"/>
      <c r="P159" s="58"/>
      <c r="Q159" s="463"/>
      <c r="R159" s="431"/>
      <c r="S159" s="150"/>
      <c r="T159" s="463"/>
      <c r="U159" s="463"/>
      <c r="V159" s="153" t="s">
        <v>369</v>
      </c>
      <c r="W159" s="488"/>
      <c r="X159" s="580">
        <f>X160+X178</f>
        <v>107169000</v>
      </c>
      <c r="Y159" s="399" t="s">
        <v>358</v>
      </c>
      <c r="Z159" s="419"/>
    </row>
    <row r="160" spans="1:26" ht="21" customHeight="1">
      <c r="A160" s="25"/>
      <c r="B160" s="26"/>
      <c r="C160" s="26"/>
      <c r="D160" s="26" t="s">
        <v>689</v>
      </c>
      <c r="E160" s="28"/>
      <c r="F160" s="28"/>
      <c r="G160" s="29"/>
      <c r="H160" s="43"/>
      <c r="I160" s="263" t="s">
        <v>401</v>
      </c>
      <c r="J160" s="41"/>
      <c r="K160" s="125"/>
      <c r="L160" s="125"/>
      <c r="M160" s="184"/>
      <c r="N160" s="462"/>
      <c r="O160" s="46"/>
      <c r="P160" s="184"/>
      <c r="Q160" s="462"/>
      <c r="R160" s="51"/>
      <c r="S160" s="32"/>
      <c r="T160" s="462"/>
      <c r="U160" s="462"/>
      <c r="V160" s="139" t="s">
        <v>402</v>
      </c>
      <c r="W160" s="118"/>
      <c r="X160" s="575">
        <f>SUM(X161,X165,X169,X171)</f>
        <v>99429000</v>
      </c>
      <c r="Y160" s="400" t="s">
        <v>25</v>
      </c>
      <c r="Z160" s="419"/>
    </row>
    <row r="161" spans="1:26" ht="21" customHeight="1">
      <c r="A161" s="25"/>
      <c r="B161" s="26"/>
      <c r="C161" s="26"/>
      <c r="D161" s="26"/>
      <c r="E161" s="28"/>
      <c r="F161" s="28"/>
      <c r="G161" s="29"/>
      <c r="H161" s="43"/>
      <c r="I161" s="44" t="s">
        <v>403</v>
      </c>
      <c r="J161" s="185"/>
      <c r="K161" s="184"/>
      <c r="L161" s="184"/>
      <c r="M161" s="184"/>
      <c r="N161" s="462"/>
      <c r="O161" s="46"/>
      <c r="P161" s="49"/>
      <c r="Q161" s="462"/>
      <c r="R161" s="462"/>
      <c r="S161" s="184"/>
      <c r="T161" s="462"/>
      <c r="U161" s="462"/>
      <c r="V161" s="139" t="s">
        <v>357</v>
      </c>
      <c r="W161" s="118"/>
      <c r="X161" s="575">
        <f>SUM(X162:X164)</f>
        <v>66299000</v>
      </c>
      <c r="Y161" s="400" t="s">
        <v>25</v>
      </c>
      <c r="Z161" s="419"/>
    </row>
    <row r="162" spans="1:26" ht="21" customHeight="1">
      <c r="A162" s="25"/>
      <c r="B162" s="26"/>
      <c r="C162" s="26"/>
      <c r="D162" s="26"/>
      <c r="E162" s="28"/>
      <c r="F162" s="28"/>
      <c r="G162" s="29"/>
      <c r="H162" s="43"/>
      <c r="I162" s="180" t="s">
        <v>404</v>
      </c>
      <c r="J162" s="185"/>
      <c r="K162" s="184"/>
      <c r="L162" s="184"/>
      <c r="M162" s="184">
        <v>25900000</v>
      </c>
      <c r="N162" s="462" t="s">
        <v>358</v>
      </c>
      <c r="O162" s="46" t="s">
        <v>361</v>
      </c>
      <c r="P162" s="49">
        <v>0.9</v>
      </c>
      <c r="Q162" s="462"/>
      <c r="R162" s="462"/>
      <c r="S162" s="184"/>
      <c r="T162" s="462"/>
      <c r="U162" s="462" t="s">
        <v>362</v>
      </c>
      <c r="V162" s="58"/>
      <c r="W162" s="463"/>
      <c r="X162" s="572">
        <f>ROUND(M162*P162,-3)</f>
        <v>23310000</v>
      </c>
      <c r="Y162" s="401" t="s">
        <v>358</v>
      </c>
      <c r="Z162" s="419"/>
    </row>
    <row r="163" spans="1:26" ht="21" customHeight="1">
      <c r="A163" s="25"/>
      <c r="B163" s="26"/>
      <c r="C163" s="26"/>
      <c r="D163" s="26"/>
      <c r="E163" s="28"/>
      <c r="F163" s="28"/>
      <c r="G163" s="29"/>
      <c r="H163" s="43"/>
      <c r="I163" s="177" t="s">
        <v>405</v>
      </c>
      <c r="J163" s="185"/>
      <c r="K163" s="184"/>
      <c r="L163" s="184"/>
      <c r="M163" s="184">
        <v>25508000</v>
      </c>
      <c r="N163" s="462" t="s">
        <v>358</v>
      </c>
      <c r="O163" s="46" t="s">
        <v>361</v>
      </c>
      <c r="P163" s="49">
        <v>0.9</v>
      </c>
      <c r="Q163" s="462"/>
      <c r="R163" s="462"/>
      <c r="S163" s="184"/>
      <c r="T163" s="462"/>
      <c r="U163" s="462" t="s">
        <v>362</v>
      </c>
      <c r="V163" s="184"/>
      <c r="W163" s="462"/>
      <c r="X163" s="586">
        <f>ROUND(M163*P163,-3)</f>
        <v>22957000</v>
      </c>
      <c r="Y163" s="398" t="s">
        <v>358</v>
      </c>
      <c r="Z163" s="419"/>
    </row>
    <row r="164" spans="1:26" ht="21" customHeight="1">
      <c r="A164" s="25"/>
      <c r="B164" s="26"/>
      <c r="C164" s="26"/>
      <c r="D164" s="26"/>
      <c r="E164" s="28"/>
      <c r="F164" s="28"/>
      <c r="G164" s="29"/>
      <c r="H164" s="43"/>
      <c r="I164" s="177" t="s">
        <v>406</v>
      </c>
      <c r="J164" s="185"/>
      <c r="K164" s="184"/>
      <c r="L164" s="184"/>
      <c r="M164" s="184">
        <v>22258000</v>
      </c>
      <c r="N164" s="462" t="s">
        <v>358</v>
      </c>
      <c r="O164" s="46" t="s">
        <v>361</v>
      </c>
      <c r="P164" s="49">
        <v>0.9</v>
      </c>
      <c r="Q164" s="462"/>
      <c r="R164" s="462"/>
      <c r="S164" s="184"/>
      <c r="T164" s="462"/>
      <c r="U164" s="462" t="s">
        <v>362</v>
      </c>
      <c r="V164" s="184"/>
      <c r="W164" s="462"/>
      <c r="X164" s="586">
        <f>ROUNDDOWN(M164*P164,-3)</f>
        <v>20032000</v>
      </c>
      <c r="Y164" s="398" t="s">
        <v>358</v>
      </c>
      <c r="Z164" s="419"/>
    </row>
    <row r="165" spans="1:26" ht="21" customHeight="1">
      <c r="A165" s="25"/>
      <c r="B165" s="26"/>
      <c r="C165" s="26"/>
      <c r="D165" s="26"/>
      <c r="E165" s="28"/>
      <c r="F165" s="28"/>
      <c r="G165" s="29"/>
      <c r="H165" s="43"/>
      <c r="I165" s="44" t="s">
        <v>407</v>
      </c>
      <c r="J165" s="185"/>
      <c r="K165" s="184"/>
      <c r="L165" s="184"/>
      <c r="M165" s="184"/>
      <c r="N165" s="462"/>
      <c r="O165" s="462"/>
      <c r="P165" s="184"/>
      <c r="Q165" s="462"/>
      <c r="R165" s="462"/>
      <c r="S165" s="184"/>
      <c r="T165" s="462"/>
      <c r="U165" s="462"/>
      <c r="V165" s="139" t="s">
        <v>357</v>
      </c>
      <c r="W165" s="118"/>
      <c r="X165" s="575">
        <f>SUM(X166:X168)</f>
        <v>17500000</v>
      </c>
      <c r="Y165" s="400" t="s">
        <v>25</v>
      </c>
      <c r="Z165" s="419"/>
    </row>
    <row r="166" spans="1:26" ht="21" customHeight="1">
      <c r="A166" s="25"/>
      <c r="B166" s="26"/>
      <c r="C166" s="26"/>
      <c r="D166" s="26"/>
      <c r="E166" s="28"/>
      <c r="F166" s="28"/>
      <c r="G166" s="29"/>
      <c r="H166" s="43"/>
      <c r="I166" s="177" t="s">
        <v>372</v>
      </c>
      <c r="J166" s="185"/>
      <c r="K166" s="184"/>
      <c r="L166" s="184"/>
      <c r="M166" s="184">
        <v>7552800</v>
      </c>
      <c r="N166" s="462" t="s">
        <v>358</v>
      </c>
      <c r="O166" s="46" t="s">
        <v>361</v>
      </c>
      <c r="P166" s="49">
        <v>0.9</v>
      </c>
      <c r="Q166" s="462"/>
      <c r="R166" s="462"/>
      <c r="S166" s="184"/>
      <c r="T166" s="462"/>
      <c r="U166" s="462" t="s">
        <v>362</v>
      </c>
      <c r="V166" s="763"/>
      <c r="W166" s="763"/>
      <c r="X166" s="579">
        <f>ROUND(M166*P166,-3)</f>
        <v>6798000</v>
      </c>
      <c r="Y166" s="401" t="s">
        <v>358</v>
      </c>
      <c r="Z166" s="419"/>
    </row>
    <row r="167" spans="1:26" ht="21" customHeight="1">
      <c r="A167" s="25"/>
      <c r="B167" s="26"/>
      <c r="C167" s="26"/>
      <c r="D167" s="26"/>
      <c r="E167" s="28"/>
      <c r="F167" s="28"/>
      <c r="G167" s="29"/>
      <c r="H167" s="43"/>
      <c r="I167" s="175" t="s">
        <v>373</v>
      </c>
      <c r="J167" s="185"/>
      <c r="K167" s="184"/>
      <c r="L167" s="184"/>
      <c r="M167" s="184">
        <v>480000</v>
      </c>
      <c r="N167" s="462" t="s">
        <v>358</v>
      </c>
      <c r="O167" s="46" t="s">
        <v>361</v>
      </c>
      <c r="P167" s="49">
        <v>0.9</v>
      </c>
      <c r="Q167" s="462"/>
      <c r="R167" s="462"/>
      <c r="S167" s="184"/>
      <c r="T167" s="462"/>
      <c r="U167" s="462" t="s">
        <v>362</v>
      </c>
      <c r="V167" s="762"/>
      <c r="W167" s="762"/>
      <c r="X167" s="570">
        <f>ROUND(M167*P167,-3)</f>
        <v>432000</v>
      </c>
      <c r="Y167" s="398" t="s">
        <v>358</v>
      </c>
      <c r="Z167" s="419"/>
    </row>
    <row r="168" spans="1:26" ht="21" customHeight="1">
      <c r="A168" s="25"/>
      <c r="B168" s="26"/>
      <c r="C168" s="26"/>
      <c r="D168" s="26"/>
      <c r="E168" s="28"/>
      <c r="F168" s="28"/>
      <c r="G168" s="29"/>
      <c r="H168" s="43"/>
      <c r="I168" s="177" t="s">
        <v>374</v>
      </c>
      <c r="J168" s="185"/>
      <c r="K168" s="184"/>
      <c r="L168" s="184"/>
      <c r="M168" s="184">
        <v>11410850</v>
      </c>
      <c r="N168" s="462" t="s">
        <v>358</v>
      </c>
      <c r="O168" s="46" t="s">
        <v>361</v>
      </c>
      <c r="P168" s="49">
        <v>0.9</v>
      </c>
      <c r="Q168" s="462"/>
      <c r="R168" s="462"/>
      <c r="S168" s="184"/>
      <c r="T168" s="462"/>
      <c r="U168" s="462" t="s">
        <v>362</v>
      </c>
      <c r="V168" s="762"/>
      <c r="W168" s="762"/>
      <c r="X168" s="570">
        <f>ROUND(M168*P168,-3)</f>
        <v>10270000</v>
      </c>
      <c r="Y168" s="398" t="s">
        <v>358</v>
      </c>
      <c r="Z168" s="419"/>
    </row>
    <row r="169" spans="1:26" ht="21" customHeight="1">
      <c r="A169" s="25"/>
      <c r="B169" s="26"/>
      <c r="C169" s="26"/>
      <c r="D169" s="26"/>
      <c r="E169" s="28"/>
      <c r="F169" s="28"/>
      <c r="G169" s="29"/>
      <c r="H169" s="43"/>
      <c r="I169" s="44" t="s">
        <v>408</v>
      </c>
      <c r="J169" s="185"/>
      <c r="K169" s="184"/>
      <c r="L169" s="184"/>
      <c r="M169" s="184"/>
      <c r="N169" s="462"/>
      <c r="O169" s="462"/>
      <c r="P169" s="184"/>
      <c r="Q169" s="462"/>
      <c r="R169" s="462"/>
      <c r="S169" s="184"/>
      <c r="T169" s="462"/>
      <c r="U169" s="462"/>
      <c r="V169" s="139" t="s">
        <v>357</v>
      </c>
      <c r="W169" s="118"/>
      <c r="X169" s="575">
        <f>X170</f>
        <v>6984000</v>
      </c>
      <c r="Y169" s="400" t="s">
        <v>25</v>
      </c>
      <c r="Z169" s="419"/>
    </row>
    <row r="170" spans="1:26" ht="21" customHeight="1">
      <c r="A170" s="25"/>
      <c r="B170" s="26"/>
      <c r="C170" s="26"/>
      <c r="D170" s="26"/>
      <c r="E170" s="28"/>
      <c r="F170" s="28"/>
      <c r="G170" s="29"/>
      <c r="H170" s="43"/>
      <c r="I170" s="177" t="s">
        <v>409</v>
      </c>
      <c r="J170" s="185"/>
      <c r="K170" s="184"/>
      <c r="L170" s="184"/>
      <c r="M170" s="184">
        <v>93109650</v>
      </c>
      <c r="N170" s="462" t="s">
        <v>358</v>
      </c>
      <c r="O170" s="462" t="s">
        <v>359</v>
      </c>
      <c r="P170" s="262">
        <v>12</v>
      </c>
      <c r="Q170" s="46" t="s">
        <v>360</v>
      </c>
      <c r="R170" s="46" t="s">
        <v>361</v>
      </c>
      <c r="S170" s="49">
        <v>0.9</v>
      </c>
      <c r="T170" s="462"/>
      <c r="U170" s="462" t="s">
        <v>362</v>
      </c>
      <c r="V170" s="58"/>
      <c r="W170" s="463"/>
      <c r="X170" s="579">
        <f>ROUNDUP(M170/P170*S170,-3)</f>
        <v>6984000</v>
      </c>
      <c r="Y170" s="401" t="s">
        <v>358</v>
      </c>
      <c r="Z170" s="419"/>
    </row>
    <row r="171" spans="1:26" ht="21" customHeight="1">
      <c r="A171" s="25"/>
      <c r="B171" s="26"/>
      <c r="C171" s="26"/>
      <c r="D171" s="26"/>
      <c r="E171" s="28"/>
      <c r="F171" s="28"/>
      <c r="G171" s="29"/>
      <c r="H171" s="43"/>
      <c r="I171" s="44" t="s">
        <v>410</v>
      </c>
      <c r="J171" s="185"/>
      <c r="K171" s="184"/>
      <c r="L171" s="184"/>
      <c r="M171" s="184"/>
      <c r="N171" s="462"/>
      <c r="O171" s="462"/>
      <c r="P171" s="184"/>
      <c r="Q171" s="462"/>
      <c r="R171" s="462"/>
      <c r="S171" s="184"/>
      <c r="T171" s="462"/>
      <c r="U171" s="462"/>
      <c r="V171" s="139" t="s">
        <v>357</v>
      </c>
      <c r="W171" s="118"/>
      <c r="X171" s="575">
        <f>SUM(X172:X176)</f>
        <v>8646000</v>
      </c>
      <c r="Y171" s="400" t="s">
        <v>25</v>
      </c>
      <c r="Z171" s="419"/>
    </row>
    <row r="172" spans="1:26" ht="21" customHeight="1">
      <c r="A172" s="25"/>
      <c r="B172" s="26"/>
      <c r="C172" s="26"/>
      <c r="D172" s="26"/>
      <c r="E172" s="28"/>
      <c r="F172" s="28"/>
      <c r="G172" s="29"/>
      <c r="H172" s="43"/>
      <c r="I172" s="177" t="s">
        <v>364</v>
      </c>
      <c r="J172" s="185"/>
      <c r="K172" s="184"/>
      <c r="L172" s="184"/>
      <c r="M172" s="184">
        <v>93109650</v>
      </c>
      <c r="N172" s="462" t="s">
        <v>358</v>
      </c>
      <c r="O172" s="46" t="s">
        <v>361</v>
      </c>
      <c r="P172" s="257">
        <v>0.09</v>
      </c>
      <c r="Q172" s="462">
        <v>2</v>
      </c>
      <c r="R172" s="46" t="s">
        <v>361</v>
      </c>
      <c r="S172" s="49">
        <v>0.9</v>
      </c>
      <c r="T172" s="451"/>
      <c r="U172" s="462" t="s">
        <v>362</v>
      </c>
      <c r="V172" s="184"/>
      <c r="W172" s="462"/>
      <c r="X172" s="570">
        <f>ROUND(M172*P172/Q172*S172,-3)</f>
        <v>3771000</v>
      </c>
      <c r="Y172" s="398" t="s">
        <v>358</v>
      </c>
      <c r="Z172" s="419"/>
    </row>
    <row r="173" spans="1:26" ht="21" customHeight="1">
      <c r="A173" s="25"/>
      <c r="B173" s="26"/>
      <c r="C173" s="26"/>
      <c r="D173" s="26"/>
      <c r="E173" s="28"/>
      <c r="F173" s="28"/>
      <c r="G173" s="29"/>
      <c r="H173" s="43"/>
      <c r="I173" s="177" t="s">
        <v>365</v>
      </c>
      <c r="J173" s="185"/>
      <c r="K173" s="184"/>
      <c r="L173" s="184"/>
      <c r="M173" s="184">
        <v>93109650</v>
      </c>
      <c r="N173" s="462" t="s">
        <v>358</v>
      </c>
      <c r="O173" s="46" t="s">
        <v>361</v>
      </c>
      <c r="P173" s="256">
        <v>7.0900000000000005E-2</v>
      </c>
      <c r="Q173" s="462">
        <v>2</v>
      </c>
      <c r="R173" s="46" t="s">
        <v>361</v>
      </c>
      <c r="S173" s="49">
        <v>0.9</v>
      </c>
      <c r="T173" s="451"/>
      <c r="U173" s="462" t="s">
        <v>362</v>
      </c>
      <c r="V173" s="184"/>
      <c r="W173" s="462"/>
      <c r="X173" s="570">
        <f>ROUND(M173*P173/Q173*S173,-3)</f>
        <v>2971000</v>
      </c>
      <c r="Y173" s="398" t="s">
        <v>358</v>
      </c>
      <c r="Z173" s="419"/>
    </row>
    <row r="174" spans="1:26" ht="21" customHeight="1">
      <c r="A174" s="25"/>
      <c r="B174" s="26"/>
      <c r="C174" s="26"/>
      <c r="D174" s="26"/>
      <c r="E174" s="28"/>
      <c r="F174" s="28"/>
      <c r="G174" s="29"/>
      <c r="H174" s="43"/>
      <c r="I174" s="177" t="s">
        <v>366</v>
      </c>
      <c r="J174" s="185"/>
      <c r="K174" s="184"/>
      <c r="L174" s="184"/>
      <c r="M174" s="184">
        <v>2971000</v>
      </c>
      <c r="N174" s="462" t="s">
        <v>358</v>
      </c>
      <c r="O174" s="46" t="s">
        <v>361</v>
      </c>
      <c r="P174" s="50">
        <v>0.12809999999999999</v>
      </c>
      <c r="Q174" s="462"/>
      <c r="R174" s="46"/>
      <c r="S174" s="49"/>
      <c r="T174" s="477"/>
      <c r="U174" s="462" t="s">
        <v>362</v>
      </c>
      <c r="V174" s="184"/>
      <c r="W174" s="462"/>
      <c r="X174" s="570">
        <f>ROUND(M174*P174,-3)</f>
        <v>381000</v>
      </c>
      <c r="Y174" s="398" t="s">
        <v>358</v>
      </c>
      <c r="Z174" s="419"/>
    </row>
    <row r="175" spans="1:26" ht="21" customHeight="1">
      <c r="A175" s="25"/>
      <c r="B175" s="26"/>
      <c r="C175" s="26"/>
      <c r="D175" s="26"/>
      <c r="E175" s="28"/>
      <c r="F175" s="28"/>
      <c r="G175" s="29"/>
      <c r="H175" s="43"/>
      <c r="I175" s="177" t="s">
        <v>367</v>
      </c>
      <c r="J175" s="185"/>
      <c r="K175" s="184"/>
      <c r="L175" s="184"/>
      <c r="M175" s="184">
        <v>93109650</v>
      </c>
      <c r="N175" s="462" t="s">
        <v>358</v>
      </c>
      <c r="O175" s="46" t="s">
        <v>361</v>
      </c>
      <c r="P175" s="50">
        <v>1.15E-2</v>
      </c>
      <c r="Q175" s="46"/>
      <c r="R175" s="46" t="s">
        <v>361</v>
      </c>
      <c r="S175" s="49">
        <v>0.9</v>
      </c>
      <c r="T175" s="451"/>
      <c r="U175" s="462" t="s">
        <v>362</v>
      </c>
      <c r="V175" s="184"/>
      <c r="W175" s="462"/>
      <c r="X175" s="570">
        <f>ROUND(M175*P175*S175,-3)</f>
        <v>964000</v>
      </c>
      <c r="Y175" s="398" t="s">
        <v>358</v>
      </c>
      <c r="Z175" s="419"/>
    </row>
    <row r="176" spans="1:26" ht="21" customHeight="1">
      <c r="A176" s="25"/>
      <c r="B176" s="26"/>
      <c r="C176" s="26"/>
      <c r="D176" s="26"/>
      <c r="E176" s="28"/>
      <c r="F176" s="28"/>
      <c r="G176" s="29"/>
      <c r="H176" s="43"/>
      <c r="I176" s="177" t="s">
        <v>368</v>
      </c>
      <c r="J176" s="185"/>
      <c r="K176" s="184"/>
      <c r="L176" s="184"/>
      <c r="M176" s="184">
        <v>93109650</v>
      </c>
      <c r="N176" s="462" t="s">
        <v>358</v>
      </c>
      <c r="O176" s="46" t="s">
        <v>361</v>
      </c>
      <c r="P176" s="254">
        <v>6.6699999999999997E-3</v>
      </c>
      <c r="Q176" s="46"/>
      <c r="R176" s="46" t="s">
        <v>361</v>
      </c>
      <c r="S176" s="49">
        <v>0.9</v>
      </c>
      <c r="T176" s="451"/>
      <c r="U176" s="462" t="s">
        <v>362</v>
      </c>
      <c r="V176" s="184"/>
      <c r="W176" s="462"/>
      <c r="X176" s="570">
        <f>ROUNDUP(M176*P176*S176,-3)</f>
        <v>559000</v>
      </c>
      <c r="Y176" s="398" t="s">
        <v>358</v>
      </c>
      <c r="Z176" s="419"/>
    </row>
    <row r="177" spans="1:39" ht="21" customHeight="1">
      <c r="A177" s="25"/>
      <c r="B177" s="26"/>
      <c r="C177" s="26"/>
      <c r="D177" s="26"/>
      <c r="E177" s="28"/>
      <c r="F177" s="28"/>
      <c r="G177" s="29"/>
      <c r="H177" s="43"/>
      <c r="I177" s="40"/>
      <c r="J177" s="41"/>
      <c r="K177" s="125"/>
      <c r="L177" s="125"/>
      <c r="M177" s="184"/>
      <c r="N177" s="462"/>
      <c r="O177" s="46"/>
      <c r="P177" s="184"/>
      <c r="Q177" s="462"/>
      <c r="R177" s="51"/>
      <c r="S177" s="32"/>
      <c r="T177" s="462"/>
      <c r="U177" s="462"/>
      <c r="V177" s="49"/>
      <c r="W177" s="31"/>
      <c r="X177" s="570"/>
      <c r="Y177" s="398"/>
      <c r="Z177" s="419"/>
    </row>
    <row r="178" spans="1:39" ht="21" customHeight="1">
      <c r="A178" s="25"/>
      <c r="B178" s="26"/>
      <c r="C178" s="26"/>
      <c r="D178" s="26"/>
      <c r="E178" s="28"/>
      <c r="F178" s="28"/>
      <c r="G178" s="29"/>
      <c r="H178" s="43"/>
      <c r="I178" s="44" t="s">
        <v>411</v>
      </c>
      <c r="J178" s="41"/>
      <c r="K178" s="125"/>
      <c r="L178" s="125"/>
      <c r="M178" s="184"/>
      <c r="N178" s="462"/>
      <c r="O178" s="46"/>
      <c r="P178" s="184"/>
      <c r="Q178" s="462"/>
      <c r="R178" s="51"/>
      <c r="S178" s="32"/>
      <c r="T178" s="462"/>
      <c r="U178" s="462"/>
      <c r="V178" s="139" t="s">
        <v>402</v>
      </c>
      <c r="W178" s="118"/>
      <c r="X178" s="575">
        <f>SUM(X179:X181)</f>
        <v>7740000</v>
      </c>
      <c r="Y178" s="400" t="s">
        <v>25</v>
      </c>
      <c r="Z178" s="419"/>
    </row>
    <row r="179" spans="1:39" ht="21" customHeight="1">
      <c r="A179" s="25"/>
      <c r="B179" s="26"/>
      <c r="C179" s="26"/>
      <c r="D179" s="26"/>
      <c r="E179" s="28"/>
      <c r="F179" s="28"/>
      <c r="G179" s="29"/>
      <c r="H179" s="43"/>
      <c r="I179" s="177" t="s">
        <v>412</v>
      </c>
      <c r="J179" s="338"/>
      <c r="K179" s="337"/>
      <c r="L179" s="337"/>
      <c r="M179" s="284">
        <v>300000</v>
      </c>
      <c r="N179" s="228" t="s">
        <v>358</v>
      </c>
      <c r="O179" s="228" t="s">
        <v>361</v>
      </c>
      <c r="P179" s="298">
        <v>1</v>
      </c>
      <c r="Q179" s="386">
        <v>12</v>
      </c>
      <c r="R179" s="228" t="s">
        <v>360</v>
      </c>
      <c r="S179" s="286">
        <v>0.9</v>
      </c>
      <c r="T179" s="228"/>
      <c r="U179" s="228" t="s">
        <v>362</v>
      </c>
      <c r="V179" s="337"/>
      <c r="W179" s="339"/>
      <c r="X179" s="598">
        <f>M179*P179*Q179*S179</f>
        <v>3240000</v>
      </c>
      <c r="Y179" s="392" t="s">
        <v>358</v>
      </c>
      <c r="Z179" s="419"/>
    </row>
    <row r="180" spans="1:39" ht="21" customHeight="1">
      <c r="A180" s="25"/>
      <c r="B180" s="26"/>
      <c r="C180" s="26"/>
      <c r="D180" s="26"/>
      <c r="E180" s="28"/>
      <c r="F180" s="28"/>
      <c r="G180" s="29"/>
      <c r="H180" s="43"/>
      <c r="I180" s="177" t="s">
        <v>413</v>
      </c>
      <c r="J180" s="185"/>
      <c r="K180" s="184"/>
      <c r="L180" s="184"/>
      <c r="M180" s="259">
        <v>5000000</v>
      </c>
      <c r="N180" s="42" t="s">
        <v>358</v>
      </c>
      <c r="O180" s="42" t="s">
        <v>361</v>
      </c>
      <c r="P180" s="49">
        <v>0.9</v>
      </c>
      <c r="Q180" s="385"/>
      <c r="R180" s="42"/>
      <c r="S180" s="258"/>
      <c r="T180" s="42"/>
      <c r="U180" s="42" t="s">
        <v>362</v>
      </c>
      <c r="V180" s="184"/>
      <c r="W180" s="462"/>
      <c r="X180" s="586">
        <f>M180*P180</f>
        <v>4500000</v>
      </c>
      <c r="Y180" s="398" t="s">
        <v>358</v>
      </c>
      <c r="Z180" s="419"/>
    </row>
    <row r="181" spans="1:39" ht="21" customHeight="1">
      <c r="A181" s="25"/>
      <c r="B181" s="26"/>
      <c r="C181" s="26"/>
      <c r="D181" s="26"/>
      <c r="E181" s="28"/>
      <c r="F181" s="28"/>
      <c r="G181" s="29"/>
      <c r="H181" s="43"/>
      <c r="I181" s="177" t="s">
        <v>414</v>
      </c>
      <c r="J181" s="338"/>
      <c r="K181" s="337"/>
      <c r="L181" s="337"/>
      <c r="M181" s="284">
        <v>70000</v>
      </c>
      <c r="N181" s="228" t="s">
        <v>358</v>
      </c>
      <c r="O181" s="228" t="s">
        <v>361</v>
      </c>
      <c r="P181" s="285">
        <v>1</v>
      </c>
      <c r="Q181" s="386">
        <v>0</v>
      </c>
      <c r="R181" s="228" t="s">
        <v>395</v>
      </c>
      <c r="S181" s="286">
        <v>0.9</v>
      </c>
      <c r="T181" s="228"/>
      <c r="U181" s="228" t="s">
        <v>362</v>
      </c>
      <c r="V181" s="337"/>
      <c r="W181" s="339"/>
      <c r="X181" s="598">
        <f>M181*P181*Q181*S181</f>
        <v>0</v>
      </c>
      <c r="Y181" s="392" t="s">
        <v>358</v>
      </c>
      <c r="Z181" s="419"/>
    </row>
    <row r="182" spans="1:39" ht="21" customHeight="1">
      <c r="A182" s="25"/>
      <c r="B182" s="26"/>
      <c r="C182" s="26"/>
      <c r="D182" s="34"/>
      <c r="E182" s="36"/>
      <c r="F182" s="36"/>
      <c r="G182" s="37"/>
      <c r="H182" s="54"/>
      <c r="I182" s="217"/>
      <c r="J182" s="45"/>
      <c r="K182" s="261"/>
      <c r="L182" s="261"/>
      <c r="M182" s="464"/>
      <c r="N182" s="118"/>
      <c r="O182" s="127"/>
      <c r="P182" s="139"/>
      <c r="Q182" s="118"/>
      <c r="R182" s="129"/>
      <c r="S182" s="139"/>
      <c r="T182" s="118"/>
      <c r="U182" s="118"/>
      <c r="V182" s="260"/>
      <c r="W182" s="55"/>
      <c r="X182" s="571"/>
      <c r="Y182" s="400"/>
      <c r="Z182" s="419"/>
    </row>
    <row r="183" spans="1:39" ht="21" customHeight="1">
      <c r="A183" s="25"/>
      <c r="B183" s="26"/>
      <c r="C183" s="26"/>
      <c r="D183" s="26" t="s">
        <v>415</v>
      </c>
      <c r="E183" s="28">
        <v>18969</v>
      </c>
      <c r="F183" s="149">
        <f>ROUND(X183/1000,0)</f>
        <v>18969</v>
      </c>
      <c r="G183" s="29">
        <f>F183-E183</f>
        <v>0</v>
      </c>
      <c r="H183" s="43">
        <f>IF(E183=0,0,G183/E183)</f>
        <v>0</v>
      </c>
      <c r="I183" s="44" t="s">
        <v>416</v>
      </c>
      <c r="J183" s="41"/>
      <c r="K183" s="125"/>
      <c r="L183" s="125"/>
      <c r="M183" s="184"/>
      <c r="N183" s="462"/>
      <c r="O183" s="46"/>
      <c r="P183" s="184"/>
      <c r="Q183" s="462"/>
      <c r="R183" s="51"/>
      <c r="S183" s="32"/>
      <c r="T183" s="462"/>
      <c r="U183" s="462"/>
      <c r="V183" s="139" t="s">
        <v>417</v>
      </c>
      <c r="W183" s="118"/>
      <c r="X183" s="575">
        <f>SUM(X184:X188)</f>
        <v>18969000</v>
      </c>
      <c r="Y183" s="400" t="s">
        <v>25</v>
      </c>
      <c r="Z183" s="419"/>
    </row>
    <row r="184" spans="1:39" ht="21" customHeight="1">
      <c r="A184" s="25"/>
      <c r="B184" s="26"/>
      <c r="C184" s="26"/>
      <c r="D184" s="26"/>
      <c r="E184" s="28"/>
      <c r="F184" s="28"/>
      <c r="G184" s="29"/>
      <c r="H184" s="43"/>
      <c r="I184" s="173" t="s">
        <v>608</v>
      </c>
      <c r="J184" s="41"/>
      <c r="K184" s="125"/>
      <c r="L184" s="125"/>
      <c r="M184" s="259">
        <v>5839000</v>
      </c>
      <c r="N184" s="42" t="s">
        <v>358</v>
      </c>
      <c r="O184" s="42" t="s">
        <v>361</v>
      </c>
      <c r="P184" s="49">
        <v>0.7</v>
      </c>
      <c r="Q184" s="385"/>
      <c r="R184" s="42"/>
      <c r="S184" s="258"/>
      <c r="T184" s="42"/>
      <c r="U184" s="42" t="s">
        <v>362</v>
      </c>
      <c r="V184" s="184"/>
      <c r="W184" s="462"/>
      <c r="X184" s="586">
        <f>ROUND(M184*P184,-3)</f>
        <v>4087000</v>
      </c>
      <c r="Y184" s="398" t="s">
        <v>358</v>
      </c>
      <c r="Z184" s="419"/>
    </row>
    <row r="185" spans="1:39" ht="21" customHeight="1">
      <c r="A185" s="25"/>
      <c r="B185" s="26"/>
      <c r="C185" s="26"/>
      <c r="D185" s="26"/>
      <c r="E185" s="28"/>
      <c r="F185" s="28"/>
      <c r="G185" s="29"/>
      <c r="H185" s="43"/>
      <c r="I185" s="173" t="s">
        <v>678</v>
      </c>
      <c r="J185" s="41"/>
      <c r="K185" s="125"/>
      <c r="L185" s="125"/>
      <c r="M185" s="259">
        <v>18964840</v>
      </c>
      <c r="N185" s="42" t="s">
        <v>358</v>
      </c>
      <c r="O185" s="42" t="s">
        <v>361</v>
      </c>
      <c r="P185" s="49">
        <v>0.5</v>
      </c>
      <c r="Q185" s="385"/>
      <c r="R185" s="42"/>
      <c r="S185" s="258"/>
      <c r="T185" s="42"/>
      <c r="U185" s="42" t="s">
        <v>362</v>
      </c>
      <c r="V185" s="184"/>
      <c r="W185" s="462"/>
      <c r="X185" s="586">
        <f>ROUNDDOWN(M185*P185,-3)</f>
        <v>9482000</v>
      </c>
      <c r="Y185" s="398" t="s">
        <v>358</v>
      </c>
      <c r="Z185" s="419"/>
    </row>
    <row r="186" spans="1:39" ht="21" customHeight="1">
      <c r="A186" s="25"/>
      <c r="B186" s="26"/>
      <c r="C186" s="26"/>
      <c r="D186" s="26"/>
      <c r="E186" s="28"/>
      <c r="F186" s="28"/>
      <c r="G186" s="29"/>
      <c r="H186" s="43"/>
      <c r="I186" s="177" t="s">
        <v>679</v>
      </c>
      <c r="J186" s="338"/>
      <c r="K186" s="337"/>
      <c r="L186" s="337"/>
      <c r="M186" s="284">
        <v>300000</v>
      </c>
      <c r="N186" s="228" t="s">
        <v>358</v>
      </c>
      <c r="O186" s="228" t="s">
        <v>296</v>
      </c>
      <c r="P186" s="285">
        <v>18</v>
      </c>
      <c r="Q186" s="386"/>
      <c r="R186" s="228"/>
      <c r="S186" s="286"/>
      <c r="T186" s="228"/>
      <c r="U186" s="228" t="s">
        <v>53</v>
      </c>
      <c r="V186" s="337"/>
      <c r="W186" s="339"/>
      <c r="X186" s="598">
        <f>ROUND(M186*P186,-3)</f>
        <v>5400000</v>
      </c>
      <c r="Y186" s="392" t="s">
        <v>358</v>
      </c>
      <c r="Z186" s="419"/>
    </row>
    <row r="187" spans="1:39" ht="21" customHeight="1">
      <c r="A187" s="25"/>
      <c r="B187" s="26"/>
      <c r="C187" s="26"/>
      <c r="D187" s="26"/>
      <c r="E187" s="28"/>
      <c r="F187" s="28"/>
      <c r="G187" s="29"/>
      <c r="H187" s="43"/>
      <c r="I187" s="177"/>
      <c r="J187" s="338"/>
      <c r="K187" s="337"/>
      <c r="L187" s="337"/>
      <c r="M187" s="284"/>
      <c r="N187" s="228"/>
      <c r="O187" s="228"/>
      <c r="P187" s="285"/>
      <c r="Q187" s="386"/>
      <c r="R187" s="228"/>
      <c r="S187" s="286"/>
      <c r="T187" s="228"/>
      <c r="U187" s="228" t="s">
        <v>362</v>
      </c>
      <c r="V187" s="337"/>
      <c r="W187" s="339"/>
      <c r="X187" s="598">
        <f>ROUND(M187*P187,-3)</f>
        <v>0</v>
      </c>
      <c r="Y187" s="392" t="s">
        <v>358</v>
      </c>
      <c r="Z187" s="419"/>
    </row>
    <row r="188" spans="1:39" ht="21" customHeight="1">
      <c r="A188" s="25"/>
      <c r="B188" s="26"/>
      <c r="C188" s="26"/>
      <c r="D188" s="26"/>
      <c r="E188" s="28"/>
      <c r="F188" s="28"/>
      <c r="G188" s="29"/>
      <c r="H188" s="43"/>
      <c r="I188" s="177"/>
      <c r="J188" s="338"/>
      <c r="K188" s="337"/>
      <c r="L188" s="337"/>
      <c r="M188" s="337"/>
      <c r="N188" s="339"/>
      <c r="O188" s="226"/>
      <c r="P188" s="320"/>
      <c r="Q188" s="226"/>
      <c r="R188" s="226"/>
      <c r="S188" s="321"/>
      <c r="T188" s="451"/>
      <c r="U188" s="228" t="s">
        <v>53</v>
      </c>
      <c r="V188" s="337"/>
      <c r="W188" s="339"/>
      <c r="X188" s="599">
        <v>0</v>
      </c>
      <c r="Y188" s="392" t="s">
        <v>358</v>
      </c>
      <c r="Z188" s="419"/>
    </row>
    <row r="189" spans="1:39" ht="21" customHeight="1">
      <c r="A189" s="25"/>
      <c r="B189" s="26"/>
      <c r="C189" s="18" t="s">
        <v>421</v>
      </c>
      <c r="D189" s="250" t="s">
        <v>382</v>
      </c>
      <c r="E189" s="134">
        <f>E190</f>
        <v>0</v>
      </c>
      <c r="F189" s="134">
        <f>F190</f>
        <v>0</v>
      </c>
      <c r="G189" s="135">
        <f>F189-E189</f>
        <v>0</v>
      </c>
      <c r="H189" s="136">
        <f>IF(E189=0,0,G189/E189)</f>
        <v>0</v>
      </c>
      <c r="I189" s="121" t="s">
        <v>420</v>
      </c>
      <c r="J189" s="122"/>
      <c r="K189" s="123"/>
      <c r="L189" s="123"/>
      <c r="M189" s="123"/>
      <c r="N189" s="469"/>
      <c r="O189" s="469"/>
      <c r="P189" s="124"/>
      <c r="Q189" s="425"/>
      <c r="R189" s="425"/>
      <c r="S189" s="124"/>
      <c r="T189" s="425"/>
      <c r="U189" s="425"/>
      <c r="V189" s="148" t="s">
        <v>357</v>
      </c>
      <c r="W189" s="487"/>
      <c r="X189" s="577">
        <f>SUM(X190:X190)</f>
        <v>0</v>
      </c>
      <c r="Y189" s="396" t="s">
        <v>358</v>
      </c>
      <c r="Z189" s="419"/>
    </row>
    <row r="190" spans="1:39" ht="21" customHeight="1">
      <c r="A190" s="25"/>
      <c r="B190" s="26"/>
      <c r="C190" s="26" t="s">
        <v>384</v>
      </c>
      <c r="D190" s="26" t="s">
        <v>422</v>
      </c>
      <c r="E190" s="28">
        <v>0</v>
      </c>
      <c r="F190" s="28">
        <f>ROUND(X190/1000,0)</f>
        <v>0</v>
      </c>
      <c r="G190" s="169">
        <f>F190-E190</f>
        <v>0</v>
      </c>
      <c r="H190" s="103">
        <f>IF(E190=0,0,G190/E190)</f>
        <v>0</v>
      </c>
      <c r="I190" s="177"/>
      <c r="J190" s="338"/>
      <c r="K190" s="337"/>
      <c r="L190" s="337"/>
      <c r="M190" s="337"/>
      <c r="N190" s="339"/>
      <c r="O190" s="226"/>
      <c r="P190" s="228"/>
      <c r="Q190" s="226"/>
      <c r="R190" s="229"/>
      <c r="S190" s="48"/>
      <c r="T190" s="451"/>
      <c r="U190" s="339" t="s">
        <v>362</v>
      </c>
      <c r="V190" s="337"/>
      <c r="W190" s="339"/>
      <c r="X190" s="585">
        <v>0</v>
      </c>
      <c r="Y190" s="392" t="s">
        <v>358</v>
      </c>
      <c r="Z190" s="419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</row>
    <row r="191" spans="1:39" s="7" customFormat="1" ht="19.5" customHeight="1">
      <c r="A191" s="166"/>
      <c r="B191" s="53"/>
      <c r="C191" s="53"/>
      <c r="D191" s="34"/>
      <c r="E191" s="36"/>
      <c r="F191" s="36"/>
      <c r="G191" s="37"/>
      <c r="H191" s="54"/>
      <c r="I191" s="44"/>
      <c r="J191" s="139"/>
      <c r="K191" s="55"/>
      <c r="L191" s="55"/>
      <c r="M191" s="56"/>
      <c r="N191" s="118"/>
      <c r="O191" s="55"/>
      <c r="P191" s="139"/>
      <c r="Q191" s="118"/>
      <c r="R191" s="118"/>
      <c r="S191" s="139"/>
      <c r="T191" s="118"/>
      <c r="U191" s="118"/>
      <c r="V191" s="139"/>
      <c r="W191" s="118"/>
      <c r="X191" s="575"/>
      <c r="Y191" s="400"/>
      <c r="Z191" s="419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ht="21" customHeight="1">
      <c r="A192" s="17" t="s">
        <v>423</v>
      </c>
      <c r="B192" s="18" t="s">
        <v>30</v>
      </c>
      <c r="C192" s="764" t="s">
        <v>424</v>
      </c>
      <c r="D192" s="765"/>
      <c r="E192" s="155">
        <f>SUM(E193,E207)</f>
        <v>147095</v>
      </c>
      <c r="F192" s="155">
        <f>SUM(F193,F207)</f>
        <v>242359</v>
      </c>
      <c r="G192" s="156">
        <f>F192-E192</f>
        <v>95264</v>
      </c>
      <c r="H192" s="157">
        <f>IF(E192=0,0,G192/E192)</f>
        <v>0.64763588157313301</v>
      </c>
      <c r="I192" s="158" t="s">
        <v>425</v>
      </c>
      <c r="J192" s="159"/>
      <c r="K192" s="160"/>
      <c r="L192" s="160"/>
      <c r="M192" s="159"/>
      <c r="N192" s="424"/>
      <c r="O192" s="424"/>
      <c r="P192" s="159"/>
      <c r="Q192" s="424" t="s">
        <v>426</v>
      </c>
      <c r="R192" s="160"/>
      <c r="S192" s="161"/>
      <c r="T192" s="160"/>
      <c r="U192" s="160"/>
      <c r="V192" s="161"/>
      <c r="W192" s="160"/>
      <c r="X192" s="581">
        <f>X193+X207</f>
        <v>242359000</v>
      </c>
      <c r="Y192" s="395" t="s">
        <v>25</v>
      </c>
      <c r="Z192" s="419"/>
    </row>
    <row r="193" spans="1:26" ht="21" customHeight="1">
      <c r="A193" s="25" t="s">
        <v>427</v>
      </c>
      <c r="B193" s="26" t="s">
        <v>427</v>
      </c>
      <c r="C193" s="18" t="s">
        <v>428</v>
      </c>
      <c r="D193" s="250" t="s">
        <v>382</v>
      </c>
      <c r="E193" s="134">
        <f>E194+E203</f>
        <v>68585</v>
      </c>
      <c r="F193" s="134">
        <f>F194+F203</f>
        <v>163849</v>
      </c>
      <c r="G193" s="135">
        <f>F193-E193</f>
        <v>95264</v>
      </c>
      <c r="H193" s="136">
        <f>IF(E193=0,0,G193/E193)</f>
        <v>1.3889917620470948</v>
      </c>
      <c r="I193" s="121" t="s">
        <v>429</v>
      </c>
      <c r="J193" s="122"/>
      <c r="K193" s="123"/>
      <c r="L193" s="123"/>
      <c r="M193" s="123"/>
      <c r="N193" s="469"/>
      <c r="O193" s="469"/>
      <c r="P193" s="124"/>
      <c r="Q193" s="425"/>
      <c r="R193" s="425"/>
      <c r="S193" s="124"/>
      <c r="T193" s="425"/>
      <c r="U193" s="425"/>
      <c r="V193" s="148" t="s">
        <v>357</v>
      </c>
      <c r="W193" s="487"/>
      <c r="X193" s="578">
        <f>SUM(X194,X203)</f>
        <v>163849000</v>
      </c>
      <c r="Y193" s="396" t="s">
        <v>358</v>
      </c>
      <c r="Z193" s="419"/>
    </row>
    <row r="194" spans="1:26" ht="21.75" customHeight="1">
      <c r="A194" s="25"/>
      <c r="B194" s="26"/>
      <c r="C194" s="26" t="s">
        <v>423</v>
      </c>
      <c r="D194" s="18" t="s">
        <v>430</v>
      </c>
      <c r="E194" s="19">
        <v>67265</v>
      </c>
      <c r="F194" s="28">
        <f>ROUND(X194/1000,0)</f>
        <v>162529</v>
      </c>
      <c r="G194" s="169">
        <f>F194-E194</f>
        <v>95264</v>
      </c>
      <c r="H194" s="103">
        <f>IF(E194=0,0,G194/E194)</f>
        <v>1.4162491637552963</v>
      </c>
      <c r="I194" s="84" t="s">
        <v>431</v>
      </c>
      <c r="J194" s="92"/>
      <c r="K194" s="58"/>
      <c r="L194" s="58"/>
      <c r="M194" s="58"/>
      <c r="N194" s="463"/>
      <c r="O194" s="463"/>
      <c r="P194" s="58"/>
      <c r="Q194" s="463"/>
      <c r="R194" s="463"/>
      <c r="S194" s="58"/>
      <c r="T194" s="463"/>
      <c r="U194" s="463"/>
      <c r="V194" s="761" t="s">
        <v>357</v>
      </c>
      <c r="W194" s="761"/>
      <c r="X194" s="574">
        <f>SUM(X195:X202)</f>
        <v>162529000</v>
      </c>
      <c r="Y194" s="397" t="s">
        <v>358</v>
      </c>
      <c r="Z194" s="419"/>
    </row>
    <row r="195" spans="1:26" ht="18" customHeight="1">
      <c r="A195" s="25"/>
      <c r="B195" s="26"/>
      <c r="C195" s="26"/>
      <c r="D195" s="26"/>
      <c r="E195" s="28"/>
      <c r="F195" s="28"/>
      <c r="G195" s="29"/>
      <c r="H195" s="16"/>
      <c r="I195" s="177" t="s">
        <v>573</v>
      </c>
      <c r="J195" s="338"/>
      <c r="K195" s="337"/>
      <c r="L195" s="337"/>
      <c r="M195" s="184">
        <v>600000</v>
      </c>
      <c r="N195" s="462" t="s">
        <v>55</v>
      </c>
      <c r="O195" s="46" t="s">
        <v>56</v>
      </c>
      <c r="P195" s="42">
        <v>12</v>
      </c>
      <c r="Q195" s="46" t="s">
        <v>0</v>
      </c>
      <c r="R195" s="51"/>
      <c r="S195" s="48"/>
      <c r="T195" s="451"/>
      <c r="U195" s="462" t="s">
        <v>362</v>
      </c>
      <c r="V195" s="184"/>
      <c r="W195" s="462"/>
      <c r="X195" s="599">
        <f>M195*P195</f>
        <v>7200000</v>
      </c>
      <c r="Y195" s="398" t="s">
        <v>55</v>
      </c>
      <c r="Z195" s="419"/>
    </row>
    <row r="196" spans="1:26" ht="18" customHeight="1">
      <c r="A196" s="25"/>
      <c r="B196" s="26"/>
      <c r="C196" s="26"/>
      <c r="D196" s="26"/>
      <c r="E196" s="28"/>
      <c r="F196" s="28"/>
      <c r="G196" s="29"/>
      <c r="H196" s="16"/>
      <c r="I196" s="177" t="s">
        <v>574</v>
      </c>
      <c r="J196" s="338"/>
      <c r="K196" s="337"/>
      <c r="L196" s="337"/>
      <c r="M196" s="184"/>
      <c r="N196" s="462"/>
      <c r="O196" s="46"/>
      <c r="P196" s="42"/>
      <c r="Q196" s="46"/>
      <c r="R196" s="51"/>
      <c r="S196" s="48"/>
      <c r="T196" s="451"/>
      <c r="U196" s="462"/>
      <c r="V196" s="184"/>
      <c r="W196" s="462"/>
      <c r="X196" s="599">
        <v>5000000</v>
      </c>
      <c r="Y196" s="398" t="s">
        <v>570</v>
      </c>
      <c r="Z196" s="419"/>
    </row>
    <row r="197" spans="1:26" ht="18" customHeight="1">
      <c r="A197" s="25"/>
      <c r="B197" s="26"/>
      <c r="C197" s="26"/>
      <c r="D197" s="26"/>
      <c r="E197" s="28"/>
      <c r="F197" s="28"/>
      <c r="G197" s="29"/>
      <c r="H197" s="16"/>
      <c r="I197" s="177" t="s">
        <v>575</v>
      </c>
      <c r="J197" s="338"/>
      <c r="K197" s="337"/>
      <c r="L197" s="337"/>
      <c r="M197" s="184"/>
      <c r="N197" s="462"/>
      <c r="O197" s="46"/>
      <c r="P197" s="42"/>
      <c r="Q197" s="46"/>
      <c r="R197" s="51"/>
      <c r="S197" s="48"/>
      <c r="T197" s="451"/>
      <c r="U197" s="462"/>
      <c r="V197" s="184"/>
      <c r="W197" s="462"/>
      <c r="X197" s="599">
        <v>3055000</v>
      </c>
      <c r="Y197" s="398" t="s">
        <v>570</v>
      </c>
      <c r="Z197" s="419"/>
    </row>
    <row r="198" spans="1:26" ht="18" customHeight="1">
      <c r="A198" s="25"/>
      <c r="B198" s="26"/>
      <c r="C198" s="26"/>
      <c r="D198" s="26"/>
      <c r="E198" s="28"/>
      <c r="F198" s="28"/>
      <c r="G198" s="29"/>
      <c r="H198" s="16"/>
      <c r="I198" s="177" t="s">
        <v>854</v>
      </c>
      <c r="J198" s="338"/>
      <c r="K198" s="337"/>
      <c r="L198" s="337"/>
      <c r="M198" s="337"/>
      <c r="N198" s="339"/>
      <c r="O198" s="226"/>
      <c r="P198" s="228"/>
      <c r="Q198" s="226"/>
      <c r="R198" s="229"/>
      <c r="S198" s="48"/>
      <c r="T198" s="451"/>
      <c r="U198" s="339"/>
      <c r="V198" s="337"/>
      <c r="W198" s="339"/>
      <c r="X198" s="599">
        <v>145264000</v>
      </c>
      <c r="Y198" s="392" t="s">
        <v>55</v>
      </c>
      <c r="Z198" s="419"/>
    </row>
    <row r="199" spans="1:26" ht="18" customHeight="1">
      <c r="A199" s="25"/>
      <c r="B199" s="26"/>
      <c r="C199" s="26"/>
      <c r="D199" s="26"/>
      <c r="E199" s="28"/>
      <c r="F199" s="28"/>
      <c r="G199" s="29"/>
      <c r="H199" s="16"/>
      <c r="I199" s="177" t="s">
        <v>789</v>
      </c>
      <c r="J199" s="338"/>
      <c r="K199" s="337"/>
      <c r="L199" s="337"/>
      <c r="M199" s="337"/>
      <c r="N199" s="339"/>
      <c r="O199" s="226"/>
      <c r="P199" s="228"/>
      <c r="Q199" s="226"/>
      <c r="R199" s="229"/>
      <c r="S199" s="48"/>
      <c r="T199" s="451"/>
      <c r="U199" s="339"/>
      <c r="V199" s="337"/>
      <c r="W199" s="339"/>
      <c r="X199" s="599">
        <v>1980000</v>
      </c>
      <c r="Y199" s="392" t="s">
        <v>790</v>
      </c>
      <c r="Z199" s="419"/>
    </row>
    <row r="200" spans="1:26" ht="18" customHeight="1">
      <c r="A200" s="25"/>
      <c r="B200" s="26"/>
      <c r="C200" s="26"/>
      <c r="D200" s="26"/>
      <c r="E200" s="28"/>
      <c r="F200" s="28"/>
      <c r="G200" s="29"/>
      <c r="H200" s="16"/>
      <c r="I200" s="177" t="s">
        <v>771</v>
      </c>
      <c r="J200" s="338"/>
      <c r="K200" s="337"/>
      <c r="L200" s="337"/>
      <c r="M200" s="337"/>
      <c r="N200" s="339"/>
      <c r="O200" s="226"/>
      <c r="P200" s="228"/>
      <c r="Q200" s="226"/>
      <c r="R200" s="229"/>
      <c r="S200" s="48"/>
      <c r="T200" s="451"/>
      <c r="U200" s="339"/>
      <c r="V200" s="337"/>
      <c r="W200" s="339"/>
      <c r="X200" s="599">
        <v>30000</v>
      </c>
      <c r="Y200" s="392" t="s">
        <v>55</v>
      </c>
      <c r="Z200" s="419"/>
    </row>
    <row r="201" spans="1:26" ht="18" customHeight="1">
      <c r="A201" s="25"/>
      <c r="B201" s="26"/>
      <c r="C201" s="26"/>
      <c r="D201" s="26"/>
      <c r="E201" s="28"/>
      <c r="F201" s="28"/>
      <c r="G201" s="29"/>
      <c r="H201" s="16"/>
      <c r="I201" s="177"/>
      <c r="J201" s="338"/>
      <c r="K201" s="337"/>
      <c r="L201" s="337"/>
      <c r="M201" s="337"/>
      <c r="N201" s="339"/>
      <c r="O201" s="226"/>
      <c r="P201" s="228"/>
      <c r="Q201" s="226"/>
      <c r="R201" s="229"/>
      <c r="S201" s="48"/>
      <c r="T201" s="451"/>
      <c r="U201" s="339"/>
      <c r="V201" s="337"/>
      <c r="W201" s="339"/>
      <c r="X201" s="599"/>
      <c r="Y201" s="392"/>
      <c r="Z201" s="419"/>
    </row>
    <row r="202" spans="1:26" ht="18" customHeight="1">
      <c r="A202" s="25"/>
      <c r="B202" s="26"/>
      <c r="C202" s="26"/>
      <c r="D202" s="26"/>
      <c r="E202" s="28"/>
      <c r="F202" s="36"/>
      <c r="G202" s="29"/>
      <c r="H202" s="16"/>
      <c r="I202" s="177"/>
      <c r="J202" s="338"/>
      <c r="K202" s="337"/>
      <c r="L202" s="337"/>
      <c r="M202" s="337"/>
      <c r="N202" s="339"/>
      <c r="O202" s="226"/>
      <c r="P202" s="228"/>
      <c r="Q202" s="226"/>
      <c r="R202" s="229"/>
      <c r="S202" s="48"/>
      <c r="T202" s="451"/>
      <c r="U202" s="339"/>
      <c r="V202" s="337"/>
      <c r="W202" s="339"/>
      <c r="X202" s="599"/>
      <c r="Y202" s="392"/>
      <c r="Z202" s="419"/>
    </row>
    <row r="203" spans="1:26" ht="18" customHeight="1">
      <c r="A203" s="25"/>
      <c r="B203" s="26"/>
      <c r="C203" s="26"/>
      <c r="D203" s="18" t="s">
        <v>432</v>
      </c>
      <c r="E203" s="19">
        <v>1320</v>
      </c>
      <c r="F203" s="19">
        <f>ROUND(X203/1000,0)</f>
        <v>1320</v>
      </c>
      <c r="G203" s="20">
        <f>F203-E203</f>
        <v>0</v>
      </c>
      <c r="H203" s="21">
        <f>IF(E203=0,0,G203/E203)</f>
        <v>0</v>
      </c>
      <c r="I203" s="84" t="s">
        <v>431</v>
      </c>
      <c r="J203" s="92"/>
      <c r="K203" s="58"/>
      <c r="L203" s="58"/>
      <c r="M203" s="58"/>
      <c r="N203" s="463"/>
      <c r="O203" s="463"/>
      <c r="P203" s="58"/>
      <c r="Q203" s="463"/>
      <c r="R203" s="463"/>
      <c r="S203" s="58"/>
      <c r="T203" s="463"/>
      <c r="U203" s="463"/>
      <c r="V203" s="761" t="s">
        <v>357</v>
      </c>
      <c r="W203" s="761"/>
      <c r="X203" s="574">
        <f>SUM(X204:X206)</f>
        <v>1320000</v>
      </c>
      <c r="Y203" s="397" t="s">
        <v>358</v>
      </c>
      <c r="Z203" s="419"/>
    </row>
    <row r="204" spans="1:26" ht="18" customHeight="1">
      <c r="A204" s="25"/>
      <c r="B204" s="26"/>
      <c r="C204" s="26"/>
      <c r="D204" s="26"/>
      <c r="E204" s="28"/>
      <c r="F204" s="28"/>
      <c r="G204" s="29"/>
      <c r="H204" s="16"/>
      <c r="I204" s="40" t="s">
        <v>433</v>
      </c>
      <c r="J204" s="185"/>
      <c r="K204" s="184"/>
      <c r="L204" s="184"/>
      <c r="M204" s="337">
        <v>90000</v>
      </c>
      <c r="N204" s="339" t="s">
        <v>358</v>
      </c>
      <c r="O204" s="226" t="s">
        <v>361</v>
      </c>
      <c r="P204" s="228">
        <v>12</v>
      </c>
      <c r="Q204" s="226" t="s">
        <v>360</v>
      </c>
      <c r="R204" s="229"/>
      <c r="S204" s="48"/>
      <c r="T204" s="451"/>
      <c r="U204" s="339" t="s">
        <v>362</v>
      </c>
      <c r="V204" s="337"/>
      <c r="W204" s="339"/>
      <c r="X204" s="599">
        <f>M204*P204</f>
        <v>1080000</v>
      </c>
      <c r="Y204" s="392" t="s">
        <v>358</v>
      </c>
      <c r="Z204" s="419"/>
    </row>
    <row r="205" spans="1:26" ht="18" customHeight="1">
      <c r="A205" s="25"/>
      <c r="B205" s="26"/>
      <c r="C205" s="26"/>
      <c r="D205" s="26"/>
      <c r="E205" s="28"/>
      <c r="F205" s="28"/>
      <c r="G205" s="29"/>
      <c r="H205" s="16"/>
      <c r="I205" s="40" t="s">
        <v>434</v>
      </c>
      <c r="J205" s="185"/>
      <c r="K205" s="184"/>
      <c r="L205" s="184"/>
      <c r="M205" s="337">
        <v>20000</v>
      </c>
      <c r="N205" s="339" t="s">
        <v>358</v>
      </c>
      <c r="O205" s="226" t="s">
        <v>361</v>
      </c>
      <c r="P205" s="228">
        <v>12</v>
      </c>
      <c r="Q205" s="226" t="s">
        <v>360</v>
      </c>
      <c r="R205" s="229"/>
      <c r="S205" s="48"/>
      <c r="T205" s="451"/>
      <c r="U205" s="339" t="s">
        <v>362</v>
      </c>
      <c r="V205" s="337"/>
      <c r="W205" s="339"/>
      <c r="X205" s="599">
        <f>M205*P205</f>
        <v>240000</v>
      </c>
      <c r="Y205" s="392" t="s">
        <v>358</v>
      </c>
      <c r="Z205" s="419"/>
    </row>
    <row r="206" spans="1:26" ht="25.5" customHeight="1">
      <c r="A206" s="25"/>
      <c r="B206" s="26"/>
      <c r="C206" s="34"/>
      <c r="D206" s="34"/>
      <c r="E206" s="36"/>
      <c r="F206" s="36"/>
      <c r="G206" s="37"/>
      <c r="H206" s="120"/>
      <c r="I206" s="177"/>
      <c r="J206" s="338"/>
      <c r="K206" s="337"/>
      <c r="L206" s="337"/>
      <c r="M206" s="337"/>
      <c r="N206" s="339"/>
      <c r="O206" s="226"/>
      <c r="P206" s="228"/>
      <c r="Q206" s="226"/>
      <c r="R206" s="229"/>
      <c r="S206" s="48"/>
      <c r="T206" s="451"/>
      <c r="U206" s="339"/>
      <c r="V206" s="337"/>
      <c r="W206" s="339"/>
      <c r="X206" s="599"/>
      <c r="Y206" s="392" t="s">
        <v>358</v>
      </c>
      <c r="Z206" s="419"/>
    </row>
    <row r="207" spans="1:26" ht="21" customHeight="1">
      <c r="A207" s="25"/>
      <c r="B207" s="26"/>
      <c r="C207" s="26" t="s">
        <v>435</v>
      </c>
      <c r="D207" s="250" t="s">
        <v>382</v>
      </c>
      <c r="E207" s="134">
        <f>E208</f>
        <v>78510</v>
      </c>
      <c r="F207" s="134">
        <f>F208</f>
        <v>78510</v>
      </c>
      <c r="G207" s="135">
        <f>F207-E207</f>
        <v>0</v>
      </c>
      <c r="H207" s="136">
        <f>IF(E207=0,0,G207/E207)</f>
        <v>0</v>
      </c>
      <c r="I207" s="121" t="s">
        <v>436</v>
      </c>
      <c r="J207" s="122"/>
      <c r="K207" s="123"/>
      <c r="L207" s="123"/>
      <c r="M207" s="123"/>
      <c r="N207" s="469"/>
      <c r="O207" s="469"/>
      <c r="P207" s="124"/>
      <c r="Q207" s="425"/>
      <c r="R207" s="425"/>
      <c r="S207" s="124"/>
      <c r="T207" s="425"/>
      <c r="U207" s="425"/>
      <c r="V207" s="148" t="s">
        <v>357</v>
      </c>
      <c r="W207" s="487"/>
      <c r="X207" s="577">
        <f>X208</f>
        <v>78510000</v>
      </c>
      <c r="Y207" s="396" t="s">
        <v>358</v>
      </c>
      <c r="Z207" s="419"/>
    </row>
    <row r="208" spans="1:26" ht="21" customHeight="1">
      <c r="A208" s="25"/>
      <c r="B208" s="26"/>
      <c r="C208" s="26" t="s">
        <v>423</v>
      </c>
      <c r="D208" s="26" t="s">
        <v>437</v>
      </c>
      <c r="E208" s="28">
        <v>78510</v>
      </c>
      <c r="F208" s="28">
        <f>ROUND(X208/1000,0)</f>
        <v>78510</v>
      </c>
      <c r="G208" s="169">
        <f>F208-E208</f>
        <v>0</v>
      </c>
      <c r="H208" s="103">
        <f>IF(E208=0,0,G208/E208)</f>
        <v>0</v>
      </c>
      <c r="I208" s="84" t="s">
        <v>438</v>
      </c>
      <c r="J208" s="92"/>
      <c r="K208" s="58"/>
      <c r="L208" s="58"/>
      <c r="M208" s="58"/>
      <c r="N208" s="463"/>
      <c r="O208" s="463"/>
      <c r="P208" s="58"/>
      <c r="Q208" s="463"/>
      <c r="R208" s="463"/>
      <c r="S208" s="58"/>
      <c r="T208" s="463"/>
      <c r="U208" s="463"/>
      <c r="V208" s="761" t="s">
        <v>357</v>
      </c>
      <c r="W208" s="761"/>
      <c r="X208" s="574">
        <f>SUM(X209:X210)</f>
        <v>78510000</v>
      </c>
      <c r="Y208" s="397" t="s">
        <v>358</v>
      </c>
      <c r="Z208" s="419"/>
    </row>
    <row r="209" spans="1:26" ht="21" customHeight="1">
      <c r="A209" s="25"/>
      <c r="B209" s="26"/>
      <c r="C209" s="26"/>
      <c r="D209" s="26"/>
      <c r="E209" s="28"/>
      <c r="F209" s="28"/>
      <c r="G209" s="167"/>
      <c r="H209" s="168"/>
      <c r="I209" s="177" t="s">
        <v>439</v>
      </c>
      <c r="J209" s="338" t="s">
        <v>435</v>
      </c>
      <c r="K209" s="337"/>
      <c r="L209" s="337"/>
      <c r="M209" s="337">
        <v>6540000</v>
      </c>
      <c r="N209" s="339" t="s">
        <v>358</v>
      </c>
      <c r="O209" s="226" t="s">
        <v>361</v>
      </c>
      <c r="P209" s="228">
        <v>12</v>
      </c>
      <c r="Q209" s="226" t="s">
        <v>360</v>
      </c>
      <c r="R209" s="229"/>
      <c r="S209" s="48"/>
      <c r="T209" s="451"/>
      <c r="U209" s="339" t="s">
        <v>362</v>
      </c>
      <c r="V209" s="337"/>
      <c r="W209" s="339"/>
      <c r="X209" s="599">
        <f>M209*P209</f>
        <v>78480000</v>
      </c>
      <c r="Y209" s="392" t="s">
        <v>358</v>
      </c>
      <c r="Z209" s="419"/>
    </row>
    <row r="210" spans="1:26" ht="21" customHeight="1">
      <c r="A210" s="25"/>
      <c r="B210" s="26"/>
      <c r="C210" s="26"/>
      <c r="D210" s="26"/>
      <c r="E210" s="28"/>
      <c r="F210" s="28"/>
      <c r="G210" s="167"/>
      <c r="H210" s="168"/>
      <c r="I210" s="177" t="s">
        <v>772</v>
      </c>
      <c r="J210" s="338"/>
      <c r="K210" s="337"/>
      <c r="L210" s="337"/>
      <c r="M210" s="337"/>
      <c r="N210" s="339"/>
      <c r="O210" s="226"/>
      <c r="P210" s="228"/>
      <c r="Q210" s="226"/>
      <c r="R210" s="229"/>
      <c r="S210" s="48"/>
      <c r="T210" s="451"/>
      <c r="U210" s="339"/>
      <c r="V210" s="337"/>
      <c r="W210" s="339"/>
      <c r="X210" s="599">
        <v>30000</v>
      </c>
      <c r="Y210" s="392" t="s">
        <v>55</v>
      </c>
      <c r="Z210" s="419"/>
    </row>
    <row r="211" spans="1:26" ht="21" customHeight="1">
      <c r="A211" s="33"/>
      <c r="B211" s="34"/>
      <c r="C211" s="34"/>
      <c r="D211" s="34"/>
      <c r="E211" s="36"/>
      <c r="F211" s="36"/>
      <c r="G211" s="37"/>
      <c r="H211" s="120"/>
      <c r="I211" s="44"/>
      <c r="J211" s="217"/>
      <c r="K211" s="139"/>
      <c r="L211" s="139"/>
      <c r="M211" s="139"/>
      <c r="N211" s="118"/>
      <c r="O211" s="127"/>
      <c r="P211" s="128"/>
      <c r="Q211" s="127"/>
      <c r="R211" s="129"/>
      <c r="S211" s="130"/>
      <c r="T211" s="479"/>
      <c r="U211" s="118"/>
      <c r="V211" s="139"/>
      <c r="W211" s="118"/>
      <c r="X211" s="571"/>
      <c r="Y211" s="400"/>
      <c r="Z211" s="419"/>
    </row>
    <row r="212" spans="1:26" ht="21" hidden="1" customHeight="1">
      <c r="A212" s="17" t="s">
        <v>440</v>
      </c>
      <c r="B212" s="18" t="s">
        <v>440</v>
      </c>
      <c r="C212" s="764" t="s">
        <v>424</v>
      </c>
      <c r="D212" s="765"/>
      <c r="E212" s="155">
        <f>E213+E216</f>
        <v>0</v>
      </c>
      <c r="F212" s="155">
        <f>F213+F216</f>
        <v>0</v>
      </c>
      <c r="G212" s="156">
        <f>F212-E212</f>
        <v>0</v>
      </c>
      <c r="H212" s="157">
        <f>IF(E212=0,0,G212/E212)</f>
        <v>0</v>
      </c>
      <c r="I212" s="158" t="s">
        <v>441</v>
      </c>
      <c r="J212" s="159"/>
      <c r="K212" s="160"/>
      <c r="L212" s="160"/>
      <c r="M212" s="159"/>
      <c r="N212" s="424"/>
      <c r="O212" s="424"/>
      <c r="P212" s="159"/>
      <c r="Q212" s="424" t="s">
        <v>426</v>
      </c>
      <c r="R212" s="160"/>
      <c r="S212" s="161"/>
      <c r="T212" s="160"/>
      <c r="U212" s="160"/>
      <c r="V212" s="161"/>
      <c r="W212" s="160"/>
      <c r="X212" s="581">
        <f>X213+X216</f>
        <v>0</v>
      </c>
      <c r="Y212" s="395" t="s">
        <v>25</v>
      </c>
      <c r="Z212" s="419"/>
    </row>
    <row r="213" spans="1:26" ht="21" hidden="1" customHeight="1">
      <c r="A213" s="25"/>
      <c r="B213" s="26"/>
      <c r="C213" s="18" t="s">
        <v>442</v>
      </c>
      <c r="D213" s="250" t="s">
        <v>382</v>
      </c>
      <c r="E213" s="134">
        <f>E214</f>
        <v>0</v>
      </c>
      <c r="F213" s="134">
        <f>F214</f>
        <v>0</v>
      </c>
      <c r="G213" s="135">
        <f>F213-E213</f>
        <v>0</v>
      </c>
      <c r="H213" s="136">
        <f>IF(E213=0,0,G213/E213)</f>
        <v>0</v>
      </c>
      <c r="I213" s="121" t="s">
        <v>443</v>
      </c>
      <c r="J213" s="122"/>
      <c r="K213" s="123"/>
      <c r="L213" s="123"/>
      <c r="M213" s="123"/>
      <c r="N213" s="469"/>
      <c r="O213" s="469"/>
      <c r="P213" s="124"/>
      <c r="Q213" s="425"/>
      <c r="R213" s="425"/>
      <c r="S213" s="124"/>
      <c r="T213" s="425"/>
      <c r="U213" s="425"/>
      <c r="V213" s="148" t="s">
        <v>357</v>
      </c>
      <c r="W213" s="487"/>
      <c r="X213" s="578">
        <f>X214</f>
        <v>0</v>
      </c>
      <c r="Y213" s="396" t="s">
        <v>358</v>
      </c>
      <c r="Z213" s="419"/>
    </row>
    <row r="214" spans="1:26" ht="21" hidden="1" customHeight="1">
      <c r="A214" s="25"/>
      <c r="B214" s="26"/>
      <c r="C214" s="26" t="s">
        <v>444</v>
      </c>
      <c r="D214" s="18" t="s">
        <v>445</v>
      </c>
      <c r="E214" s="19">
        <v>0</v>
      </c>
      <c r="F214" s="28">
        <f>ROUND(X214/1000,0)</f>
        <v>0</v>
      </c>
      <c r="G214" s="20">
        <f>F214-E214</f>
        <v>0</v>
      </c>
      <c r="H214" s="21">
        <f>IF(E214=0,0,G214/E214)</f>
        <v>0</v>
      </c>
      <c r="I214" s="84" t="s">
        <v>446</v>
      </c>
      <c r="J214" s="92"/>
      <c r="K214" s="58"/>
      <c r="L214" s="58"/>
      <c r="M214" s="58"/>
      <c r="N214" s="463"/>
      <c r="O214" s="463"/>
      <c r="P214" s="58"/>
      <c r="Q214" s="463"/>
      <c r="R214" s="463"/>
      <c r="S214" s="58"/>
      <c r="T214" s="463"/>
      <c r="U214" s="463"/>
      <c r="V214" s="761" t="s">
        <v>351</v>
      </c>
      <c r="W214" s="761"/>
      <c r="X214" s="574">
        <f>X215</f>
        <v>0</v>
      </c>
      <c r="Y214" s="397" t="s">
        <v>347</v>
      </c>
      <c r="Z214" s="419"/>
    </row>
    <row r="215" spans="1:26" ht="21" hidden="1" customHeight="1">
      <c r="A215" s="25"/>
      <c r="B215" s="26"/>
      <c r="C215" s="26" t="s">
        <v>447</v>
      </c>
      <c r="D215" s="26" t="s">
        <v>447</v>
      </c>
      <c r="E215" s="28"/>
      <c r="F215" s="28"/>
      <c r="G215" s="29"/>
      <c r="H215" s="16"/>
      <c r="I215" s="40" t="s">
        <v>448</v>
      </c>
      <c r="J215" s="185"/>
      <c r="K215" s="184"/>
      <c r="L215" s="184"/>
      <c r="M215" s="184"/>
      <c r="N215" s="462"/>
      <c r="O215" s="46"/>
      <c r="P215" s="42"/>
      <c r="Q215" s="46"/>
      <c r="R215" s="51"/>
      <c r="S215" s="48"/>
      <c r="T215" s="451"/>
      <c r="U215" s="462"/>
      <c r="V215" s="184"/>
      <c r="W215" s="462"/>
      <c r="X215" s="570">
        <v>0</v>
      </c>
      <c r="Y215" s="398" t="s">
        <v>347</v>
      </c>
      <c r="Z215" s="419"/>
    </row>
    <row r="216" spans="1:26" ht="21" hidden="1" customHeight="1">
      <c r="A216" s="25"/>
      <c r="B216" s="26"/>
      <c r="C216" s="18" t="s">
        <v>449</v>
      </c>
      <c r="D216" s="250" t="s">
        <v>450</v>
      </c>
      <c r="E216" s="134">
        <f>E217</f>
        <v>0</v>
      </c>
      <c r="F216" s="134">
        <f>F217</f>
        <v>0</v>
      </c>
      <c r="G216" s="135">
        <f>F216-E216</f>
        <v>0</v>
      </c>
      <c r="H216" s="136">
        <f>IF(E216=0,0,G216/E216)</f>
        <v>0</v>
      </c>
      <c r="I216" s="121" t="s">
        <v>451</v>
      </c>
      <c r="J216" s="122"/>
      <c r="K216" s="123"/>
      <c r="L216" s="123"/>
      <c r="M216" s="123"/>
      <c r="N216" s="469"/>
      <c r="O216" s="469"/>
      <c r="P216" s="124"/>
      <c r="Q216" s="425"/>
      <c r="R216" s="425"/>
      <c r="S216" s="124"/>
      <c r="T216" s="425"/>
      <c r="U216" s="425"/>
      <c r="V216" s="148" t="s">
        <v>351</v>
      </c>
      <c r="W216" s="487"/>
      <c r="X216" s="577">
        <f>X217</f>
        <v>0</v>
      </c>
      <c r="Y216" s="396" t="s">
        <v>347</v>
      </c>
      <c r="Z216" s="419"/>
    </row>
    <row r="217" spans="1:26" ht="21" hidden="1" customHeight="1">
      <c r="A217" s="25"/>
      <c r="B217" s="26"/>
      <c r="C217" s="26" t="s">
        <v>447</v>
      </c>
      <c r="D217" s="26" t="s">
        <v>452</v>
      </c>
      <c r="E217" s="28">
        <v>0</v>
      </c>
      <c r="F217" s="28">
        <f>ROUND(X217/1000,0)</f>
        <v>0</v>
      </c>
      <c r="G217" s="20">
        <f>F217-E217</f>
        <v>0</v>
      </c>
      <c r="H217" s="21">
        <f>IF(E217=0,0,G217/E217)</f>
        <v>0</v>
      </c>
      <c r="I217" s="40" t="s">
        <v>453</v>
      </c>
      <c r="J217" s="185"/>
      <c r="K217" s="184"/>
      <c r="L217" s="184"/>
      <c r="M217" s="184"/>
      <c r="N217" s="462"/>
      <c r="O217" s="46"/>
      <c r="P217" s="42"/>
      <c r="Q217" s="46"/>
      <c r="R217" s="51"/>
      <c r="S217" s="48"/>
      <c r="T217" s="451"/>
      <c r="U217" s="462"/>
      <c r="V217" s="184"/>
      <c r="W217" s="462"/>
      <c r="X217" s="570">
        <v>0</v>
      </c>
      <c r="Y217" s="398" t="s">
        <v>347</v>
      </c>
      <c r="Z217" s="419"/>
    </row>
    <row r="218" spans="1:26" ht="21" hidden="1" customHeight="1">
      <c r="A218" s="33"/>
      <c r="B218" s="34"/>
      <c r="C218" s="34"/>
      <c r="D218" s="34"/>
      <c r="E218" s="36"/>
      <c r="F218" s="36"/>
      <c r="G218" s="37"/>
      <c r="H218" s="120"/>
      <c r="I218" s="44"/>
      <c r="J218" s="217"/>
      <c r="K218" s="139"/>
      <c r="L218" s="139"/>
      <c r="M218" s="139"/>
      <c r="N218" s="118"/>
      <c r="O218" s="127"/>
      <c r="P218" s="128"/>
      <c r="Q218" s="127"/>
      <c r="R218" s="129"/>
      <c r="S218" s="130"/>
      <c r="T218" s="479"/>
      <c r="U218" s="118"/>
      <c r="V218" s="139"/>
      <c r="W218" s="118"/>
      <c r="X218" s="571"/>
      <c r="Y218" s="400"/>
      <c r="Z218" s="419"/>
    </row>
    <row r="219" spans="1:26" ht="21" customHeight="1">
      <c r="A219" s="17" t="s">
        <v>454</v>
      </c>
      <c r="B219" s="18" t="s">
        <v>13</v>
      </c>
      <c r="C219" s="764" t="s">
        <v>424</v>
      </c>
      <c r="D219" s="765"/>
      <c r="E219" s="155">
        <f>SUM(E220,E261)</f>
        <v>85571</v>
      </c>
      <c r="F219" s="155">
        <f>SUM(F220,F261)</f>
        <v>85571</v>
      </c>
      <c r="G219" s="156">
        <f>F219-E219</f>
        <v>0</v>
      </c>
      <c r="H219" s="157">
        <f>IF(E219=0,0,G219/E219)</f>
        <v>0</v>
      </c>
      <c r="I219" s="158" t="s">
        <v>455</v>
      </c>
      <c r="J219" s="159"/>
      <c r="K219" s="160"/>
      <c r="L219" s="160"/>
      <c r="M219" s="159"/>
      <c r="N219" s="424"/>
      <c r="O219" s="424"/>
      <c r="P219" s="159"/>
      <c r="Q219" s="424" t="s">
        <v>426</v>
      </c>
      <c r="R219" s="160"/>
      <c r="S219" s="161"/>
      <c r="T219" s="160"/>
      <c r="U219" s="160"/>
      <c r="V219" s="161"/>
      <c r="W219" s="160"/>
      <c r="X219" s="581">
        <f>X221+X261</f>
        <v>85571000</v>
      </c>
      <c r="Y219" s="395" t="s">
        <v>25</v>
      </c>
      <c r="Z219" s="419"/>
    </row>
    <row r="220" spans="1:26" ht="21" hidden="1" customHeight="1">
      <c r="A220" s="25"/>
      <c r="B220" s="26"/>
      <c r="C220" s="18" t="s">
        <v>456</v>
      </c>
      <c r="D220" s="250" t="s">
        <v>382</v>
      </c>
      <c r="E220" s="134">
        <f>E221</f>
        <v>0</v>
      </c>
      <c r="F220" s="134">
        <f>F221</f>
        <v>0</v>
      </c>
      <c r="G220" s="135">
        <f>F220-E220</f>
        <v>0</v>
      </c>
      <c r="H220" s="136">
        <f>IF(E220=0,0,G220/E220)</f>
        <v>0</v>
      </c>
      <c r="I220" s="121" t="s">
        <v>457</v>
      </c>
      <c r="J220" s="122"/>
      <c r="K220" s="123"/>
      <c r="L220" s="123"/>
      <c r="M220" s="123"/>
      <c r="N220" s="469"/>
      <c r="O220" s="469"/>
      <c r="P220" s="124"/>
      <c r="Q220" s="425"/>
      <c r="R220" s="425"/>
      <c r="S220" s="124"/>
      <c r="T220" s="425"/>
      <c r="U220" s="425"/>
      <c r="V220" s="148" t="s">
        <v>357</v>
      </c>
      <c r="W220" s="487"/>
      <c r="X220" s="578">
        <f>SUM(X221:X221)</f>
        <v>0</v>
      </c>
      <c r="Y220" s="396" t="s">
        <v>358</v>
      </c>
      <c r="Z220" s="419"/>
    </row>
    <row r="221" spans="1:26" ht="21" hidden="1" customHeight="1">
      <c r="A221" s="25"/>
      <c r="B221" s="26"/>
      <c r="C221" s="26" t="s">
        <v>454</v>
      </c>
      <c r="D221" s="18" t="s">
        <v>458</v>
      </c>
      <c r="E221" s="19">
        <v>0</v>
      </c>
      <c r="F221" s="28">
        <f>ROUND(X221/1000,0)</f>
        <v>0</v>
      </c>
      <c r="G221" s="20">
        <f>F221-E221</f>
        <v>0</v>
      </c>
      <c r="H221" s="21">
        <f>IF(E221=0,0,G221/E221)</f>
        <v>0</v>
      </c>
      <c r="I221" s="84" t="s">
        <v>457</v>
      </c>
      <c r="J221" s="92"/>
      <c r="K221" s="58"/>
      <c r="L221" s="58"/>
      <c r="M221" s="58"/>
      <c r="N221" s="463"/>
      <c r="O221" s="463"/>
      <c r="P221" s="58"/>
      <c r="Q221" s="463"/>
      <c r="R221" s="463"/>
      <c r="S221" s="58"/>
      <c r="T221" s="463"/>
      <c r="U221" s="463"/>
      <c r="V221" s="761" t="s">
        <v>357</v>
      </c>
      <c r="W221" s="761"/>
      <c r="X221" s="574">
        <f>SUM(X222,X228,X236,X246,X249,X251,X253,X256)</f>
        <v>0</v>
      </c>
      <c r="Y221" s="397" t="s">
        <v>358</v>
      </c>
      <c r="Z221" s="419"/>
    </row>
    <row r="222" spans="1:26" ht="21" hidden="1" customHeight="1" thickBot="1">
      <c r="A222" s="25"/>
      <c r="B222" s="26"/>
      <c r="C222" s="26"/>
      <c r="D222" s="26"/>
      <c r="E222" s="28"/>
      <c r="F222" s="28"/>
      <c r="G222" s="29"/>
      <c r="H222" s="16"/>
      <c r="I222" s="234" t="s">
        <v>459</v>
      </c>
      <c r="J222" s="338"/>
      <c r="K222" s="338"/>
      <c r="L222" s="338"/>
      <c r="M222" s="338"/>
      <c r="N222" s="298"/>
      <c r="O222" s="298"/>
      <c r="P222" s="338"/>
      <c r="Q222" s="426" t="s">
        <v>460</v>
      </c>
      <c r="R222" s="298"/>
      <c r="S222" s="338"/>
      <c r="T222" s="298"/>
      <c r="U222" s="298"/>
      <c r="V222" s="338"/>
      <c r="W222" s="298"/>
      <c r="X222" s="593">
        <f>SUM(X223:X227)</f>
        <v>0</v>
      </c>
      <c r="Y222" s="392" t="s">
        <v>358</v>
      </c>
      <c r="Z222" s="419"/>
    </row>
    <row r="223" spans="1:26" ht="21" hidden="1" customHeight="1">
      <c r="A223" s="25"/>
      <c r="B223" s="26"/>
      <c r="C223" s="26"/>
      <c r="D223" s="26"/>
      <c r="E223" s="28"/>
      <c r="F223" s="28"/>
      <c r="G223" s="29"/>
      <c r="H223" s="16"/>
      <c r="I223" s="234" t="s">
        <v>461</v>
      </c>
      <c r="J223" s="338"/>
      <c r="K223" s="338"/>
      <c r="L223" s="338"/>
      <c r="M223" s="338"/>
      <c r="N223" s="298"/>
      <c r="O223" s="298"/>
      <c r="P223" s="338"/>
      <c r="Q223" s="298"/>
      <c r="R223" s="298"/>
      <c r="S223" s="338"/>
      <c r="T223" s="298"/>
      <c r="U223" s="298"/>
      <c r="V223" s="338"/>
      <c r="W223" s="298"/>
      <c r="X223" s="598"/>
      <c r="Y223" s="392" t="s">
        <v>358</v>
      </c>
      <c r="Z223" s="419"/>
    </row>
    <row r="224" spans="1:26" ht="21" hidden="1" customHeight="1">
      <c r="A224" s="25"/>
      <c r="B224" s="26"/>
      <c r="C224" s="26"/>
      <c r="D224" s="26"/>
      <c r="E224" s="28"/>
      <c r="F224" s="28"/>
      <c r="G224" s="29"/>
      <c r="H224" s="16"/>
      <c r="I224" s="234" t="s">
        <v>462</v>
      </c>
      <c r="J224" s="338"/>
      <c r="K224" s="338"/>
      <c r="L224" s="338"/>
      <c r="M224" s="338"/>
      <c r="N224" s="298"/>
      <c r="O224" s="298"/>
      <c r="P224" s="338"/>
      <c r="Q224" s="298"/>
      <c r="R224" s="298"/>
      <c r="S224" s="338"/>
      <c r="T224" s="298"/>
      <c r="U224" s="298"/>
      <c r="V224" s="338"/>
      <c r="W224" s="298"/>
      <c r="X224" s="598"/>
      <c r="Y224" s="392" t="s">
        <v>358</v>
      </c>
      <c r="Z224" s="419"/>
    </row>
    <row r="225" spans="1:26" ht="21" hidden="1" customHeight="1">
      <c r="A225" s="25"/>
      <c r="B225" s="26"/>
      <c r="C225" s="26"/>
      <c r="D225" s="26"/>
      <c r="E225" s="28"/>
      <c r="F225" s="28"/>
      <c r="G225" s="29"/>
      <c r="H225" s="16"/>
      <c r="I225" s="234"/>
      <c r="J225" s="338"/>
      <c r="K225" s="338"/>
      <c r="L225" s="338"/>
      <c r="M225" s="338"/>
      <c r="N225" s="298"/>
      <c r="O225" s="298"/>
      <c r="P225" s="338"/>
      <c r="Q225" s="298"/>
      <c r="R225" s="298"/>
      <c r="S225" s="338"/>
      <c r="T225" s="298"/>
      <c r="U225" s="298"/>
      <c r="V225" s="338"/>
      <c r="W225" s="298"/>
      <c r="X225" s="598"/>
      <c r="Y225" s="392" t="s">
        <v>358</v>
      </c>
      <c r="Z225" s="419"/>
    </row>
    <row r="226" spans="1:26" ht="21" hidden="1" customHeight="1">
      <c r="A226" s="25"/>
      <c r="B226" s="26"/>
      <c r="C226" s="26"/>
      <c r="D226" s="26"/>
      <c r="E226" s="28"/>
      <c r="F226" s="28"/>
      <c r="G226" s="29"/>
      <c r="H226" s="16"/>
      <c r="I226" s="234"/>
      <c r="J226" s="338"/>
      <c r="K226" s="338"/>
      <c r="L226" s="338"/>
      <c r="M226" s="338"/>
      <c r="N226" s="298"/>
      <c r="O226" s="298"/>
      <c r="P226" s="338"/>
      <c r="Q226" s="298"/>
      <c r="R226" s="298"/>
      <c r="S226" s="338"/>
      <c r="T226" s="298"/>
      <c r="U226" s="298"/>
      <c r="V226" s="338"/>
      <c r="W226" s="298"/>
      <c r="X226" s="598"/>
      <c r="Y226" s="392" t="s">
        <v>358</v>
      </c>
      <c r="Z226" s="419"/>
    </row>
    <row r="227" spans="1:26" ht="21" hidden="1" customHeight="1">
      <c r="A227" s="25"/>
      <c r="B227" s="26"/>
      <c r="C227" s="26"/>
      <c r="D227" s="26"/>
      <c r="E227" s="28"/>
      <c r="F227" s="28"/>
      <c r="G227" s="29"/>
      <c r="H227" s="16"/>
      <c r="I227" s="338"/>
      <c r="J227" s="338"/>
      <c r="K227" s="338"/>
      <c r="L227" s="338"/>
      <c r="M227" s="338"/>
      <c r="N227" s="298"/>
      <c r="O227" s="298"/>
      <c r="P227" s="338"/>
      <c r="Q227" s="298"/>
      <c r="R227" s="298"/>
      <c r="S227" s="338"/>
      <c r="T227" s="298"/>
      <c r="U227" s="298"/>
      <c r="V227" s="338"/>
      <c r="W227" s="298"/>
      <c r="X227" s="598"/>
      <c r="Y227" s="392" t="s">
        <v>358</v>
      </c>
      <c r="Z227" s="419"/>
    </row>
    <row r="228" spans="1:26" ht="21" hidden="1" customHeight="1" thickBot="1">
      <c r="A228" s="25"/>
      <c r="B228" s="26"/>
      <c r="C228" s="26"/>
      <c r="D228" s="26"/>
      <c r="E228" s="28"/>
      <c r="F228" s="28"/>
      <c r="G228" s="29"/>
      <c r="H228" s="16"/>
      <c r="I228" s="252" t="s">
        <v>463</v>
      </c>
      <c r="J228" s="38"/>
      <c r="K228" s="184"/>
      <c r="L228" s="184"/>
      <c r="M228" s="184"/>
      <c r="N228" s="462"/>
      <c r="O228" s="462"/>
      <c r="P228" s="184"/>
      <c r="Q228" s="426" t="s">
        <v>464</v>
      </c>
      <c r="R228" s="426"/>
      <c r="S228" s="290"/>
      <c r="T228" s="426"/>
      <c r="U228" s="426"/>
      <c r="V228" s="290"/>
      <c r="W228" s="426"/>
      <c r="X228" s="593">
        <f>SUM(X229:X235)</f>
        <v>0</v>
      </c>
      <c r="Y228" s="406" t="s">
        <v>358</v>
      </c>
      <c r="Z228" s="419"/>
    </row>
    <row r="229" spans="1:26" ht="21" hidden="1" customHeight="1">
      <c r="A229" s="25"/>
      <c r="B229" s="26"/>
      <c r="C229" s="26"/>
      <c r="D229" s="26"/>
      <c r="E229" s="28"/>
      <c r="F229" s="28"/>
      <c r="G229" s="29"/>
      <c r="H229" s="16"/>
      <c r="I229" s="338" t="s">
        <v>465</v>
      </c>
      <c r="J229" s="338"/>
      <c r="K229" s="337"/>
      <c r="L229" s="337"/>
      <c r="M229" s="337"/>
      <c r="N229" s="339" t="s">
        <v>358</v>
      </c>
      <c r="O229" s="226" t="s">
        <v>361</v>
      </c>
      <c r="P229" s="337">
        <v>39</v>
      </c>
      <c r="Q229" s="339" t="s">
        <v>378</v>
      </c>
      <c r="R229" s="226"/>
      <c r="S229" s="337"/>
      <c r="T229" s="339"/>
      <c r="U229" s="339" t="s">
        <v>362</v>
      </c>
      <c r="V229" s="337"/>
      <c r="W229" s="339"/>
      <c r="X229" s="599">
        <f>M229*P229</f>
        <v>0</v>
      </c>
      <c r="Y229" s="392" t="s">
        <v>358</v>
      </c>
      <c r="Z229" s="419"/>
    </row>
    <row r="230" spans="1:26" ht="21" hidden="1" customHeight="1">
      <c r="A230" s="25"/>
      <c r="B230" s="26"/>
      <c r="C230" s="26"/>
      <c r="D230" s="26"/>
      <c r="E230" s="28"/>
      <c r="F230" s="28"/>
      <c r="G230" s="29"/>
      <c r="H230" s="16"/>
      <c r="I230" s="338" t="s">
        <v>466</v>
      </c>
      <c r="J230" s="338"/>
      <c r="K230" s="337"/>
      <c r="L230" s="337"/>
      <c r="M230" s="337"/>
      <c r="N230" s="339" t="s">
        <v>358</v>
      </c>
      <c r="O230" s="226" t="s">
        <v>361</v>
      </c>
      <c r="P230" s="337">
        <v>39</v>
      </c>
      <c r="Q230" s="339" t="s">
        <v>378</v>
      </c>
      <c r="R230" s="226"/>
      <c r="S230" s="337"/>
      <c r="T230" s="339"/>
      <c r="U230" s="339" t="s">
        <v>362</v>
      </c>
      <c r="V230" s="337"/>
      <c r="W230" s="339"/>
      <c r="X230" s="599">
        <f>M230*P230</f>
        <v>0</v>
      </c>
      <c r="Y230" s="392" t="s">
        <v>358</v>
      </c>
      <c r="Z230" s="419"/>
    </row>
    <row r="231" spans="1:26" ht="21" hidden="1" customHeight="1">
      <c r="A231" s="25"/>
      <c r="B231" s="26"/>
      <c r="C231" s="26"/>
      <c r="D231" s="26"/>
      <c r="E231" s="28"/>
      <c r="F231" s="28"/>
      <c r="G231" s="29"/>
      <c r="H231" s="16"/>
      <c r="I231" s="173" t="s">
        <v>467</v>
      </c>
      <c r="J231" s="185"/>
      <c r="K231" s="184"/>
      <c r="L231" s="184"/>
      <c r="M231" s="184"/>
      <c r="N231" s="447" t="s">
        <v>358</v>
      </c>
      <c r="O231" s="46" t="s">
        <v>361</v>
      </c>
      <c r="P231" s="47">
        <v>3</v>
      </c>
      <c r="Q231" s="462" t="s">
        <v>378</v>
      </c>
      <c r="R231" s="46"/>
      <c r="S231" s="47"/>
      <c r="T231" s="447"/>
      <c r="U231" s="480" t="s">
        <v>362</v>
      </c>
      <c r="V231" s="47"/>
      <c r="W231" s="447"/>
      <c r="X231" s="599">
        <f>M231*P231</f>
        <v>0</v>
      </c>
      <c r="Y231" s="407" t="s">
        <v>358</v>
      </c>
      <c r="Z231" s="419"/>
    </row>
    <row r="232" spans="1:26" ht="21" hidden="1" customHeight="1">
      <c r="A232" s="25"/>
      <c r="B232" s="26"/>
      <c r="C232" s="26"/>
      <c r="D232" s="26"/>
      <c r="E232" s="28"/>
      <c r="F232" s="28"/>
      <c r="G232" s="29"/>
      <c r="H232" s="16"/>
      <c r="I232" s="338" t="s">
        <v>468</v>
      </c>
      <c r="J232" s="338"/>
      <c r="K232" s="337"/>
      <c r="L232" s="337"/>
      <c r="M232" s="337"/>
      <c r="N232" s="230" t="s">
        <v>358</v>
      </c>
      <c r="O232" s="226" t="s">
        <v>361</v>
      </c>
      <c r="P232" s="227">
        <v>39</v>
      </c>
      <c r="Q232" s="339" t="s">
        <v>378</v>
      </c>
      <c r="R232" s="226"/>
      <c r="S232" s="227"/>
      <c r="T232" s="230"/>
      <c r="U232" s="453" t="s">
        <v>362</v>
      </c>
      <c r="V232" s="227"/>
      <c r="W232" s="230"/>
      <c r="X232" s="598">
        <v>0</v>
      </c>
      <c r="Y232" s="407" t="s">
        <v>358</v>
      </c>
      <c r="Z232" s="419"/>
    </row>
    <row r="233" spans="1:26" ht="21" hidden="1" customHeight="1">
      <c r="A233" s="25"/>
      <c r="B233" s="26"/>
      <c r="C233" s="26"/>
      <c r="D233" s="26"/>
      <c r="E233" s="28"/>
      <c r="F233" s="28"/>
      <c r="G233" s="29"/>
      <c r="H233" s="16"/>
      <c r="I233" s="338" t="s">
        <v>469</v>
      </c>
      <c r="J233" s="338"/>
      <c r="K233" s="338"/>
      <c r="L233" s="338"/>
      <c r="M233" s="337"/>
      <c r="N233" s="230" t="s">
        <v>358</v>
      </c>
      <c r="O233" s="226" t="s">
        <v>361</v>
      </c>
      <c r="P233" s="232">
        <v>39</v>
      </c>
      <c r="Q233" s="339" t="s">
        <v>378</v>
      </c>
      <c r="R233" s="226" t="s">
        <v>361</v>
      </c>
      <c r="S233" s="227">
        <v>1</v>
      </c>
      <c r="T233" s="230" t="s">
        <v>398</v>
      </c>
      <c r="U233" s="453" t="s">
        <v>362</v>
      </c>
      <c r="V233" s="227"/>
      <c r="W233" s="230"/>
      <c r="X233" s="599">
        <f>M233*P233*S233</f>
        <v>0</v>
      </c>
      <c r="Y233" s="407" t="s">
        <v>358</v>
      </c>
      <c r="Z233" s="419"/>
    </row>
    <row r="234" spans="1:26" ht="21" hidden="1" customHeight="1">
      <c r="A234" s="25"/>
      <c r="B234" s="26"/>
      <c r="C234" s="26"/>
      <c r="D234" s="26"/>
      <c r="E234" s="28"/>
      <c r="F234" s="28"/>
      <c r="G234" s="29"/>
      <c r="H234" s="16"/>
      <c r="I234" s="40" t="s">
        <v>470</v>
      </c>
      <c r="J234" s="185"/>
      <c r="K234" s="185"/>
      <c r="L234" s="185"/>
      <c r="M234" s="184"/>
      <c r="N234" s="447"/>
      <c r="O234" s="447"/>
      <c r="P234" s="47"/>
      <c r="Q234" s="462"/>
      <c r="R234" s="462"/>
      <c r="S234" s="47"/>
      <c r="T234" s="447"/>
      <c r="U234" s="447"/>
      <c r="V234" s="47"/>
      <c r="W234" s="447"/>
      <c r="X234" s="598"/>
      <c r="Y234" s="407" t="s">
        <v>358</v>
      </c>
      <c r="Z234" s="419"/>
    </row>
    <row r="235" spans="1:26" ht="21" hidden="1" customHeight="1">
      <c r="A235" s="25"/>
      <c r="B235" s="26"/>
      <c r="C235" s="26"/>
      <c r="D235" s="26"/>
      <c r="E235" s="28"/>
      <c r="F235" s="28"/>
      <c r="G235" s="29"/>
      <c r="H235" s="16"/>
      <c r="I235" s="177" t="s">
        <v>471</v>
      </c>
      <c r="J235" s="338"/>
      <c r="K235" s="337"/>
      <c r="L235" s="337"/>
      <c r="M235" s="337"/>
      <c r="N235" s="339"/>
      <c r="O235" s="298"/>
      <c r="P235" s="337"/>
      <c r="Q235" s="339"/>
      <c r="R235" s="339"/>
      <c r="S235" s="337"/>
      <c r="T235" s="339"/>
      <c r="U235" s="339"/>
      <c r="V235" s="337"/>
      <c r="W235" s="339"/>
      <c r="X235" s="599">
        <v>0</v>
      </c>
      <c r="Y235" s="392" t="s">
        <v>358</v>
      </c>
      <c r="Z235" s="419"/>
    </row>
    <row r="236" spans="1:26" ht="21" hidden="1" customHeight="1" thickBot="1">
      <c r="A236" s="25"/>
      <c r="B236" s="26"/>
      <c r="C236" s="26"/>
      <c r="D236" s="26"/>
      <c r="E236" s="28"/>
      <c r="F236" s="28"/>
      <c r="G236" s="29"/>
      <c r="H236" s="16"/>
      <c r="I236" s="252" t="s">
        <v>472</v>
      </c>
      <c r="J236" s="38"/>
      <c r="K236" s="184"/>
      <c r="L236" s="184"/>
      <c r="M236" s="185"/>
      <c r="N236" s="31"/>
      <c r="O236" s="31"/>
      <c r="P236" s="185"/>
      <c r="Q236" s="426" t="s">
        <v>473</v>
      </c>
      <c r="R236" s="426"/>
      <c r="S236" s="290"/>
      <c r="T236" s="426"/>
      <c r="U236" s="426"/>
      <c r="V236" s="290"/>
      <c r="W236" s="426"/>
      <c r="X236" s="593">
        <f>SUM(X237:X245)</f>
        <v>0</v>
      </c>
      <c r="Y236" s="406" t="s">
        <v>358</v>
      </c>
      <c r="Z236" s="419"/>
    </row>
    <row r="237" spans="1:26" ht="21" hidden="1" customHeight="1">
      <c r="A237" s="25"/>
      <c r="B237" s="26"/>
      <c r="C237" s="26"/>
      <c r="D237" s="26"/>
      <c r="E237" s="28"/>
      <c r="F237" s="28"/>
      <c r="G237" s="29"/>
      <c r="H237" s="16"/>
      <c r="I237" s="177" t="s">
        <v>474</v>
      </c>
      <c r="J237" s="338"/>
      <c r="K237" s="338"/>
      <c r="L237" s="338"/>
      <c r="M237" s="337"/>
      <c r="N237" s="230" t="s">
        <v>358</v>
      </c>
      <c r="O237" s="226" t="s">
        <v>361</v>
      </c>
      <c r="P237" s="227">
        <v>14</v>
      </c>
      <c r="Q237" s="339" t="s">
        <v>378</v>
      </c>
      <c r="R237" s="339"/>
      <c r="S237" s="227"/>
      <c r="T237" s="230"/>
      <c r="U237" s="230" t="s">
        <v>362</v>
      </c>
      <c r="V237" s="227"/>
      <c r="W237" s="230"/>
      <c r="X237" s="598">
        <f>M237*P237</f>
        <v>0</v>
      </c>
      <c r="Y237" s="407" t="s">
        <v>25</v>
      </c>
      <c r="Z237" s="419"/>
    </row>
    <row r="238" spans="1:26" ht="21" hidden="1" customHeight="1">
      <c r="A238" s="25"/>
      <c r="B238" s="26"/>
      <c r="C238" s="26"/>
      <c r="D238" s="26"/>
      <c r="E238" s="28"/>
      <c r="F238" s="28"/>
      <c r="G238" s="29"/>
      <c r="H238" s="16"/>
      <c r="I238" s="338" t="s">
        <v>475</v>
      </c>
      <c r="J238" s="338"/>
      <c r="K238" s="338"/>
      <c r="L238" s="338"/>
      <c r="M238" s="184"/>
      <c r="N238" s="462" t="s">
        <v>358</v>
      </c>
      <c r="O238" s="46" t="s">
        <v>361</v>
      </c>
      <c r="P238" s="337">
        <v>14</v>
      </c>
      <c r="Q238" s="462" t="s">
        <v>378</v>
      </c>
      <c r="R238" s="46" t="s">
        <v>361</v>
      </c>
      <c r="S238" s="184">
        <v>2</v>
      </c>
      <c r="T238" s="462" t="s">
        <v>398</v>
      </c>
      <c r="U238" s="462" t="s">
        <v>362</v>
      </c>
      <c r="V238" s="227"/>
      <c r="W238" s="230"/>
      <c r="X238" s="598">
        <f>M238*P238*S238</f>
        <v>0</v>
      </c>
      <c r="Y238" s="407" t="s">
        <v>25</v>
      </c>
      <c r="Z238" s="419"/>
    </row>
    <row r="239" spans="1:26" ht="21" hidden="1" customHeight="1">
      <c r="A239" s="25"/>
      <c r="B239" s="26"/>
      <c r="C239" s="26"/>
      <c r="D239" s="26"/>
      <c r="E239" s="28"/>
      <c r="F239" s="28"/>
      <c r="G239" s="29"/>
      <c r="H239" s="16"/>
      <c r="I239" s="185" t="s">
        <v>476</v>
      </c>
      <c r="J239" s="185"/>
      <c r="K239" s="185"/>
      <c r="L239" s="185"/>
      <c r="M239" s="184"/>
      <c r="N239" s="462" t="s">
        <v>358</v>
      </c>
      <c r="O239" s="46" t="s">
        <v>361</v>
      </c>
      <c r="P239" s="337">
        <v>39</v>
      </c>
      <c r="Q239" s="462" t="s">
        <v>378</v>
      </c>
      <c r="R239" s="46" t="s">
        <v>361</v>
      </c>
      <c r="S239" s="184">
        <v>1</v>
      </c>
      <c r="T239" s="462" t="s">
        <v>398</v>
      </c>
      <c r="U239" s="462" t="s">
        <v>362</v>
      </c>
      <c r="V239" s="184"/>
      <c r="W239" s="462"/>
      <c r="X239" s="598">
        <f>M239*P239*S239</f>
        <v>0</v>
      </c>
      <c r="Y239" s="392" t="s">
        <v>358</v>
      </c>
      <c r="Z239" s="419"/>
    </row>
    <row r="240" spans="1:26" ht="21" hidden="1" customHeight="1">
      <c r="A240" s="25"/>
      <c r="B240" s="26"/>
      <c r="C240" s="26"/>
      <c r="D240" s="26"/>
      <c r="E240" s="28"/>
      <c r="F240" s="28"/>
      <c r="G240" s="29"/>
      <c r="H240" s="16"/>
      <c r="I240" s="338" t="s">
        <v>477</v>
      </c>
      <c r="J240" s="338"/>
      <c r="K240" s="338"/>
      <c r="L240" s="338"/>
      <c r="M240" s="337"/>
      <c r="N240" s="230" t="s">
        <v>358</v>
      </c>
      <c r="O240" s="226" t="s">
        <v>361</v>
      </c>
      <c r="P240" s="227">
        <v>4</v>
      </c>
      <c r="Q240" s="339" t="s">
        <v>398</v>
      </c>
      <c r="R240" s="230"/>
      <c r="S240" s="227"/>
      <c r="T240" s="230"/>
      <c r="U240" s="453" t="s">
        <v>362</v>
      </c>
      <c r="V240" s="227"/>
      <c r="W240" s="230"/>
      <c r="X240" s="598">
        <f>M240*P240*S240</f>
        <v>0</v>
      </c>
      <c r="Y240" s="407" t="s">
        <v>358</v>
      </c>
      <c r="Z240" s="419"/>
    </row>
    <row r="241" spans="1:26" ht="21" hidden="1" customHeight="1">
      <c r="A241" s="25"/>
      <c r="B241" s="26"/>
      <c r="C241" s="26"/>
      <c r="D241" s="26"/>
      <c r="E241" s="28"/>
      <c r="F241" s="28"/>
      <c r="G241" s="29"/>
      <c r="H241" s="16"/>
      <c r="I241" s="338" t="s">
        <v>478</v>
      </c>
      <c r="J241" s="338"/>
      <c r="K241" s="338"/>
      <c r="L241" s="338"/>
      <c r="M241" s="337"/>
      <c r="N241" s="230" t="s">
        <v>358</v>
      </c>
      <c r="O241" s="226" t="s">
        <v>361</v>
      </c>
      <c r="P241" s="227">
        <v>39</v>
      </c>
      <c r="Q241" s="339" t="s">
        <v>378</v>
      </c>
      <c r="R241" s="230"/>
      <c r="S241" s="227"/>
      <c r="T241" s="230"/>
      <c r="U241" s="453" t="s">
        <v>362</v>
      </c>
      <c r="V241" s="227"/>
      <c r="W241" s="455"/>
      <c r="X241" s="598">
        <v>0</v>
      </c>
      <c r="Y241" s="407" t="s">
        <v>358</v>
      </c>
      <c r="Z241" s="419"/>
    </row>
    <row r="242" spans="1:26" ht="21" hidden="1" customHeight="1">
      <c r="A242" s="25"/>
      <c r="B242" s="26"/>
      <c r="C242" s="26"/>
      <c r="D242" s="26"/>
      <c r="E242" s="28"/>
      <c r="F242" s="28"/>
      <c r="G242" s="29"/>
      <c r="H242" s="16"/>
      <c r="I242" s="185" t="s">
        <v>479</v>
      </c>
      <c r="J242" s="185"/>
      <c r="K242" s="185"/>
      <c r="L242" s="185"/>
      <c r="M242" s="185"/>
      <c r="N242" s="31"/>
      <c r="O242" s="31"/>
      <c r="P242" s="185"/>
      <c r="Q242" s="31"/>
      <c r="R242" s="31"/>
      <c r="S242" s="185"/>
      <c r="T242" s="31"/>
      <c r="U242" s="31"/>
      <c r="V242" s="185"/>
      <c r="W242" s="31"/>
      <c r="X242" s="569"/>
      <c r="Y242" s="408" t="s">
        <v>358</v>
      </c>
      <c r="Z242" s="419"/>
    </row>
    <row r="243" spans="1:26" ht="21" hidden="1" customHeight="1">
      <c r="A243" s="25"/>
      <c r="B243" s="26"/>
      <c r="C243" s="26"/>
      <c r="D243" s="26"/>
      <c r="E243" s="28"/>
      <c r="F243" s="28"/>
      <c r="G243" s="29"/>
      <c r="H243" s="16"/>
      <c r="I243" s="185" t="s">
        <v>480</v>
      </c>
      <c r="J243" s="185"/>
      <c r="K243" s="185"/>
      <c r="L243" s="185"/>
      <c r="M243" s="185"/>
      <c r="N243" s="31"/>
      <c r="O243" s="31"/>
      <c r="P243" s="185"/>
      <c r="Q243" s="31"/>
      <c r="R243" s="31"/>
      <c r="S243" s="185"/>
      <c r="T243" s="31"/>
      <c r="U243" s="31"/>
      <c r="V243" s="185"/>
      <c r="W243" s="31"/>
      <c r="X243" s="569"/>
      <c r="Y243" s="408" t="s">
        <v>358</v>
      </c>
      <c r="Z243" s="419"/>
    </row>
    <row r="244" spans="1:26" ht="21" hidden="1" customHeight="1">
      <c r="A244" s="25"/>
      <c r="B244" s="26"/>
      <c r="C244" s="26"/>
      <c r="D244" s="26"/>
      <c r="E244" s="28"/>
      <c r="F244" s="28"/>
      <c r="G244" s="29"/>
      <c r="H244" s="16"/>
      <c r="I244" s="185" t="s">
        <v>481</v>
      </c>
      <c r="J244" s="185"/>
      <c r="K244" s="185"/>
      <c r="L244" s="185"/>
      <c r="M244" s="185"/>
      <c r="N244" s="31"/>
      <c r="O244" s="31"/>
      <c r="P244" s="185"/>
      <c r="Q244" s="31"/>
      <c r="R244" s="31"/>
      <c r="S244" s="185"/>
      <c r="T244" s="31"/>
      <c r="U244" s="31"/>
      <c r="V244" s="185"/>
      <c r="W244" s="31"/>
      <c r="X244" s="569"/>
      <c r="Y244" s="408" t="s">
        <v>358</v>
      </c>
      <c r="Z244" s="419"/>
    </row>
    <row r="245" spans="1:26" ht="21" hidden="1" customHeight="1">
      <c r="A245" s="25"/>
      <c r="B245" s="26"/>
      <c r="C245" s="26"/>
      <c r="D245" s="26"/>
      <c r="E245" s="28"/>
      <c r="F245" s="28"/>
      <c r="G245" s="29"/>
      <c r="H245" s="16"/>
      <c r="I245" s="185" t="s">
        <v>482</v>
      </c>
      <c r="J245" s="185"/>
      <c r="K245" s="185"/>
      <c r="L245" s="185"/>
      <c r="M245" s="185"/>
      <c r="N245" s="31"/>
      <c r="O245" s="31"/>
      <c r="P245" s="185"/>
      <c r="Q245" s="31"/>
      <c r="R245" s="31"/>
      <c r="S245" s="185"/>
      <c r="T245" s="31"/>
      <c r="U245" s="31"/>
      <c r="V245" s="185"/>
      <c r="W245" s="31"/>
      <c r="X245" s="569"/>
      <c r="Y245" s="408" t="s">
        <v>358</v>
      </c>
      <c r="Z245" s="419"/>
    </row>
    <row r="246" spans="1:26" ht="21" hidden="1" customHeight="1" thickBot="1">
      <c r="A246" s="25"/>
      <c r="B246" s="26"/>
      <c r="C246" s="26"/>
      <c r="D246" s="26"/>
      <c r="E246" s="28"/>
      <c r="F246" s="28"/>
      <c r="G246" s="29"/>
      <c r="H246" s="16"/>
      <c r="I246" s="252" t="s">
        <v>483</v>
      </c>
      <c r="J246" s="38"/>
      <c r="K246" s="184"/>
      <c r="L246" s="184"/>
      <c r="M246" s="184"/>
      <c r="N246" s="462"/>
      <c r="O246" s="462"/>
      <c r="P246" s="185"/>
      <c r="Q246" s="31"/>
      <c r="R246" s="31"/>
      <c r="S246" s="253" t="s">
        <v>484</v>
      </c>
      <c r="T246" s="466"/>
      <c r="U246" s="466"/>
      <c r="V246" s="253"/>
      <c r="W246" s="426"/>
      <c r="X246" s="593">
        <f>SUM(X247:X248)</f>
        <v>0</v>
      </c>
      <c r="Y246" s="406" t="s">
        <v>358</v>
      </c>
      <c r="Z246" s="419"/>
    </row>
    <row r="247" spans="1:26" ht="21" hidden="1" customHeight="1">
      <c r="A247" s="25"/>
      <c r="B247" s="26"/>
      <c r="C247" s="26"/>
      <c r="D247" s="26"/>
      <c r="E247" s="28"/>
      <c r="F247" s="28"/>
      <c r="G247" s="29"/>
      <c r="H247" s="16"/>
      <c r="I247" s="177" t="s">
        <v>485</v>
      </c>
      <c r="J247" s="338"/>
      <c r="K247" s="337"/>
      <c r="L247" s="337"/>
      <c r="M247" s="337"/>
      <c r="N247" s="339" t="s">
        <v>358</v>
      </c>
      <c r="O247" s="226" t="s">
        <v>361</v>
      </c>
      <c r="P247" s="337">
        <v>4</v>
      </c>
      <c r="Q247" s="339" t="s">
        <v>378</v>
      </c>
      <c r="R247" s="226" t="s">
        <v>361</v>
      </c>
      <c r="S247" s="337">
        <v>4</v>
      </c>
      <c r="T247" s="339" t="s">
        <v>398</v>
      </c>
      <c r="U247" s="339" t="s">
        <v>362</v>
      </c>
      <c r="V247" s="337"/>
      <c r="W247" s="339"/>
      <c r="X247" s="584">
        <f>M247*P247*S247</f>
        <v>0</v>
      </c>
      <c r="Y247" s="392" t="s">
        <v>358</v>
      </c>
      <c r="Z247" s="419"/>
    </row>
    <row r="248" spans="1:26" ht="21" hidden="1" customHeight="1">
      <c r="A248" s="25"/>
      <c r="B248" s="26"/>
      <c r="C248" s="26"/>
      <c r="D248" s="26"/>
      <c r="E248" s="28"/>
      <c r="F248" s="28"/>
      <c r="G248" s="29"/>
      <c r="H248" s="16"/>
      <c r="I248" s="40" t="s">
        <v>486</v>
      </c>
      <c r="J248" s="185"/>
      <c r="K248" s="184"/>
      <c r="L248" s="184"/>
      <c r="M248" s="184"/>
      <c r="N248" s="462"/>
      <c r="O248" s="31"/>
      <c r="P248" s="184"/>
      <c r="Q248" s="462"/>
      <c r="R248" s="462"/>
      <c r="S248" s="184"/>
      <c r="T248" s="462"/>
      <c r="U248" s="462"/>
      <c r="V248" s="184"/>
      <c r="W248" s="462"/>
      <c r="X248" s="599"/>
      <c r="Y248" s="392" t="s">
        <v>358</v>
      </c>
      <c r="Z248" s="419"/>
    </row>
    <row r="249" spans="1:26" ht="21" hidden="1" customHeight="1" thickBot="1">
      <c r="A249" s="25"/>
      <c r="B249" s="26"/>
      <c r="C249" s="26"/>
      <c r="D249" s="26"/>
      <c r="E249" s="28"/>
      <c r="F249" s="28"/>
      <c r="G249" s="29"/>
      <c r="H249" s="16"/>
      <c r="I249" s="252" t="s">
        <v>487</v>
      </c>
      <c r="J249" s="251"/>
      <c r="K249" s="101"/>
      <c r="L249" s="101"/>
      <c r="M249" s="101"/>
      <c r="N249" s="427"/>
      <c r="O249" s="427"/>
      <c r="P249" s="101"/>
      <c r="Q249" s="427"/>
      <c r="R249" s="427"/>
      <c r="S249" s="251" t="s">
        <v>488</v>
      </c>
      <c r="T249" s="481"/>
      <c r="U249" s="481"/>
      <c r="V249" s="251"/>
      <c r="W249" s="481"/>
      <c r="X249" s="591">
        <f>X250</f>
        <v>0</v>
      </c>
      <c r="Y249" s="406" t="s">
        <v>358</v>
      </c>
      <c r="Z249" s="419"/>
    </row>
    <row r="250" spans="1:26" ht="21" hidden="1" customHeight="1">
      <c r="A250" s="25"/>
      <c r="B250" s="26"/>
      <c r="C250" s="26"/>
      <c r="D250" s="26"/>
      <c r="E250" s="28"/>
      <c r="F250" s="28"/>
      <c r="G250" s="29"/>
      <c r="H250" s="16"/>
      <c r="I250" s="338" t="s">
        <v>489</v>
      </c>
      <c r="J250" s="338"/>
      <c r="K250" s="338"/>
      <c r="L250" s="338"/>
      <c r="M250" s="338"/>
      <c r="N250" s="298"/>
      <c r="O250" s="298"/>
      <c r="P250" s="338"/>
      <c r="Q250" s="298"/>
      <c r="R250" s="298"/>
      <c r="S250" s="338"/>
      <c r="T250" s="298"/>
      <c r="U250" s="298"/>
      <c r="V250" s="338"/>
      <c r="W250" s="298"/>
      <c r="X250" s="597"/>
      <c r="Y250" s="392" t="s">
        <v>358</v>
      </c>
      <c r="Z250" s="419"/>
    </row>
    <row r="251" spans="1:26" ht="21" hidden="1" customHeight="1" thickBot="1">
      <c r="A251" s="25"/>
      <c r="B251" s="26"/>
      <c r="C251" s="26"/>
      <c r="D251" s="26"/>
      <c r="E251" s="28"/>
      <c r="F251" s="28"/>
      <c r="G251" s="29"/>
      <c r="H251" s="16"/>
      <c r="I251" s="252" t="s">
        <v>490</v>
      </c>
      <c r="J251" s="251"/>
      <c r="K251" s="101"/>
      <c r="L251" s="101"/>
      <c r="M251" s="101"/>
      <c r="N251" s="427"/>
      <c r="O251" s="427"/>
      <c r="P251" s="101"/>
      <c r="Q251" s="427"/>
      <c r="R251" s="427"/>
      <c r="S251" s="251" t="s">
        <v>488</v>
      </c>
      <c r="T251" s="481"/>
      <c r="U251" s="481"/>
      <c r="V251" s="251"/>
      <c r="W251" s="481"/>
      <c r="X251" s="596">
        <f>X252</f>
        <v>0</v>
      </c>
      <c r="Y251" s="409" t="s">
        <v>358</v>
      </c>
      <c r="Z251" s="419"/>
    </row>
    <row r="252" spans="1:26" ht="21" hidden="1" customHeight="1">
      <c r="A252" s="25"/>
      <c r="B252" s="26"/>
      <c r="C252" s="26"/>
      <c r="D252" s="26"/>
      <c r="E252" s="28"/>
      <c r="F252" s="28"/>
      <c r="G252" s="29"/>
      <c r="H252" s="16"/>
      <c r="I252" s="338" t="s">
        <v>491</v>
      </c>
      <c r="J252" s="246"/>
      <c r="K252" s="246"/>
      <c r="L252" s="246"/>
      <c r="M252" s="246"/>
      <c r="N252" s="176"/>
      <c r="O252" s="176"/>
      <c r="P252" s="246"/>
      <c r="Q252" s="176"/>
      <c r="R252" s="176"/>
      <c r="S252" s="246"/>
      <c r="T252" s="176"/>
      <c r="U252" s="176"/>
      <c r="V252" s="246"/>
      <c r="W252" s="176"/>
      <c r="X252" s="597"/>
      <c r="Y252" s="392" t="s">
        <v>358</v>
      </c>
      <c r="Z252" s="419"/>
    </row>
    <row r="253" spans="1:26" ht="21" hidden="1" customHeight="1" thickBot="1">
      <c r="A253" s="25"/>
      <c r="B253" s="26"/>
      <c r="C253" s="26"/>
      <c r="D253" s="26"/>
      <c r="E253" s="28"/>
      <c r="F253" s="28"/>
      <c r="G253" s="29"/>
      <c r="H253" s="16"/>
      <c r="I253" s="252" t="s">
        <v>492</v>
      </c>
      <c r="J253" s="251"/>
      <c r="K253" s="101"/>
      <c r="L253" s="101"/>
      <c r="M253" s="101"/>
      <c r="N253" s="427"/>
      <c r="O253" s="427"/>
      <c r="P253" s="101"/>
      <c r="Q253" s="427"/>
      <c r="R253" s="427"/>
      <c r="S253" s="251" t="s">
        <v>493</v>
      </c>
      <c r="T253" s="481"/>
      <c r="U253" s="481"/>
      <c r="V253" s="251"/>
      <c r="W253" s="481"/>
      <c r="X253" s="596">
        <f>SUM(X254:X254)</f>
        <v>0</v>
      </c>
      <c r="Y253" s="409" t="s">
        <v>358</v>
      </c>
      <c r="Z253" s="419"/>
    </row>
    <row r="254" spans="1:26" ht="21" hidden="1" customHeight="1">
      <c r="A254" s="25"/>
      <c r="B254" s="26"/>
      <c r="C254" s="26"/>
      <c r="D254" s="26"/>
      <c r="E254" s="28"/>
      <c r="F254" s="28"/>
      <c r="G254" s="29"/>
      <c r="H254" s="16"/>
      <c r="I254" s="338" t="s">
        <v>494</v>
      </c>
      <c r="J254" s="338"/>
      <c r="K254" s="338"/>
      <c r="L254" s="338"/>
      <c r="M254" s="338"/>
      <c r="N254" s="298"/>
      <c r="O254" s="298"/>
      <c r="P254" s="338"/>
      <c r="Q254" s="298"/>
      <c r="R254" s="298"/>
      <c r="S254" s="338"/>
      <c r="T254" s="298"/>
      <c r="U254" s="298"/>
      <c r="V254" s="338"/>
      <c r="W254" s="298"/>
      <c r="X254" s="598">
        <v>0</v>
      </c>
      <c r="Y254" s="392" t="s">
        <v>358</v>
      </c>
      <c r="Z254" s="419"/>
    </row>
    <row r="255" spans="1:26" ht="21" hidden="1" customHeight="1">
      <c r="A255" s="25"/>
      <c r="B255" s="26"/>
      <c r="C255" s="26" t="s">
        <v>454</v>
      </c>
      <c r="D255" s="26"/>
      <c r="E255" s="28"/>
      <c r="F255" s="28"/>
      <c r="G255" s="29"/>
      <c r="H255" s="16"/>
      <c r="I255" s="338"/>
      <c r="J255" s="338"/>
      <c r="K255" s="338"/>
      <c r="L255" s="338"/>
      <c r="M255" s="338"/>
      <c r="N255" s="298"/>
      <c r="O255" s="298"/>
      <c r="P255" s="338"/>
      <c r="Q255" s="298"/>
      <c r="R255" s="298"/>
      <c r="S255" s="338"/>
      <c r="T255" s="298"/>
      <c r="U255" s="298"/>
      <c r="V255" s="338"/>
      <c r="W255" s="298"/>
      <c r="X255" s="598"/>
      <c r="Y255" s="392"/>
      <c r="Z255" s="419"/>
    </row>
    <row r="256" spans="1:26" ht="21" hidden="1" customHeight="1">
      <c r="A256" s="25"/>
      <c r="B256" s="26"/>
      <c r="C256" s="26"/>
      <c r="D256" s="26"/>
      <c r="E256" s="28"/>
      <c r="F256" s="28"/>
      <c r="G256" s="29"/>
      <c r="H256" s="16"/>
      <c r="I256" s="374"/>
      <c r="J256" s="182"/>
      <c r="K256" s="465"/>
      <c r="L256" s="465"/>
      <c r="M256" s="465"/>
      <c r="N256" s="233"/>
      <c r="O256" s="233"/>
      <c r="P256" s="465"/>
      <c r="Q256" s="233"/>
      <c r="R256" s="233"/>
      <c r="S256" s="73"/>
      <c r="T256" s="482"/>
      <c r="U256" s="482"/>
      <c r="V256" s="73"/>
      <c r="W256" s="482"/>
      <c r="X256" s="604"/>
      <c r="Y256" s="410"/>
      <c r="Z256" s="419"/>
    </row>
    <row r="257" spans="1:26" ht="21" hidden="1" customHeight="1">
      <c r="A257" s="25"/>
      <c r="B257" s="26"/>
      <c r="C257" s="26"/>
      <c r="D257" s="26"/>
      <c r="E257" s="28"/>
      <c r="F257" s="28"/>
      <c r="G257" s="29"/>
      <c r="H257" s="16"/>
      <c r="I257" s="387"/>
      <c r="J257" s="234"/>
      <c r="K257" s="338"/>
      <c r="L257" s="338"/>
      <c r="M257" s="337"/>
      <c r="N257" s="339"/>
      <c r="O257" s="226"/>
      <c r="P257" s="228"/>
      <c r="Q257" s="226"/>
      <c r="R257" s="229"/>
      <c r="S257" s="48"/>
      <c r="T257" s="451"/>
      <c r="U257" s="339"/>
      <c r="V257" s="337"/>
      <c r="W257" s="339"/>
      <c r="X257" s="599"/>
      <c r="Y257" s="392" t="s">
        <v>358</v>
      </c>
      <c r="Z257" s="419"/>
    </row>
    <row r="258" spans="1:26" ht="21" hidden="1" customHeight="1">
      <c r="A258" s="25"/>
      <c r="B258" s="26"/>
      <c r="C258" s="26"/>
      <c r="D258" s="26"/>
      <c r="E258" s="28"/>
      <c r="F258" s="28"/>
      <c r="G258" s="29"/>
      <c r="H258" s="16"/>
      <c r="I258" s="234"/>
      <c r="J258" s="234"/>
      <c r="K258" s="338"/>
      <c r="L258" s="338"/>
      <c r="M258" s="337"/>
      <c r="N258" s="339"/>
      <c r="O258" s="226"/>
      <c r="P258" s="228"/>
      <c r="Q258" s="226"/>
      <c r="R258" s="229"/>
      <c r="S258" s="48"/>
      <c r="T258" s="451"/>
      <c r="U258" s="339"/>
      <c r="V258" s="338"/>
      <c r="W258" s="298"/>
      <c r="X258" s="599"/>
      <c r="Y258" s="392" t="s">
        <v>358</v>
      </c>
      <c r="Z258" s="419"/>
    </row>
    <row r="259" spans="1:26" ht="21" hidden="1" customHeight="1">
      <c r="A259" s="25"/>
      <c r="B259" s="26"/>
      <c r="C259" s="26"/>
      <c r="D259" s="26"/>
      <c r="E259" s="28"/>
      <c r="F259" s="28"/>
      <c r="G259" s="29"/>
      <c r="H259" s="16"/>
      <c r="I259" s="234"/>
      <c r="J259" s="234"/>
      <c r="K259" s="338"/>
      <c r="L259" s="338"/>
      <c r="M259" s="337"/>
      <c r="N259" s="339"/>
      <c r="O259" s="462"/>
      <c r="P259" s="228"/>
      <c r="Q259" s="226"/>
      <c r="R259" s="229"/>
      <c r="S259" s="48"/>
      <c r="T259" s="451"/>
      <c r="U259" s="339"/>
      <c r="V259" s="338"/>
      <c r="W259" s="298"/>
      <c r="X259" s="599"/>
      <c r="Y259" s="392" t="s">
        <v>358</v>
      </c>
      <c r="Z259" s="419"/>
    </row>
    <row r="260" spans="1:26" ht="21" hidden="1" customHeight="1">
      <c r="A260" s="25"/>
      <c r="B260" s="26"/>
      <c r="C260" s="26"/>
      <c r="D260" s="26"/>
      <c r="E260" s="28"/>
      <c r="F260" s="28"/>
      <c r="G260" s="29"/>
      <c r="H260" s="16"/>
      <c r="I260" s="234"/>
      <c r="J260" s="234"/>
      <c r="K260" s="338"/>
      <c r="L260" s="338"/>
      <c r="M260" s="338"/>
      <c r="N260" s="298"/>
      <c r="O260" s="298"/>
      <c r="P260" s="338"/>
      <c r="Q260" s="298"/>
      <c r="R260" s="298"/>
      <c r="S260" s="338"/>
      <c r="T260" s="298"/>
      <c r="U260" s="298"/>
      <c r="V260" s="338"/>
      <c r="W260" s="298"/>
      <c r="X260" s="599"/>
      <c r="Y260" s="392" t="s">
        <v>358</v>
      </c>
      <c r="Z260" s="419"/>
    </row>
    <row r="261" spans="1:26" ht="21" customHeight="1">
      <c r="A261" s="25"/>
      <c r="B261" s="26"/>
      <c r="C261" s="18" t="s">
        <v>495</v>
      </c>
      <c r="D261" s="250" t="s">
        <v>382</v>
      </c>
      <c r="E261" s="134">
        <f>E262</f>
        <v>85571</v>
      </c>
      <c r="F261" s="134">
        <f>F262</f>
        <v>85571</v>
      </c>
      <c r="G261" s="135">
        <f>F261-E261</f>
        <v>0</v>
      </c>
      <c r="H261" s="136">
        <f>IF(E261=0,0,G261/E261)</f>
        <v>0</v>
      </c>
      <c r="I261" s="121" t="s">
        <v>496</v>
      </c>
      <c r="J261" s="122"/>
      <c r="K261" s="123"/>
      <c r="L261" s="123"/>
      <c r="M261" s="123"/>
      <c r="N261" s="469"/>
      <c r="O261" s="469"/>
      <c r="P261" s="124"/>
      <c r="Q261" s="425"/>
      <c r="R261" s="425"/>
      <c r="S261" s="124"/>
      <c r="T261" s="425"/>
      <c r="U261" s="425"/>
      <c r="V261" s="148" t="s">
        <v>357</v>
      </c>
      <c r="W261" s="487"/>
      <c r="X261" s="577">
        <f>X262+X268+X277+X281+X288+X313+X324+X342</f>
        <v>85571000</v>
      </c>
      <c r="Y261" s="396" t="s">
        <v>358</v>
      </c>
      <c r="Z261" s="419"/>
    </row>
    <row r="262" spans="1:26" ht="21" customHeight="1" thickBot="1">
      <c r="A262" s="25"/>
      <c r="B262" s="26"/>
      <c r="C262" s="26" t="s">
        <v>454</v>
      </c>
      <c r="D262" s="26" t="s">
        <v>458</v>
      </c>
      <c r="E262" s="28">
        <v>85571</v>
      </c>
      <c r="F262" s="28">
        <f>ROUND(X261/1000,0)</f>
        <v>85571</v>
      </c>
      <c r="G262" s="20">
        <f>F262-E262</f>
        <v>0</v>
      </c>
      <c r="H262" s="21">
        <f>IF(E262=0,0,G262/E262)</f>
        <v>0</v>
      </c>
      <c r="I262" s="318" t="s">
        <v>577</v>
      </c>
      <c r="J262" s="319"/>
      <c r="K262" s="338"/>
      <c r="L262" s="338"/>
      <c r="M262" s="338"/>
      <c r="N262" s="298"/>
      <c r="O262" s="298"/>
      <c r="P262" s="338"/>
      <c r="Q262" s="298"/>
      <c r="R262" s="298"/>
      <c r="S262" s="251" t="s">
        <v>583</v>
      </c>
      <c r="T262" s="481"/>
      <c r="U262" s="481"/>
      <c r="V262" s="251"/>
      <c r="W262" s="481"/>
      <c r="X262" s="591">
        <f>SUM(X263:X267)</f>
        <v>41439000</v>
      </c>
      <c r="Y262" s="406" t="s">
        <v>358</v>
      </c>
      <c r="Z262" s="419"/>
    </row>
    <row r="263" spans="1:26" ht="21" customHeight="1">
      <c r="A263" s="25"/>
      <c r="B263" s="26"/>
      <c r="C263" s="26" t="s">
        <v>497</v>
      </c>
      <c r="D263" s="26" t="s">
        <v>498</v>
      </c>
      <c r="E263" s="28"/>
      <c r="F263" s="28"/>
      <c r="G263" s="29"/>
      <c r="H263" s="16"/>
      <c r="I263" s="348" t="s">
        <v>576</v>
      </c>
      <c r="J263" s="322"/>
      <c r="K263" s="338"/>
      <c r="L263" s="338"/>
      <c r="M263" s="337">
        <v>1100000</v>
      </c>
      <c r="N263" s="339" t="s">
        <v>358</v>
      </c>
      <c r="O263" s="383" t="s">
        <v>361</v>
      </c>
      <c r="P263" s="228">
        <v>12</v>
      </c>
      <c r="Q263" s="226" t="s">
        <v>360</v>
      </c>
      <c r="R263" s="229"/>
      <c r="S263" s="48"/>
      <c r="T263" s="451"/>
      <c r="U263" s="339" t="s">
        <v>362</v>
      </c>
      <c r="V263" s="337"/>
      <c r="W263" s="339"/>
      <c r="X263" s="599">
        <f>M263*P263</f>
        <v>13200000</v>
      </c>
      <c r="Y263" s="392" t="s">
        <v>358</v>
      </c>
      <c r="Z263" s="419"/>
    </row>
    <row r="264" spans="1:26" ht="21" customHeight="1">
      <c r="A264" s="25"/>
      <c r="B264" s="26"/>
      <c r="C264" s="26"/>
      <c r="D264" s="26"/>
      <c r="E264" s="28"/>
      <c r="F264" s="28"/>
      <c r="G264" s="29"/>
      <c r="H264" s="16"/>
      <c r="I264" s="177" t="s">
        <v>606</v>
      </c>
      <c r="J264" s="234"/>
      <c r="K264" s="338"/>
      <c r="L264" s="338"/>
      <c r="M264" s="337">
        <v>2067000</v>
      </c>
      <c r="N264" s="339" t="s">
        <v>597</v>
      </c>
      <c r="O264" s="383" t="s">
        <v>598</v>
      </c>
      <c r="P264" s="228">
        <v>10</v>
      </c>
      <c r="Q264" s="226" t="s">
        <v>599</v>
      </c>
      <c r="R264" s="229"/>
      <c r="S264" s="361"/>
      <c r="T264" s="474"/>
      <c r="U264" s="339" t="s">
        <v>600</v>
      </c>
      <c r="V264" s="337"/>
      <c r="W264" s="339"/>
      <c r="X264" s="599">
        <f>M264*P264</f>
        <v>20670000</v>
      </c>
      <c r="Y264" s="392" t="s">
        <v>597</v>
      </c>
      <c r="Z264" s="419"/>
    </row>
    <row r="265" spans="1:26" ht="21" customHeight="1">
      <c r="A265" s="25"/>
      <c r="B265" s="26"/>
      <c r="C265" s="26"/>
      <c r="D265" s="26"/>
      <c r="E265" s="28"/>
      <c r="F265" s="28"/>
      <c r="G265" s="29"/>
      <c r="H265" s="16"/>
      <c r="I265" s="177"/>
      <c r="J265" s="234"/>
      <c r="K265" s="338"/>
      <c r="L265" s="338"/>
      <c r="M265" s="337">
        <v>2121000</v>
      </c>
      <c r="N265" s="339" t="s">
        <v>294</v>
      </c>
      <c r="O265" s="383" t="s">
        <v>296</v>
      </c>
      <c r="P265" s="228">
        <v>2</v>
      </c>
      <c r="Q265" s="226" t="s">
        <v>0</v>
      </c>
      <c r="R265" s="229"/>
      <c r="S265" s="361"/>
      <c r="T265" s="474"/>
      <c r="U265" s="339" t="s">
        <v>53</v>
      </c>
      <c r="V265" s="337"/>
      <c r="W265" s="339"/>
      <c r="X265" s="599">
        <f>M265*P265</f>
        <v>4242000</v>
      </c>
      <c r="Y265" s="392" t="s">
        <v>294</v>
      </c>
      <c r="Z265" s="419"/>
    </row>
    <row r="266" spans="1:26" ht="21" customHeight="1">
      <c r="A266" s="25"/>
      <c r="B266" s="26"/>
      <c r="C266" s="26"/>
      <c r="D266" s="26"/>
      <c r="E266" s="28"/>
      <c r="F266" s="28"/>
      <c r="G266" s="29"/>
      <c r="H266" s="16"/>
      <c r="I266" s="177" t="s">
        <v>578</v>
      </c>
      <c r="J266" s="234"/>
      <c r="K266" s="338"/>
      <c r="L266" s="338"/>
      <c r="M266" s="337">
        <v>278000</v>
      </c>
      <c r="N266" s="339" t="s">
        <v>55</v>
      </c>
      <c r="O266" s="383" t="s">
        <v>56</v>
      </c>
      <c r="P266" s="228">
        <v>3</v>
      </c>
      <c r="Q266" s="226" t="s">
        <v>0</v>
      </c>
      <c r="R266" s="229"/>
      <c r="S266" s="48"/>
      <c r="T266" s="451"/>
      <c r="U266" s="339" t="s">
        <v>362</v>
      </c>
      <c r="V266" s="337"/>
      <c r="W266" s="339"/>
      <c r="X266" s="599">
        <f>M266*P266</f>
        <v>834000</v>
      </c>
      <c r="Y266" s="392" t="s">
        <v>55</v>
      </c>
      <c r="Z266" s="419"/>
    </row>
    <row r="267" spans="1:26" ht="21" customHeight="1">
      <c r="A267" s="25"/>
      <c r="B267" s="26"/>
      <c r="C267" s="26"/>
      <c r="D267" s="26"/>
      <c r="E267" s="28"/>
      <c r="F267" s="28"/>
      <c r="G267" s="29"/>
      <c r="H267" s="16"/>
      <c r="I267" s="234"/>
      <c r="J267" s="234"/>
      <c r="K267" s="338"/>
      <c r="L267" s="338"/>
      <c r="M267" s="337">
        <v>277000</v>
      </c>
      <c r="N267" s="339" t="s">
        <v>55</v>
      </c>
      <c r="O267" s="383" t="s">
        <v>56</v>
      </c>
      <c r="P267" s="228">
        <v>9</v>
      </c>
      <c r="Q267" s="226" t="s">
        <v>0</v>
      </c>
      <c r="R267" s="229"/>
      <c r="S267" s="48"/>
      <c r="T267" s="451"/>
      <c r="U267" s="339" t="s">
        <v>53</v>
      </c>
      <c r="V267" s="337"/>
      <c r="W267" s="339"/>
      <c r="X267" s="599">
        <f>M267*P267</f>
        <v>2493000</v>
      </c>
      <c r="Y267" s="392" t="s">
        <v>55</v>
      </c>
      <c r="Z267" s="419"/>
    </row>
    <row r="268" spans="1:26" ht="21" customHeight="1" thickBot="1">
      <c r="A268" s="25"/>
      <c r="B268" s="26"/>
      <c r="C268" s="26"/>
      <c r="D268" s="26"/>
      <c r="E268" s="28"/>
      <c r="F268" s="28"/>
      <c r="G268" s="29"/>
      <c r="H268" s="16"/>
      <c r="I268" s="318" t="s">
        <v>738</v>
      </c>
      <c r="J268" s="319"/>
      <c r="K268" s="338"/>
      <c r="L268" s="338"/>
      <c r="M268" s="338"/>
      <c r="N268" s="298"/>
      <c r="O268" s="383"/>
      <c r="P268" s="338"/>
      <c r="Q268" s="298"/>
      <c r="R268" s="298"/>
      <c r="S268" s="251" t="s">
        <v>582</v>
      </c>
      <c r="T268" s="481"/>
      <c r="U268" s="481"/>
      <c r="V268" s="251"/>
      <c r="W268" s="481"/>
      <c r="X268" s="591">
        <f>SUM(X269,X274,X273,X275)</f>
        <v>5443000</v>
      </c>
      <c r="Y268" s="406" t="s">
        <v>358</v>
      </c>
      <c r="Z268" s="419"/>
    </row>
    <row r="269" spans="1:26" ht="21" customHeight="1">
      <c r="A269" s="25"/>
      <c r="B269" s="26"/>
      <c r="C269" s="26"/>
      <c r="D269" s="26"/>
      <c r="E269" s="28"/>
      <c r="F269" s="28"/>
      <c r="G269" s="29"/>
      <c r="H269" s="16"/>
      <c r="I269" s="349" t="s">
        <v>687</v>
      </c>
      <c r="J269" s="350"/>
      <c r="K269" s="184"/>
      <c r="L269" s="184"/>
      <c r="M269" s="184"/>
      <c r="N269" s="462"/>
      <c r="O269" s="384"/>
      <c r="P269" s="49"/>
      <c r="Q269" s="385"/>
      <c r="R269" s="462"/>
      <c r="S269" s="351"/>
      <c r="T269" s="483"/>
      <c r="U269" s="483"/>
      <c r="V269" s="351"/>
      <c r="W269" s="483"/>
      <c r="X269" s="601">
        <f>SUM(X270:X272)</f>
        <v>3914000</v>
      </c>
      <c r="Y269" s="411" t="s">
        <v>55</v>
      </c>
      <c r="Z269" s="419"/>
    </row>
    <row r="270" spans="1:26" ht="21" customHeight="1">
      <c r="A270" s="25"/>
      <c r="B270" s="26"/>
      <c r="C270" s="26"/>
      <c r="D270" s="26"/>
      <c r="E270" s="28"/>
      <c r="F270" s="28"/>
      <c r="G270" s="29"/>
      <c r="H270" s="16"/>
      <c r="I270" s="177" t="s">
        <v>579</v>
      </c>
      <c r="J270" s="185"/>
      <c r="K270" s="184"/>
      <c r="L270" s="184"/>
      <c r="M270" s="184">
        <v>1100000</v>
      </c>
      <c r="N270" s="462" t="s">
        <v>55</v>
      </c>
      <c r="O270" s="384" t="s">
        <v>56</v>
      </c>
      <c r="P270" s="49">
        <v>0.5</v>
      </c>
      <c r="Q270" s="385">
        <v>2</v>
      </c>
      <c r="R270" s="462" t="s">
        <v>61</v>
      </c>
      <c r="S270" s="184"/>
      <c r="T270" s="462"/>
      <c r="U270" s="462" t="s">
        <v>362</v>
      </c>
      <c r="V270" s="58"/>
      <c r="W270" s="463"/>
      <c r="X270" s="570">
        <f>ROUND(M270*P270*Q270,-3)</f>
        <v>1100000</v>
      </c>
      <c r="Y270" s="398" t="s">
        <v>55</v>
      </c>
      <c r="Z270" s="419"/>
    </row>
    <row r="271" spans="1:26" ht="21" customHeight="1">
      <c r="A271" s="25"/>
      <c r="B271" s="26"/>
      <c r="C271" s="26"/>
      <c r="D271" s="26"/>
      <c r="E271" s="28"/>
      <c r="F271" s="28"/>
      <c r="G271" s="29"/>
      <c r="H271" s="16"/>
      <c r="I271" s="177" t="s">
        <v>607</v>
      </c>
      <c r="J271" s="338"/>
      <c r="K271" s="337"/>
      <c r="L271" s="337"/>
      <c r="M271" s="337">
        <v>2067000</v>
      </c>
      <c r="N271" s="339" t="s">
        <v>55</v>
      </c>
      <c r="O271" s="383" t="s">
        <v>56</v>
      </c>
      <c r="P271" s="321">
        <v>0.6</v>
      </c>
      <c r="Q271" s="386">
        <v>2</v>
      </c>
      <c r="R271" s="339" t="s">
        <v>61</v>
      </c>
      <c r="S271" s="337"/>
      <c r="T271" s="339"/>
      <c r="U271" s="339" t="s">
        <v>53</v>
      </c>
      <c r="V271" s="337"/>
      <c r="W271" s="339"/>
      <c r="X271" s="599">
        <f>ROUND(M271*P271*Q271,-3)</f>
        <v>2480000</v>
      </c>
      <c r="Y271" s="392" t="s">
        <v>55</v>
      </c>
      <c r="Z271" s="419"/>
    </row>
    <row r="272" spans="1:26" ht="21" customHeight="1">
      <c r="A272" s="25"/>
      <c r="B272" s="26"/>
      <c r="C272" s="26"/>
      <c r="D272" s="26"/>
      <c r="E272" s="28"/>
      <c r="F272" s="28"/>
      <c r="G272" s="29"/>
      <c r="H272" s="16"/>
      <c r="I272" s="177" t="s">
        <v>580</v>
      </c>
      <c r="J272" s="338"/>
      <c r="K272" s="337"/>
      <c r="L272" s="337"/>
      <c r="M272" s="337">
        <v>278000</v>
      </c>
      <c r="N272" s="339" t="s">
        <v>55</v>
      </c>
      <c r="O272" s="383" t="s">
        <v>56</v>
      </c>
      <c r="P272" s="321">
        <v>0.6</v>
      </c>
      <c r="Q272" s="386">
        <v>2</v>
      </c>
      <c r="R272" s="339" t="s">
        <v>61</v>
      </c>
      <c r="S272" s="337"/>
      <c r="T272" s="339"/>
      <c r="U272" s="339" t="s">
        <v>53</v>
      </c>
      <c r="V272" s="337"/>
      <c r="W272" s="339"/>
      <c r="X272" s="599">
        <f>ROUND(M272*P272*Q272,-3)</f>
        <v>334000</v>
      </c>
      <c r="Y272" s="392" t="s">
        <v>55</v>
      </c>
      <c r="Z272" s="419"/>
    </row>
    <row r="273" spans="1:26" ht="21" customHeight="1">
      <c r="A273" s="25"/>
      <c r="B273" s="26"/>
      <c r="C273" s="26"/>
      <c r="D273" s="26"/>
      <c r="E273" s="28"/>
      <c r="F273" s="28"/>
      <c r="G273" s="29"/>
      <c r="H273" s="16"/>
      <c r="I273" s="178" t="s">
        <v>601</v>
      </c>
      <c r="J273" s="338"/>
      <c r="K273" s="337"/>
      <c r="L273" s="337"/>
      <c r="M273" s="337">
        <v>70000</v>
      </c>
      <c r="N273" s="339" t="s">
        <v>55</v>
      </c>
      <c r="O273" s="383" t="s">
        <v>56</v>
      </c>
      <c r="P273" s="228">
        <v>12</v>
      </c>
      <c r="Q273" s="226" t="s">
        <v>0</v>
      </c>
      <c r="R273" s="339"/>
      <c r="S273" s="337"/>
      <c r="T273" s="339"/>
      <c r="U273" s="339" t="s">
        <v>53</v>
      </c>
      <c r="V273" s="337"/>
      <c r="W273" s="339"/>
      <c r="X273" s="588">
        <f>ROUND(M273*P273,-3)</f>
        <v>840000</v>
      </c>
      <c r="Y273" s="412" t="s">
        <v>55</v>
      </c>
      <c r="Z273" s="419"/>
    </row>
    <row r="274" spans="1:26" ht="21" customHeight="1">
      <c r="A274" s="25"/>
      <c r="B274" s="26"/>
      <c r="C274" s="26"/>
      <c r="D274" s="26"/>
      <c r="E274" s="28"/>
      <c r="F274" s="28"/>
      <c r="G274" s="29"/>
      <c r="H274" s="16"/>
      <c r="I274" s="178" t="s">
        <v>602</v>
      </c>
      <c r="J274" s="338"/>
      <c r="K274" s="337"/>
      <c r="L274" s="337"/>
      <c r="M274" s="337">
        <v>3327000</v>
      </c>
      <c r="N274" s="339" t="s">
        <v>55</v>
      </c>
      <c r="O274" s="383" t="s">
        <v>60</v>
      </c>
      <c r="P274" s="228">
        <v>209</v>
      </c>
      <c r="Q274" s="386">
        <v>1.5</v>
      </c>
      <c r="R274" s="459">
        <v>25</v>
      </c>
      <c r="S274" s="460"/>
      <c r="T274" s="339"/>
      <c r="U274" s="339" t="s">
        <v>53</v>
      </c>
      <c r="V274" s="337"/>
      <c r="W274" s="339"/>
      <c r="X274" s="588">
        <f>ROUND(M274/P274*Q274*R274,-3)-36000</f>
        <v>561000</v>
      </c>
      <c r="Y274" s="412" t="s">
        <v>55</v>
      </c>
      <c r="Z274" s="419"/>
    </row>
    <row r="275" spans="1:26" ht="21" customHeight="1">
      <c r="A275" s="25"/>
      <c r="B275" s="26"/>
      <c r="C275" s="26"/>
      <c r="D275" s="26"/>
      <c r="E275" s="28"/>
      <c r="F275" s="28"/>
      <c r="G275" s="29"/>
      <c r="H275" s="16"/>
      <c r="I275" s="178" t="s">
        <v>741</v>
      </c>
      <c r="J275" s="338"/>
      <c r="K275" s="337"/>
      <c r="L275" s="337"/>
      <c r="M275" s="337">
        <v>9813</v>
      </c>
      <c r="N275" s="339" t="s">
        <v>55</v>
      </c>
      <c r="O275" s="383" t="s">
        <v>56</v>
      </c>
      <c r="P275" s="228">
        <v>12</v>
      </c>
      <c r="Q275" s="226" t="s">
        <v>739</v>
      </c>
      <c r="R275" s="339"/>
      <c r="S275" s="337"/>
      <c r="T275" s="339"/>
      <c r="U275" s="339" t="s">
        <v>53</v>
      </c>
      <c r="V275" s="337"/>
      <c r="W275" s="339"/>
      <c r="X275" s="588">
        <f>ROUND(M275*P275+9810,-3)</f>
        <v>128000</v>
      </c>
      <c r="Y275" s="412" t="s">
        <v>55</v>
      </c>
      <c r="Z275" s="419"/>
    </row>
    <row r="276" spans="1:26" ht="21" customHeight="1">
      <c r="A276" s="25"/>
      <c r="B276" s="26"/>
      <c r="C276" s="26"/>
      <c r="D276" s="26"/>
      <c r="E276" s="28"/>
      <c r="F276" s="28"/>
      <c r="G276" s="29"/>
      <c r="H276" s="16"/>
      <c r="I276" s="338"/>
      <c r="J276" s="234"/>
      <c r="K276" s="338"/>
      <c r="L276" s="338"/>
      <c r="M276" s="338"/>
      <c r="N276" s="298"/>
      <c r="O276" s="383"/>
      <c r="P276" s="338"/>
      <c r="Q276" s="298"/>
      <c r="R276" s="298"/>
      <c r="S276" s="234"/>
      <c r="T276" s="484"/>
      <c r="U276" s="484"/>
      <c r="V276" s="234"/>
      <c r="W276" s="484"/>
      <c r="X276" s="602"/>
      <c r="Y276" s="413"/>
      <c r="Z276" s="419"/>
    </row>
    <row r="277" spans="1:26" ht="21" customHeight="1" thickBot="1">
      <c r="A277" s="25"/>
      <c r="B277" s="26"/>
      <c r="C277" s="26"/>
      <c r="D277" s="26"/>
      <c r="E277" s="28"/>
      <c r="F277" s="28"/>
      <c r="G277" s="29"/>
      <c r="H277" s="16"/>
      <c r="I277" s="318" t="s">
        <v>603</v>
      </c>
      <c r="J277" s="319"/>
      <c r="K277" s="338"/>
      <c r="L277" s="338"/>
      <c r="M277" s="338"/>
      <c r="N277" s="298"/>
      <c r="O277" s="383"/>
      <c r="P277" s="338"/>
      <c r="Q277" s="298"/>
      <c r="R277" s="298"/>
      <c r="S277" s="319" t="s">
        <v>604</v>
      </c>
      <c r="T277" s="485"/>
      <c r="U277" s="485"/>
      <c r="V277" s="319"/>
      <c r="W277" s="485"/>
      <c r="X277" s="596">
        <f>SUM(X278:X279)</f>
        <v>5477000</v>
      </c>
      <c r="Y277" s="409" t="s">
        <v>55</v>
      </c>
      <c r="Z277" s="419"/>
    </row>
    <row r="278" spans="1:26" ht="21" customHeight="1">
      <c r="A278" s="25"/>
      <c r="B278" s="26"/>
      <c r="C278" s="26"/>
      <c r="D278" s="26"/>
      <c r="E278" s="28"/>
      <c r="F278" s="28"/>
      <c r="G278" s="29"/>
      <c r="H278" s="16"/>
      <c r="I278" s="338" t="s">
        <v>605</v>
      </c>
      <c r="J278" s="234"/>
      <c r="K278" s="338"/>
      <c r="L278" s="338"/>
      <c r="M278" s="337">
        <v>46753410</v>
      </c>
      <c r="N278" s="339" t="s">
        <v>55</v>
      </c>
      <c r="O278" s="383" t="s">
        <v>60</v>
      </c>
      <c r="P278" s="228"/>
      <c r="Q278" s="226"/>
      <c r="R278" s="226"/>
      <c r="S278" s="126">
        <v>12</v>
      </c>
      <c r="T278" s="228" t="s">
        <v>0</v>
      </c>
      <c r="U278" s="228" t="s">
        <v>53</v>
      </c>
      <c r="V278" s="337"/>
      <c r="W278" s="429"/>
      <c r="X278" s="595">
        <f>ROUNDUP(M278/S278,-3)</f>
        <v>3897000</v>
      </c>
      <c r="Y278" s="414" t="s">
        <v>55</v>
      </c>
      <c r="Z278" s="419"/>
    </row>
    <row r="279" spans="1:26" ht="21" customHeight="1">
      <c r="A279" s="25"/>
      <c r="B279" s="26"/>
      <c r="C279" s="26"/>
      <c r="D279" s="26"/>
      <c r="E279" s="28"/>
      <c r="F279" s="28"/>
      <c r="G279" s="29"/>
      <c r="H279" s="16"/>
      <c r="I279" s="338" t="s">
        <v>581</v>
      </c>
      <c r="J279" s="234"/>
      <c r="K279" s="338"/>
      <c r="L279" s="338"/>
      <c r="M279" s="337">
        <v>18964840</v>
      </c>
      <c r="N279" s="339" t="s">
        <v>55</v>
      </c>
      <c r="O279" s="383" t="s">
        <v>60</v>
      </c>
      <c r="P279" s="228"/>
      <c r="Q279" s="226"/>
      <c r="R279" s="226"/>
      <c r="S279" s="362">
        <v>12</v>
      </c>
      <c r="T279" s="228" t="s">
        <v>0</v>
      </c>
      <c r="U279" s="228" t="s">
        <v>53</v>
      </c>
      <c r="V279" s="337"/>
      <c r="W279" s="339"/>
      <c r="X279" s="599">
        <f>ROUND((M279/S279),-3)</f>
        <v>1580000</v>
      </c>
      <c r="Y279" s="392" t="s">
        <v>55</v>
      </c>
      <c r="Z279" s="419"/>
    </row>
    <row r="280" spans="1:26" ht="21" customHeight="1">
      <c r="A280" s="25"/>
      <c r="B280" s="26"/>
      <c r="C280" s="26"/>
      <c r="D280" s="26"/>
      <c r="E280" s="28"/>
      <c r="F280" s="28"/>
      <c r="G280" s="29"/>
      <c r="H280" s="16"/>
      <c r="I280" s="234"/>
      <c r="J280" s="234"/>
      <c r="K280" s="338"/>
      <c r="L280" s="338"/>
      <c r="M280" s="338"/>
      <c r="N280" s="298"/>
      <c r="O280" s="383"/>
      <c r="P280" s="338"/>
      <c r="Q280" s="298"/>
      <c r="R280" s="298"/>
      <c r="S280" s="338"/>
      <c r="T280" s="298"/>
      <c r="U280" s="298"/>
      <c r="V280" s="338"/>
      <c r="W280" s="298"/>
      <c r="X280" s="599"/>
      <c r="Y280" s="392"/>
      <c r="Z280" s="419"/>
    </row>
    <row r="281" spans="1:26" ht="21" customHeight="1" thickBot="1">
      <c r="A281" s="25"/>
      <c r="B281" s="26"/>
      <c r="C281" s="26"/>
      <c r="D281" s="26"/>
      <c r="E281" s="28"/>
      <c r="F281" s="28"/>
      <c r="G281" s="29"/>
      <c r="H281" s="16"/>
      <c r="I281" s="318" t="s">
        <v>584</v>
      </c>
      <c r="J281" s="319"/>
      <c r="K281" s="338"/>
      <c r="L281" s="338"/>
      <c r="M281" s="338"/>
      <c r="N281" s="298"/>
      <c r="O281" s="383"/>
      <c r="P281" s="338"/>
      <c r="Q281" s="298"/>
      <c r="R281" s="298"/>
      <c r="S281" s="319" t="s">
        <v>594</v>
      </c>
      <c r="T281" s="485"/>
      <c r="U281" s="485"/>
      <c r="V281" s="319"/>
      <c r="W281" s="485"/>
      <c r="X281" s="596">
        <f>SUM(X282:X286)</f>
        <v>4825000</v>
      </c>
      <c r="Y281" s="409" t="s">
        <v>55</v>
      </c>
      <c r="Z281" s="419"/>
    </row>
    <row r="282" spans="1:26" ht="21" customHeight="1">
      <c r="A282" s="25"/>
      <c r="B282" s="26"/>
      <c r="C282" s="26"/>
      <c r="D282" s="26"/>
      <c r="E282" s="28"/>
      <c r="F282" s="28"/>
      <c r="G282" s="29"/>
      <c r="H282" s="16"/>
      <c r="I282" s="177" t="s">
        <v>364</v>
      </c>
      <c r="J282" s="338"/>
      <c r="K282" s="337"/>
      <c r="L282" s="337"/>
      <c r="M282" s="337">
        <v>46753410</v>
      </c>
      <c r="N282" s="339" t="s">
        <v>55</v>
      </c>
      <c r="O282" s="383" t="s">
        <v>56</v>
      </c>
      <c r="P282" s="257">
        <v>0.09</v>
      </c>
      <c r="Q282" s="339">
        <v>2</v>
      </c>
      <c r="R282" s="226"/>
      <c r="S282" s="321"/>
      <c r="T282" s="451"/>
      <c r="U282" s="339" t="s">
        <v>53</v>
      </c>
      <c r="V282" s="337"/>
      <c r="W282" s="339"/>
      <c r="X282" s="599">
        <f>ROUND(M282*P282/Q282,-3)</f>
        <v>2104000</v>
      </c>
      <c r="Y282" s="392" t="s">
        <v>55</v>
      </c>
      <c r="Z282" s="419"/>
    </row>
    <row r="283" spans="1:26" ht="21" customHeight="1">
      <c r="A283" s="25"/>
      <c r="B283" s="26"/>
      <c r="C283" s="26"/>
      <c r="D283" s="26"/>
      <c r="E283" s="28"/>
      <c r="F283" s="28"/>
      <c r="G283" s="29"/>
      <c r="H283" s="16"/>
      <c r="I283" s="177" t="s">
        <v>365</v>
      </c>
      <c r="J283" s="338"/>
      <c r="K283" s="337"/>
      <c r="L283" s="337"/>
      <c r="M283" s="337">
        <v>46753410</v>
      </c>
      <c r="N283" s="339" t="s">
        <v>55</v>
      </c>
      <c r="O283" s="383" t="s">
        <v>56</v>
      </c>
      <c r="P283" s="256">
        <v>7.0900000000000005E-2</v>
      </c>
      <c r="Q283" s="339">
        <v>2</v>
      </c>
      <c r="R283" s="226"/>
      <c r="S283" s="321"/>
      <c r="T283" s="451"/>
      <c r="U283" s="339" t="s">
        <v>53</v>
      </c>
      <c r="V283" s="337"/>
      <c r="W283" s="339"/>
      <c r="X283" s="599">
        <f>ROUNDUP(M283*P283/Q283,-3)</f>
        <v>1658000</v>
      </c>
      <c r="Y283" s="392" t="s">
        <v>55</v>
      </c>
      <c r="Z283" s="419"/>
    </row>
    <row r="284" spans="1:26" ht="21" customHeight="1">
      <c r="A284" s="25"/>
      <c r="B284" s="26"/>
      <c r="C284" s="26"/>
      <c r="D284" s="26"/>
      <c r="E284" s="28"/>
      <c r="F284" s="28"/>
      <c r="G284" s="29"/>
      <c r="H284" s="16"/>
      <c r="I284" s="177" t="s">
        <v>366</v>
      </c>
      <c r="J284" s="338"/>
      <c r="K284" s="337"/>
      <c r="L284" s="337"/>
      <c r="M284" s="337">
        <v>1658000</v>
      </c>
      <c r="N284" s="339" t="s">
        <v>55</v>
      </c>
      <c r="O284" s="383" t="s">
        <v>56</v>
      </c>
      <c r="P284" s="50">
        <v>0.12809999999999999</v>
      </c>
      <c r="Q284" s="226"/>
      <c r="R284" s="226"/>
      <c r="S284" s="321"/>
      <c r="T284" s="451"/>
      <c r="U284" s="339" t="s">
        <v>53</v>
      </c>
      <c r="V284" s="337"/>
      <c r="W284" s="339"/>
      <c r="X284" s="599">
        <f>ROUNDUP(M284*P284,-3)</f>
        <v>213000</v>
      </c>
      <c r="Y284" s="392" t="s">
        <v>55</v>
      </c>
      <c r="Z284" s="419"/>
    </row>
    <row r="285" spans="1:26" ht="21" customHeight="1">
      <c r="A285" s="25"/>
      <c r="B285" s="26"/>
      <c r="C285" s="26"/>
      <c r="D285" s="26"/>
      <c r="E285" s="28"/>
      <c r="F285" s="28"/>
      <c r="G285" s="29"/>
      <c r="H285" s="16"/>
      <c r="I285" s="177" t="s">
        <v>367</v>
      </c>
      <c r="J285" s="338"/>
      <c r="K285" s="337"/>
      <c r="L285" s="337"/>
      <c r="M285" s="337">
        <v>46753410</v>
      </c>
      <c r="N285" s="339" t="s">
        <v>55</v>
      </c>
      <c r="O285" s="383" t="s">
        <v>56</v>
      </c>
      <c r="P285" s="50">
        <v>1.15E-2</v>
      </c>
      <c r="Q285" s="226"/>
      <c r="R285" s="226"/>
      <c r="S285" s="321"/>
      <c r="T285" s="451"/>
      <c r="U285" s="339" t="s">
        <v>53</v>
      </c>
      <c r="V285" s="337"/>
      <c r="W285" s="339"/>
      <c r="X285" s="599">
        <f t="shared" ref="X285" si="8">ROUNDUP(M285*P285,-3)</f>
        <v>538000</v>
      </c>
      <c r="Y285" s="392" t="s">
        <v>55</v>
      </c>
      <c r="Z285" s="419"/>
    </row>
    <row r="286" spans="1:26" ht="21" customHeight="1">
      <c r="A286" s="25"/>
      <c r="B286" s="26"/>
      <c r="C286" s="26"/>
      <c r="D286" s="26"/>
      <c r="E286" s="28"/>
      <c r="F286" s="28"/>
      <c r="G286" s="29"/>
      <c r="H286" s="16"/>
      <c r="I286" s="177" t="s">
        <v>368</v>
      </c>
      <c r="J286" s="338"/>
      <c r="K286" s="337"/>
      <c r="L286" s="337"/>
      <c r="M286" s="337">
        <v>46753410</v>
      </c>
      <c r="N286" s="339" t="s">
        <v>55</v>
      </c>
      <c r="O286" s="383" t="s">
        <v>56</v>
      </c>
      <c r="P286" s="254">
        <v>6.6699999999999997E-3</v>
      </c>
      <c r="Q286" s="226"/>
      <c r="R286" s="226"/>
      <c r="S286" s="321"/>
      <c r="T286" s="451"/>
      <c r="U286" s="339" t="s">
        <v>53</v>
      </c>
      <c r="V286" s="337"/>
      <c r="W286" s="339"/>
      <c r="X286" s="599">
        <f>ROUNDUP(M286*P286,-3)</f>
        <v>312000</v>
      </c>
      <c r="Y286" s="392" t="s">
        <v>55</v>
      </c>
      <c r="Z286" s="419"/>
    </row>
    <row r="287" spans="1:26" ht="21" customHeight="1">
      <c r="A287" s="25"/>
      <c r="B287" s="26"/>
      <c r="C287" s="26"/>
      <c r="D287" s="26"/>
      <c r="E287" s="28"/>
      <c r="F287" s="28"/>
      <c r="G287" s="29"/>
      <c r="H287" s="16"/>
      <c r="I287" s="246"/>
      <c r="J287" s="234"/>
      <c r="K287" s="338"/>
      <c r="L287" s="338"/>
      <c r="M287" s="1"/>
      <c r="N287" s="298"/>
      <c r="O287" s="298"/>
      <c r="P287" s="338"/>
      <c r="Q287" s="298"/>
      <c r="R287" s="298"/>
      <c r="S287" s="338"/>
      <c r="T287" s="298"/>
      <c r="U287" s="298"/>
      <c r="V287" s="338"/>
      <c r="W287" s="298"/>
      <c r="X287" s="599"/>
      <c r="Y287" s="392"/>
      <c r="Z287" s="419"/>
    </row>
    <row r="288" spans="1:26" ht="21" customHeight="1" thickBot="1">
      <c r="A288" s="25"/>
      <c r="B288" s="26"/>
      <c r="C288" s="26"/>
      <c r="D288" s="26"/>
      <c r="E288" s="28"/>
      <c r="F288" s="28"/>
      <c r="G288" s="29"/>
      <c r="H288" s="16"/>
      <c r="I288" s="318" t="s">
        <v>725</v>
      </c>
      <c r="J288" s="319"/>
      <c r="K288" s="338"/>
      <c r="L288" s="338"/>
      <c r="M288" s="338"/>
      <c r="N288" s="298"/>
      <c r="O288" s="298"/>
      <c r="P288" s="338"/>
      <c r="Q288" s="298"/>
      <c r="R288" s="298"/>
      <c r="S288" s="319" t="s">
        <v>726</v>
      </c>
      <c r="T288" s="485"/>
      <c r="U288" s="485"/>
      <c r="V288" s="319"/>
      <c r="W288" s="485"/>
      <c r="X288" s="596">
        <f>X289+X297+X311</f>
        <v>21500000</v>
      </c>
      <c r="Y288" s="409" t="s">
        <v>25</v>
      </c>
      <c r="Z288" s="419"/>
    </row>
    <row r="289" spans="1:27" ht="21" hidden="1" customHeight="1">
      <c r="A289" s="25"/>
      <c r="B289" s="26"/>
      <c r="C289" s="26"/>
      <c r="D289" s="26"/>
      <c r="E289" s="28"/>
      <c r="F289" s="28"/>
      <c r="G289" s="29"/>
      <c r="H289" s="16"/>
      <c r="I289" s="436" t="s">
        <v>693</v>
      </c>
      <c r="J289" s="380"/>
      <c r="K289" s="246"/>
      <c r="L289" s="246"/>
      <c r="M289" s="246"/>
      <c r="N289" s="176"/>
      <c r="O289" s="176"/>
      <c r="P289" s="246"/>
      <c r="Q289" s="176"/>
      <c r="R289" s="176"/>
      <c r="S289" s="246"/>
      <c r="T289" s="176"/>
      <c r="U289" s="176"/>
      <c r="V289" s="379"/>
      <c r="W289" s="492"/>
      <c r="X289" s="603">
        <f>SUM(X290:X295)</f>
        <v>0</v>
      </c>
      <c r="Y289" s="435" t="s">
        <v>25</v>
      </c>
      <c r="Z289" s="419"/>
      <c r="AA289" s="1" t="s">
        <v>680</v>
      </c>
    </row>
    <row r="290" spans="1:27" ht="21" hidden="1" customHeight="1">
      <c r="A290" s="25"/>
      <c r="B290" s="26"/>
      <c r="C290" s="26"/>
      <c r="D290" s="26"/>
      <c r="E290" s="28"/>
      <c r="F290" s="28"/>
      <c r="G290" s="29"/>
      <c r="H290" s="16"/>
      <c r="I290" s="246" t="s">
        <v>694</v>
      </c>
      <c r="J290" s="162"/>
      <c r="K290" s="246"/>
      <c r="L290" s="246"/>
      <c r="M290" s="246"/>
      <c r="N290" s="176"/>
      <c r="O290" s="176"/>
      <c r="P290" s="246"/>
      <c r="Q290" s="176"/>
      <c r="R290" s="176"/>
      <c r="S290" s="246"/>
      <c r="T290" s="176"/>
      <c r="U290" s="176"/>
      <c r="V290" s="246"/>
      <c r="W290" s="176"/>
      <c r="X290" s="594">
        <v>0</v>
      </c>
      <c r="Y290" s="402" t="s">
        <v>25</v>
      </c>
      <c r="Z290" s="419"/>
    </row>
    <row r="291" spans="1:27" ht="21" hidden="1" customHeight="1">
      <c r="A291" s="25"/>
      <c r="B291" s="26"/>
      <c r="C291" s="26"/>
      <c r="D291" s="26"/>
      <c r="E291" s="28"/>
      <c r="F291" s="28"/>
      <c r="G291" s="29"/>
      <c r="H291" s="16"/>
      <c r="I291" s="246" t="s">
        <v>695</v>
      </c>
      <c r="J291" s="162"/>
      <c r="K291" s="246"/>
      <c r="L291" s="246"/>
      <c r="M291" s="246"/>
      <c r="N291" s="176"/>
      <c r="O291" s="176"/>
      <c r="P291" s="246"/>
      <c r="Q291" s="176"/>
      <c r="R291" s="176"/>
      <c r="S291" s="246"/>
      <c r="T291" s="176"/>
      <c r="U291" s="176"/>
      <c r="V291" s="246"/>
      <c r="W291" s="176"/>
      <c r="X291" s="594">
        <v>0</v>
      </c>
      <c r="Y291" s="402" t="s">
        <v>25</v>
      </c>
      <c r="Z291" s="419"/>
    </row>
    <row r="292" spans="1:27" ht="21" hidden="1" customHeight="1">
      <c r="A292" s="25"/>
      <c r="B292" s="26"/>
      <c r="C292" s="26"/>
      <c r="D292" s="26"/>
      <c r="E292" s="28"/>
      <c r="F292" s="28"/>
      <c r="G292" s="29"/>
      <c r="H292" s="16"/>
      <c r="I292" s="246" t="s">
        <v>696</v>
      </c>
      <c r="J292" s="162"/>
      <c r="K292" s="246"/>
      <c r="L292" s="246"/>
      <c r="M292" s="246"/>
      <c r="N292" s="176"/>
      <c r="O292" s="176"/>
      <c r="P292" s="246"/>
      <c r="Q292" s="176"/>
      <c r="R292" s="176"/>
      <c r="S292" s="246"/>
      <c r="T292" s="176"/>
      <c r="U292" s="176"/>
      <c r="V292" s="246"/>
      <c r="W292" s="176"/>
      <c r="X292" s="594">
        <v>0</v>
      </c>
      <c r="Y292" s="402" t="s">
        <v>25</v>
      </c>
      <c r="Z292" s="419"/>
    </row>
    <row r="293" spans="1:27" ht="21" hidden="1" customHeight="1">
      <c r="A293" s="25"/>
      <c r="B293" s="26"/>
      <c r="C293" s="26"/>
      <c r="D293" s="26"/>
      <c r="E293" s="28"/>
      <c r="F293" s="28"/>
      <c r="G293" s="29"/>
      <c r="H293" s="16"/>
      <c r="I293" s="246" t="s">
        <v>697</v>
      </c>
      <c r="J293" s="162"/>
      <c r="K293" s="246"/>
      <c r="L293" s="246"/>
      <c r="M293" s="246"/>
      <c r="N293" s="176"/>
      <c r="O293" s="176"/>
      <c r="P293" s="246"/>
      <c r="Q293" s="176"/>
      <c r="R293" s="176"/>
      <c r="S293" s="246"/>
      <c r="T293" s="176"/>
      <c r="U293" s="176"/>
      <c r="V293" s="246"/>
      <c r="W293" s="176"/>
      <c r="X293" s="594">
        <v>0</v>
      </c>
      <c r="Y293" s="402" t="s">
        <v>25</v>
      </c>
      <c r="Z293" s="419"/>
    </row>
    <row r="294" spans="1:27" ht="21" hidden="1" customHeight="1">
      <c r="A294" s="25"/>
      <c r="B294" s="26"/>
      <c r="C294" s="26"/>
      <c r="D294" s="26"/>
      <c r="E294" s="28"/>
      <c r="F294" s="28"/>
      <c r="G294" s="29"/>
      <c r="H294" s="16"/>
      <c r="I294" s="246" t="s">
        <v>698</v>
      </c>
      <c r="J294" s="162"/>
      <c r="K294" s="246"/>
      <c r="L294" s="246"/>
      <c r="M294" s="246"/>
      <c r="N294" s="176"/>
      <c r="O294" s="176"/>
      <c r="P294" s="246"/>
      <c r="Q294" s="176"/>
      <c r="R294" s="176"/>
      <c r="S294" s="246"/>
      <c r="T294" s="176"/>
      <c r="U294" s="176"/>
      <c r="V294" s="246"/>
      <c r="W294" s="176"/>
      <c r="X294" s="594">
        <v>0</v>
      </c>
      <c r="Y294" s="402" t="s">
        <v>25</v>
      </c>
      <c r="Z294" s="419"/>
    </row>
    <row r="295" spans="1:27" ht="21" hidden="1" customHeight="1">
      <c r="A295" s="25"/>
      <c r="B295" s="26"/>
      <c r="C295" s="26"/>
      <c r="D295" s="26"/>
      <c r="E295" s="28"/>
      <c r="F295" s="28"/>
      <c r="G295" s="29"/>
      <c r="H295" s="16"/>
      <c r="I295" s="246" t="s">
        <v>699</v>
      </c>
      <c r="J295" s="162"/>
      <c r="K295" s="246"/>
      <c r="L295" s="246"/>
      <c r="M295" s="246"/>
      <c r="N295" s="176"/>
      <c r="O295" s="176"/>
      <c r="P295" s="246"/>
      <c r="Q295" s="176"/>
      <c r="R295" s="176"/>
      <c r="S295" s="246"/>
      <c r="T295" s="176"/>
      <c r="U295" s="176"/>
      <c r="V295" s="246"/>
      <c r="W295" s="176"/>
      <c r="X295" s="594">
        <v>0</v>
      </c>
      <c r="Y295" s="402" t="s">
        <v>25</v>
      </c>
      <c r="Z295" s="419"/>
    </row>
    <row r="296" spans="1:27" ht="21" hidden="1" customHeight="1">
      <c r="A296" s="25"/>
      <c r="B296" s="26"/>
      <c r="C296" s="26"/>
      <c r="D296" s="26"/>
      <c r="E296" s="28"/>
      <c r="F296" s="28"/>
      <c r="G296" s="29"/>
      <c r="H296" s="16"/>
      <c r="I296" s="338"/>
      <c r="J296" s="234"/>
      <c r="K296" s="338"/>
      <c r="L296" s="338"/>
      <c r="M296" s="338"/>
      <c r="N296" s="298"/>
      <c r="O296" s="298"/>
      <c r="P296" s="338"/>
      <c r="Q296" s="298"/>
      <c r="R296" s="298"/>
      <c r="S296" s="338"/>
      <c r="T296" s="298"/>
      <c r="U296" s="298"/>
      <c r="V296" s="338"/>
      <c r="W296" s="298"/>
      <c r="X296" s="599"/>
      <c r="Y296" s="392"/>
      <c r="Z296" s="419"/>
    </row>
    <row r="297" spans="1:27" ht="21" customHeight="1">
      <c r="A297" s="25"/>
      <c r="B297" s="26"/>
      <c r="C297" s="26"/>
      <c r="D297" s="26"/>
      <c r="E297" s="28"/>
      <c r="F297" s="28"/>
      <c r="G297" s="29"/>
      <c r="H297" s="16"/>
      <c r="I297" s="178" t="s">
        <v>700</v>
      </c>
      <c r="J297" s="182"/>
      <c r="K297" s="338"/>
      <c r="L297" s="338"/>
      <c r="M297" s="338"/>
      <c r="N297" s="298"/>
      <c r="O297" s="298"/>
      <c r="P297" s="338"/>
      <c r="Q297" s="298"/>
      <c r="R297" s="298"/>
      <c r="S297" s="338"/>
      <c r="T297" s="298"/>
      <c r="U297" s="298"/>
      <c r="V297" s="465"/>
      <c r="W297" s="233"/>
      <c r="X297" s="588">
        <f>SUM(X298:X310)</f>
        <v>21500000</v>
      </c>
      <c r="Y297" s="412" t="s">
        <v>25</v>
      </c>
      <c r="Z297" s="419"/>
    </row>
    <row r="298" spans="1:27" ht="21" customHeight="1">
      <c r="A298" s="25"/>
      <c r="B298" s="26"/>
      <c r="C298" s="26"/>
      <c r="D298" s="26"/>
      <c r="E298" s="28"/>
      <c r="F298" s="28"/>
      <c r="G298" s="29"/>
      <c r="H298" s="16"/>
      <c r="I298" s="338" t="s">
        <v>701</v>
      </c>
      <c r="J298" s="234"/>
      <c r="K298" s="338"/>
      <c r="L298" s="338"/>
      <c r="M298" s="338"/>
      <c r="N298" s="298"/>
      <c r="O298" s="298"/>
      <c r="P298" s="338"/>
      <c r="Q298" s="298"/>
      <c r="R298" s="298"/>
      <c r="S298" s="338"/>
      <c r="T298" s="298"/>
      <c r="U298" s="298"/>
      <c r="V298" s="338"/>
      <c r="W298" s="298"/>
      <c r="X298" s="599">
        <v>4650000</v>
      </c>
      <c r="Y298" s="392" t="s">
        <v>25</v>
      </c>
      <c r="Z298" s="419"/>
    </row>
    <row r="299" spans="1:27" ht="21" customHeight="1">
      <c r="A299" s="25"/>
      <c r="B299" s="26"/>
      <c r="C299" s="26"/>
      <c r="D299" s="26"/>
      <c r="E299" s="28"/>
      <c r="F299" s="28"/>
      <c r="G299" s="29"/>
      <c r="H299" s="16"/>
      <c r="I299" s="338" t="s">
        <v>727</v>
      </c>
      <c r="J299" s="234"/>
      <c r="K299" s="338"/>
      <c r="L299" s="338"/>
      <c r="M299" s="338"/>
      <c r="N299" s="298"/>
      <c r="O299" s="298"/>
      <c r="P299" s="338"/>
      <c r="Q299" s="298"/>
      <c r="R299" s="298"/>
      <c r="S299" s="338"/>
      <c r="T299" s="298"/>
      <c r="U299" s="298"/>
      <c r="V299" s="338"/>
      <c r="W299" s="298"/>
      <c r="X299" s="599">
        <v>3000000</v>
      </c>
      <c r="Y299" s="392" t="s">
        <v>25</v>
      </c>
      <c r="Z299" s="419"/>
    </row>
    <row r="300" spans="1:27" ht="21" customHeight="1">
      <c r="A300" s="25"/>
      <c r="B300" s="26"/>
      <c r="C300" s="26"/>
      <c r="D300" s="26"/>
      <c r="E300" s="28"/>
      <c r="F300" s="28"/>
      <c r="G300" s="29"/>
      <c r="H300" s="16"/>
      <c r="I300" s="338" t="s">
        <v>702</v>
      </c>
      <c r="J300" s="234"/>
      <c r="K300" s="338"/>
      <c r="L300" s="338"/>
      <c r="M300" s="338"/>
      <c r="N300" s="298"/>
      <c r="O300" s="298"/>
      <c r="P300" s="338"/>
      <c r="Q300" s="298"/>
      <c r="R300" s="298"/>
      <c r="S300" s="338"/>
      <c r="T300" s="298"/>
      <c r="U300" s="298"/>
      <c r="V300" s="338"/>
      <c r="W300" s="298"/>
      <c r="X300" s="599">
        <v>0</v>
      </c>
      <c r="Y300" s="392" t="s">
        <v>25</v>
      </c>
      <c r="Z300" s="419"/>
    </row>
    <row r="301" spans="1:27" ht="21" customHeight="1">
      <c r="A301" s="25"/>
      <c r="B301" s="26"/>
      <c r="C301" s="26"/>
      <c r="D301" s="26"/>
      <c r="E301" s="28"/>
      <c r="F301" s="28"/>
      <c r="G301" s="29"/>
      <c r="H301" s="16"/>
      <c r="I301" s="338" t="s">
        <v>585</v>
      </c>
      <c r="J301" s="234"/>
      <c r="K301" s="338"/>
      <c r="L301" s="338"/>
      <c r="M301" s="338"/>
      <c r="N301" s="298"/>
      <c r="O301" s="298"/>
      <c r="P301" s="338"/>
      <c r="Q301" s="298"/>
      <c r="R301" s="298"/>
      <c r="S301" s="338"/>
      <c r="T301" s="298"/>
      <c r="U301" s="298"/>
      <c r="V301" s="338"/>
      <c r="W301" s="298"/>
      <c r="X301" s="599">
        <v>1500000</v>
      </c>
      <c r="Y301" s="392" t="s">
        <v>25</v>
      </c>
      <c r="Z301" s="419"/>
    </row>
    <row r="302" spans="1:27" ht="21" customHeight="1">
      <c r="A302" s="25"/>
      <c r="B302" s="26"/>
      <c r="C302" s="26"/>
      <c r="D302" s="26"/>
      <c r="E302" s="28"/>
      <c r="F302" s="28"/>
      <c r="G302" s="29"/>
      <c r="H302" s="16"/>
      <c r="I302" s="338" t="s">
        <v>728</v>
      </c>
      <c r="J302" s="234"/>
      <c r="K302" s="338"/>
      <c r="L302" s="338"/>
      <c r="M302" s="337"/>
      <c r="N302" s="339"/>
      <c r="O302" s="386"/>
      <c r="P302" s="337"/>
      <c r="Q302" s="298"/>
      <c r="R302" s="298"/>
      <c r="S302" s="338"/>
      <c r="T302" s="298"/>
      <c r="U302" s="298"/>
      <c r="V302" s="338"/>
      <c r="W302" s="298"/>
      <c r="X302" s="599">
        <v>560000</v>
      </c>
      <c r="Y302" s="392" t="s">
        <v>25</v>
      </c>
      <c r="Z302" s="419"/>
    </row>
    <row r="303" spans="1:27" ht="21" customHeight="1">
      <c r="A303" s="25"/>
      <c r="B303" s="26"/>
      <c r="C303" s="26"/>
      <c r="D303" s="26"/>
      <c r="E303" s="28"/>
      <c r="F303" s="28"/>
      <c r="G303" s="29"/>
      <c r="H303" s="16"/>
      <c r="I303" s="338" t="s">
        <v>729</v>
      </c>
      <c r="J303" s="234"/>
      <c r="K303" s="338"/>
      <c r="L303" s="338"/>
      <c r="M303" s="338"/>
      <c r="N303" s="298"/>
      <c r="O303" s="298"/>
      <c r="P303" s="338"/>
      <c r="Q303" s="298"/>
      <c r="R303" s="298"/>
      <c r="S303" s="338"/>
      <c r="T303" s="298"/>
      <c r="U303" s="298"/>
      <c r="V303" s="338"/>
      <c r="W303" s="298"/>
      <c r="X303" s="599">
        <v>140000</v>
      </c>
      <c r="Y303" s="392" t="s">
        <v>25</v>
      </c>
      <c r="Z303" s="419"/>
    </row>
    <row r="304" spans="1:27" ht="21" customHeight="1">
      <c r="A304" s="25"/>
      <c r="B304" s="26"/>
      <c r="C304" s="26"/>
      <c r="D304" s="26"/>
      <c r="E304" s="28"/>
      <c r="F304" s="28"/>
      <c r="G304" s="29"/>
      <c r="H304" s="16"/>
      <c r="I304" s="338" t="s">
        <v>730</v>
      </c>
      <c r="J304" s="234"/>
      <c r="K304" s="338"/>
      <c r="L304" s="338"/>
      <c r="M304" s="338"/>
      <c r="N304" s="298"/>
      <c r="O304" s="298"/>
      <c r="P304" s="338"/>
      <c r="Q304" s="298"/>
      <c r="R304" s="298"/>
      <c r="S304" s="338"/>
      <c r="T304" s="298"/>
      <c r="U304" s="298"/>
      <c r="V304" s="338"/>
      <c r="W304" s="298"/>
      <c r="X304" s="599">
        <v>2250000</v>
      </c>
      <c r="Y304" s="392" t="s">
        <v>25</v>
      </c>
      <c r="Z304" s="419"/>
    </row>
    <row r="305" spans="1:26" ht="21" customHeight="1">
      <c r="A305" s="25"/>
      <c r="B305" s="26"/>
      <c r="C305" s="26"/>
      <c r="D305" s="26"/>
      <c r="E305" s="28"/>
      <c r="F305" s="28"/>
      <c r="G305" s="29"/>
      <c r="H305" s="16"/>
      <c r="I305" s="338" t="s">
        <v>731</v>
      </c>
      <c r="J305" s="234"/>
      <c r="K305" s="338"/>
      <c r="L305" s="338"/>
      <c r="M305" s="338"/>
      <c r="N305" s="298"/>
      <c r="O305" s="298"/>
      <c r="P305" s="338"/>
      <c r="Q305" s="298"/>
      <c r="R305" s="298"/>
      <c r="S305" s="338"/>
      <c r="T305" s="298"/>
      <c r="U305" s="298"/>
      <c r="V305" s="338"/>
      <c r="W305" s="298"/>
      <c r="X305" s="599">
        <v>800000</v>
      </c>
      <c r="Y305" s="392" t="s">
        <v>25</v>
      </c>
      <c r="Z305" s="419"/>
    </row>
    <row r="306" spans="1:26" ht="21" customHeight="1">
      <c r="A306" s="25"/>
      <c r="B306" s="26"/>
      <c r="C306" s="26"/>
      <c r="D306" s="26"/>
      <c r="E306" s="28"/>
      <c r="F306" s="28"/>
      <c r="G306" s="29"/>
      <c r="H306" s="16"/>
      <c r="I306" s="338" t="s">
        <v>732</v>
      </c>
      <c r="J306" s="234"/>
      <c r="K306" s="338"/>
      <c r="L306" s="338"/>
      <c r="M306" s="338"/>
      <c r="N306" s="298"/>
      <c r="O306" s="298"/>
      <c r="P306" s="338"/>
      <c r="Q306" s="298"/>
      <c r="R306" s="298"/>
      <c r="S306" s="338"/>
      <c r="T306" s="298"/>
      <c r="U306" s="298"/>
      <c r="V306" s="338"/>
      <c r="W306" s="298"/>
      <c r="X306" s="599">
        <v>5000000</v>
      </c>
      <c r="Y306" s="392" t="s">
        <v>25</v>
      </c>
      <c r="Z306" s="419"/>
    </row>
    <row r="307" spans="1:26" ht="21" customHeight="1">
      <c r="A307" s="25"/>
      <c r="B307" s="26"/>
      <c r="C307" s="26"/>
      <c r="D307" s="26"/>
      <c r="E307" s="28"/>
      <c r="F307" s="28"/>
      <c r="G307" s="29"/>
      <c r="H307" s="16"/>
      <c r="I307" s="338" t="s">
        <v>782</v>
      </c>
      <c r="J307" s="234"/>
      <c r="K307" s="338"/>
      <c r="L307" s="338"/>
      <c r="M307" s="338"/>
      <c r="N307" s="298"/>
      <c r="O307" s="298"/>
      <c r="P307" s="338"/>
      <c r="Q307" s="298"/>
      <c r="R307" s="298"/>
      <c r="S307" s="338"/>
      <c r="T307" s="298"/>
      <c r="U307" s="298"/>
      <c r="V307" s="338"/>
      <c r="W307" s="298"/>
      <c r="X307" s="599">
        <v>500000</v>
      </c>
      <c r="Y307" s="392" t="s">
        <v>25</v>
      </c>
      <c r="Z307" s="419"/>
    </row>
    <row r="308" spans="1:26" ht="21" customHeight="1">
      <c r="A308" s="25"/>
      <c r="B308" s="26"/>
      <c r="C308" s="26"/>
      <c r="D308" s="26"/>
      <c r="E308" s="28"/>
      <c r="F308" s="28"/>
      <c r="G308" s="29"/>
      <c r="H308" s="16"/>
      <c r="I308" s="338" t="s">
        <v>783</v>
      </c>
      <c r="J308" s="234"/>
      <c r="K308" s="338"/>
      <c r="L308" s="338"/>
      <c r="M308" s="338"/>
      <c r="N308" s="298"/>
      <c r="O308" s="298"/>
      <c r="P308" s="338"/>
      <c r="Q308" s="298"/>
      <c r="R308" s="298"/>
      <c r="S308" s="338"/>
      <c r="T308" s="298"/>
      <c r="U308" s="298"/>
      <c r="V308" s="338"/>
      <c r="W308" s="298"/>
      <c r="X308" s="599">
        <v>1600000</v>
      </c>
      <c r="Y308" s="392" t="s">
        <v>25</v>
      </c>
      <c r="Z308" s="419"/>
    </row>
    <row r="309" spans="1:26" ht="21" customHeight="1">
      <c r="A309" s="25"/>
      <c r="B309" s="26"/>
      <c r="C309" s="26"/>
      <c r="D309" s="26"/>
      <c r="E309" s="28"/>
      <c r="F309" s="28"/>
      <c r="G309" s="29"/>
      <c r="H309" s="16"/>
      <c r="I309" s="338" t="s">
        <v>775</v>
      </c>
      <c r="J309" s="234"/>
      <c r="K309" s="338"/>
      <c r="L309" s="338"/>
      <c r="M309" s="338"/>
      <c r="N309" s="298"/>
      <c r="O309" s="298"/>
      <c r="P309" s="338"/>
      <c r="Q309" s="298"/>
      <c r="R309" s="298"/>
      <c r="S309" s="338"/>
      <c r="T309" s="298"/>
      <c r="U309" s="298"/>
      <c r="V309" s="338"/>
      <c r="W309" s="298"/>
      <c r="X309" s="599">
        <v>1500000</v>
      </c>
      <c r="Y309" s="392" t="s">
        <v>25</v>
      </c>
      <c r="Z309" s="419"/>
    </row>
    <row r="310" spans="1:26" ht="21" customHeight="1">
      <c r="A310" s="25"/>
      <c r="B310" s="26"/>
      <c r="C310" s="26"/>
      <c r="D310" s="26"/>
      <c r="E310" s="28"/>
      <c r="F310" s="28"/>
      <c r="G310" s="29"/>
      <c r="H310" s="16"/>
      <c r="I310" s="338"/>
      <c r="J310" s="234"/>
      <c r="K310" s="338"/>
      <c r="L310" s="338"/>
      <c r="M310" s="338"/>
      <c r="N310" s="298"/>
      <c r="O310" s="298"/>
      <c r="P310" s="338"/>
      <c r="Q310" s="298"/>
      <c r="R310" s="298"/>
      <c r="S310" s="338"/>
      <c r="T310" s="298"/>
      <c r="U310" s="298"/>
      <c r="V310" s="338"/>
      <c r="W310" s="298"/>
      <c r="X310" s="599"/>
      <c r="Y310" s="392"/>
      <c r="Z310" s="419"/>
    </row>
    <row r="311" spans="1:26" ht="21" hidden="1" customHeight="1">
      <c r="A311" s="25"/>
      <c r="B311" s="26"/>
      <c r="C311" s="26"/>
      <c r="D311" s="26"/>
      <c r="E311" s="28"/>
      <c r="F311" s="28"/>
      <c r="G311" s="29"/>
      <c r="H311" s="16"/>
      <c r="I311" s="178" t="s">
        <v>703</v>
      </c>
      <c r="J311" s="182"/>
      <c r="K311" s="338"/>
      <c r="L311" s="338"/>
      <c r="M311" s="338"/>
      <c r="N311" s="298"/>
      <c r="O311" s="298"/>
      <c r="P311" s="338"/>
      <c r="Q311" s="298"/>
      <c r="R311" s="298"/>
      <c r="S311" s="338"/>
      <c r="T311" s="298"/>
      <c r="U311" s="298"/>
      <c r="V311" s="465"/>
      <c r="W311" s="233"/>
      <c r="X311" s="588">
        <v>0</v>
      </c>
      <c r="Y311" s="412" t="s">
        <v>25</v>
      </c>
      <c r="Z311" s="419"/>
    </row>
    <row r="312" spans="1:26" ht="21" hidden="1" customHeight="1">
      <c r="A312" s="25"/>
      <c r="B312" s="26"/>
      <c r="C312" s="26"/>
      <c r="D312" s="26"/>
      <c r="E312" s="28"/>
      <c r="F312" s="28"/>
      <c r="G312" s="29"/>
      <c r="H312" s="16"/>
      <c r="I312" s="338"/>
      <c r="J312" s="234"/>
      <c r="K312" s="338"/>
      <c r="L312" s="338"/>
      <c r="M312" s="338"/>
      <c r="N312" s="298"/>
      <c r="O312" s="298"/>
      <c r="P312" s="338"/>
      <c r="Q312" s="298"/>
      <c r="R312" s="298"/>
      <c r="S312" s="338"/>
      <c r="T312" s="298"/>
      <c r="U312" s="298"/>
      <c r="V312" s="338"/>
      <c r="W312" s="298"/>
      <c r="X312" s="599"/>
      <c r="Y312" s="392"/>
      <c r="Z312" s="419"/>
    </row>
    <row r="313" spans="1:26" ht="21" customHeight="1" thickBot="1">
      <c r="A313" s="25"/>
      <c r="B313" s="26"/>
      <c r="C313" s="26"/>
      <c r="D313" s="26"/>
      <c r="E313" s="28"/>
      <c r="F313" s="28"/>
      <c r="G313" s="29"/>
      <c r="H313" s="16"/>
      <c r="I313" s="318" t="s">
        <v>704</v>
      </c>
      <c r="J313" s="319"/>
      <c r="K313" s="338"/>
      <c r="L313" s="338"/>
      <c r="M313" s="338"/>
      <c r="N313" s="298"/>
      <c r="O313" s="298"/>
      <c r="P313" s="338"/>
      <c r="Q313" s="298"/>
      <c r="R313" s="298"/>
      <c r="S313" s="319" t="s">
        <v>705</v>
      </c>
      <c r="T313" s="485"/>
      <c r="U313" s="485"/>
      <c r="V313" s="319"/>
      <c r="W313" s="485"/>
      <c r="X313" s="596">
        <f>X314+X320</f>
        <v>5987000</v>
      </c>
      <c r="Y313" s="409" t="s">
        <v>25</v>
      </c>
      <c r="Z313" s="419"/>
    </row>
    <row r="314" spans="1:26" ht="21" customHeight="1">
      <c r="A314" s="25"/>
      <c r="B314" s="26"/>
      <c r="C314" s="26"/>
      <c r="D314" s="26"/>
      <c r="E314" s="28"/>
      <c r="F314" s="28"/>
      <c r="G314" s="29"/>
      <c r="H314" s="16"/>
      <c r="I314" s="178" t="s">
        <v>721</v>
      </c>
      <c r="J314" s="182"/>
      <c r="K314" s="338"/>
      <c r="L314" s="338"/>
      <c r="M314" s="338"/>
      <c r="N314" s="298"/>
      <c r="O314" s="298"/>
      <c r="P314" s="338"/>
      <c r="Q314" s="298"/>
      <c r="R314" s="298"/>
      <c r="S314" s="338"/>
      <c r="T314" s="298"/>
      <c r="U314" s="298"/>
      <c r="V314" s="465"/>
      <c r="W314" s="428"/>
      <c r="X314" s="588">
        <f>SUM(X315:X319)</f>
        <v>4665000</v>
      </c>
      <c r="Y314" s="412" t="s">
        <v>25</v>
      </c>
      <c r="Z314" s="419"/>
    </row>
    <row r="315" spans="1:26" ht="21" customHeight="1">
      <c r="A315" s="25"/>
      <c r="B315" s="26"/>
      <c r="C315" s="26"/>
      <c r="D315" s="26"/>
      <c r="E315" s="28"/>
      <c r="F315" s="28"/>
      <c r="G315" s="29"/>
      <c r="H315" s="16"/>
      <c r="I315" s="338" t="s">
        <v>722</v>
      </c>
      <c r="J315" s="234"/>
      <c r="K315" s="338"/>
      <c r="L315" s="338"/>
      <c r="M315" s="338"/>
      <c r="N315" s="298"/>
      <c r="O315" s="298"/>
      <c r="P315" s="338"/>
      <c r="Q315" s="298"/>
      <c r="R315" s="298"/>
      <c r="S315" s="338"/>
      <c r="T315" s="298"/>
      <c r="U315" s="298"/>
      <c r="V315" s="338"/>
      <c r="W315" s="339"/>
      <c r="X315" s="599">
        <v>1000000</v>
      </c>
      <c r="Y315" s="392" t="s">
        <v>25</v>
      </c>
      <c r="Z315" s="419"/>
    </row>
    <row r="316" spans="1:26" ht="21" customHeight="1">
      <c r="A316" s="25"/>
      <c r="B316" s="26"/>
      <c r="C316" s="26"/>
      <c r="D316" s="26"/>
      <c r="E316" s="28"/>
      <c r="F316" s="28"/>
      <c r="G316" s="29"/>
      <c r="H316" s="16"/>
      <c r="I316" s="338" t="s">
        <v>784</v>
      </c>
      <c r="J316" s="234"/>
      <c r="K316" s="338"/>
      <c r="L316" s="338"/>
      <c r="M316" s="337"/>
      <c r="N316" s="339"/>
      <c r="O316" s="226"/>
      <c r="P316" s="337"/>
      <c r="Q316" s="339"/>
      <c r="R316" s="226"/>
      <c r="S316" s="337"/>
      <c r="T316" s="339"/>
      <c r="U316" s="339"/>
      <c r="V316" s="337"/>
      <c r="W316" s="339"/>
      <c r="X316" s="598">
        <v>530000</v>
      </c>
      <c r="Y316" s="392" t="s">
        <v>55</v>
      </c>
      <c r="Z316" s="419"/>
    </row>
    <row r="317" spans="1:26" ht="21" customHeight="1">
      <c r="A317" s="25"/>
      <c r="B317" s="26"/>
      <c r="C317" s="26"/>
      <c r="D317" s="26"/>
      <c r="E317" s="28"/>
      <c r="F317" s="28"/>
      <c r="G317" s="29"/>
      <c r="H317" s="16"/>
      <c r="I317" s="338" t="s">
        <v>785</v>
      </c>
      <c r="J317" s="234"/>
      <c r="K317" s="338"/>
      <c r="L317" s="338"/>
      <c r="M317" s="337"/>
      <c r="N317" s="339"/>
      <c r="O317" s="226"/>
      <c r="P317" s="337"/>
      <c r="Q317" s="339"/>
      <c r="R317" s="226"/>
      <c r="S317" s="337"/>
      <c r="T317" s="339"/>
      <c r="U317" s="339"/>
      <c r="V317" s="337"/>
      <c r="W317" s="230"/>
      <c r="X317" s="598">
        <v>2215000</v>
      </c>
      <c r="Y317" s="407" t="s">
        <v>25</v>
      </c>
      <c r="Z317" s="419"/>
    </row>
    <row r="318" spans="1:26" ht="21" customHeight="1">
      <c r="A318" s="25"/>
      <c r="B318" s="26"/>
      <c r="C318" s="26"/>
      <c r="D318" s="26"/>
      <c r="E318" s="28"/>
      <c r="F318" s="28"/>
      <c r="G318" s="29"/>
      <c r="H318" s="16"/>
      <c r="I318" s="338" t="s">
        <v>786</v>
      </c>
      <c r="J318" s="234"/>
      <c r="K318" s="338"/>
      <c r="L318" s="338"/>
      <c r="M318" s="184">
        <v>20000</v>
      </c>
      <c r="N318" s="462" t="s">
        <v>55</v>
      </c>
      <c r="O318" s="226" t="s">
        <v>56</v>
      </c>
      <c r="P318" s="184">
        <v>46</v>
      </c>
      <c r="Q318" s="339" t="s">
        <v>54</v>
      </c>
      <c r="R318" s="226"/>
      <c r="S318" s="321"/>
      <c r="T318" s="451"/>
      <c r="U318" s="339" t="s">
        <v>53</v>
      </c>
      <c r="V318" s="337"/>
      <c r="W318" s="339"/>
      <c r="X318" s="599">
        <f>M318*P318</f>
        <v>920000</v>
      </c>
      <c r="Y318" s="392" t="s">
        <v>55</v>
      </c>
      <c r="Z318" s="419"/>
    </row>
    <row r="319" spans="1:26" ht="21" customHeight="1">
      <c r="A319" s="25"/>
      <c r="B319" s="26"/>
      <c r="C319" s="26"/>
      <c r="D319" s="26"/>
      <c r="E319" s="28"/>
      <c r="F319" s="28"/>
      <c r="G319" s="29"/>
      <c r="H319" s="16"/>
      <c r="I319" s="387"/>
      <c r="J319" s="234"/>
      <c r="K319" s="338"/>
      <c r="L319" s="338"/>
      <c r="M319" s="338"/>
      <c r="N319" s="298"/>
      <c r="O319" s="298"/>
      <c r="P319" s="338"/>
      <c r="Q319" s="298"/>
      <c r="R319" s="298"/>
      <c r="S319" s="234"/>
      <c r="T319" s="484"/>
      <c r="U319" s="484"/>
      <c r="V319" s="234"/>
      <c r="W319" s="484"/>
      <c r="X319" s="602"/>
      <c r="Y319" s="413"/>
      <c r="Z319" s="419"/>
    </row>
    <row r="320" spans="1:26" ht="21" customHeight="1">
      <c r="A320" s="25"/>
      <c r="B320" s="26"/>
      <c r="C320" s="26"/>
      <c r="D320" s="26"/>
      <c r="E320" s="28"/>
      <c r="F320" s="28"/>
      <c r="G320" s="29"/>
      <c r="H320" s="16"/>
      <c r="I320" s="178" t="s">
        <v>706</v>
      </c>
      <c r="J320" s="182"/>
      <c r="K320" s="338"/>
      <c r="L320" s="338"/>
      <c r="M320" s="338"/>
      <c r="N320" s="298"/>
      <c r="O320" s="298"/>
      <c r="P320" s="338"/>
      <c r="Q320" s="298"/>
      <c r="R320" s="298"/>
      <c r="S320" s="338"/>
      <c r="T320" s="298"/>
      <c r="U320" s="298"/>
      <c r="V320" s="465"/>
      <c r="W320" s="428"/>
      <c r="X320" s="588">
        <f>SUM(X321:X323)</f>
        <v>1322000</v>
      </c>
      <c r="Y320" s="412" t="s">
        <v>25</v>
      </c>
      <c r="Z320" s="419"/>
    </row>
    <row r="321" spans="1:26" ht="21" customHeight="1">
      <c r="A321" s="25"/>
      <c r="B321" s="26"/>
      <c r="C321" s="26"/>
      <c r="D321" s="26"/>
      <c r="E321" s="28"/>
      <c r="F321" s="28"/>
      <c r="G321" s="29"/>
      <c r="H321" s="16"/>
      <c r="I321" s="338" t="s">
        <v>719</v>
      </c>
      <c r="J321" s="234"/>
      <c r="K321" s="338"/>
      <c r="L321" s="338"/>
      <c r="M321" s="338"/>
      <c r="N321" s="298"/>
      <c r="O321" s="298"/>
      <c r="P321" s="338"/>
      <c r="Q321" s="298"/>
      <c r="R321" s="298"/>
      <c r="S321" s="338"/>
      <c r="T321" s="298"/>
      <c r="U321" s="298"/>
      <c r="V321" s="338"/>
      <c r="W321" s="339"/>
      <c r="X321" s="599">
        <v>522000</v>
      </c>
      <c r="Y321" s="392" t="s">
        <v>25</v>
      </c>
      <c r="Z321" s="419"/>
    </row>
    <row r="322" spans="1:26" ht="21" customHeight="1">
      <c r="A322" s="25"/>
      <c r="B322" s="26"/>
      <c r="C322" s="26"/>
      <c r="D322" s="26"/>
      <c r="E322" s="28"/>
      <c r="F322" s="28"/>
      <c r="G322" s="29"/>
      <c r="H322" s="16"/>
      <c r="I322" s="338" t="s">
        <v>720</v>
      </c>
      <c r="J322" s="234"/>
      <c r="K322" s="338"/>
      <c r="L322" s="338"/>
      <c r="M322" s="338">
        <v>50000</v>
      </c>
      <c r="N322" s="298" t="s">
        <v>25</v>
      </c>
      <c r="O322" s="383" t="s">
        <v>56</v>
      </c>
      <c r="P322" s="338">
        <v>4</v>
      </c>
      <c r="Q322" s="386" t="s">
        <v>723</v>
      </c>
      <c r="R322" s="383" t="s">
        <v>56</v>
      </c>
      <c r="S322" s="338">
        <v>4</v>
      </c>
      <c r="T322" s="298" t="s">
        <v>724</v>
      </c>
      <c r="U322" s="298" t="s">
        <v>27</v>
      </c>
      <c r="V322" s="338"/>
      <c r="W322" s="339"/>
      <c r="X322" s="599">
        <v>800000</v>
      </c>
      <c r="Y322" s="392" t="s">
        <v>25</v>
      </c>
      <c r="Z322" s="419"/>
    </row>
    <row r="323" spans="1:26" ht="21" customHeight="1">
      <c r="A323" s="25"/>
      <c r="B323" s="26"/>
      <c r="C323" s="26"/>
      <c r="D323" s="26"/>
      <c r="E323" s="28"/>
      <c r="F323" s="28"/>
      <c r="G323" s="29"/>
      <c r="H323" s="16"/>
      <c r="I323" s="338"/>
      <c r="J323" s="234"/>
      <c r="K323" s="338"/>
      <c r="L323" s="338"/>
      <c r="M323" s="337"/>
      <c r="N323" s="339"/>
      <c r="O323" s="226"/>
      <c r="P323" s="337"/>
      <c r="Q323" s="339"/>
      <c r="R323" s="226"/>
      <c r="S323" s="337"/>
      <c r="T323" s="339"/>
      <c r="U323" s="339"/>
      <c r="V323" s="337"/>
      <c r="W323" s="230"/>
      <c r="X323" s="598"/>
      <c r="Y323" s="407"/>
      <c r="Z323" s="419"/>
    </row>
    <row r="324" spans="1:26" ht="21" customHeight="1" thickBot="1">
      <c r="A324" s="25"/>
      <c r="B324" s="26"/>
      <c r="C324" s="26"/>
      <c r="D324" s="26"/>
      <c r="E324" s="28"/>
      <c r="F324" s="28"/>
      <c r="G324" s="29"/>
      <c r="H324" s="16"/>
      <c r="I324" s="318" t="s">
        <v>742</v>
      </c>
      <c r="J324" s="319"/>
      <c r="K324" s="338"/>
      <c r="L324" s="338"/>
      <c r="M324" s="337"/>
      <c r="N324" s="339"/>
      <c r="O324" s="386"/>
      <c r="P324" s="337"/>
      <c r="Q324" s="226"/>
      <c r="R324" s="226"/>
      <c r="S324" s="319" t="s">
        <v>744</v>
      </c>
      <c r="T324" s="485"/>
      <c r="U324" s="485"/>
      <c r="V324" s="319"/>
      <c r="W324" s="485"/>
      <c r="X324" s="596">
        <f>X325</f>
        <v>500000</v>
      </c>
      <c r="Y324" s="409" t="s">
        <v>25</v>
      </c>
      <c r="Z324" s="419"/>
    </row>
    <row r="325" spans="1:26" ht="21" customHeight="1">
      <c r="A325" s="25"/>
      <c r="B325" s="26"/>
      <c r="C325" s="26"/>
      <c r="D325" s="26"/>
      <c r="E325" s="28"/>
      <c r="F325" s="28"/>
      <c r="G325" s="29"/>
      <c r="H325" s="16"/>
      <c r="I325" s="338" t="s">
        <v>743</v>
      </c>
      <c r="J325" s="234"/>
      <c r="K325" s="338"/>
      <c r="L325" s="338"/>
      <c r="M325" s="337"/>
      <c r="N325" s="339"/>
      <c r="O325" s="226"/>
      <c r="P325" s="228"/>
      <c r="Q325" s="226"/>
      <c r="R325" s="226"/>
      <c r="S325" s="234"/>
      <c r="T325" s="484"/>
      <c r="U325" s="484"/>
      <c r="V325" s="352"/>
      <c r="W325" s="493"/>
      <c r="X325" s="605">
        <v>500000</v>
      </c>
      <c r="Y325" s="415" t="s">
        <v>25</v>
      </c>
      <c r="Z325" s="419"/>
    </row>
    <row r="326" spans="1:26" ht="21" customHeight="1">
      <c r="A326" s="25"/>
      <c r="B326" s="26"/>
      <c r="C326" s="26"/>
      <c r="D326" s="26"/>
      <c r="E326" s="28"/>
      <c r="F326" s="28"/>
      <c r="G326" s="29"/>
      <c r="H326" s="16"/>
      <c r="I326" s="338"/>
      <c r="J326" s="234"/>
      <c r="K326" s="338"/>
      <c r="L326" s="338"/>
      <c r="M326" s="338"/>
      <c r="N326" s="298"/>
      <c r="O326" s="298"/>
      <c r="P326" s="338"/>
      <c r="Q326" s="298"/>
      <c r="R326" s="298"/>
      <c r="S326" s="338"/>
      <c r="T326" s="298"/>
      <c r="U326" s="298"/>
      <c r="V326" s="338"/>
      <c r="W326" s="339"/>
      <c r="X326" s="599"/>
      <c r="Y326" s="392"/>
      <c r="Z326" s="419"/>
    </row>
    <row r="327" spans="1:26" ht="21" hidden="1" customHeight="1">
      <c r="A327" s="25"/>
      <c r="B327" s="26"/>
      <c r="C327" s="26"/>
      <c r="D327" s="26"/>
      <c r="E327" s="28"/>
      <c r="F327" s="28"/>
      <c r="G327" s="29"/>
      <c r="H327" s="16"/>
      <c r="I327" s="246" t="s">
        <v>707</v>
      </c>
      <c r="J327" s="162"/>
      <c r="K327" s="246"/>
      <c r="L327" s="246"/>
      <c r="M327" s="246"/>
      <c r="N327" s="176"/>
      <c r="O327" s="176"/>
      <c r="P327" s="246"/>
      <c r="Q327" s="176"/>
      <c r="R327" s="176"/>
      <c r="S327" s="246"/>
      <c r="T327" s="176"/>
      <c r="U327" s="176"/>
      <c r="V327" s="246"/>
      <c r="W327" s="176"/>
      <c r="X327" s="594">
        <v>0</v>
      </c>
      <c r="Y327" s="402" t="s">
        <v>25</v>
      </c>
      <c r="Z327" s="419"/>
    </row>
    <row r="328" spans="1:26" ht="21" hidden="1" customHeight="1">
      <c r="A328" s="25"/>
      <c r="B328" s="26"/>
      <c r="C328" s="26"/>
      <c r="D328" s="26"/>
      <c r="E328" s="28"/>
      <c r="F328" s="28"/>
      <c r="G328" s="29"/>
      <c r="H328" s="16"/>
      <c r="I328" s="246" t="s">
        <v>708</v>
      </c>
      <c r="J328" s="162"/>
      <c r="K328" s="246"/>
      <c r="L328" s="246"/>
      <c r="M328" s="225">
        <v>20000</v>
      </c>
      <c r="N328" s="291" t="s">
        <v>25</v>
      </c>
      <c r="O328" s="388">
        <v>38</v>
      </c>
      <c r="P328" s="225" t="s">
        <v>128</v>
      </c>
      <c r="Q328" s="344"/>
      <c r="R328" s="344"/>
      <c r="S328" s="420"/>
      <c r="T328" s="486"/>
      <c r="U328" s="291" t="s">
        <v>27</v>
      </c>
      <c r="V328" s="225"/>
      <c r="W328" s="291"/>
      <c r="X328" s="594">
        <v>0</v>
      </c>
      <c r="Y328" s="402" t="s">
        <v>25</v>
      </c>
      <c r="Z328" s="419"/>
    </row>
    <row r="329" spans="1:26" ht="21" hidden="1" customHeight="1">
      <c r="A329" s="25"/>
      <c r="B329" s="26"/>
      <c r="C329" s="26"/>
      <c r="D329" s="26"/>
      <c r="E329" s="28"/>
      <c r="F329" s="28"/>
      <c r="G329" s="29"/>
      <c r="H329" s="16"/>
      <c r="I329" s="246" t="s">
        <v>709</v>
      </c>
      <c r="J329" s="162"/>
      <c r="K329" s="246"/>
      <c r="L329" s="246"/>
      <c r="M329" s="225">
        <v>40000</v>
      </c>
      <c r="N329" s="291" t="s">
        <v>25</v>
      </c>
      <c r="O329" s="388">
        <v>18</v>
      </c>
      <c r="P329" s="225" t="s">
        <v>128</v>
      </c>
      <c r="Q329" s="344"/>
      <c r="R329" s="344"/>
      <c r="S329" s="420"/>
      <c r="T329" s="486"/>
      <c r="U329" s="291" t="s">
        <v>27</v>
      </c>
      <c r="V329" s="225"/>
      <c r="W329" s="291"/>
      <c r="X329" s="594">
        <v>0</v>
      </c>
      <c r="Y329" s="402" t="s">
        <v>25</v>
      </c>
      <c r="Z329" s="419"/>
    </row>
    <row r="330" spans="1:26" ht="21" hidden="1" customHeight="1">
      <c r="A330" s="25"/>
      <c r="B330" s="26"/>
      <c r="C330" s="26"/>
      <c r="D330" s="26"/>
      <c r="E330" s="28"/>
      <c r="F330" s="28"/>
      <c r="G330" s="29"/>
      <c r="H330" s="16"/>
      <c r="I330" s="246" t="s">
        <v>710</v>
      </c>
      <c r="J330" s="162"/>
      <c r="K330" s="246"/>
      <c r="L330" s="246"/>
      <c r="M330" s="225">
        <v>40000</v>
      </c>
      <c r="N330" s="291" t="s">
        <v>25</v>
      </c>
      <c r="O330" s="388">
        <v>38</v>
      </c>
      <c r="P330" s="225" t="s">
        <v>128</v>
      </c>
      <c r="Q330" s="344"/>
      <c r="R330" s="344"/>
      <c r="S330" s="420"/>
      <c r="T330" s="486"/>
      <c r="U330" s="291" t="s">
        <v>27</v>
      </c>
      <c r="V330" s="225"/>
      <c r="W330" s="291"/>
      <c r="X330" s="594">
        <v>0</v>
      </c>
      <c r="Y330" s="402" t="s">
        <v>25</v>
      </c>
      <c r="Z330" s="419"/>
    </row>
    <row r="331" spans="1:26" ht="21" hidden="1" customHeight="1">
      <c r="A331" s="25"/>
      <c r="B331" s="26"/>
      <c r="C331" s="26"/>
      <c r="D331" s="26"/>
      <c r="E331" s="28"/>
      <c r="F331" s="28"/>
      <c r="G331" s="29"/>
      <c r="H331" s="16"/>
      <c r="I331" s="246" t="s">
        <v>711</v>
      </c>
      <c r="J331" s="162"/>
      <c r="K331" s="246"/>
      <c r="L331" s="246"/>
      <c r="M331" s="225">
        <v>940000</v>
      </c>
      <c r="N331" s="291" t="s">
        <v>25</v>
      </c>
      <c r="O331" s="388">
        <v>2</v>
      </c>
      <c r="P331" s="225" t="s">
        <v>213</v>
      </c>
      <c r="Q331" s="344"/>
      <c r="R331" s="344"/>
      <c r="S331" s="420"/>
      <c r="T331" s="486"/>
      <c r="U331" s="291" t="s">
        <v>27</v>
      </c>
      <c r="V331" s="225"/>
      <c r="W331" s="291"/>
      <c r="X331" s="594">
        <v>0</v>
      </c>
      <c r="Y331" s="402" t="s">
        <v>25</v>
      </c>
      <c r="Z331" s="419"/>
    </row>
    <row r="332" spans="1:26" ht="21" hidden="1" customHeight="1">
      <c r="A332" s="25"/>
      <c r="B332" s="26"/>
      <c r="C332" s="26"/>
      <c r="D332" s="26"/>
      <c r="E332" s="28"/>
      <c r="F332" s="28"/>
      <c r="G332" s="29"/>
      <c r="H332" s="16"/>
      <c r="I332" s="246" t="s">
        <v>712</v>
      </c>
      <c r="J332" s="162"/>
      <c r="K332" s="246"/>
      <c r="L332" s="246"/>
      <c r="M332" s="225">
        <v>700000</v>
      </c>
      <c r="N332" s="291" t="s">
        <v>25</v>
      </c>
      <c r="O332" s="388">
        <v>2</v>
      </c>
      <c r="P332" s="225" t="s">
        <v>213</v>
      </c>
      <c r="Q332" s="344"/>
      <c r="R332" s="344"/>
      <c r="S332" s="420"/>
      <c r="T332" s="486"/>
      <c r="U332" s="291" t="s">
        <v>27</v>
      </c>
      <c r="V332" s="225"/>
      <c r="W332" s="291"/>
      <c r="X332" s="594">
        <v>0</v>
      </c>
      <c r="Y332" s="402" t="s">
        <v>25</v>
      </c>
      <c r="Z332" s="419"/>
    </row>
    <row r="333" spans="1:26" ht="21" hidden="1" customHeight="1">
      <c r="A333" s="25"/>
      <c r="B333" s="26"/>
      <c r="C333" s="26"/>
      <c r="D333" s="26"/>
      <c r="E333" s="28"/>
      <c r="F333" s="28"/>
      <c r="G333" s="29"/>
      <c r="H333" s="16"/>
      <c r="I333" s="246" t="s">
        <v>713</v>
      </c>
      <c r="J333" s="162"/>
      <c r="K333" s="246"/>
      <c r="L333" s="246"/>
      <c r="M333" s="246"/>
      <c r="N333" s="176"/>
      <c r="O333" s="176"/>
      <c r="P333" s="246"/>
      <c r="Q333" s="176"/>
      <c r="R333" s="176"/>
      <c r="S333" s="246"/>
      <c r="T333" s="176"/>
      <c r="U333" s="176"/>
      <c r="V333" s="246"/>
      <c r="W333" s="176"/>
      <c r="X333" s="594">
        <v>0</v>
      </c>
      <c r="Y333" s="402" t="s">
        <v>25</v>
      </c>
      <c r="Z333" s="419"/>
    </row>
    <row r="334" spans="1:26" ht="21" hidden="1" customHeight="1">
      <c r="A334" s="25"/>
      <c r="B334" s="26"/>
      <c r="C334" s="26"/>
      <c r="D334" s="26"/>
      <c r="E334" s="28"/>
      <c r="F334" s="28"/>
      <c r="G334" s="29"/>
      <c r="H334" s="16"/>
      <c r="I334" s="246" t="s">
        <v>714</v>
      </c>
      <c r="J334" s="162"/>
      <c r="K334" s="246"/>
      <c r="L334" s="246"/>
      <c r="M334" s="225">
        <v>50000</v>
      </c>
      <c r="N334" s="291" t="s">
        <v>25</v>
      </c>
      <c r="O334" s="388">
        <v>20</v>
      </c>
      <c r="P334" s="225" t="s">
        <v>213</v>
      </c>
      <c r="Q334" s="344"/>
      <c r="R334" s="344"/>
      <c r="S334" s="420"/>
      <c r="T334" s="486"/>
      <c r="U334" s="291" t="s">
        <v>27</v>
      </c>
      <c r="V334" s="225"/>
      <c r="W334" s="291"/>
      <c r="X334" s="594">
        <v>0</v>
      </c>
      <c r="Y334" s="402" t="s">
        <v>25</v>
      </c>
      <c r="Z334" s="419"/>
    </row>
    <row r="335" spans="1:26" ht="21" hidden="1" customHeight="1">
      <c r="A335" s="25"/>
      <c r="B335" s="26"/>
      <c r="C335" s="26"/>
      <c r="D335" s="26"/>
      <c r="E335" s="28"/>
      <c r="F335" s="28"/>
      <c r="G335" s="29"/>
      <c r="H335" s="16"/>
      <c r="I335" s="246" t="s">
        <v>715</v>
      </c>
      <c r="J335" s="162"/>
      <c r="K335" s="246"/>
      <c r="L335" s="246"/>
      <c r="M335" s="225">
        <v>130000</v>
      </c>
      <c r="N335" s="291" t="s">
        <v>25</v>
      </c>
      <c r="O335" s="388">
        <v>3</v>
      </c>
      <c r="P335" s="225" t="s">
        <v>128</v>
      </c>
      <c r="Q335" s="344"/>
      <c r="R335" s="344"/>
      <c r="S335" s="420"/>
      <c r="T335" s="486"/>
      <c r="U335" s="291" t="s">
        <v>27</v>
      </c>
      <c r="V335" s="225"/>
      <c r="W335" s="291"/>
      <c r="X335" s="594">
        <v>0</v>
      </c>
      <c r="Y335" s="402" t="s">
        <v>25</v>
      </c>
      <c r="Z335" s="419"/>
    </row>
    <row r="336" spans="1:26" ht="21" hidden="1" customHeight="1">
      <c r="A336" s="25"/>
      <c r="B336" s="26"/>
      <c r="C336" s="26"/>
      <c r="D336" s="26"/>
      <c r="E336" s="28"/>
      <c r="F336" s="28"/>
      <c r="G336" s="29"/>
      <c r="H336" s="16"/>
      <c r="I336" s="246" t="s">
        <v>716</v>
      </c>
      <c r="J336" s="162"/>
      <c r="K336" s="246"/>
      <c r="L336" s="246"/>
      <c r="M336" s="225">
        <v>20000</v>
      </c>
      <c r="N336" s="291" t="s">
        <v>25</v>
      </c>
      <c r="O336" s="388">
        <v>2</v>
      </c>
      <c r="P336" s="225" t="s">
        <v>213</v>
      </c>
      <c r="Q336" s="388">
        <v>20</v>
      </c>
      <c r="R336" s="291" t="s">
        <v>128</v>
      </c>
      <c r="S336" s="420"/>
      <c r="T336" s="486"/>
      <c r="U336" s="291" t="s">
        <v>27</v>
      </c>
      <c r="V336" s="225"/>
      <c r="W336" s="291"/>
      <c r="X336" s="594">
        <v>0</v>
      </c>
      <c r="Y336" s="402" t="s">
        <v>25</v>
      </c>
      <c r="Z336" s="419"/>
    </row>
    <row r="337" spans="1:26" ht="21" hidden="1" customHeight="1">
      <c r="A337" s="25"/>
      <c r="B337" s="26"/>
      <c r="C337" s="26"/>
      <c r="D337" s="26"/>
      <c r="E337" s="28"/>
      <c r="F337" s="28"/>
      <c r="G337" s="29"/>
      <c r="H337" s="16"/>
      <c r="I337" s="246" t="s">
        <v>717</v>
      </c>
      <c r="J337" s="162"/>
      <c r="K337" s="246"/>
      <c r="L337" s="246"/>
      <c r="M337" s="225">
        <v>100000</v>
      </c>
      <c r="N337" s="291" t="s">
        <v>25</v>
      </c>
      <c r="O337" s="388">
        <v>4</v>
      </c>
      <c r="P337" s="225" t="s">
        <v>213</v>
      </c>
      <c r="Q337" s="344"/>
      <c r="R337" s="344"/>
      <c r="S337" s="420"/>
      <c r="T337" s="486"/>
      <c r="U337" s="291" t="s">
        <v>27</v>
      </c>
      <c r="V337" s="225"/>
      <c r="W337" s="291"/>
      <c r="X337" s="594">
        <v>0</v>
      </c>
      <c r="Y337" s="402" t="s">
        <v>25</v>
      </c>
      <c r="Z337" s="419"/>
    </row>
    <row r="338" spans="1:26" ht="21" hidden="1" customHeight="1">
      <c r="A338" s="25"/>
      <c r="B338" s="26"/>
      <c r="C338" s="26"/>
      <c r="D338" s="26"/>
      <c r="E338" s="28"/>
      <c r="F338" s="28"/>
      <c r="G338" s="29"/>
      <c r="H338" s="16"/>
      <c r="I338" s="338"/>
      <c r="J338" s="234"/>
      <c r="K338" s="338"/>
      <c r="L338" s="338"/>
      <c r="M338" s="337"/>
      <c r="N338" s="339"/>
      <c r="O338" s="386"/>
      <c r="P338" s="337"/>
      <c r="Q338" s="226"/>
      <c r="R338" s="226"/>
      <c r="S338" s="321"/>
      <c r="T338" s="451"/>
      <c r="U338" s="339"/>
      <c r="V338" s="337"/>
      <c r="W338" s="339"/>
      <c r="X338" s="599"/>
      <c r="Y338" s="392"/>
      <c r="Z338" s="419"/>
    </row>
    <row r="339" spans="1:26" ht="21" hidden="1" customHeight="1">
      <c r="A339" s="25"/>
      <c r="B339" s="26"/>
      <c r="C339" s="26"/>
      <c r="D339" s="26"/>
      <c r="E339" s="28"/>
      <c r="F339" s="28"/>
      <c r="G339" s="29"/>
      <c r="H339" s="16"/>
      <c r="I339" s="338"/>
      <c r="J339" s="234"/>
      <c r="K339" s="338"/>
      <c r="L339" s="338"/>
      <c r="M339" s="337"/>
      <c r="N339" s="339"/>
      <c r="O339" s="386"/>
      <c r="P339" s="337"/>
      <c r="Q339" s="226"/>
      <c r="R339" s="226"/>
      <c r="S339" s="321"/>
      <c r="T339" s="451"/>
      <c r="U339" s="339"/>
      <c r="V339" s="337"/>
      <c r="W339" s="339"/>
      <c r="X339" s="599"/>
      <c r="Y339" s="392"/>
      <c r="Z339" s="419"/>
    </row>
    <row r="340" spans="1:26" ht="21" hidden="1" customHeight="1">
      <c r="A340" s="25"/>
      <c r="B340" s="26"/>
      <c r="C340" s="26"/>
      <c r="D340" s="26"/>
      <c r="E340" s="28"/>
      <c r="F340" s="28"/>
      <c r="G340" s="29"/>
      <c r="H340" s="16"/>
      <c r="I340" s="338"/>
      <c r="J340" s="234"/>
      <c r="K340" s="338"/>
      <c r="L340" s="338"/>
      <c r="M340" s="337"/>
      <c r="N340" s="339"/>
      <c r="O340" s="386"/>
      <c r="P340" s="337"/>
      <c r="Q340" s="386"/>
      <c r="R340" s="339"/>
      <c r="S340" s="337"/>
      <c r="T340" s="339"/>
      <c r="U340" s="339"/>
      <c r="V340" s="337"/>
      <c r="W340" s="339"/>
      <c r="X340" s="599"/>
      <c r="Y340" s="392"/>
      <c r="Z340" s="419"/>
    </row>
    <row r="341" spans="1:26" ht="21" hidden="1" customHeight="1">
      <c r="A341" s="25"/>
      <c r="B341" s="26"/>
      <c r="C341" s="26"/>
      <c r="D341" s="26"/>
      <c r="E341" s="28"/>
      <c r="F341" s="28"/>
      <c r="G341" s="29"/>
      <c r="H341" s="16"/>
      <c r="I341" s="338"/>
      <c r="J341" s="234"/>
      <c r="K341" s="338"/>
      <c r="L341" s="338"/>
      <c r="M341" s="338"/>
      <c r="N341" s="298"/>
      <c r="O341" s="298"/>
      <c r="P341" s="338"/>
      <c r="Q341" s="298"/>
      <c r="R341" s="298"/>
      <c r="S341" s="338"/>
      <c r="T341" s="298"/>
      <c r="U341" s="298"/>
      <c r="V341" s="338"/>
      <c r="W341" s="298"/>
      <c r="X341" s="599"/>
      <c r="Y341" s="392"/>
      <c r="Z341" s="419"/>
    </row>
    <row r="342" spans="1:26" ht="21" customHeight="1" thickBot="1">
      <c r="A342" s="25"/>
      <c r="B342" s="26"/>
      <c r="C342" s="26"/>
      <c r="D342" s="26"/>
      <c r="E342" s="28"/>
      <c r="F342" s="28"/>
      <c r="G342" s="29"/>
      <c r="H342" s="16"/>
      <c r="I342" s="318" t="s">
        <v>811</v>
      </c>
      <c r="J342" s="319"/>
      <c r="K342" s="338"/>
      <c r="L342" s="338"/>
      <c r="M342" s="337"/>
      <c r="N342" s="339"/>
      <c r="O342" s="386"/>
      <c r="P342" s="337"/>
      <c r="Q342" s="226"/>
      <c r="R342" s="226"/>
      <c r="S342" s="319" t="s">
        <v>718</v>
      </c>
      <c r="T342" s="485"/>
      <c r="U342" s="485"/>
      <c r="V342" s="319"/>
      <c r="W342" s="485"/>
      <c r="X342" s="596">
        <f>X343</f>
        <v>400000</v>
      </c>
      <c r="Y342" s="409" t="s">
        <v>25</v>
      </c>
      <c r="Z342" s="419"/>
    </row>
    <row r="343" spans="1:26" ht="21" customHeight="1">
      <c r="A343" s="25"/>
      <c r="B343" s="26"/>
      <c r="C343" s="26"/>
      <c r="D343" s="26"/>
      <c r="E343" s="28"/>
      <c r="F343" s="28"/>
      <c r="G343" s="29"/>
      <c r="H343" s="16"/>
      <c r="I343" s="234"/>
      <c r="J343" s="234"/>
      <c r="K343" s="338"/>
      <c r="L343" s="338"/>
      <c r="M343" s="337">
        <v>80000</v>
      </c>
      <c r="N343" s="339" t="s">
        <v>25</v>
      </c>
      <c r="O343" s="226" t="s">
        <v>26</v>
      </c>
      <c r="P343" s="228">
        <v>5</v>
      </c>
      <c r="Q343" s="226" t="s">
        <v>128</v>
      </c>
      <c r="R343" s="226"/>
      <c r="S343" s="234"/>
      <c r="T343" s="484"/>
      <c r="U343" s="484"/>
      <c r="V343" s="352"/>
      <c r="W343" s="493"/>
      <c r="X343" s="605">
        <f>M343*P343</f>
        <v>400000</v>
      </c>
      <c r="Y343" s="415" t="s">
        <v>25</v>
      </c>
      <c r="Z343" s="419"/>
    </row>
    <row r="344" spans="1:26" ht="21" customHeight="1">
      <c r="A344" s="25"/>
      <c r="B344" s="26"/>
      <c r="C344" s="26"/>
      <c r="D344" s="26"/>
      <c r="E344" s="28"/>
      <c r="F344" s="28"/>
      <c r="G344" s="29"/>
      <c r="H344" s="16"/>
      <c r="I344" s="338"/>
      <c r="J344" s="234"/>
      <c r="K344" s="338"/>
      <c r="L344" s="338"/>
      <c r="M344" s="338"/>
      <c r="N344" s="298"/>
      <c r="O344" s="298"/>
      <c r="P344" s="338"/>
      <c r="Q344" s="298"/>
      <c r="R344" s="298"/>
      <c r="S344" s="338"/>
      <c r="T344" s="298"/>
      <c r="U344" s="298"/>
      <c r="V344" s="338"/>
      <c r="W344" s="298"/>
      <c r="X344" s="588"/>
      <c r="Y344" s="392"/>
      <c r="Z344" s="419"/>
    </row>
    <row r="345" spans="1:26" ht="21" customHeight="1">
      <c r="A345" s="17" t="s">
        <v>14</v>
      </c>
      <c r="B345" s="18" t="s">
        <v>14</v>
      </c>
      <c r="C345" s="764" t="s">
        <v>424</v>
      </c>
      <c r="D345" s="765"/>
      <c r="E345" s="155">
        <f>SUM(E346,E365)</f>
        <v>128374</v>
      </c>
      <c r="F345" s="155">
        <f>SUM(F346,F365)</f>
        <v>128376</v>
      </c>
      <c r="G345" s="156">
        <f>F345-E345</f>
        <v>2</v>
      </c>
      <c r="H345" s="157">
        <f>IF(E345=0,0,G345/E345)</f>
        <v>1.5579478710642342E-5</v>
      </c>
      <c r="I345" s="158" t="s">
        <v>499</v>
      </c>
      <c r="J345" s="159"/>
      <c r="K345" s="160"/>
      <c r="L345" s="160"/>
      <c r="M345" s="159"/>
      <c r="N345" s="424"/>
      <c r="O345" s="424"/>
      <c r="P345" s="159"/>
      <c r="Q345" s="424" t="s">
        <v>426</v>
      </c>
      <c r="R345" s="160"/>
      <c r="S345" s="161"/>
      <c r="T345" s="160"/>
      <c r="U345" s="160"/>
      <c r="V345" s="161"/>
      <c r="W345" s="160"/>
      <c r="X345" s="581">
        <f>SUM(X346,X365)</f>
        <v>128376000</v>
      </c>
      <c r="Y345" s="395" t="s">
        <v>25</v>
      </c>
      <c r="Z345" s="419"/>
    </row>
    <row r="346" spans="1:26" ht="21" customHeight="1">
      <c r="A346" s="25"/>
      <c r="B346" s="26"/>
      <c r="C346" s="18" t="s">
        <v>500</v>
      </c>
      <c r="D346" s="250" t="s">
        <v>501</v>
      </c>
      <c r="E346" s="134">
        <v>45358</v>
      </c>
      <c r="F346" s="134">
        <f>SUM(F347,F350,F353,F357,F360)</f>
        <v>45358</v>
      </c>
      <c r="G346" s="135">
        <f>F346-E346</f>
        <v>0</v>
      </c>
      <c r="H346" s="136">
        <f>IF(E346=0,0,G346/E346)</f>
        <v>0</v>
      </c>
      <c r="I346" s="121" t="s">
        <v>502</v>
      </c>
      <c r="J346" s="122"/>
      <c r="K346" s="123"/>
      <c r="L346" s="123"/>
      <c r="M346" s="123"/>
      <c r="N346" s="469"/>
      <c r="O346" s="469"/>
      <c r="P346" s="124"/>
      <c r="Q346" s="425"/>
      <c r="R346" s="425"/>
      <c r="S346" s="124"/>
      <c r="T346" s="425"/>
      <c r="U346" s="425"/>
      <c r="V346" s="148" t="s">
        <v>503</v>
      </c>
      <c r="W346" s="487"/>
      <c r="X346" s="578">
        <f>SUM(X347,X350,X353,X357,X360)</f>
        <v>45358000</v>
      </c>
      <c r="Y346" s="396" t="s">
        <v>504</v>
      </c>
      <c r="Z346" s="419"/>
    </row>
    <row r="347" spans="1:26" ht="21" hidden="1" customHeight="1">
      <c r="A347" s="25"/>
      <c r="B347" s="26"/>
      <c r="C347" s="26" t="s">
        <v>507</v>
      </c>
      <c r="D347" s="296" t="s">
        <v>505</v>
      </c>
      <c r="E347" s="19">
        <v>0</v>
      </c>
      <c r="F347" s="19">
        <f>ROUND(X347/1000,0)</f>
        <v>0</v>
      </c>
      <c r="G347" s="20">
        <f>F347-E347</f>
        <v>0</v>
      </c>
      <c r="H347" s="21">
        <f>IF(E347=0,0,G347/E347)</f>
        <v>0</v>
      </c>
      <c r="I347" s="84" t="s">
        <v>506</v>
      </c>
      <c r="J347" s="92"/>
      <c r="K347" s="58"/>
      <c r="L347" s="58"/>
      <c r="M347" s="58"/>
      <c r="N347" s="463"/>
      <c r="O347" s="463"/>
      <c r="P347" s="58"/>
      <c r="Q347" s="463"/>
      <c r="R347" s="463"/>
      <c r="S347" s="58"/>
      <c r="T347" s="463"/>
      <c r="U347" s="463"/>
      <c r="V347" s="761" t="s">
        <v>503</v>
      </c>
      <c r="W347" s="761"/>
      <c r="X347" s="574">
        <f>ROUNDUP(SUM(W348:X349),-3)</f>
        <v>0</v>
      </c>
      <c r="Y347" s="397" t="s">
        <v>504</v>
      </c>
      <c r="Z347" s="419"/>
    </row>
    <row r="348" spans="1:26" ht="21" hidden="1" customHeight="1">
      <c r="A348" s="25"/>
      <c r="B348" s="26"/>
      <c r="C348" s="26"/>
      <c r="D348" s="297"/>
      <c r="E348" s="28"/>
      <c r="F348" s="28"/>
      <c r="G348" s="29"/>
      <c r="H348" s="16"/>
      <c r="I348" s="177"/>
      <c r="J348" s="185"/>
      <c r="K348" s="184"/>
      <c r="L348" s="184"/>
      <c r="M348" s="184"/>
      <c r="N348" s="462"/>
      <c r="O348" s="462"/>
      <c r="P348" s="184"/>
      <c r="Q348" s="462"/>
      <c r="R348" s="462"/>
      <c r="S348" s="184"/>
      <c r="T348" s="462"/>
      <c r="U348" s="462"/>
      <c r="V348" s="462"/>
      <c r="W348" s="462"/>
      <c r="X348" s="570">
        <v>0</v>
      </c>
      <c r="Y348" s="398" t="s">
        <v>504</v>
      </c>
      <c r="Z348" s="419"/>
    </row>
    <row r="349" spans="1:26" ht="21" hidden="1" customHeight="1">
      <c r="A349" s="25"/>
      <c r="B349" s="26"/>
      <c r="C349" s="26"/>
      <c r="D349" s="292"/>
      <c r="E349" s="293"/>
      <c r="F349" s="294"/>
      <c r="G349" s="294"/>
      <c r="H349" s="295"/>
      <c r="I349" s="178"/>
      <c r="J349" s="217"/>
      <c r="K349" s="139"/>
      <c r="L349" s="139"/>
      <c r="M349" s="139"/>
      <c r="N349" s="118"/>
      <c r="O349" s="118"/>
      <c r="P349" s="139"/>
      <c r="Q349" s="118"/>
      <c r="R349" s="118"/>
      <c r="S349" s="139"/>
      <c r="T349" s="118"/>
      <c r="U349" s="118"/>
      <c r="V349" s="118"/>
      <c r="W349" s="118"/>
      <c r="X349" s="587">
        <v>0</v>
      </c>
      <c r="Y349" s="400" t="s">
        <v>504</v>
      </c>
      <c r="Z349" s="419"/>
    </row>
    <row r="350" spans="1:26" ht="21" customHeight="1">
      <c r="A350" s="25"/>
      <c r="B350" s="26"/>
      <c r="C350" s="26"/>
      <c r="D350" s="18" t="s">
        <v>508</v>
      </c>
      <c r="E350" s="19">
        <v>11099</v>
      </c>
      <c r="F350" s="19">
        <f>ROUND(X350/1000,0)</f>
        <v>11099</v>
      </c>
      <c r="G350" s="20">
        <f>F350-E350</f>
        <v>0</v>
      </c>
      <c r="H350" s="21">
        <f>IF(E350=0,0,G350/E350)</f>
        <v>0</v>
      </c>
      <c r="I350" s="84" t="s">
        <v>509</v>
      </c>
      <c r="J350" s="92"/>
      <c r="K350" s="58"/>
      <c r="L350" s="58"/>
      <c r="M350" s="58"/>
      <c r="N350" s="463"/>
      <c r="O350" s="463"/>
      <c r="P350" s="58"/>
      <c r="Q350" s="463"/>
      <c r="R350" s="463"/>
      <c r="S350" s="58"/>
      <c r="T350" s="463"/>
      <c r="U350" s="463"/>
      <c r="V350" s="761" t="s">
        <v>503</v>
      </c>
      <c r="W350" s="761"/>
      <c r="X350" s="574">
        <f>ROUNDUP(SUM(W351:X352),-3)</f>
        <v>11099000</v>
      </c>
      <c r="Y350" s="397" t="s">
        <v>504</v>
      </c>
      <c r="Z350" s="419"/>
    </row>
    <row r="351" spans="1:26" ht="21" customHeight="1">
      <c r="A351" s="25"/>
      <c r="B351" s="26"/>
      <c r="C351" s="26"/>
      <c r="D351" s="26"/>
      <c r="E351" s="28"/>
      <c r="F351" s="28"/>
      <c r="G351" s="29"/>
      <c r="H351" s="16"/>
      <c r="I351" s="177" t="s">
        <v>510</v>
      </c>
      <c r="J351" s="185"/>
      <c r="K351" s="184"/>
      <c r="L351" s="184"/>
      <c r="M351" s="184"/>
      <c r="N351" s="462"/>
      <c r="O351" s="462"/>
      <c r="P351" s="184"/>
      <c r="Q351" s="462"/>
      <c r="R351" s="462"/>
      <c r="S351" s="184"/>
      <c r="T351" s="462"/>
      <c r="U351" s="462"/>
      <c r="V351" s="462"/>
      <c r="W351" s="462"/>
      <c r="X351" s="570">
        <f>ROUNDUP(11098652,-3)</f>
        <v>11099000</v>
      </c>
      <c r="Y351" s="398" t="s">
        <v>504</v>
      </c>
      <c r="Z351" s="419"/>
    </row>
    <row r="352" spans="1:26" ht="21" customHeight="1">
      <c r="A352" s="25"/>
      <c r="B352" s="26"/>
      <c r="C352" s="26"/>
      <c r="D352" s="34"/>
      <c r="E352" s="36"/>
      <c r="F352" s="36"/>
      <c r="G352" s="37"/>
      <c r="H352" s="120"/>
      <c r="I352" s="178" t="s">
        <v>511</v>
      </c>
      <c r="J352" s="217"/>
      <c r="K352" s="139"/>
      <c r="L352" s="139"/>
      <c r="M352" s="139"/>
      <c r="N352" s="118"/>
      <c r="O352" s="118"/>
      <c r="P352" s="139"/>
      <c r="Q352" s="118"/>
      <c r="R352" s="118"/>
      <c r="S352" s="139"/>
      <c r="T352" s="118"/>
      <c r="U352" s="118"/>
      <c r="V352" s="118"/>
      <c r="W352" s="118"/>
      <c r="X352" s="571">
        <v>0</v>
      </c>
      <c r="Y352" s="400" t="s">
        <v>504</v>
      </c>
      <c r="Z352" s="419"/>
    </row>
    <row r="353" spans="1:27" ht="21" customHeight="1">
      <c r="A353" s="25"/>
      <c r="B353" s="26"/>
      <c r="C353" s="26"/>
      <c r="D353" s="18" t="s">
        <v>512</v>
      </c>
      <c r="E353" s="19">
        <v>33178</v>
      </c>
      <c r="F353" s="19">
        <f>ROUND(X353/1000,0)</f>
        <v>33178</v>
      </c>
      <c r="G353" s="20">
        <f>F353-E353</f>
        <v>0</v>
      </c>
      <c r="H353" s="21">
        <f>IF(E353=0,0,G353/E353)</f>
        <v>0</v>
      </c>
      <c r="I353" s="84" t="s">
        <v>513</v>
      </c>
      <c r="J353" s="92"/>
      <c r="K353" s="58"/>
      <c r="L353" s="58"/>
      <c r="M353" s="58"/>
      <c r="N353" s="463"/>
      <c r="O353" s="463"/>
      <c r="P353" s="58"/>
      <c r="Q353" s="463"/>
      <c r="R353" s="463"/>
      <c r="S353" s="58"/>
      <c r="T353" s="463"/>
      <c r="U353" s="463"/>
      <c r="V353" s="761" t="s">
        <v>503</v>
      </c>
      <c r="W353" s="761"/>
      <c r="X353" s="574">
        <f>ROUNDUP(SUM(W354:X355),-3)</f>
        <v>33178000</v>
      </c>
      <c r="Y353" s="397" t="s">
        <v>504</v>
      </c>
      <c r="Z353" s="419"/>
    </row>
    <row r="354" spans="1:27" ht="21" customHeight="1">
      <c r="A354" s="25"/>
      <c r="B354" s="26"/>
      <c r="C354" s="26"/>
      <c r="D354" s="26"/>
      <c r="E354" s="28"/>
      <c r="F354" s="28"/>
      <c r="G354" s="29"/>
      <c r="H354" s="16"/>
      <c r="I354" s="177" t="s">
        <v>514</v>
      </c>
      <c r="J354" s="185"/>
      <c r="K354" s="184"/>
      <c r="L354" s="184"/>
      <c r="M354" s="184"/>
      <c r="N354" s="462"/>
      <c r="O354" s="462"/>
      <c r="P354" s="184"/>
      <c r="Q354" s="462"/>
      <c r="R354" s="462"/>
      <c r="S354" s="184"/>
      <c r="T354" s="462"/>
      <c r="U354" s="462"/>
      <c r="V354" s="462"/>
      <c r="W354" s="462"/>
      <c r="X354" s="570">
        <f>ROUNDUP(4489707,-3)</f>
        <v>4490000</v>
      </c>
      <c r="Y354" s="398" t="s">
        <v>504</v>
      </c>
      <c r="Z354" s="419"/>
    </row>
    <row r="355" spans="1:27" ht="21" customHeight="1">
      <c r="A355" s="25"/>
      <c r="B355" s="26"/>
      <c r="C355" s="26"/>
      <c r="D355" s="26"/>
      <c r="E355" s="28"/>
      <c r="F355" s="28"/>
      <c r="G355" s="29"/>
      <c r="H355" s="16"/>
      <c r="I355" s="177" t="s">
        <v>515</v>
      </c>
      <c r="J355" s="185"/>
      <c r="K355" s="184"/>
      <c r="L355" s="184"/>
      <c r="M355" s="184"/>
      <c r="N355" s="462"/>
      <c r="O355" s="462"/>
      <c r="P355" s="184"/>
      <c r="Q355" s="462"/>
      <c r="R355" s="462"/>
      <c r="S355" s="184"/>
      <c r="T355" s="462"/>
      <c r="U355" s="462"/>
      <c r="V355" s="462"/>
      <c r="W355" s="462"/>
      <c r="X355" s="570">
        <f>ROUNDUP(28687740,-3)</f>
        <v>28688000</v>
      </c>
      <c r="Y355" s="398" t="s">
        <v>504</v>
      </c>
      <c r="Z355" s="419"/>
    </row>
    <row r="356" spans="1:27" ht="21" customHeight="1">
      <c r="A356" s="25"/>
      <c r="B356" s="26"/>
      <c r="C356" s="26"/>
      <c r="D356" s="34"/>
      <c r="E356" s="36"/>
      <c r="F356" s="36"/>
      <c r="G356" s="37"/>
      <c r="H356" s="120"/>
      <c r="I356" s="44"/>
      <c r="J356" s="217"/>
      <c r="K356" s="139"/>
      <c r="L356" s="139"/>
      <c r="M356" s="139"/>
      <c r="N356" s="118"/>
      <c r="O356" s="118"/>
      <c r="P356" s="139"/>
      <c r="Q356" s="118"/>
      <c r="R356" s="118"/>
      <c r="S356" s="139"/>
      <c r="T356" s="118"/>
      <c r="U356" s="118"/>
      <c r="V356" s="118"/>
      <c r="W356" s="118"/>
      <c r="X356" s="571"/>
      <c r="Y356" s="400"/>
      <c r="Z356" s="419"/>
    </row>
    <row r="357" spans="1:27" ht="21" customHeight="1">
      <c r="A357" s="25"/>
      <c r="B357" s="26"/>
      <c r="C357" s="26"/>
      <c r="D357" s="18" t="s">
        <v>211</v>
      </c>
      <c r="E357" s="19">
        <v>0</v>
      </c>
      <c r="F357" s="19">
        <f>ROUND(X357/1000,0)</f>
        <v>0</v>
      </c>
      <c r="G357" s="20">
        <f>F357-E357</f>
        <v>0</v>
      </c>
      <c r="H357" s="21">
        <f>IF(E357=0,0,G357/E357)</f>
        <v>0</v>
      </c>
      <c r="I357" s="84" t="s">
        <v>589</v>
      </c>
      <c r="J357" s="92"/>
      <c r="K357" s="58"/>
      <c r="L357" s="58"/>
      <c r="M357" s="58"/>
      <c r="N357" s="463"/>
      <c r="O357" s="463"/>
      <c r="P357" s="58"/>
      <c r="Q357" s="463"/>
      <c r="R357" s="463"/>
      <c r="S357" s="58"/>
      <c r="T357" s="463"/>
      <c r="U357" s="463"/>
      <c r="V357" s="761" t="s">
        <v>503</v>
      </c>
      <c r="W357" s="761"/>
      <c r="X357" s="574">
        <f>X358</f>
        <v>0</v>
      </c>
      <c r="Y357" s="397" t="s">
        <v>504</v>
      </c>
      <c r="Z357" s="419"/>
      <c r="AA357" s="357"/>
    </row>
    <row r="358" spans="1:27" ht="21" customHeight="1">
      <c r="A358" s="25"/>
      <c r="B358" s="26"/>
      <c r="C358" s="26"/>
      <c r="D358" s="26" t="s">
        <v>587</v>
      </c>
      <c r="E358" s="28"/>
      <c r="F358" s="28"/>
      <c r="G358" s="29"/>
      <c r="H358" s="16"/>
      <c r="I358" s="177" t="s">
        <v>588</v>
      </c>
      <c r="J358" s="185"/>
      <c r="K358" s="184"/>
      <c r="L358" s="184"/>
      <c r="M358" s="184"/>
      <c r="N358" s="462"/>
      <c r="O358" s="462"/>
      <c r="P358" s="184"/>
      <c r="Q358" s="462"/>
      <c r="R358" s="462"/>
      <c r="S358" s="184"/>
      <c r="T358" s="462"/>
      <c r="U358" s="462"/>
      <c r="V358" s="462"/>
      <c r="W358" s="462"/>
      <c r="X358" s="570"/>
      <c r="Y358" s="398" t="s">
        <v>504</v>
      </c>
      <c r="Z358" s="419"/>
    </row>
    <row r="359" spans="1:27" ht="21" customHeight="1">
      <c r="A359" s="25"/>
      <c r="B359" s="26"/>
      <c r="C359" s="26"/>
      <c r="D359" s="34"/>
      <c r="E359" s="36"/>
      <c r="F359" s="36"/>
      <c r="G359" s="37"/>
      <c r="H359" s="120"/>
      <c r="I359" s="178"/>
      <c r="J359" s="217"/>
      <c r="K359" s="139"/>
      <c r="L359" s="139"/>
      <c r="M359" s="139"/>
      <c r="N359" s="118"/>
      <c r="O359" s="118"/>
      <c r="P359" s="139"/>
      <c r="Q359" s="118"/>
      <c r="R359" s="118"/>
      <c r="S359" s="139"/>
      <c r="T359" s="118"/>
      <c r="U359" s="118"/>
      <c r="V359" s="118"/>
      <c r="W359" s="118"/>
      <c r="X359" s="571"/>
      <c r="Y359" s="400"/>
      <c r="Z359" s="419"/>
    </row>
    <row r="360" spans="1:27" ht="21" customHeight="1">
      <c r="A360" s="25"/>
      <c r="B360" s="26"/>
      <c r="C360" s="26"/>
      <c r="D360" s="306" t="s">
        <v>516</v>
      </c>
      <c r="E360" s="281">
        <v>1081</v>
      </c>
      <c r="F360" s="19">
        <f>ROUND(X360/1000,0)</f>
        <v>1081</v>
      </c>
      <c r="G360" s="310">
        <f>F360-E360</f>
        <v>0</v>
      </c>
      <c r="H360" s="311">
        <f>IF(E360=0,0,G360/E360)</f>
        <v>0</v>
      </c>
      <c r="I360" s="84" t="s">
        <v>586</v>
      </c>
      <c r="J360" s="92"/>
      <c r="K360" s="58"/>
      <c r="L360" s="58"/>
      <c r="M360" s="58"/>
      <c r="N360" s="463"/>
      <c r="O360" s="463"/>
      <c r="P360" s="58"/>
      <c r="Q360" s="463"/>
      <c r="R360" s="463"/>
      <c r="S360" s="58"/>
      <c r="T360" s="463"/>
      <c r="U360" s="463"/>
      <c r="V360" s="761" t="s">
        <v>503</v>
      </c>
      <c r="W360" s="761"/>
      <c r="X360" s="574">
        <f>SUM(X361:X363)</f>
        <v>1081000</v>
      </c>
      <c r="Y360" s="397" t="s">
        <v>55</v>
      </c>
      <c r="Z360" s="419"/>
    </row>
    <row r="361" spans="1:27" ht="21" customHeight="1">
      <c r="A361" s="25"/>
      <c r="B361" s="26"/>
      <c r="C361" s="26"/>
      <c r="D361" s="306" t="s">
        <v>518</v>
      </c>
      <c r="E361" s="281"/>
      <c r="F361" s="281"/>
      <c r="G361" s="310"/>
      <c r="H361" s="311"/>
      <c r="I361" s="177" t="s">
        <v>517</v>
      </c>
      <c r="J361" s="338"/>
      <c r="K361" s="337"/>
      <c r="L361" s="337"/>
      <c r="M361" s="337"/>
      <c r="N361" s="339"/>
      <c r="O361" s="339"/>
      <c r="P361" s="337"/>
      <c r="Q361" s="339"/>
      <c r="R361" s="339"/>
      <c r="S361" s="337"/>
      <c r="T361" s="339"/>
      <c r="U361" s="339"/>
      <c r="V361" s="339"/>
      <c r="W361" s="339"/>
      <c r="X361" s="599">
        <f>ROUNDUP(251791,-3)</f>
        <v>252000</v>
      </c>
      <c r="Y361" s="392" t="s">
        <v>55</v>
      </c>
      <c r="Z361" s="419"/>
    </row>
    <row r="362" spans="1:27" ht="21" customHeight="1">
      <c r="A362" s="25"/>
      <c r="B362" s="26"/>
      <c r="C362" s="26"/>
      <c r="D362" s="306"/>
      <c r="E362" s="281"/>
      <c r="F362" s="281"/>
      <c r="G362" s="310"/>
      <c r="H362" s="311"/>
      <c r="I362" s="177" t="s">
        <v>519</v>
      </c>
      <c r="J362" s="338"/>
      <c r="K362" s="337"/>
      <c r="L362" s="337"/>
      <c r="M362" s="337"/>
      <c r="N362" s="339"/>
      <c r="O362" s="339"/>
      <c r="P362" s="337"/>
      <c r="Q362" s="339"/>
      <c r="R362" s="339"/>
      <c r="S362" s="337"/>
      <c r="T362" s="339"/>
      <c r="U362" s="339"/>
      <c r="V362" s="339"/>
      <c r="W362" s="339"/>
      <c r="X362" s="599">
        <f>ROUNDUP(578653+150000,-3)</f>
        <v>729000</v>
      </c>
      <c r="Y362" s="392" t="s">
        <v>358</v>
      </c>
      <c r="Z362" s="419"/>
    </row>
    <row r="363" spans="1:27" ht="21" customHeight="1">
      <c r="A363" s="25"/>
      <c r="B363" s="26"/>
      <c r="C363" s="26"/>
      <c r="D363" s="306"/>
      <c r="E363" s="281"/>
      <c r="F363" s="281"/>
      <c r="G363" s="310"/>
      <c r="H363" s="311"/>
      <c r="I363" s="177" t="s">
        <v>520</v>
      </c>
      <c r="J363" s="338"/>
      <c r="K363" s="337"/>
      <c r="L363" s="337"/>
      <c r="M363" s="337"/>
      <c r="N363" s="339"/>
      <c r="O363" s="339"/>
      <c r="P363" s="337"/>
      <c r="Q363" s="339"/>
      <c r="R363" s="339"/>
      <c r="S363" s="337"/>
      <c r="T363" s="339"/>
      <c r="U363" s="339"/>
      <c r="V363" s="339"/>
      <c r="W363" s="339"/>
      <c r="X363" s="599">
        <v>100000</v>
      </c>
      <c r="Y363" s="392" t="s">
        <v>358</v>
      </c>
      <c r="Z363" s="419"/>
    </row>
    <row r="364" spans="1:27" ht="21" customHeight="1">
      <c r="A364" s="25"/>
      <c r="B364" s="26"/>
      <c r="C364" s="26"/>
      <c r="D364" s="306"/>
      <c r="E364" s="281"/>
      <c r="F364" s="281"/>
      <c r="G364" s="310"/>
      <c r="H364" s="311"/>
      <c r="I364" s="177"/>
      <c r="J364" s="338"/>
      <c r="K364" s="337"/>
      <c r="L364" s="337"/>
      <c r="M364" s="337"/>
      <c r="N364" s="339"/>
      <c r="O364" s="226"/>
      <c r="P364" s="228"/>
      <c r="Q364" s="226"/>
      <c r="R364" s="229"/>
      <c r="S364" s="48"/>
      <c r="T364" s="451"/>
      <c r="U364" s="339"/>
      <c r="V364" s="337"/>
      <c r="W364" s="339"/>
      <c r="X364" s="599"/>
      <c r="Y364" s="392"/>
      <c r="Z364" s="419"/>
    </row>
    <row r="365" spans="1:27" ht="21" customHeight="1">
      <c r="A365" s="25"/>
      <c r="B365" s="26"/>
      <c r="C365" s="18" t="s">
        <v>521</v>
      </c>
      <c r="D365" s="250" t="s">
        <v>382</v>
      </c>
      <c r="E365" s="134">
        <f>E366+E375</f>
        <v>83016</v>
      </c>
      <c r="F365" s="134">
        <f>SUM(F366,F375)</f>
        <v>83018</v>
      </c>
      <c r="G365" s="135">
        <f>F365-E365</f>
        <v>2</v>
      </c>
      <c r="H365" s="136">
        <f>IF(E365=0,0,G365/E365)</f>
        <v>2.4091741351064854E-5</v>
      </c>
      <c r="I365" s="121" t="s">
        <v>522</v>
      </c>
      <c r="J365" s="122"/>
      <c r="K365" s="123"/>
      <c r="L365" s="123"/>
      <c r="M365" s="123"/>
      <c r="N365" s="469"/>
      <c r="O365" s="469"/>
      <c r="P365" s="124"/>
      <c r="Q365" s="425"/>
      <c r="R365" s="425"/>
      <c r="S365" s="124"/>
      <c r="T365" s="425"/>
      <c r="U365" s="425"/>
      <c r="V365" s="148" t="s">
        <v>357</v>
      </c>
      <c r="W365" s="487"/>
      <c r="X365" s="574">
        <f>X366+X375</f>
        <v>83018000</v>
      </c>
      <c r="Y365" s="396" t="s">
        <v>358</v>
      </c>
      <c r="Z365" s="419"/>
    </row>
    <row r="366" spans="1:27" ht="21" customHeight="1">
      <c r="A366" s="25"/>
      <c r="B366" s="26"/>
      <c r="C366" s="26" t="s">
        <v>523</v>
      </c>
      <c r="D366" s="26" t="s">
        <v>524</v>
      </c>
      <c r="E366" s="28">
        <v>44073</v>
      </c>
      <c r="F366" s="28">
        <f>ROUND(X366/1000,0)</f>
        <v>44075</v>
      </c>
      <c r="G366" s="20">
        <f>F366-E366</f>
        <v>2</v>
      </c>
      <c r="H366" s="21">
        <f>IF(E366=0,0,G366/E366)</f>
        <v>4.5379257141560595E-5</v>
      </c>
      <c r="I366" s="177" t="s">
        <v>525</v>
      </c>
      <c r="J366" s="338"/>
      <c r="K366" s="337"/>
      <c r="L366" s="337"/>
      <c r="M366" s="337"/>
      <c r="N366" s="339"/>
      <c r="O366" s="339"/>
      <c r="P366" s="337"/>
      <c r="Q366" s="339"/>
      <c r="R366" s="339"/>
      <c r="S366" s="303"/>
      <c r="T366" s="339"/>
      <c r="U366" s="339"/>
      <c r="V366" s="337"/>
      <c r="W366" s="339"/>
      <c r="X366" s="574">
        <f>ROUNDUP(SUM(W367:X374),-3)</f>
        <v>44075000</v>
      </c>
      <c r="Y366" s="392" t="s">
        <v>358</v>
      </c>
      <c r="Z366" s="419"/>
    </row>
    <row r="367" spans="1:27" ht="21" customHeight="1">
      <c r="A367" s="25"/>
      <c r="B367" s="26"/>
      <c r="C367" s="26" t="s">
        <v>497</v>
      </c>
      <c r="D367" s="26" t="s">
        <v>526</v>
      </c>
      <c r="E367" s="28"/>
      <c r="F367" s="28"/>
      <c r="G367" s="29"/>
      <c r="H367" s="16"/>
      <c r="I367" s="177" t="s">
        <v>610</v>
      </c>
      <c r="J367" s="338"/>
      <c r="K367" s="337"/>
      <c r="L367" s="337"/>
      <c r="M367" s="337"/>
      <c r="N367" s="339"/>
      <c r="O367" s="339"/>
      <c r="P367" s="337"/>
      <c r="Q367" s="339"/>
      <c r="R367" s="339"/>
      <c r="S367" s="303"/>
      <c r="T367" s="339"/>
      <c r="U367" s="339"/>
      <c r="V367" s="337"/>
      <c r="W367" s="339"/>
      <c r="X367" s="599">
        <f>ROUND(3999925,-3)</f>
        <v>4000000</v>
      </c>
      <c r="Y367" s="392" t="s">
        <v>358</v>
      </c>
      <c r="Z367" s="419"/>
    </row>
    <row r="368" spans="1:27" ht="21" customHeight="1">
      <c r="A368" s="25"/>
      <c r="B368" s="26"/>
      <c r="C368" s="26"/>
      <c r="D368" s="26"/>
      <c r="E368" s="28"/>
      <c r="F368" s="28"/>
      <c r="G368" s="29"/>
      <c r="H368" s="16"/>
      <c r="I368" s="177" t="s">
        <v>611</v>
      </c>
      <c r="J368" s="338"/>
      <c r="K368" s="337"/>
      <c r="L368" s="337"/>
      <c r="M368" s="337"/>
      <c r="N368" s="339"/>
      <c r="O368" s="339"/>
      <c r="P368" s="337"/>
      <c r="Q368" s="339"/>
      <c r="R368" s="339"/>
      <c r="S368" s="303"/>
      <c r="T368" s="339"/>
      <c r="U368" s="339"/>
      <c r="V368" s="337"/>
      <c r="W368" s="339"/>
      <c r="X368" s="599">
        <v>1011000</v>
      </c>
      <c r="Y368" s="392" t="s">
        <v>358</v>
      </c>
      <c r="Z368" s="419"/>
    </row>
    <row r="369" spans="1:39" ht="21" customHeight="1">
      <c r="A369" s="25"/>
      <c r="B369" s="26"/>
      <c r="C369" s="26"/>
      <c r="D369" s="26"/>
      <c r="E369" s="28"/>
      <c r="F369" s="28"/>
      <c r="G369" s="29"/>
      <c r="H369" s="16"/>
      <c r="I369" s="177" t="s">
        <v>571</v>
      </c>
      <c r="J369" s="338"/>
      <c r="K369" s="337"/>
      <c r="L369" s="337"/>
      <c r="M369" s="337"/>
      <c r="N369" s="339"/>
      <c r="O369" s="339"/>
      <c r="P369" s="337"/>
      <c r="Q369" s="339"/>
      <c r="R369" s="339"/>
      <c r="S369" s="303"/>
      <c r="T369" s="3"/>
      <c r="U369" s="339"/>
      <c r="V369" s="337"/>
      <c r="W369" s="339"/>
      <c r="X369" s="599">
        <f>ROUND(13768647,-3)</f>
        <v>13769000</v>
      </c>
      <c r="Y369" s="392" t="s">
        <v>358</v>
      </c>
      <c r="Z369" s="419"/>
    </row>
    <row r="370" spans="1:39" ht="21" customHeight="1">
      <c r="A370" s="25"/>
      <c r="B370" s="26"/>
      <c r="C370" s="26"/>
      <c r="D370" s="26"/>
      <c r="E370" s="28"/>
      <c r="F370" s="28"/>
      <c r="G370" s="29"/>
      <c r="H370" s="16"/>
      <c r="I370" s="177" t="s">
        <v>572</v>
      </c>
      <c r="J370" s="338"/>
      <c r="K370" s="337"/>
      <c r="L370" s="337"/>
      <c r="M370" s="337"/>
      <c r="N370" s="339"/>
      <c r="O370" s="339"/>
      <c r="P370" s="337"/>
      <c r="Q370" s="339"/>
      <c r="R370" s="339"/>
      <c r="S370" s="303"/>
      <c r="T370" s="339"/>
      <c r="U370" s="339"/>
      <c r="V370" s="337"/>
      <c r="W370" s="339"/>
      <c r="X370" s="599">
        <f>ROUND(9622390,-3)</f>
        <v>9622000</v>
      </c>
      <c r="Y370" s="392" t="s">
        <v>570</v>
      </c>
      <c r="Z370" s="419"/>
    </row>
    <row r="371" spans="1:39" ht="21" customHeight="1">
      <c r="A371" s="25"/>
      <c r="B371" s="26"/>
      <c r="C371" s="26"/>
      <c r="D371" s="26"/>
      <c r="E371" s="28"/>
      <c r="F371" s="28"/>
      <c r="G371" s="29"/>
      <c r="H371" s="16"/>
      <c r="I371" s="177" t="s">
        <v>569</v>
      </c>
      <c r="J371" s="338"/>
      <c r="K371" s="337"/>
      <c r="L371" s="337"/>
      <c r="M371" s="337"/>
      <c r="N371" s="339"/>
      <c r="O371" s="339"/>
      <c r="P371" s="337"/>
      <c r="Q371" s="339"/>
      <c r="R371" s="339"/>
      <c r="S371" s="303"/>
      <c r="T371" s="339"/>
      <c r="U371" s="339"/>
      <c r="V371" s="337"/>
      <c r="W371" s="339"/>
      <c r="X371" s="599">
        <f>ROUND(851000,-3)</f>
        <v>851000</v>
      </c>
      <c r="Y371" s="392" t="s">
        <v>358</v>
      </c>
      <c r="Z371" s="419"/>
    </row>
    <row r="372" spans="1:39" ht="21" customHeight="1">
      <c r="A372" s="25"/>
      <c r="B372" s="26"/>
      <c r="C372" s="26"/>
      <c r="D372" s="26"/>
      <c r="E372" s="28"/>
      <c r="F372" s="28"/>
      <c r="G372" s="29"/>
      <c r="H372" s="16"/>
      <c r="I372" s="177" t="s">
        <v>668</v>
      </c>
      <c r="J372" s="338"/>
      <c r="K372" s="337"/>
      <c r="L372" s="337"/>
      <c r="M372" s="337"/>
      <c r="N372" s="339"/>
      <c r="O372" s="339"/>
      <c r="P372" s="337"/>
      <c r="Q372" s="339"/>
      <c r="R372" s="339"/>
      <c r="S372" s="303"/>
      <c r="T372" s="339"/>
      <c r="U372" s="339"/>
      <c r="V372" s="337"/>
      <c r="W372" s="339"/>
      <c r="X372" s="599">
        <f>ROUND(2321500,-3)</f>
        <v>2322000</v>
      </c>
      <c r="Y372" s="392" t="s">
        <v>570</v>
      </c>
      <c r="Z372" s="419"/>
    </row>
    <row r="373" spans="1:39" ht="21" customHeight="1">
      <c r="A373" s="25"/>
      <c r="B373" s="26"/>
      <c r="C373" s="26"/>
      <c r="D373" s="26"/>
      <c r="E373" s="28"/>
      <c r="F373" s="28"/>
      <c r="G373" s="29"/>
      <c r="H373" s="16"/>
      <c r="I373" s="177" t="s">
        <v>669</v>
      </c>
      <c r="J373" s="338"/>
      <c r="K373" s="337"/>
      <c r="L373" s="337"/>
      <c r="M373" s="337"/>
      <c r="N373" s="339"/>
      <c r="O373" s="339"/>
      <c r="P373" s="337"/>
      <c r="Q373" s="339"/>
      <c r="R373" s="339"/>
      <c r="S373" s="303"/>
      <c r="T373" s="339"/>
      <c r="U373" s="339"/>
      <c r="V373" s="337"/>
      <c r="W373" s="339"/>
      <c r="X373" s="599">
        <f>10000000</f>
        <v>10000000</v>
      </c>
      <c r="Y373" s="392" t="s">
        <v>358</v>
      </c>
      <c r="Z373" s="419"/>
    </row>
    <row r="374" spans="1:39" ht="21" customHeight="1">
      <c r="A374" s="25"/>
      <c r="B374" s="26"/>
      <c r="C374" s="26"/>
      <c r="D374" s="26"/>
      <c r="E374" s="28"/>
      <c r="F374" s="36"/>
      <c r="G374" s="29"/>
      <c r="H374" s="43"/>
      <c r="I374" s="177" t="s">
        <v>670</v>
      </c>
      <c r="J374" s="465"/>
      <c r="K374" s="464"/>
      <c r="L374" s="464"/>
      <c r="M374" s="464"/>
      <c r="N374" s="428"/>
      <c r="O374" s="428"/>
      <c r="P374" s="464"/>
      <c r="Q374" s="428"/>
      <c r="R374" s="428"/>
      <c r="S374" s="309"/>
      <c r="T374" s="428"/>
      <c r="U374" s="428"/>
      <c r="V374" s="464"/>
      <c r="W374" s="428"/>
      <c r="X374" s="588">
        <f>2500000</f>
        <v>2500000</v>
      </c>
      <c r="Y374" s="412" t="s">
        <v>358</v>
      </c>
      <c r="Z374" s="419"/>
    </row>
    <row r="375" spans="1:39" ht="21" customHeight="1">
      <c r="A375" s="25"/>
      <c r="B375" s="26"/>
      <c r="C375" s="26"/>
      <c r="D375" s="18" t="s">
        <v>524</v>
      </c>
      <c r="E375" s="19">
        <v>38943</v>
      </c>
      <c r="F375" s="19">
        <f>ROUND(X375/1000,0)</f>
        <v>38943</v>
      </c>
      <c r="G375" s="20">
        <f>F375-E375</f>
        <v>0</v>
      </c>
      <c r="H375" s="21">
        <f>IF(E375=0,0,G375/E375)</f>
        <v>0</v>
      </c>
      <c r="I375" s="180" t="s">
        <v>527</v>
      </c>
      <c r="J375" s="191"/>
      <c r="K375" s="183"/>
      <c r="L375" s="183"/>
      <c r="M375" s="183"/>
      <c r="N375" s="429"/>
      <c r="O375" s="429"/>
      <c r="P375" s="183"/>
      <c r="Q375" s="429"/>
      <c r="R375" s="429"/>
      <c r="S375" s="308"/>
      <c r="T375" s="429"/>
      <c r="U375" s="429"/>
      <c r="V375" s="183"/>
      <c r="W375" s="429"/>
      <c r="X375" s="595">
        <f>ROUNDUP(38942194,-3)</f>
        <v>38943000</v>
      </c>
      <c r="Y375" s="414" t="s">
        <v>358</v>
      </c>
      <c r="Z375" s="419"/>
    </row>
    <row r="376" spans="1:39" ht="21" customHeight="1">
      <c r="A376" s="25"/>
      <c r="B376" s="26"/>
      <c r="C376" s="26"/>
      <c r="D376" s="26" t="s">
        <v>528</v>
      </c>
      <c r="E376" s="28"/>
      <c r="F376" s="28"/>
      <c r="G376" s="29"/>
      <c r="H376" s="43"/>
      <c r="I376" s="177"/>
      <c r="J376" s="338"/>
      <c r="K376" s="337"/>
      <c r="L376" s="337"/>
      <c r="M376" s="337"/>
      <c r="N376" s="339"/>
      <c r="O376" s="339"/>
      <c r="P376" s="337"/>
      <c r="Q376" s="339"/>
      <c r="R376" s="339"/>
      <c r="S376" s="303"/>
      <c r="T376" s="339"/>
      <c r="U376" s="339"/>
      <c r="V376" s="337"/>
      <c r="W376" s="339"/>
      <c r="X376" s="599"/>
      <c r="Y376" s="392"/>
      <c r="Z376" s="419"/>
    </row>
    <row r="377" spans="1:39" ht="21" customHeight="1">
      <c r="A377" s="33"/>
      <c r="B377" s="26"/>
      <c r="C377" s="26"/>
      <c r="D377" s="26"/>
      <c r="E377" s="28"/>
      <c r="F377" s="28"/>
      <c r="G377" s="29"/>
      <c r="H377" s="43"/>
      <c r="I377" s="40"/>
      <c r="J377" s="185"/>
      <c r="K377" s="184"/>
      <c r="L377" s="184"/>
      <c r="M377" s="184"/>
      <c r="N377" s="462"/>
      <c r="O377" s="462"/>
      <c r="P377" s="184"/>
      <c r="Q377" s="462"/>
      <c r="R377" s="462"/>
      <c r="S377" s="30"/>
      <c r="T377" s="462"/>
      <c r="U377" s="462"/>
      <c r="V377" s="184"/>
      <c r="W377" s="462"/>
      <c r="X377" s="570"/>
      <c r="Y377" s="398"/>
      <c r="Z377" s="419"/>
      <c r="AB377" s="164"/>
      <c r="AC377" s="162"/>
      <c r="AD377" s="162"/>
      <c r="AE377" s="162"/>
      <c r="AF377" s="162"/>
      <c r="AG377" s="165"/>
      <c r="AH377" s="163"/>
    </row>
    <row r="378" spans="1:39" ht="21" customHeight="1">
      <c r="A378" s="25" t="s">
        <v>529</v>
      </c>
      <c r="B378" s="57" t="s">
        <v>16</v>
      </c>
      <c r="C378" s="764" t="s">
        <v>424</v>
      </c>
      <c r="D378" s="765"/>
      <c r="E378" s="155">
        <f>SUM(E379,E383,E396)</f>
        <v>70480</v>
      </c>
      <c r="F378" s="155">
        <f>SUM(F379,F383,F396)</f>
        <v>71371</v>
      </c>
      <c r="G378" s="156">
        <f>F378-E378</f>
        <v>891</v>
      </c>
      <c r="H378" s="157">
        <f>IF(E378=0,0,G378/E378)</f>
        <v>1.2641884222474462E-2</v>
      </c>
      <c r="I378" s="158" t="s">
        <v>530</v>
      </c>
      <c r="J378" s="159"/>
      <c r="K378" s="160"/>
      <c r="L378" s="160"/>
      <c r="M378" s="159"/>
      <c r="N378" s="424"/>
      <c r="O378" s="424"/>
      <c r="P378" s="159"/>
      <c r="Q378" s="424" t="s">
        <v>426</v>
      </c>
      <c r="R378" s="160"/>
      <c r="S378" s="161"/>
      <c r="T378" s="160"/>
      <c r="U378" s="160"/>
      <c r="V378" s="161"/>
      <c r="W378" s="160"/>
      <c r="X378" s="582">
        <f>SUM(X379,X383,X396)</f>
        <v>71371000</v>
      </c>
      <c r="Y378" s="416" t="s">
        <v>358</v>
      </c>
      <c r="Z378" s="419"/>
      <c r="AA378" s="164"/>
    </row>
    <row r="379" spans="1:39" ht="21" customHeight="1">
      <c r="A379" s="25"/>
      <c r="B379" s="60"/>
      <c r="C379" s="18" t="s">
        <v>531</v>
      </c>
      <c r="D379" s="250" t="s">
        <v>382</v>
      </c>
      <c r="E379" s="134">
        <f>E380</f>
        <v>400</v>
      </c>
      <c r="F379" s="134">
        <f>F380</f>
        <v>205</v>
      </c>
      <c r="G379" s="135">
        <f>F379-E379</f>
        <v>-195</v>
      </c>
      <c r="H379" s="136">
        <f>IF(E379=0,0,G379/E379)</f>
        <v>-0.48749999999999999</v>
      </c>
      <c r="I379" s="121" t="s">
        <v>532</v>
      </c>
      <c r="J379" s="122"/>
      <c r="K379" s="123"/>
      <c r="L379" s="123"/>
      <c r="M379" s="123"/>
      <c r="N379" s="469"/>
      <c r="O379" s="469"/>
      <c r="P379" s="124"/>
      <c r="Q379" s="425"/>
      <c r="R379" s="425"/>
      <c r="S379" s="124"/>
      <c r="T379" s="425"/>
      <c r="U379" s="425"/>
      <c r="V379" s="148" t="s">
        <v>357</v>
      </c>
      <c r="W379" s="487"/>
      <c r="X379" s="578">
        <f>SUM(X380:X380)</f>
        <v>205000</v>
      </c>
      <c r="Y379" s="396" t="s">
        <v>358</v>
      </c>
      <c r="Z379" s="419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</row>
    <row r="380" spans="1:39" s="7" customFormat="1" ht="19.5" customHeight="1">
      <c r="A380" s="35"/>
      <c r="B380" s="61"/>
      <c r="C380" s="26" t="s">
        <v>533</v>
      </c>
      <c r="D380" s="18" t="s">
        <v>534</v>
      </c>
      <c r="E380" s="19">
        <v>400</v>
      </c>
      <c r="F380" s="28">
        <f>ROUND(X380/1000,0)</f>
        <v>205</v>
      </c>
      <c r="G380" s="20">
        <f>F380-E380</f>
        <v>-195</v>
      </c>
      <c r="H380" s="21">
        <f>IF(E380=0,0,G380/E380)</f>
        <v>-0.48749999999999999</v>
      </c>
      <c r="I380" s="84" t="s">
        <v>532</v>
      </c>
      <c r="J380" s="92"/>
      <c r="K380" s="58"/>
      <c r="L380" s="58"/>
      <c r="M380" s="58"/>
      <c r="N380" s="463"/>
      <c r="O380" s="463"/>
      <c r="P380" s="58"/>
      <c r="Q380" s="463"/>
      <c r="R380" s="463"/>
      <c r="S380" s="58"/>
      <c r="T380" s="463"/>
      <c r="U380" s="463"/>
      <c r="V380" s="761" t="s">
        <v>357</v>
      </c>
      <c r="W380" s="761"/>
      <c r="X380" s="574">
        <f>ROUNDUP(SUM(W381:X382),-3)</f>
        <v>205000</v>
      </c>
      <c r="Y380" s="397" t="s">
        <v>358</v>
      </c>
      <c r="Z380" s="419"/>
    </row>
    <row r="381" spans="1:39" s="7" customFormat="1" ht="19.5" customHeight="1">
      <c r="A381" s="35"/>
      <c r="B381" s="61"/>
      <c r="C381" s="26"/>
      <c r="D381" s="26"/>
      <c r="E381" s="28"/>
      <c r="F381" s="28"/>
      <c r="G381" s="29"/>
      <c r="H381" s="16"/>
      <c r="I381" s="177"/>
      <c r="J381" s="338"/>
      <c r="K381" s="337"/>
      <c r="L381" s="337"/>
      <c r="M381" s="337"/>
      <c r="N381" s="339"/>
      <c r="O381" s="339"/>
      <c r="P381" s="337"/>
      <c r="Q381" s="339"/>
      <c r="R381" s="339"/>
      <c r="S381" s="337"/>
      <c r="T381" s="339"/>
      <c r="U381" s="339"/>
      <c r="V381" s="339"/>
      <c r="W381" s="339"/>
      <c r="X381" s="585">
        <v>205000</v>
      </c>
      <c r="Y381" s="392" t="s">
        <v>358</v>
      </c>
      <c r="Z381" s="419"/>
    </row>
    <row r="382" spans="1:39" s="7" customFormat="1" ht="19.5" customHeight="1">
      <c r="A382" s="35"/>
      <c r="B382" s="59"/>
      <c r="C382" s="26"/>
      <c r="D382" s="26"/>
      <c r="E382" s="28"/>
      <c r="F382" s="28"/>
      <c r="G382" s="29"/>
      <c r="H382" s="16"/>
      <c r="I382" s="177"/>
      <c r="J382" s="338"/>
      <c r="K382" s="337"/>
      <c r="L382" s="337"/>
      <c r="M382" s="337"/>
      <c r="N382" s="339"/>
      <c r="O382" s="226"/>
      <c r="P382" s="228"/>
      <c r="Q382" s="226"/>
      <c r="R382" s="229"/>
      <c r="S382" s="48"/>
      <c r="T382" s="451"/>
      <c r="U382" s="339"/>
      <c r="V382" s="337"/>
      <c r="W382" s="339"/>
      <c r="X382" s="599"/>
      <c r="Y382" s="392"/>
      <c r="Z382" s="419"/>
    </row>
    <row r="383" spans="1:39" s="7" customFormat="1" ht="19.5" customHeight="1">
      <c r="A383" s="35"/>
      <c r="B383" s="59"/>
      <c r="C383" s="18" t="s">
        <v>535</v>
      </c>
      <c r="D383" s="250" t="s">
        <v>382</v>
      </c>
      <c r="E383" s="134">
        <f>E384</f>
        <v>340</v>
      </c>
      <c r="F383" s="134">
        <f>F384</f>
        <v>340</v>
      </c>
      <c r="G383" s="135">
        <f>F383-E383</f>
        <v>0</v>
      </c>
      <c r="H383" s="136">
        <f>IF(E383=0,0,G383/E383)</f>
        <v>0</v>
      </c>
      <c r="I383" s="121" t="s">
        <v>536</v>
      </c>
      <c r="J383" s="122"/>
      <c r="K383" s="123"/>
      <c r="L383" s="123"/>
      <c r="M383" s="123"/>
      <c r="N383" s="469"/>
      <c r="O383" s="469"/>
      <c r="P383" s="124"/>
      <c r="Q383" s="425"/>
      <c r="R383" s="425"/>
      <c r="S383" s="124"/>
      <c r="T383" s="425"/>
      <c r="U383" s="425"/>
      <c r="V383" s="148" t="s">
        <v>357</v>
      </c>
      <c r="W383" s="487"/>
      <c r="X383" s="577">
        <f>SUM(X384:X384)</f>
        <v>340000</v>
      </c>
      <c r="Y383" s="396" t="s">
        <v>358</v>
      </c>
      <c r="Z383" s="419"/>
    </row>
    <row r="384" spans="1:39" s="7" customFormat="1" ht="19.5" customHeight="1">
      <c r="A384" s="35"/>
      <c r="B384" s="59"/>
      <c r="C384" s="26" t="s">
        <v>537</v>
      </c>
      <c r="D384" s="26" t="s">
        <v>538</v>
      </c>
      <c r="E384" s="28">
        <v>340</v>
      </c>
      <c r="F384" s="28">
        <f>ROUND(X384/1000,0)</f>
        <v>340</v>
      </c>
      <c r="G384" s="20">
        <f>F384-E384</f>
        <v>0</v>
      </c>
      <c r="H384" s="21">
        <f>IF(E384=0,0,G384/E384)</f>
        <v>0</v>
      </c>
      <c r="I384" s="84" t="s">
        <v>539</v>
      </c>
      <c r="J384" s="92"/>
      <c r="K384" s="58"/>
      <c r="L384" s="58"/>
      <c r="M384" s="58"/>
      <c r="N384" s="463"/>
      <c r="O384" s="463"/>
      <c r="P384" s="58"/>
      <c r="Q384" s="463"/>
      <c r="R384" s="463"/>
      <c r="S384" s="58"/>
      <c r="T384" s="463"/>
      <c r="U384" s="463"/>
      <c r="V384" s="761"/>
      <c r="W384" s="761"/>
      <c r="X384" s="574">
        <f>ROUND(SUM(W385:X395),-3)</f>
        <v>340000</v>
      </c>
      <c r="Y384" s="397" t="s">
        <v>358</v>
      </c>
      <c r="Z384" s="419"/>
    </row>
    <row r="385" spans="1:26" s="7" customFormat="1" ht="19.5" customHeight="1">
      <c r="A385" s="35"/>
      <c r="B385" s="59"/>
      <c r="C385" s="26" t="s">
        <v>427</v>
      </c>
      <c r="D385" s="26" t="s">
        <v>540</v>
      </c>
      <c r="E385" s="28"/>
      <c r="F385" s="28"/>
      <c r="G385" s="29"/>
      <c r="H385" s="43"/>
      <c r="I385" s="40" t="s">
        <v>541</v>
      </c>
      <c r="J385" s="185"/>
      <c r="K385" s="184"/>
      <c r="L385" s="184"/>
      <c r="M385" s="184"/>
      <c r="N385" s="462"/>
      <c r="O385" s="462"/>
      <c r="P385" s="184"/>
      <c r="Q385" s="462"/>
      <c r="R385" s="462"/>
      <c r="S385" s="30"/>
      <c r="T385" s="462"/>
      <c r="U385" s="462"/>
      <c r="V385" s="184"/>
      <c r="W385" s="462"/>
      <c r="X385" s="570">
        <v>250000</v>
      </c>
      <c r="Y385" s="398" t="s">
        <v>358</v>
      </c>
      <c r="Z385" s="419"/>
    </row>
    <row r="386" spans="1:26" s="7" customFormat="1" ht="19.5" customHeight="1">
      <c r="A386" s="35"/>
      <c r="B386" s="59"/>
      <c r="C386" s="26"/>
      <c r="D386" s="26"/>
      <c r="E386" s="28"/>
      <c r="F386" s="28"/>
      <c r="G386" s="29"/>
      <c r="H386" s="43"/>
      <c r="I386" s="40" t="s">
        <v>542</v>
      </c>
      <c r="J386" s="185"/>
      <c r="K386" s="184"/>
      <c r="L386" s="184"/>
      <c r="M386" s="184"/>
      <c r="N386" s="462"/>
      <c r="O386" s="462"/>
      <c r="P386" s="184"/>
      <c r="Q386" s="462"/>
      <c r="R386" s="462"/>
      <c r="S386" s="30"/>
      <c r="T386" s="462"/>
      <c r="U386" s="462"/>
      <c r="V386" s="184"/>
      <c r="W386" s="462"/>
      <c r="X386" s="570">
        <v>5000</v>
      </c>
      <c r="Y386" s="398" t="s">
        <v>358</v>
      </c>
      <c r="Z386" s="419"/>
    </row>
    <row r="387" spans="1:26" s="7" customFormat="1" ht="19.5" customHeight="1">
      <c r="A387" s="35"/>
      <c r="B387" s="59"/>
      <c r="C387" s="26"/>
      <c r="D387" s="26"/>
      <c r="E387" s="28"/>
      <c r="F387" s="28"/>
      <c r="G387" s="29"/>
      <c r="H387" s="43"/>
      <c r="I387" s="40" t="s">
        <v>543</v>
      </c>
      <c r="J387" s="185"/>
      <c r="K387" s="184"/>
      <c r="L387" s="184"/>
      <c r="M387" s="184"/>
      <c r="N387" s="462"/>
      <c r="O387" s="462"/>
      <c r="P387" s="184"/>
      <c r="Q387" s="462"/>
      <c r="R387" s="462"/>
      <c r="S387" s="30"/>
      <c r="T387" s="462"/>
      <c r="U387" s="462"/>
      <c r="V387" s="184"/>
      <c r="W387" s="462"/>
      <c r="X387" s="570">
        <v>5000</v>
      </c>
      <c r="Y387" s="398" t="s">
        <v>358</v>
      </c>
      <c r="Z387" s="419"/>
    </row>
    <row r="388" spans="1:26" s="7" customFormat="1" ht="19.5" customHeight="1">
      <c r="A388" s="35"/>
      <c r="B388" s="59"/>
      <c r="C388" s="26"/>
      <c r="D388" s="26"/>
      <c r="E388" s="28"/>
      <c r="F388" s="28"/>
      <c r="G388" s="29"/>
      <c r="H388" s="43"/>
      <c r="I388" s="40" t="s">
        <v>690</v>
      </c>
      <c r="J388" s="185"/>
      <c r="K388" s="184"/>
      <c r="L388" s="184"/>
      <c r="M388" s="184"/>
      <c r="N388" s="462"/>
      <c r="O388" s="462"/>
      <c r="P388" s="184"/>
      <c r="Q388" s="462"/>
      <c r="R388" s="462"/>
      <c r="S388" s="30"/>
      <c r="T388" s="462"/>
      <c r="U388" s="462"/>
      <c r="V388" s="184"/>
      <c r="W388" s="462"/>
      <c r="X388" s="570">
        <v>25000</v>
      </c>
      <c r="Y388" s="398" t="s">
        <v>358</v>
      </c>
      <c r="Z388" s="419"/>
    </row>
    <row r="389" spans="1:26" s="7" customFormat="1" ht="19.5" customHeight="1">
      <c r="A389" s="35"/>
      <c r="B389" s="59"/>
      <c r="C389" s="26"/>
      <c r="D389" s="26"/>
      <c r="E389" s="28"/>
      <c r="F389" s="28"/>
      <c r="G389" s="29"/>
      <c r="H389" s="43"/>
      <c r="I389" s="40" t="s">
        <v>544</v>
      </c>
      <c r="J389" s="185"/>
      <c r="K389" s="184"/>
      <c r="L389" s="184"/>
      <c r="M389" s="184"/>
      <c r="N389" s="462"/>
      <c r="O389" s="462"/>
      <c r="P389" s="184"/>
      <c r="Q389" s="462"/>
      <c r="R389" s="462"/>
      <c r="S389" s="30"/>
      <c r="T389" s="462"/>
      <c r="U389" s="462"/>
      <c r="V389" s="184"/>
      <c r="W389" s="462"/>
      <c r="X389" s="570">
        <v>0</v>
      </c>
      <c r="Y389" s="398" t="s">
        <v>358</v>
      </c>
      <c r="Z389" s="419"/>
    </row>
    <row r="390" spans="1:26" s="7" customFormat="1" ht="19.5" customHeight="1">
      <c r="A390" s="35"/>
      <c r="B390" s="59"/>
      <c r="C390" s="26"/>
      <c r="D390" s="26"/>
      <c r="E390" s="28"/>
      <c r="F390" s="28"/>
      <c r="G390" s="29"/>
      <c r="H390" s="43"/>
      <c r="I390" s="40" t="s">
        <v>545</v>
      </c>
      <c r="J390" s="185"/>
      <c r="K390" s="184"/>
      <c r="L390" s="184"/>
      <c r="M390" s="184"/>
      <c r="N390" s="462"/>
      <c r="O390" s="462"/>
      <c r="P390" s="184"/>
      <c r="Q390" s="462"/>
      <c r="R390" s="462"/>
      <c r="S390" s="30"/>
      <c r="T390" s="462"/>
      <c r="U390" s="462"/>
      <c r="V390" s="184"/>
      <c r="W390" s="462"/>
      <c r="X390" s="570">
        <v>5000</v>
      </c>
      <c r="Y390" s="398" t="s">
        <v>358</v>
      </c>
      <c r="Z390" s="419"/>
    </row>
    <row r="391" spans="1:26" s="7" customFormat="1" ht="19.5" customHeight="1">
      <c r="A391" s="35"/>
      <c r="B391" s="59"/>
      <c r="C391" s="26"/>
      <c r="D391" s="26"/>
      <c r="E391" s="28"/>
      <c r="F391" s="28"/>
      <c r="G391" s="29"/>
      <c r="H391" s="43"/>
      <c r="I391" s="40" t="s">
        <v>546</v>
      </c>
      <c r="J391" s="185"/>
      <c r="K391" s="184"/>
      <c r="L391" s="184"/>
      <c r="M391" s="184"/>
      <c r="N391" s="462"/>
      <c r="O391" s="462"/>
      <c r="P391" s="184"/>
      <c r="Q391" s="462"/>
      <c r="R391" s="462"/>
      <c r="S391" s="30"/>
      <c r="T391" s="462"/>
      <c r="U391" s="462"/>
      <c r="V391" s="184"/>
      <c r="W391" s="462"/>
      <c r="X391" s="585">
        <v>0</v>
      </c>
      <c r="Y391" s="398" t="s">
        <v>358</v>
      </c>
      <c r="Z391" s="419"/>
    </row>
    <row r="392" spans="1:26" s="7" customFormat="1" ht="19.5" customHeight="1">
      <c r="A392" s="35"/>
      <c r="B392" s="59"/>
      <c r="C392" s="26"/>
      <c r="D392" s="26"/>
      <c r="E392" s="28"/>
      <c r="F392" s="28"/>
      <c r="G392" s="29"/>
      <c r="H392" s="43"/>
      <c r="I392" s="40" t="s">
        <v>547</v>
      </c>
      <c r="J392" s="185"/>
      <c r="K392" s="184"/>
      <c r="L392" s="184"/>
      <c r="M392" s="184"/>
      <c r="N392" s="462"/>
      <c r="O392" s="462"/>
      <c r="P392" s="184"/>
      <c r="Q392" s="462"/>
      <c r="R392" s="462"/>
      <c r="S392" s="30"/>
      <c r="T392" s="462"/>
      <c r="U392" s="462"/>
      <c r="V392" s="184"/>
      <c r="W392" s="462"/>
      <c r="X392" s="570">
        <v>30000</v>
      </c>
      <c r="Y392" s="398" t="s">
        <v>358</v>
      </c>
      <c r="Z392" s="419"/>
    </row>
    <row r="393" spans="1:26" s="7" customFormat="1" ht="19.5" customHeight="1">
      <c r="A393" s="35"/>
      <c r="B393" s="59"/>
      <c r="C393" s="26"/>
      <c r="D393" s="26"/>
      <c r="E393" s="28"/>
      <c r="F393" s="28"/>
      <c r="G393" s="29"/>
      <c r="H393" s="43"/>
      <c r="I393" s="40" t="s">
        <v>548</v>
      </c>
      <c r="J393" s="185"/>
      <c r="K393" s="184"/>
      <c r="L393" s="184"/>
      <c r="M393" s="184"/>
      <c r="N393" s="462"/>
      <c r="O393" s="462"/>
      <c r="P393" s="184"/>
      <c r="Q393" s="462"/>
      <c r="R393" s="462"/>
      <c r="S393" s="30"/>
      <c r="T393" s="462"/>
      <c r="U393" s="462"/>
      <c r="V393" s="184"/>
      <c r="W393" s="462"/>
      <c r="X393" s="570">
        <v>0</v>
      </c>
      <c r="Y393" s="398" t="s">
        <v>358</v>
      </c>
      <c r="Z393" s="419"/>
    </row>
    <row r="394" spans="1:26" s="7" customFormat="1" ht="19.5" customHeight="1">
      <c r="A394" s="35"/>
      <c r="B394" s="59"/>
      <c r="C394" s="26"/>
      <c r="D394" s="26"/>
      <c r="E394" s="28"/>
      <c r="F394" s="28"/>
      <c r="G394" s="29"/>
      <c r="H394" s="43"/>
      <c r="I394" s="40" t="s">
        <v>549</v>
      </c>
      <c r="J394" s="185"/>
      <c r="K394" s="184"/>
      <c r="L394" s="184"/>
      <c r="M394" s="184"/>
      <c r="N394" s="462"/>
      <c r="O394" s="462"/>
      <c r="P394" s="184"/>
      <c r="Q394" s="462"/>
      <c r="R394" s="462"/>
      <c r="S394" s="30"/>
      <c r="T394" s="462"/>
      <c r="U394" s="462"/>
      <c r="V394" s="184"/>
      <c r="W394" s="462"/>
      <c r="X394" s="570">
        <v>10000</v>
      </c>
      <c r="Y394" s="398" t="s">
        <v>358</v>
      </c>
      <c r="Z394" s="419"/>
    </row>
    <row r="395" spans="1:26" s="7" customFormat="1" ht="19.5" customHeight="1">
      <c r="A395" s="35"/>
      <c r="B395" s="59"/>
      <c r="C395" s="26"/>
      <c r="D395" s="26"/>
      <c r="E395" s="28"/>
      <c r="F395" s="28"/>
      <c r="G395" s="29"/>
      <c r="H395" s="43"/>
      <c r="I395" s="40" t="s">
        <v>550</v>
      </c>
      <c r="J395" s="185"/>
      <c r="K395" s="184"/>
      <c r="L395" s="184"/>
      <c r="M395" s="184"/>
      <c r="N395" s="462"/>
      <c r="O395" s="462"/>
      <c r="P395" s="184"/>
      <c r="Q395" s="462"/>
      <c r="R395" s="462"/>
      <c r="S395" s="30"/>
      <c r="T395" s="462"/>
      <c r="U395" s="462"/>
      <c r="V395" s="184"/>
      <c r="W395" s="462"/>
      <c r="X395" s="570">
        <v>10000</v>
      </c>
      <c r="Y395" s="398" t="s">
        <v>358</v>
      </c>
      <c r="Z395" s="419"/>
    </row>
    <row r="396" spans="1:26" s="7" customFormat="1" ht="19.5" customHeight="1">
      <c r="A396" s="35"/>
      <c r="B396" s="59"/>
      <c r="C396" s="18" t="s">
        <v>421</v>
      </c>
      <c r="D396" s="250" t="s">
        <v>382</v>
      </c>
      <c r="E396" s="134">
        <f>SUM(E397,E403)</f>
        <v>69740</v>
      </c>
      <c r="F396" s="134">
        <f>SUM(F397,F403)</f>
        <v>70826</v>
      </c>
      <c r="G396" s="135">
        <f>F396-E396</f>
        <v>1086</v>
      </c>
      <c r="H396" s="136">
        <f>IF(E396=0,0,G396/E396)</f>
        <v>1.5572125035847434E-2</v>
      </c>
      <c r="I396" s="121" t="s">
        <v>551</v>
      </c>
      <c r="J396" s="122"/>
      <c r="K396" s="123"/>
      <c r="L396" s="123"/>
      <c r="M396" s="123"/>
      <c r="N396" s="469"/>
      <c r="O396" s="469"/>
      <c r="P396" s="124"/>
      <c r="Q396" s="425"/>
      <c r="R396" s="425"/>
      <c r="S396" s="124"/>
      <c r="T396" s="425"/>
      <c r="U396" s="425"/>
      <c r="V396" s="148" t="s">
        <v>357</v>
      </c>
      <c r="W396" s="487"/>
      <c r="X396" s="577">
        <f>SUM(X397,X403)</f>
        <v>70826000</v>
      </c>
      <c r="Y396" s="396" t="s">
        <v>358</v>
      </c>
      <c r="Z396" s="419"/>
    </row>
    <row r="397" spans="1:26" s="7" customFormat="1" ht="19.5" customHeight="1">
      <c r="A397" s="35"/>
      <c r="B397" s="59"/>
      <c r="C397" s="26" t="s">
        <v>529</v>
      </c>
      <c r="D397" s="26" t="s">
        <v>552</v>
      </c>
      <c r="E397" s="28">
        <v>68040</v>
      </c>
      <c r="F397" s="28">
        <f>ROUND(X397/1000,0)</f>
        <v>68040</v>
      </c>
      <c r="G397" s="20">
        <f>F397-E397</f>
        <v>0</v>
      </c>
      <c r="H397" s="21">
        <f>IF(E397=0,0,G397/E397)</f>
        <v>0</v>
      </c>
      <c r="I397" s="84" t="s">
        <v>686</v>
      </c>
      <c r="J397" s="92"/>
      <c r="K397" s="58"/>
      <c r="L397" s="58"/>
      <c r="M397" s="58"/>
      <c r="N397" s="463"/>
      <c r="O397" s="463"/>
      <c r="P397" s="58"/>
      <c r="Q397" s="463"/>
      <c r="R397" s="463"/>
      <c r="S397" s="58"/>
      <c r="T397" s="463"/>
      <c r="U397" s="463"/>
      <c r="V397" s="761"/>
      <c r="W397" s="761"/>
      <c r="X397" s="574">
        <f>ROUNDUP(SUM(W398:X402),-3)</f>
        <v>68040000</v>
      </c>
      <c r="Y397" s="397" t="s">
        <v>358</v>
      </c>
      <c r="Z397" s="419"/>
    </row>
    <row r="398" spans="1:26" s="7" customFormat="1" ht="19.5" customHeight="1">
      <c r="A398" s="35"/>
      <c r="B398" s="59"/>
      <c r="C398" s="26"/>
      <c r="D398" s="26"/>
      <c r="E398" s="28"/>
      <c r="F398" s="28"/>
      <c r="G398" s="29"/>
      <c r="H398" s="16"/>
      <c r="I398" s="177" t="s">
        <v>553</v>
      </c>
      <c r="J398" s="337"/>
      <c r="K398" s="337"/>
      <c r="L398" s="337"/>
      <c r="M398" s="337">
        <v>70000</v>
      </c>
      <c r="N398" s="339" t="s">
        <v>358</v>
      </c>
      <c r="O398" s="298" t="s">
        <v>361</v>
      </c>
      <c r="P398" s="337">
        <v>47</v>
      </c>
      <c r="Q398" s="298" t="s">
        <v>378</v>
      </c>
      <c r="R398" s="298" t="s">
        <v>361</v>
      </c>
      <c r="S398" s="337">
        <v>12</v>
      </c>
      <c r="T398" s="339" t="s">
        <v>360</v>
      </c>
      <c r="U398" s="339" t="s">
        <v>362</v>
      </c>
      <c r="V398" s="339"/>
      <c r="W398" s="298"/>
      <c r="X398" s="598">
        <f>ROUND(M398*P398*S398,-3)</f>
        <v>39480000</v>
      </c>
      <c r="Y398" s="392" t="s">
        <v>358</v>
      </c>
      <c r="Z398" s="419"/>
    </row>
    <row r="399" spans="1:26" s="7" customFormat="1" ht="19.5" customHeight="1">
      <c r="A399" s="35"/>
      <c r="B399" s="59"/>
      <c r="C399" s="26"/>
      <c r="D399" s="26"/>
      <c r="E399" s="28"/>
      <c r="F399" s="28"/>
      <c r="G399" s="29"/>
      <c r="H399" s="16"/>
      <c r="I399" s="177"/>
      <c r="J399" s="337"/>
      <c r="K399" s="337"/>
      <c r="L399" s="337"/>
      <c r="M399" s="337">
        <v>70000</v>
      </c>
      <c r="N399" s="339" t="s">
        <v>358</v>
      </c>
      <c r="O399" s="298" t="s">
        <v>361</v>
      </c>
      <c r="P399" s="337">
        <v>0</v>
      </c>
      <c r="Q399" s="298" t="s">
        <v>378</v>
      </c>
      <c r="R399" s="298" t="s">
        <v>361</v>
      </c>
      <c r="S399" s="337">
        <v>6</v>
      </c>
      <c r="T399" s="339" t="s">
        <v>360</v>
      </c>
      <c r="U399" s="339" t="s">
        <v>362</v>
      </c>
      <c r="V399" s="339"/>
      <c r="W399" s="298"/>
      <c r="X399" s="598">
        <f>ROUND(M399*P399*S399,-3)</f>
        <v>0</v>
      </c>
      <c r="Y399" s="392" t="s">
        <v>358</v>
      </c>
      <c r="Z399" s="419"/>
    </row>
    <row r="400" spans="1:26" s="7" customFormat="1" ht="19.5" customHeight="1">
      <c r="A400" s="35"/>
      <c r="B400" s="59"/>
      <c r="C400" s="26"/>
      <c r="D400" s="26"/>
      <c r="E400" s="28"/>
      <c r="F400" s="28"/>
      <c r="G400" s="29"/>
      <c r="H400" s="16"/>
      <c r="I400" s="177" t="s">
        <v>554</v>
      </c>
      <c r="J400" s="337"/>
      <c r="K400" s="337"/>
      <c r="L400" s="337"/>
      <c r="M400" s="337">
        <v>70000</v>
      </c>
      <c r="N400" s="339" t="s">
        <v>358</v>
      </c>
      <c r="O400" s="298" t="s">
        <v>361</v>
      </c>
      <c r="P400" s="337">
        <v>10</v>
      </c>
      <c r="Q400" s="339" t="s">
        <v>378</v>
      </c>
      <c r="R400" s="298" t="s">
        <v>361</v>
      </c>
      <c r="S400" s="337">
        <v>12</v>
      </c>
      <c r="T400" s="339" t="s">
        <v>360</v>
      </c>
      <c r="U400" s="339" t="s">
        <v>362</v>
      </c>
      <c r="V400" s="339"/>
      <c r="W400" s="298"/>
      <c r="X400" s="598">
        <f>ROUND(M400*P400*S400,-3)</f>
        <v>8400000</v>
      </c>
      <c r="Y400" s="392" t="s">
        <v>358</v>
      </c>
      <c r="Z400" s="419"/>
    </row>
    <row r="401" spans="1:39" s="7" customFormat="1" ht="19.5" customHeight="1">
      <c r="A401" s="35"/>
      <c r="B401" s="59"/>
      <c r="C401" s="26"/>
      <c r="D401" s="26"/>
      <c r="E401" s="28"/>
      <c r="F401" s="28"/>
      <c r="G401" s="29"/>
      <c r="H401" s="16"/>
      <c r="I401" s="177"/>
      <c r="J401" s="337"/>
      <c r="K401" s="337"/>
      <c r="L401" s="337"/>
      <c r="M401" s="337">
        <v>70000</v>
      </c>
      <c r="N401" s="339" t="s">
        <v>358</v>
      </c>
      <c r="O401" s="298" t="s">
        <v>361</v>
      </c>
      <c r="P401" s="337">
        <v>21</v>
      </c>
      <c r="Q401" s="298" t="s">
        <v>378</v>
      </c>
      <c r="R401" s="298" t="s">
        <v>361</v>
      </c>
      <c r="S401" s="337">
        <v>12</v>
      </c>
      <c r="T401" s="339" t="s">
        <v>360</v>
      </c>
      <c r="U401" s="339" t="s">
        <v>362</v>
      </c>
      <c r="V401" s="339"/>
      <c r="W401" s="298"/>
      <c r="X401" s="598">
        <f>ROUND(M401*P401*S401,-3)</f>
        <v>17640000</v>
      </c>
      <c r="Y401" s="392" t="s">
        <v>358</v>
      </c>
      <c r="Z401" s="419"/>
    </row>
    <row r="402" spans="1:39" s="7" customFormat="1" ht="19.5" customHeight="1">
      <c r="A402" s="35"/>
      <c r="B402" s="59"/>
      <c r="C402" s="26"/>
      <c r="D402" s="34"/>
      <c r="E402" s="36"/>
      <c r="F402" s="36"/>
      <c r="G402" s="29"/>
      <c r="H402" s="16"/>
      <c r="I402" s="177" t="s">
        <v>649</v>
      </c>
      <c r="J402" s="337"/>
      <c r="K402" s="337"/>
      <c r="L402" s="337"/>
      <c r="M402" s="337">
        <v>3500</v>
      </c>
      <c r="N402" s="339" t="s">
        <v>358</v>
      </c>
      <c r="O402" s="298" t="s">
        <v>361</v>
      </c>
      <c r="P402" s="337">
        <v>720</v>
      </c>
      <c r="Q402" s="298" t="s">
        <v>796</v>
      </c>
      <c r="R402" s="298"/>
      <c r="S402" s="337"/>
      <c r="T402" s="339"/>
      <c r="U402" s="339" t="s">
        <v>362</v>
      </c>
      <c r="V402" s="339"/>
      <c r="W402" s="298"/>
      <c r="X402" s="598">
        <f>M402*P402</f>
        <v>2520000</v>
      </c>
      <c r="Y402" s="392" t="s">
        <v>358</v>
      </c>
      <c r="Z402" s="419"/>
    </row>
    <row r="403" spans="1:39" s="7" customFormat="1" ht="19.5" customHeight="1">
      <c r="A403" s="35"/>
      <c r="B403" s="59"/>
      <c r="C403" s="26"/>
      <c r="D403" s="306" t="s">
        <v>555</v>
      </c>
      <c r="E403" s="281">
        <v>1700</v>
      </c>
      <c r="F403" s="281">
        <f>ROUND(X403/1000,0)</f>
        <v>2786</v>
      </c>
      <c r="G403" s="312">
        <f>F403-E403</f>
        <v>1086</v>
      </c>
      <c r="H403" s="313">
        <f>IF(E403=0,0,G403/E403)</f>
        <v>0.63882352941176468</v>
      </c>
      <c r="I403" s="179" t="s">
        <v>551</v>
      </c>
      <c r="J403" s="191"/>
      <c r="K403" s="183"/>
      <c r="L403" s="183"/>
      <c r="M403" s="183"/>
      <c r="N403" s="429"/>
      <c r="O403" s="429"/>
      <c r="P403" s="183"/>
      <c r="Q403" s="429"/>
      <c r="R403" s="429"/>
      <c r="S403" s="183"/>
      <c r="T403" s="429"/>
      <c r="U403" s="429"/>
      <c r="V403" s="782"/>
      <c r="W403" s="782"/>
      <c r="X403" s="590">
        <f>ROUNDUP(SUM(W404:X413),-3)</f>
        <v>2786000</v>
      </c>
      <c r="Y403" s="417" t="s">
        <v>358</v>
      </c>
      <c r="Z403" s="419"/>
    </row>
    <row r="404" spans="1:39" s="7" customFormat="1" ht="19.5" customHeight="1">
      <c r="A404" s="35"/>
      <c r="B404" s="59"/>
      <c r="C404" s="26"/>
      <c r="D404" s="306"/>
      <c r="E404" s="281"/>
      <c r="F404" s="281"/>
      <c r="G404" s="310"/>
      <c r="H404" s="311"/>
      <c r="I404" s="177" t="s">
        <v>556</v>
      </c>
      <c r="J404" s="337"/>
      <c r="K404" s="337"/>
      <c r="L404" s="337"/>
      <c r="M404" s="337">
        <v>100000</v>
      </c>
      <c r="N404" s="339" t="s">
        <v>358</v>
      </c>
      <c r="O404" s="298" t="s">
        <v>361</v>
      </c>
      <c r="P404" s="337">
        <v>4</v>
      </c>
      <c r="Q404" s="298" t="s">
        <v>378</v>
      </c>
      <c r="R404" s="298"/>
      <c r="S404" s="337"/>
      <c r="T404" s="339"/>
      <c r="U404" s="339" t="s">
        <v>362</v>
      </c>
      <c r="V404" s="339"/>
      <c r="W404" s="298"/>
      <c r="X404" s="598">
        <f>ROUND(M404*P404,-3)</f>
        <v>400000</v>
      </c>
      <c r="Y404" s="392" t="s">
        <v>358</v>
      </c>
      <c r="Z404" s="419"/>
    </row>
    <row r="405" spans="1:39" s="7" customFormat="1" ht="19.5" customHeight="1">
      <c r="A405" s="35"/>
      <c r="B405" s="59"/>
      <c r="C405" s="26"/>
      <c r="D405" s="306"/>
      <c r="E405" s="281"/>
      <c r="F405" s="281"/>
      <c r="G405" s="310"/>
      <c r="H405" s="311"/>
      <c r="I405" s="177" t="s">
        <v>853</v>
      </c>
      <c r="J405" s="337"/>
      <c r="K405" s="337"/>
      <c r="L405" s="337"/>
      <c r="M405" s="337"/>
      <c r="N405" s="339"/>
      <c r="O405" s="298"/>
      <c r="P405" s="337"/>
      <c r="Q405" s="298"/>
      <c r="R405" s="298"/>
      <c r="S405" s="337"/>
      <c r="T405" s="339"/>
      <c r="U405" s="339"/>
      <c r="V405" s="339"/>
      <c r="W405" s="298"/>
      <c r="X405" s="598">
        <v>2385500</v>
      </c>
      <c r="Y405" s="392" t="s">
        <v>358</v>
      </c>
      <c r="Z405" s="419"/>
    </row>
    <row r="406" spans="1:39" s="7" customFormat="1" ht="19.5" customHeight="1" thickBot="1">
      <c r="A406" s="62"/>
      <c r="B406" s="63"/>
      <c r="C406" s="63"/>
      <c r="D406" s="314"/>
      <c r="E406" s="315"/>
      <c r="F406" s="315"/>
      <c r="G406" s="316"/>
      <c r="H406" s="317"/>
      <c r="I406" s="323"/>
      <c r="J406" s="238"/>
      <c r="K406" s="238"/>
      <c r="L406" s="238"/>
      <c r="M406" s="238"/>
      <c r="N406" s="324"/>
      <c r="O406" s="430"/>
      <c r="P406" s="238"/>
      <c r="Q406" s="430"/>
      <c r="R406" s="430"/>
      <c r="S406" s="238"/>
      <c r="T406" s="324"/>
      <c r="U406" s="324"/>
      <c r="V406" s="324"/>
      <c r="W406" s="430"/>
      <c r="X406" s="589"/>
      <c r="Y406" s="418"/>
      <c r="Z406" s="419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</sheetData>
  <sortState ref="I297:AB305">
    <sortCondition ref="I297:I305"/>
  </sortState>
  <mergeCells count="47">
    <mergeCell ref="C378:D378"/>
    <mergeCell ref="V380:W380"/>
    <mergeCell ref="V384:W384"/>
    <mergeCell ref="V397:W397"/>
    <mergeCell ref="V403:W403"/>
    <mergeCell ref="C212:D212"/>
    <mergeCell ref="V214:W214"/>
    <mergeCell ref="C219:D219"/>
    <mergeCell ref="V221:W221"/>
    <mergeCell ref="C345:D345"/>
    <mergeCell ref="A1:D1"/>
    <mergeCell ref="A2:D2"/>
    <mergeCell ref="E2:E3"/>
    <mergeCell ref="A4:D4"/>
    <mergeCell ref="V64:W64"/>
    <mergeCell ref="V29:W29"/>
    <mergeCell ref="V30:W30"/>
    <mergeCell ref="V31:W31"/>
    <mergeCell ref="G2:H2"/>
    <mergeCell ref="I2:Y3"/>
    <mergeCell ref="F2:F3"/>
    <mergeCell ref="C16:D16"/>
    <mergeCell ref="V32:W32"/>
    <mergeCell ref="C192:D192"/>
    <mergeCell ref="V166:W166"/>
    <mergeCell ref="V167:W167"/>
    <mergeCell ref="V168:W168"/>
    <mergeCell ref="V148:W148"/>
    <mergeCell ref="V149:W149"/>
    <mergeCell ref="V194:W194"/>
    <mergeCell ref="V203:W203"/>
    <mergeCell ref="V65:W65"/>
    <mergeCell ref="V66:W66"/>
    <mergeCell ref="V135:W135"/>
    <mergeCell ref="V136:W136"/>
    <mergeCell ref="V99:W99"/>
    <mergeCell ref="V100:W100"/>
    <mergeCell ref="V101:W101"/>
    <mergeCell ref="V134:W134"/>
    <mergeCell ref="V67:W67"/>
    <mergeCell ref="V137:W137"/>
    <mergeCell ref="V360:W360"/>
    <mergeCell ref="V208:W208"/>
    <mergeCell ref="V347:W347"/>
    <mergeCell ref="V350:W350"/>
    <mergeCell ref="V353:W353"/>
    <mergeCell ref="V357:W357"/>
  </mergeCells>
  <phoneticPr fontId="16" type="noConversion"/>
  <printOptions horizontalCentered="1" verticalCentered="1"/>
  <pageMargins left="0.59055118110236227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L420"/>
  <sheetViews>
    <sheetView zoomScale="80" zoomScaleNormal="80" workbookViewId="0">
      <pane ySplit="4" topLeftCell="A285" activePane="bottomLeft" state="frozen"/>
      <selection pane="bottomLeft" activeCell="L305" sqref="L305"/>
    </sheetView>
  </sheetViews>
  <sheetFormatPr defaultColWidth="13.77734375" defaultRowHeight="21" customHeight="1"/>
  <cols>
    <col min="1" max="2" width="7.77734375" style="4" customWidth="1"/>
    <col min="3" max="3" width="8.77734375" style="4" customWidth="1"/>
    <col min="4" max="4" width="10.6640625" style="10" customWidth="1"/>
    <col min="5" max="12" width="9.33203125" style="10" customWidth="1"/>
    <col min="13" max="13" width="8.77734375" style="10" customWidth="1"/>
    <col min="14" max="14" width="8.77734375" style="99" customWidth="1"/>
    <col min="15" max="15" width="14.109375" style="1" customWidth="1"/>
    <col min="16" max="16" width="3.33203125" style="1" customWidth="1"/>
    <col min="17" max="17" width="2.77734375" style="1" customWidth="1"/>
    <col min="18" max="18" width="7.44140625" style="1" customWidth="1"/>
    <col min="19" max="19" width="10.88671875" style="2" customWidth="1"/>
    <col min="20" max="20" width="3.21875" style="389" customWidth="1"/>
    <col min="21" max="21" width="3.44140625" style="389" customWidth="1"/>
    <col min="22" max="22" width="6.88671875" style="2" customWidth="1"/>
    <col min="23" max="23" width="3.21875" style="389" customWidth="1"/>
    <col min="24" max="24" width="3.21875" style="389" bestFit="1" customWidth="1"/>
    <col min="25" max="25" width="4" style="494" customWidth="1"/>
    <col min="26" max="26" width="3.33203125" style="389" customWidth="1"/>
    <col min="27" max="27" width="3" style="389" customWidth="1"/>
    <col min="28" max="28" width="3.33203125" style="684" customWidth="1"/>
    <col min="29" max="29" width="1.44140625" style="2" customWidth="1"/>
    <col min="30" max="30" width="16" style="645" bestFit="1" customWidth="1"/>
    <col min="31" max="31" width="2.77734375" style="684" customWidth="1"/>
    <col min="32" max="32" width="19.88671875" style="678" bestFit="1" customWidth="1"/>
    <col min="33" max="33" width="13.77734375" style="733"/>
    <col min="34" max="34" width="13.77734375" style="725"/>
    <col min="35" max="36" width="13.77734375" style="644"/>
    <col min="37" max="16384" width="13.77734375" style="1"/>
  </cols>
  <sheetData>
    <row r="1" spans="1:37" s="7" customFormat="1" ht="21" customHeight="1" thickBot="1">
      <c r="A1" s="792" t="s">
        <v>837</v>
      </c>
      <c r="B1" s="792"/>
      <c r="C1" s="792"/>
      <c r="D1" s="792"/>
      <c r="E1" s="65"/>
      <c r="F1" s="65"/>
      <c r="G1" s="65"/>
      <c r="H1" s="65"/>
      <c r="I1" s="65"/>
      <c r="J1" s="65"/>
      <c r="K1" s="65"/>
      <c r="L1" s="65"/>
      <c r="M1" s="65"/>
      <c r="N1" s="95"/>
      <c r="O1" s="38"/>
      <c r="P1" s="38"/>
      <c r="Q1" s="38"/>
      <c r="R1" s="38"/>
      <c r="S1" s="39"/>
      <c r="T1" s="439"/>
      <c r="U1" s="439"/>
      <c r="V1" s="39"/>
      <c r="W1" s="439"/>
      <c r="X1" s="439"/>
      <c r="Y1" s="495"/>
      <c r="Z1" s="439"/>
      <c r="AA1" s="439"/>
      <c r="AB1" s="704"/>
      <c r="AC1" s="39"/>
      <c r="AD1" s="649"/>
      <c r="AE1" s="704"/>
      <c r="AF1" s="678"/>
      <c r="AG1" s="678"/>
      <c r="AH1" s="678"/>
      <c r="AI1" s="678"/>
      <c r="AJ1" s="678"/>
    </row>
    <row r="2" spans="1:37" s="3" customFormat="1" ht="27" customHeight="1">
      <c r="A2" s="768" t="s">
        <v>22</v>
      </c>
      <c r="B2" s="769"/>
      <c r="C2" s="769"/>
      <c r="D2" s="770" t="s">
        <v>850</v>
      </c>
      <c r="E2" s="793" t="s">
        <v>849</v>
      </c>
      <c r="F2" s="794"/>
      <c r="G2" s="794"/>
      <c r="H2" s="794"/>
      <c r="I2" s="794"/>
      <c r="J2" s="794"/>
      <c r="K2" s="794"/>
      <c r="L2" s="795"/>
      <c r="M2" s="775" t="s">
        <v>23</v>
      </c>
      <c r="N2" s="775"/>
      <c r="O2" s="776" t="s">
        <v>766</v>
      </c>
      <c r="P2" s="777"/>
      <c r="Q2" s="777"/>
      <c r="R2" s="777"/>
      <c r="S2" s="777"/>
      <c r="T2" s="777"/>
      <c r="U2" s="777"/>
      <c r="V2" s="777"/>
      <c r="W2" s="777"/>
      <c r="X2" s="777"/>
      <c r="Y2" s="777"/>
      <c r="Z2" s="777"/>
      <c r="AA2" s="777"/>
      <c r="AB2" s="777"/>
      <c r="AC2" s="777"/>
      <c r="AD2" s="777"/>
      <c r="AE2" s="778"/>
      <c r="AF2" s="646"/>
      <c r="AG2" s="646"/>
      <c r="AH2" s="646"/>
      <c r="AI2" s="646"/>
      <c r="AJ2" s="646"/>
    </row>
    <row r="3" spans="1:37" s="3" customFormat="1" ht="27" customHeight="1" thickBot="1">
      <c r="A3" s="11" t="s">
        <v>1</v>
      </c>
      <c r="B3" s="12" t="s">
        <v>2</v>
      </c>
      <c r="C3" s="12" t="s">
        <v>3</v>
      </c>
      <c r="D3" s="771"/>
      <c r="E3" s="100" t="s">
        <v>114</v>
      </c>
      <c r="F3" s="100" t="s">
        <v>138</v>
      </c>
      <c r="G3" s="100" t="s">
        <v>799</v>
      </c>
      <c r="H3" s="100" t="s">
        <v>112</v>
      </c>
      <c r="I3" s="100" t="s">
        <v>58</v>
      </c>
      <c r="J3" s="100" t="s">
        <v>110</v>
      </c>
      <c r="K3" s="100" t="s">
        <v>113</v>
      </c>
      <c r="L3" s="100" t="s">
        <v>59</v>
      </c>
      <c r="M3" s="86" t="s">
        <v>115</v>
      </c>
      <c r="N3" s="66" t="s">
        <v>4</v>
      </c>
      <c r="O3" s="779"/>
      <c r="P3" s="780"/>
      <c r="Q3" s="780"/>
      <c r="R3" s="780"/>
      <c r="S3" s="780"/>
      <c r="T3" s="780"/>
      <c r="U3" s="780"/>
      <c r="V3" s="780"/>
      <c r="W3" s="780"/>
      <c r="X3" s="780"/>
      <c r="Y3" s="780"/>
      <c r="Z3" s="780"/>
      <c r="AA3" s="780"/>
      <c r="AB3" s="780"/>
      <c r="AC3" s="780"/>
      <c r="AD3" s="780"/>
      <c r="AE3" s="781"/>
      <c r="AF3" s="679"/>
      <c r="AG3" s="679"/>
      <c r="AH3" s="679"/>
      <c r="AI3" s="679"/>
      <c r="AJ3" s="679"/>
      <c r="AK3" s="679"/>
    </row>
    <row r="4" spans="1:37" s="7" customFormat="1" ht="21" customHeight="1">
      <c r="A4" s="796" t="s">
        <v>31</v>
      </c>
      <c r="B4" s="797"/>
      <c r="C4" s="797"/>
      <c r="D4" s="614">
        <v>3051239</v>
      </c>
      <c r="E4" s="194">
        <f t="shared" ref="E4:L4" si="0">SUM(E5,E204,E243,E396,E399)</f>
        <v>3135263</v>
      </c>
      <c r="F4" s="194">
        <f t="shared" si="0"/>
        <v>2339194</v>
      </c>
      <c r="G4" s="657">
        <f t="shared" si="0"/>
        <v>149309</v>
      </c>
      <c r="H4" s="657">
        <f t="shared" si="0"/>
        <v>20941</v>
      </c>
      <c r="I4" s="657">
        <f t="shared" si="0"/>
        <v>325377</v>
      </c>
      <c r="J4" s="657">
        <f t="shared" si="0"/>
        <v>106509</v>
      </c>
      <c r="K4" s="657">
        <f t="shared" si="0"/>
        <v>118759</v>
      </c>
      <c r="L4" s="657">
        <f t="shared" si="0"/>
        <v>75174</v>
      </c>
      <c r="M4" s="195">
        <f>E4-D4</f>
        <v>84024</v>
      </c>
      <c r="N4" s="196">
        <f>IF(D4=0,0,M4/D4)</f>
        <v>2.753766584656266E-2</v>
      </c>
      <c r="O4" s="197" t="s">
        <v>164</v>
      </c>
      <c r="P4" s="198"/>
      <c r="Q4" s="198"/>
      <c r="R4" s="198"/>
      <c r="S4" s="199"/>
      <c r="T4" s="440"/>
      <c r="U4" s="440"/>
      <c r="V4" s="199"/>
      <c r="W4" s="440"/>
      <c r="X4" s="440"/>
      <c r="Y4" s="496"/>
      <c r="Z4" s="440"/>
      <c r="AA4" s="440"/>
      <c r="AB4" s="705"/>
      <c r="AC4" s="542"/>
      <c r="AD4" s="658">
        <f>SUM(AD5,AD204,AD243,AD396,AD399)</f>
        <v>3135263000</v>
      </c>
      <c r="AE4" s="529" t="s">
        <v>25</v>
      </c>
      <c r="AF4" s="722"/>
      <c r="AG4" s="722"/>
      <c r="AH4" s="610"/>
      <c r="AI4" s="647"/>
      <c r="AJ4" s="714"/>
    </row>
    <row r="5" spans="1:37" s="7" customFormat="1" ht="21" customHeight="1">
      <c r="A5" s="69" t="s">
        <v>6</v>
      </c>
      <c r="B5" s="798" t="s">
        <v>7</v>
      </c>
      <c r="C5" s="799"/>
      <c r="D5" s="615">
        <v>2563963</v>
      </c>
      <c r="E5" s="200">
        <f t="shared" ref="E5:L5" si="1">SUM(E6,E107,E121)</f>
        <v>2584174</v>
      </c>
      <c r="F5" s="200">
        <f t="shared" si="1"/>
        <v>2202972</v>
      </c>
      <c r="G5" s="200">
        <f t="shared" si="1"/>
        <v>138440</v>
      </c>
      <c r="H5" s="200">
        <f t="shared" si="1"/>
        <v>0</v>
      </c>
      <c r="I5" s="200">
        <f>SUM(I6,I107,I121)</f>
        <v>55413</v>
      </c>
      <c r="J5" s="200">
        <f t="shared" si="1"/>
        <v>0</v>
      </c>
      <c r="K5" s="200">
        <f t="shared" si="1"/>
        <v>118759</v>
      </c>
      <c r="L5" s="200">
        <f t="shared" si="1"/>
        <v>68590</v>
      </c>
      <c r="M5" s="201">
        <f>E5-D5</f>
        <v>20211</v>
      </c>
      <c r="N5" s="202">
        <f>IF(D5=0,0,M5/D5)</f>
        <v>7.8827190563982401E-3</v>
      </c>
      <c r="O5" s="203" t="s">
        <v>165</v>
      </c>
      <c r="P5" s="203"/>
      <c r="Q5" s="203"/>
      <c r="R5" s="203"/>
      <c r="S5" s="204"/>
      <c r="T5" s="441"/>
      <c r="U5" s="441"/>
      <c r="V5" s="204"/>
      <c r="W5" s="441"/>
      <c r="X5" s="441"/>
      <c r="Y5" s="497"/>
      <c r="Z5" s="441"/>
      <c r="AA5" s="441"/>
      <c r="AB5" s="706"/>
      <c r="AC5" s="543"/>
      <c r="AD5" s="659">
        <f>SUM(AD6,AD107,AD121)</f>
        <v>2584174000</v>
      </c>
      <c r="AE5" s="528" t="s">
        <v>25</v>
      </c>
      <c r="AF5" s="728"/>
      <c r="AG5" s="734"/>
      <c r="AH5" s="724"/>
      <c r="AI5" s="647"/>
      <c r="AJ5" s="647"/>
    </row>
    <row r="6" spans="1:37" s="7" customFormat="1" ht="21" customHeight="1">
      <c r="A6" s="25"/>
      <c r="B6" s="18" t="s">
        <v>8</v>
      </c>
      <c r="C6" s="205" t="s">
        <v>5</v>
      </c>
      <c r="D6" s="616">
        <v>2330247</v>
      </c>
      <c r="E6" s="206">
        <f t="shared" ref="E6:L6" si="2">SUM(E7,E20,E25,E53,E67,E101)</f>
        <v>2330247</v>
      </c>
      <c r="F6" s="206">
        <f t="shared" si="2"/>
        <v>2135036</v>
      </c>
      <c r="G6" s="206">
        <f t="shared" si="2"/>
        <v>134840</v>
      </c>
      <c r="H6" s="206">
        <f t="shared" si="2"/>
        <v>0</v>
      </c>
      <c r="I6" s="206">
        <f t="shared" si="2"/>
        <v>2387</v>
      </c>
      <c r="J6" s="206">
        <f t="shared" si="2"/>
        <v>0</v>
      </c>
      <c r="K6" s="206">
        <f t="shared" si="2"/>
        <v>57984</v>
      </c>
      <c r="L6" s="206">
        <f t="shared" si="2"/>
        <v>0</v>
      </c>
      <c r="M6" s="207">
        <f>E6-D6</f>
        <v>0</v>
      </c>
      <c r="N6" s="208">
        <f>IF(D6=0,0,M6/D6)</f>
        <v>0</v>
      </c>
      <c r="O6" s="209" t="s">
        <v>166</v>
      </c>
      <c r="P6" s="209"/>
      <c r="Q6" s="209"/>
      <c r="R6" s="209"/>
      <c r="S6" s="210"/>
      <c r="T6" s="442"/>
      <c r="U6" s="442"/>
      <c r="V6" s="210"/>
      <c r="W6" s="442"/>
      <c r="X6" s="442"/>
      <c r="Y6" s="498"/>
      <c r="Z6" s="442"/>
      <c r="AA6" s="442"/>
      <c r="AB6" s="707"/>
      <c r="AC6" s="544"/>
      <c r="AD6" s="660">
        <f>SUM(AD7,AD20,AD25,AD53,AD67,AD101)</f>
        <v>2330247000</v>
      </c>
      <c r="AE6" s="530" t="s">
        <v>25</v>
      </c>
      <c r="AF6" s="728"/>
      <c r="AG6" s="734"/>
      <c r="AH6" s="724"/>
      <c r="AI6" s="647"/>
      <c r="AJ6" s="647"/>
    </row>
    <row r="7" spans="1:37" s="7" customFormat="1" ht="21" customHeight="1">
      <c r="A7" s="25"/>
      <c r="B7" s="26"/>
      <c r="C7" s="18" t="s">
        <v>32</v>
      </c>
      <c r="D7" s="613">
        <v>1479682</v>
      </c>
      <c r="E7" s="71">
        <f>ROUND(AD7/1000,0)</f>
        <v>1479682</v>
      </c>
      <c r="F7" s="71">
        <f>SUMIF($AB$8:$AB$19,"보조",$AD$8:$AD$19)/1000</f>
        <v>1364577</v>
      </c>
      <c r="G7" s="71">
        <f>SUMIF($AB$8:$AB$19,"6종",$AD$8:$AD$19)/1000</f>
        <v>73666</v>
      </c>
      <c r="H7" s="71">
        <f>SUMIF($AB$8:$AB$19,"4종",$AD$8:$AD$19)/1000</f>
        <v>0</v>
      </c>
      <c r="I7" s="71">
        <f>SUMIF($AB$8:$AB$19,"후원",$AD$8:$AD$19)/1000</f>
        <v>0</v>
      </c>
      <c r="J7" s="71">
        <f>SUMIF($AB$8:$AB$19,"입소",$AD$8:$AD$19)/1000</f>
        <v>0</v>
      </c>
      <c r="K7" s="71">
        <f>SUMIF($AB$8:$AB$19,"법인",$AD$8:$AD$19)/1000</f>
        <v>41439</v>
      </c>
      <c r="L7" s="71">
        <f>SUMIF($AB$8:$AB$19,"잡수",$AD$8:$AD$19)/1000</f>
        <v>0</v>
      </c>
      <c r="M7" s="70">
        <f>E7-D7</f>
        <v>0</v>
      </c>
      <c r="N7" s="75">
        <f>IF(D7=0,0,M7/D7)</f>
        <v>0</v>
      </c>
      <c r="O7" s="73" t="s">
        <v>63</v>
      </c>
      <c r="P7" s="73"/>
      <c r="Q7" s="101"/>
      <c r="R7" s="101"/>
      <c r="S7" s="101"/>
      <c r="T7" s="437"/>
      <c r="U7" s="437"/>
      <c r="V7" s="87"/>
      <c r="W7" s="443" t="s">
        <v>116</v>
      </c>
      <c r="X7" s="443"/>
      <c r="Y7" s="74"/>
      <c r="Z7" s="443"/>
      <c r="AA7" s="443"/>
      <c r="AB7" s="708"/>
      <c r="AC7" s="537"/>
      <c r="AD7" s="653">
        <f>SUM(기본급,기본급7종,AD13,AD15)</f>
        <v>1479682000</v>
      </c>
      <c r="AE7" s="688" t="s">
        <v>55</v>
      </c>
      <c r="AF7" s="728"/>
      <c r="AG7" s="734"/>
      <c r="AH7" s="724"/>
      <c r="AI7" s="647"/>
      <c r="AJ7" s="647"/>
    </row>
    <row r="8" spans="1:37" s="7" customFormat="1" ht="21" customHeight="1">
      <c r="A8" s="25"/>
      <c r="B8" s="26"/>
      <c r="C8" s="26"/>
      <c r="D8" s="617"/>
      <c r="E8" s="353"/>
      <c r="F8" s="353"/>
      <c r="G8" s="353"/>
      <c r="H8" s="353"/>
      <c r="I8" s="353"/>
      <c r="J8" s="353"/>
      <c r="K8" s="353"/>
      <c r="L8" s="353"/>
      <c r="M8" s="67"/>
      <c r="N8" s="43"/>
      <c r="O8" s="234"/>
      <c r="P8" s="234"/>
      <c r="Q8" s="234"/>
      <c r="R8" s="234"/>
      <c r="S8" s="234"/>
      <c r="T8" s="445"/>
      <c r="U8" s="445"/>
      <c r="V8" s="371"/>
      <c r="W8" s="445"/>
      <c r="X8" s="445"/>
      <c r="Y8" s="515"/>
      <c r="Z8" s="445"/>
      <c r="AA8" s="445"/>
      <c r="AB8" s="710"/>
      <c r="AC8" s="564"/>
      <c r="AD8" s="723"/>
      <c r="AE8" s="687"/>
      <c r="AF8" s="728"/>
      <c r="AG8" s="734"/>
      <c r="AH8" s="724"/>
      <c r="AI8" s="647"/>
      <c r="AJ8" s="647"/>
    </row>
    <row r="9" spans="1:37" s="7" customFormat="1" ht="21" customHeight="1">
      <c r="A9" s="25"/>
      <c r="B9" s="26"/>
      <c r="C9" s="26"/>
      <c r="D9" s="618"/>
      <c r="E9" s="354"/>
      <c r="F9" s="354"/>
      <c r="G9" s="354"/>
      <c r="H9" s="354"/>
      <c r="I9" s="354"/>
      <c r="J9" s="354"/>
      <c r="K9" s="354"/>
      <c r="L9" s="354"/>
      <c r="M9" s="67"/>
      <c r="N9" s="43"/>
      <c r="O9" s="513" t="s">
        <v>733</v>
      </c>
      <c r="P9" s="513"/>
      <c r="Q9" s="513"/>
      <c r="R9" s="513"/>
      <c r="S9" s="338"/>
      <c r="T9" s="339"/>
      <c r="U9" s="339"/>
      <c r="V9" s="337"/>
      <c r="W9" s="339"/>
      <c r="X9" s="339"/>
      <c r="Y9" s="340"/>
      <c r="Z9" s="339"/>
      <c r="AA9" s="339"/>
      <c r="AB9" s="698" t="s">
        <v>70</v>
      </c>
      <c r="AC9" s="588"/>
      <c r="AD9" s="663">
        <v>1364577000</v>
      </c>
      <c r="AE9" s="692" t="s">
        <v>55</v>
      </c>
      <c r="AF9" s="728"/>
      <c r="AG9" s="734"/>
      <c r="AH9" s="724"/>
      <c r="AI9" s="647"/>
      <c r="AJ9" s="647"/>
    </row>
    <row r="10" spans="1:37" s="7" customFormat="1" ht="21" customHeight="1">
      <c r="A10" s="25"/>
      <c r="B10" s="26"/>
      <c r="C10" s="26"/>
      <c r="D10" s="612"/>
      <c r="E10" s="67"/>
      <c r="F10" s="67"/>
      <c r="G10" s="67"/>
      <c r="H10" s="67"/>
      <c r="I10" s="67"/>
      <c r="J10" s="67"/>
      <c r="K10" s="67"/>
      <c r="L10" s="67"/>
      <c r="M10" s="67"/>
      <c r="N10" s="43"/>
      <c r="O10" s="333"/>
      <c r="P10" s="333"/>
      <c r="Q10" s="333"/>
      <c r="R10" s="333"/>
      <c r="S10" s="337"/>
      <c r="T10" s="298"/>
      <c r="U10" s="339"/>
      <c r="V10" s="337"/>
      <c r="W10" s="298"/>
      <c r="X10" s="339"/>
      <c r="Y10" s="340"/>
      <c r="Z10" s="339"/>
      <c r="AA10" s="339"/>
      <c r="AB10" s="674"/>
      <c r="AC10" s="598"/>
      <c r="AD10" s="673"/>
      <c r="AE10" s="691"/>
      <c r="AF10" s="728"/>
      <c r="AG10" s="734"/>
      <c r="AH10" s="724"/>
      <c r="AI10" s="647"/>
      <c r="AJ10" s="647"/>
    </row>
    <row r="11" spans="1:37" s="7" customFormat="1" ht="21" customHeight="1">
      <c r="A11" s="25"/>
      <c r="B11" s="26"/>
      <c r="C11" s="26"/>
      <c r="D11" s="612"/>
      <c r="E11" s="67"/>
      <c r="F11" s="67"/>
      <c r="G11" s="67"/>
      <c r="H11" s="67"/>
      <c r="I11" s="67"/>
      <c r="J11" s="67"/>
      <c r="K11" s="67"/>
      <c r="L11" s="67"/>
      <c r="M11" s="67"/>
      <c r="N11" s="43"/>
      <c r="O11" s="513" t="s">
        <v>167</v>
      </c>
      <c r="P11" s="513"/>
      <c r="Q11" s="513"/>
      <c r="R11" s="513"/>
      <c r="S11" s="338"/>
      <c r="T11" s="339"/>
      <c r="U11" s="339"/>
      <c r="V11" s="337"/>
      <c r="W11" s="339"/>
      <c r="X11" s="339"/>
      <c r="Y11" s="340"/>
      <c r="Z11" s="339"/>
      <c r="AA11" s="339"/>
      <c r="AB11" s="698" t="s">
        <v>805</v>
      </c>
      <c r="AC11" s="588"/>
      <c r="AD11" s="663">
        <v>73666000</v>
      </c>
      <c r="AE11" s="692" t="s">
        <v>55</v>
      </c>
      <c r="AF11" s="728"/>
      <c r="AG11" s="734"/>
      <c r="AH11" s="724"/>
      <c r="AI11" s="647"/>
      <c r="AJ11" s="647"/>
    </row>
    <row r="12" spans="1:37" s="7" customFormat="1" ht="21" customHeight="1">
      <c r="A12" s="25"/>
      <c r="B12" s="26"/>
      <c r="C12" s="26"/>
      <c r="D12" s="612"/>
      <c r="E12" s="67"/>
      <c r="F12" s="67"/>
      <c r="G12" s="67"/>
      <c r="H12" s="67"/>
      <c r="I12" s="67"/>
      <c r="J12" s="67"/>
      <c r="K12" s="67"/>
      <c r="L12" s="67"/>
      <c r="M12" s="67"/>
      <c r="N12" s="43"/>
      <c r="O12" s="338"/>
      <c r="P12" s="338"/>
      <c r="Q12" s="338"/>
      <c r="R12" s="338"/>
      <c r="S12" s="338"/>
      <c r="T12" s="339"/>
      <c r="U12" s="339"/>
      <c r="V12" s="337"/>
      <c r="W12" s="339"/>
      <c r="X12" s="339"/>
      <c r="Y12" s="340"/>
      <c r="Z12" s="339"/>
      <c r="AA12" s="339"/>
      <c r="AB12" s="674"/>
      <c r="AC12" s="599"/>
      <c r="AD12" s="675"/>
      <c r="AE12" s="691"/>
      <c r="AF12" s="728"/>
      <c r="AG12" s="734"/>
      <c r="AH12" s="724"/>
      <c r="AI12" s="647"/>
      <c r="AJ12" s="647"/>
    </row>
    <row r="13" spans="1:37" s="7" customFormat="1" ht="21" customHeight="1">
      <c r="A13" s="25"/>
      <c r="B13" s="26"/>
      <c r="C13" s="26"/>
      <c r="D13" s="612"/>
      <c r="E13" s="67"/>
      <c r="F13" s="67"/>
      <c r="G13" s="67"/>
      <c r="H13" s="67"/>
      <c r="I13" s="67"/>
      <c r="J13" s="67"/>
      <c r="K13" s="67"/>
      <c r="L13" s="67"/>
      <c r="M13" s="67"/>
      <c r="N13" s="43"/>
      <c r="O13" s="338" t="s">
        <v>297</v>
      </c>
      <c r="P13" s="338"/>
      <c r="Q13" s="338"/>
      <c r="R13" s="338"/>
      <c r="S13" s="338"/>
      <c r="T13" s="339"/>
      <c r="U13" s="339"/>
      <c r="V13" s="337"/>
      <c r="W13" s="339"/>
      <c r="X13" s="339"/>
      <c r="Y13" s="340"/>
      <c r="Z13" s="339"/>
      <c r="AA13" s="339"/>
      <c r="AB13" s="698" t="s">
        <v>70</v>
      </c>
      <c r="AC13" s="588"/>
      <c r="AD13" s="663">
        <v>0</v>
      </c>
      <c r="AE13" s="692" t="s">
        <v>55</v>
      </c>
      <c r="AF13" s="728"/>
      <c r="AG13" s="734"/>
      <c r="AH13" s="724"/>
      <c r="AI13" s="647"/>
      <c r="AJ13" s="647"/>
    </row>
    <row r="14" spans="1:37" s="7" customFormat="1" ht="21" customHeight="1">
      <c r="A14" s="25"/>
      <c r="B14" s="26"/>
      <c r="C14" s="26"/>
      <c r="D14" s="612"/>
      <c r="E14" s="67"/>
      <c r="F14" s="67"/>
      <c r="G14" s="67"/>
      <c r="H14" s="67"/>
      <c r="I14" s="67"/>
      <c r="J14" s="67"/>
      <c r="K14" s="67"/>
      <c r="L14" s="67"/>
      <c r="M14" s="67"/>
      <c r="N14" s="43"/>
      <c r="O14" s="338"/>
      <c r="P14" s="338"/>
      <c r="Q14" s="338"/>
      <c r="R14" s="338"/>
      <c r="S14" s="338"/>
      <c r="T14" s="339"/>
      <c r="U14" s="339"/>
      <c r="V14" s="337"/>
      <c r="W14" s="339"/>
      <c r="X14" s="339"/>
      <c r="Y14" s="340"/>
      <c r="Z14" s="339"/>
      <c r="AA14" s="339"/>
      <c r="AB14" s="699"/>
      <c r="AC14" s="595"/>
      <c r="AD14" s="668"/>
      <c r="AE14" s="715"/>
      <c r="AF14" s="728"/>
      <c r="AG14" s="734"/>
      <c r="AH14" s="724"/>
      <c r="AI14" s="647"/>
      <c r="AJ14" s="647"/>
    </row>
    <row r="15" spans="1:37" s="7" customFormat="1" ht="21" customHeight="1">
      <c r="A15" s="25"/>
      <c r="B15" s="26"/>
      <c r="C15" s="26"/>
      <c r="D15" s="612"/>
      <c r="E15" s="67"/>
      <c r="F15" s="67"/>
      <c r="G15" s="67"/>
      <c r="H15" s="67"/>
      <c r="I15" s="67"/>
      <c r="J15" s="67"/>
      <c r="K15" s="67"/>
      <c r="L15" s="67"/>
      <c r="M15" s="67"/>
      <c r="N15" s="43"/>
      <c r="O15" s="513" t="s">
        <v>590</v>
      </c>
      <c r="P15" s="338"/>
      <c r="Q15" s="338"/>
      <c r="R15" s="338"/>
      <c r="S15" s="338"/>
      <c r="T15" s="339"/>
      <c r="U15" s="339"/>
      <c r="V15" s="337"/>
      <c r="W15" s="339"/>
      <c r="X15" s="339"/>
      <c r="Y15" s="340"/>
      <c r="Z15" s="339"/>
      <c r="AA15" s="428"/>
      <c r="AB15" s="698"/>
      <c r="AC15" s="588"/>
      <c r="AD15" s="663">
        <f>SUM(AD16:AD18)</f>
        <v>41439000</v>
      </c>
      <c r="AE15" s="692" t="s">
        <v>55</v>
      </c>
      <c r="AF15" s="728"/>
      <c r="AG15" s="734"/>
      <c r="AH15" s="724"/>
      <c r="AI15" s="647"/>
      <c r="AJ15" s="647"/>
    </row>
    <row r="16" spans="1:37" s="7" customFormat="1" ht="21" customHeight="1">
      <c r="A16" s="25"/>
      <c r="B16" s="26"/>
      <c r="C16" s="26"/>
      <c r="D16" s="612"/>
      <c r="E16" s="67"/>
      <c r="F16" s="67"/>
      <c r="G16" s="67"/>
      <c r="H16" s="67"/>
      <c r="I16" s="67"/>
      <c r="J16" s="67"/>
      <c r="K16" s="67"/>
      <c r="L16" s="67"/>
      <c r="M16" s="67"/>
      <c r="N16" s="43"/>
      <c r="O16" s="338" t="s">
        <v>654</v>
      </c>
      <c r="P16" s="338"/>
      <c r="Q16" s="338"/>
      <c r="R16" s="338"/>
      <c r="S16" s="337">
        <v>1100000</v>
      </c>
      <c r="T16" s="339" t="s">
        <v>655</v>
      </c>
      <c r="U16" s="298" t="s">
        <v>656</v>
      </c>
      <c r="V16" s="305">
        <v>12</v>
      </c>
      <c r="W16" s="226" t="s">
        <v>657</v>
      </c>
      <c r="X16" s="339"/>
      <c r="Y16" s="340"/>
      <c r="Z16" s="339"/>
      <c r="AA16" s="339" t="s">
        <v>658</v>
      </c>
      <c r="AB16" s="674" t="s">
        <v>659</v>
      </c>
      <c r="AC16" s="599"/>
      <c r="AD16" s="675">
        <f>ROUNDUP(S16*V16,-3)</f>
        <v>13200000</v>
      </c>
      <c r="AE16" s="691" t="s">
        <v>55</v>
      </c>
      <c r="AF16" s="728"/>
      <c r="AG16" s="734"/>
      <c r="AH16" s="724"/>
      <c r="AI16" s="647"/>
      <c r="AJ16" s="647"/>
    </row>
    <row r="17" spans="1:36" s="7" customFormat="1" ht="21" customHeight="1">
      <c r="A17" s="25"/>
      <c r="B17" s="26"/>
      <c r="C17" s="26"/>
      <c r="D17" s="612"/>
      <c r="E17" s="67"/>
      <c r="F17" s="67"/>
      <c r="G17" s="67"/>
      <c r="H17" s="67"/>
      <c r="I17" s="67"/>
      <c r="J17" s="67"/>
      <c r="K17" s="67"/>
      <c r="L17" s="67"/>
      <c r="M17" s="67"/>
      <c r="N17" s="43"/>
      <c r="O17" s="338" t="s">
        <v>660</v>
      </c>
      <c r="P17" s="338"/>
      <c r="Q17" s="338"/>
      <c r="R17" s="338"/>
      <c r="S17" s="337">
        <v>2067000</v>
      </c>
      <c r="T17" s="339" t="s">
        <v>655</v>
      </c>
      <c r="U17" s="298" t="s">
        <v>656</v>
      </c>
      <c r="V17" s="305">
        <v>12</v>
      </c>
      <c r="W17" s="226" t="s">
        <v>657</v>
      </c>
      <c r="X17" s="339"/>
      <c r="Y17" s="340"/>
      <c r="Z17" s="339"/>
      <c r="AA17" s="339" t="s">
        <v>658</v>
      </c>
      <c r="AB17" s="674" t="s">
        <v>659</v>
      </c>
      <c r="AC17" s="599"/>
      <c r="AD17" s="675">
        <f>ROUND(S17*V17,-3)+108000</f>
        <v>24912000</v>
      </c>
      <c r="AE17" s="691" t="s">
        <v>55</v>
      </c>
      <c r="AF17" s="728"/>
      <c r="AG17" s="734"/>
      <c r="AH17" s="724"/>
      <c r="AI17" s="647"/>
      <c r="AJ17" s="647"/>
    </row>
    <row r="18" spans="1:36" s="7" customFormat="1" ht="21" customHeight="1">
      <c r="A18" s="25"/>
      <c r="B18" s="26"/>
      <c r="C18" s="26"/>
      <c r="D18" s="612"/>
      <c r="E18" s="67"/>
      <c r="F18" s="67"/>
      <c r="G18" s="67"/>
      <c r="H18" s="67"/>
      <c r="I18" s="67"/>
      <c r="J18" s="67"/>
      <c r="K18" s="67"/>
      <c r="L18" s="67"/>
      <c r="M18" s="67"/>
      <c r="N18" s="43"/>
      <c r="O18" s="338" t="s">
        <v>661</v>
      </c>
      <c r="P18" s="338"/>
      <c r="Q18" s="338"/>
      <c r="R18" s="338"/>
      <c r="S18" s="337">
        <v>277000</v>
      </c>
      <c r="T18" s="339" t="s">
        <v>655</v>
      </c>
      <c r="U18" s="298" t="s">
        <v>656</v>
      </c>
      <c r="V18" s="305">
        <v>12</v>
      </c>
      <c r="W18" s="226" t="s">
        <v>657</v>
      </c>
      <c r="X18" s="339"/>
      <c r="Y18" s="340"/>
      <c r="Z18" s="339"/>
      <c r="AA18" s="339" t="s">
        <v>658</v>
      </c>
      <c r="AB18" s="674" t="s">
        <v>659</v>
      </c>
      <c r="AC18" s="599"/>
      <c r="AD18" s="675">
        <f>ROUND(S18*V18,-3)+3000</f>
        <v>3327000</v>
      </c>
      <c r="AE18" s="691" t="s">
        <v>55</v>
      </c>
      <c r="AF18" s="728"/>
      <c r="AG18" s="734"/>
      <c r="AH18" s="724"/>
      <c r="AI18" s="647"/>
      <c r="AJ18" s="647"/>
    </row>
    <row r="19" spans="1:36" s="7" customFormat="1" ht="21" customHeight="1">
      <c r="A19" s="25"/>
      <c r="B19" s="26"/>
      <c r="C19" s="26"/>
      <c r="D19" s="612"/>
      <c r="E19" s="67"/>
      <c r="F19" s="67"/>
      <c r="G19" s="67"/>
      <c r="H19" s="67"/>
      <c r="I19" s="67"/>
      <c r="J19" s="67"/>
      <c r="K19" s="67"/>
      <c r="L19" s="67"/>
      <c r="M19" s="67"/>
      <c r="N19" s="43"/>
      <c r="O19" s="338"/>
      <c r="P19" s="338"/>
      <c r="Q19" s="338"/>
      <c r="R19" s="338"/>
      <c r="S19" s="338"/>
      <c r="T19" s="339"/>
      <c r="U19" s="339"/>
      <c r="V19" s="512"/>
      <c r="W19" s="428"/>
      <c r="X19" s="428"/>
      <c r="Y19" s="236"/>
      <c r="Z19" s="428"/>
      <c r="AA19" s="428"/>
      <c r="AB19" s="698"/>
      <c r="AC19" s="588"/>
      <c r="AD19" s="663"/>
      <c r="AE19" s="688"/>
      <c r="AF19" s="728"/>
      <c r="AG19" s="734"/>
      <c r="AH19" s="724"/>
      <c r="AI19" s="647"/>
      <c r="AJ19" s="647"/>
    </row>
    <row r="20" spans="1:36" s="7" customFormat="1" ht="21" customHeight="1">
      <c r="A20" s="25"/>
      <c r="B20" s="26"/>
      <c r="C20" s="18" t="s">
        <v>62</v>
      </c>
      <c r="D20" s="613">
        <v>800</v>
      </c>
      <c r="E20" s="71">
        <f>ROUND(AD20/1000,0)</f>
        <v>800</v>
      </c>
      <c r="F20" s="71">
        <f>SUMIF($AB$21:$AB$24,"보조",$AD$21:$AD$24)/1000</f>
        <v>0</v>
      </c>
      <c r="G20" s="71">
        <f>SUMIF($AB$21:$AB$24,"6종",$AD$21:$AD$24)/1000</f>
        <v>0</v>
      </c>
      <c r="H20" s="71">
        <f>SUMIF($AB$21:$AB$24,"4종",$AD$21:$AD$24)/1000</f>
        <v>0</v>
      </c>
      <c r="I20" s="71">
        <f>SUMIF($AB$21:$AB$24,"후원",$AD$21:$AD$24)/1000</f>
        <v>0</v>
      </c>
      <c r="J20" s="71">
        <f>SUMIF($AB$21:$AB$24,"입소",$AD$21:$AD$24)/1000</f>
        <v>0</v>
      </c>
      <c r="K20" s="71">
        <f>SUMIF($AB$21:$AB$24,"법인",$AD$21:$AD$24)/1000</f>
        <v>800</v>
      </c>
      <c r="L20" s="71">
        <f>SUMIF($AB$21:$AB$24,"잡수",$AD$21:$AD$24)/1000</f>
        <v>0</v>
      </c>
      <c r="M20" s="77">
        <f>E20-D20</f>
        <v>0</v>
      </c>
      <c r="N20" s="75">
        <f>IF(D20=0,0,M20/D20)</f>
        <v>0</v>
      </c>
      <c r="O20" s="187" t="s">
        <v>64</v>
      </c>
      <c r="P20" s="511"/>
      <c r="Q20" s="188"/>
      <c r="R20" s="188"/>
      <c r="S20" s="188"/>
      <c r="T20" s="444"/>
      <c r="U20" s="444"/>
      <c r="V20" s="371"/>
      <c r="W20" s="449" t="s">
        <v>116</v>
      </c>
      <c r="X20" s="449"/>
      <c r="Y20" s="373"/>
      <c r="Z20" s="449"/>
      <c r="AA20" s="449"/>
      <c r="AB20" s="712"/>
      <c r="AC20" s="560"/>
      <c r="AD20" s="682">
        <f>SUM(AD22:AD23)</f>
        <v>800000</v>
      </c>
      <c r="AE20" s="688" t="s">
        <v>55</v>
      </c>
      <c r="AF20" s="728"/>
      <c r="AG20" s="734"/>
      <c r="AH20" s="724"/>
      <c r="AI20" s="647"/>
      <c r="AJ20" s="647"/>
    </row>
    <row r="21" spans="1:36" s="7" customFormat="1" ht="21" customHeight="1">
      <c r="A21" s="25"/>
      <c r="B21" s="26"/>
      <c r="C21" s="26"/>
      <c r="D21" s="612"/>
      <c r="E21" s="67"/>
      <c r="F21" s="67"/>
      <c r="G21" s="67"/>
      <c r="H21" s="67"/>
      <c r="I21" s="67"/>
      <c r="J21" s="67"/>
      <c r="K21" s="67"/>
      <c r="L21" s="67"/>
      <c r="M21" s="67"/>
      <c r="N21" s="43"/>
      <c r="O21" s="234"/>
      <c r="P21" s="234"/>
      <c r="Q21" s="234"/>
      <c r="R21" s="234"/>
      <c r="S21" s="234"/>
      <c r="T21" s="445"/>
      <c r="U21" s="445"/>
      <c r="V21" s="371"/>
      <c r="W21" s="445"/>
      <c r="X21" s="445"/>
      <c r="Y21" s="515"/>
      <c r="Z21" s="445"/>
      <c r="AA21" s="445"/>
      <c r="AB21" s="710"/>
      <c r="AC21" s="564"/>
      <c r="AD21" s="723"/>
      <c r="AE21" s="687"/>
      <c r="AF21" s="728"/>
      <c r="AG21" s="734"/>
      <c r="AH21" s="724"/>
      <c r="AI21" s="647"/>
      <c r="AJ21" s="647"/>
    </row>
    <row r="22" spans="1:36" s="7" customFormat="1" ht="21" customHeight="1">
      <c r="A22" s="25"/>
      <c r="B22" s="26"/>
      <c r="C22" s="26"/>
      <c r="D22" s="612"/>
      <c r="E22" s="67"/>
      <c r="F22" s="67"/>
      <c r="G22" s="67"/>
      <c r="H22" s="67"/>
      <c r="I22" s="67"/>
      <c r="J22" s="67"/>
      <c r="K22" s="67"/>
      <c r="L22" s="67"/>
      <c r="M22" s="67"/>
      <c r="N22" s="43"/>
      <c r="O22" s="177" t="s">
        <v>159</v>
      </c>
      <c r="P22" s="338"/>
      <c r="Q22" s="338"/>
      <c r="R22" s="338"/>
      <c r="S22" s="337">
        <v>45000</v>
      </c>
      <c r="T22" s="339" t="s">
        <v>55</v>
      </c>
      <c r="U22" s="298" t="s">
        <v>56</v>
      </c>
      <c r="V22" s="337">
        <v>0</v>
      </c>
      <c r="W22" s="339" t="s">
        <v>54</v>
      </c>
      <c r="X22" s="298" t="s">
        <v>56</v>
      </c>
      <c r="Y22" s="506">
        <v>0</v>
      </c>
      <c r="Z22" s="339" t="s">
        <v>84</v>
      </c>
      <c r="AA22" s="339" t="s">
        <v>53</v>
      </c>
      <c r="AB22" s="674" t="s">
        <v>805</v>
      </c>
      <c r="AC22" s="599"/>
      <c r="AD22" s="673">
        <f>S22*V22*Y22</f>
        <v>0</v>
      </c>
      <c r="AE22" s="687" t="s">
        <v>55</v>
      </c>
      <c r="AF22" s="728"/>
      <c r="AG22" s="734"/>
      <c r="AH22" s="724"/>
      <c r="AI22" s="647"/>
      <c r="AJ22" s="647"/>
    </row>
    <row r="23" spans="1:36" s="7" customFormat="1" ht="21" customHeight="1">
      <c r="A23" s="25"/>
      <c r="B23" s="26"/>
      <c r="C23" s="26"/>
      <c r="D23" s="612"/>
      <c r="E23" s="67"/>
      <c r="F23" s="67"/>
      <c r="G23" s="67"/>
      <c r="H23" s="67"/>
      <c r="I23" s="67"/>
      <c r="J23" s="67"/>
      <c r="K23" s="67"/>
      <c r="L23" s="67"/>
      <c r="M23" s="67"/>
      <c r="N23" s="43"/>
      <c r="O23" s="338" t="s">
        <v>231</v>
      </c>
      <c r="P23" s="338"/>
      <c r="Q23" s="338"/>
      <c r="R23" s="338"/>
      <c r="S23" s="337">
        <v>80000</v>
      </c>
      <c r="T23" s="339" t="s">
        <v>55</v>
      </c>
      <c r="U23" s="298" t="s">
        <v>56</v>
      </c>
      <c r="V23" s="337">
        <v>10</v>
      </c>
      <c r="W23" s="339" t="s">
        <v>54</v>
      </c>
      <c r="X23" s="298" t="s">
        <v>56</v>
      </c>
      <c r="Y23" s="506"/>
      <c r="Z23" s="339" t="s">
        <v>84</v>
      </c>
      <c r="AA23" s="339" t="s">
        <v>53</v>
      </c>
      <c r="AB23" s="674" t="s">
        <v>151</v>
      </c>
      <c r="AC23" s="599"/>
      <c r="AD23" s="675">
        <f>ROUNDUP(S23*V23,-3)</f>
        <v>800000</v>
      </c>
      <c r="AE23" s="685" t="s">
        <v>55</v>
      </c>
      <c r="AF23" s="728"/>
      <c r="AG23" s="734"/>
      <c r="AH23" s="724"/>
      <c r="AI23" s="647"/>
      <c r="AJ23" s="647"/>
    </row>
    <row r="24" spans="1:36" s="7" customFormat="1" ht="21" customHeight="1">
      <c r="A24" s="25"/>
      <c r="B24" s="26"/>
      <c r="C24" s="26"/>
      <c r="D24" s="612"/>
      <c r="E24" s="67"/>
      <c r="F24" s="67"/>
      <c r="G24" s="67"/>
      <c r="H24" s="67"/>
      <c r="I24" s="67"/>
      <c r="J24" s="67"/>
      <c r="K24" s="67"/>
      <c r="L24" s="67"/>
      <c r="M24" s="67"/>
      <c r="N24" s="43"/>
      <c r="O24" s="338"/>
      <c r="P24" s="338"/>
      <c r="Q24" s="338"/>
      <c r="R24" s="338"/>
      <c r="S24" s="337"/>
      <c r="T24" s="339"/>
      <c r="U24" s="298"/>
      <c r="V24" s="337"/>
      <c r="W24" s="339"/>
      <c r="X24" s="298"/>
      <c r="Y24" s="516"/>
      <c r="Z24" s="339"/>
      <c r="AA24" s="339"/>
      <c r="AB24" s="674"/>
      <c r="AC24" s="599"/>
      <c r="AD24" s="673"/>
      <c r="AE24" s="687"/>
      <c r="AF24" s="728"/>
      <c r="AG24" s="734"/>
      <c r="AH24" s="724"/>
      <c r="AI24" s="647"/>
      <c r="AJ24" s="647"/>
    </row>
    <row r="25" spans="1:36" s="7" customFormat="1" ht="21" customHeight="1">
      <c r="A25" s="25"/>
      <c r="B25" s="26"/>
      <c r="C25" s="18" t="s">
        <v>33</v>
      </c>
      <c r="D25" s="613">
        <v>478721</v>
      </c>
      <c r="E25" s="71">
        <f>ROUND(AD25/1000,0)</f>
        <v>478721</v>
      </c>
      <c r="F25" s="71">
        <f>SUMIF($AB$26:$AB$52,"보조",$AD$26:$AD$52)/1000</f>
        <v>434870</v>
      </c>
      <c r="G25" s="71">
        <f>SUMIF($AB$26:$AB$52,"6종",$AD$26:$AD$52)/1000</f>
        <v>38408</v>
      </c>
      <c r="H25" s="71">
        <f>SUMIF($AB$26:$AB$52,"4종",$AD$26:$AD$52)/1000</f>
        <v>0</v>
      </c>
      <c r="I25" s="71">
        <f>SUMIF($AB$26:$AB$52,"후원",$AD$26:$AD$52)/1000</f>
        <v>0</v>
      </c>
      <c r="J25" s="71">
        <f>SUMIF($AB$26:$AB$52,"입소",$AD$26:$AD$52)/1000</f>
        <v>0</v>
      </c>
      <c r="K25" s="71">
        <f>SUMIF($AB$26:$AB$52,"법인",$AD$26:$AD$52)/1000</f>
        <v>5443</v>
      </c>
      <c r="L25" s="71">
        <f>SUMIF($AB$26:$AB$52,"잡수",$AD$26:$AD$52)/1000</f>
        <v>0</v>
      </c>
      <c r="M25" s="70">
        <f>E25-D25</f>
        <v>0</v>
      </c>
      <c r="N25" s="75">
        <f>IF(D25=0,0,M25/D25)</f>
        <v>0</v>
      </c>
      <c r="O25" s="187" t="s">
        <v>34</v>
      </c>
      <c r="P25" s="511"/>
      <c r="Q25" s="188"/>
      <c r="R25" s="188"/>
      <c r="S25" s="188"/>
      <c r="T25" s="444"/>
      <c r="U25" s="444"/>
      <c r="V25" s="189"/>
      <c r="W25" s="448" t="s">
        <v>116</v>
      </c>
      <c r="X25" s="448"/>
      <c r="Y25" s="190"/>
      <c r="Z25" s="448"/>
      <c r="AA25" s="448"/>
      <c r="AB25" s="711"/>
      <c r="AC25" s="541"/>
      <c r="AD25" s="656">
        <f>명절휴가비+가족수당+연장근로수당+AD46+AD49</f>
        <v>478721000</v>
      </c>
      <c r="AE25" s="686" t="s">
        <v>55</v>
      </c>
      <c r="AF25" s="728"/>
      <c r="AG25" s="734"/>
      <c r="AH25" s="724"/>
      <c r="AI25" s="647"/>
      <c r="AJ25" s="647"/>
    </row>
    <row r="26" spans="1:36" s="7" customFormat="1" ht="21" customHeight="1">
      <c r="A26" s="25"/>
      <c r="B26" s="26"/>
      <c r="C26" s="26"/>
      <c r="D26" s="617"/>
      <c r="E26" s="353"/>
      <c r="F26" s="353"/>
      <c r="G26" s="353"/>
      <c r="H26" s="353"/>
      <c r="I26" s="353"/>
      <c r="J26" s="353"/>
      <c r="K26" s="353"/>
      <c r="L26" s="353"/>
      <c r="M26" s="67"/>
      <c r="N26" s="43"/>
      <c r="O26" s="513" t="s">
        <v>168</v>
      </c>
      <c r="P26" s="338"/>
      <c r="Q26" s="338"/>
      <c r="R26" s="338"/>
      <c r="S26" s="338"/>
      <c r="T26" s="339"/>
      <c r="U26" s="339"/>
      <c r="V26" s="337"/>
      <c r="W26" s="428" t="s">
        <v>152</v>
      </c>
      <c r="X26" s="428"/>
      <c r="Y26" s="236"/>
      <c r="Z26" s="428"/>
      <c r="AA26" s="428"/>
      <c r="AB26" s="698"/>
      <c r="AC26" s="588" t="s">
        <v>153</v>
      </c>
      <c r="AD26" s="663">
        <f>ROUND(SUM(AD27:AD32),-3)</f>
        <v>143283000</v>
      </c>
      <c r="AE26" s="692" t="s">
        <v>55</v>
      </c>
      <c r="AF26" s="728"/>
      <c r="AG26" s="734"/>
      <c r="AH26" s="724"/>
      <c r="AI26" s="647"/>
      <c r="AJ26" s="647"/>
    </row>
    <row r="27" spans="1:36" s="7" customFormat="1" ht="21" customHeight="1">
      <c r="A27" s="25"/>
      <c r="B27" s="26"/>
      <c r="C27" s="26"/>
      <c r="D27" s="618"/>
      <c r="E27" s="354"/>
      <c r="F27" s="354"/>
      <c r="G27" s="354"/>
      <c r="H27" s="354"/>
      <c r="I27" s="354"/>
      <c r="J27" s="354"/>
      <c r="K27" s="354"/>
      <c r="L27" s="354"/>
      <c r="M27" s="67"/>
      <c r="N27" s="43"/>
      <c r="O27" s="338" t="s">
        <v>734</v>
      </c>
      <c r="P27" s="338"/>
      <c r="Q27" s="338"/>
      <c r="R27" s="338"/>
      <c r="S27" s="338"/>
      <c r="T27" s="339"/>
      <c r="U27" s="339"/>
      <c r="V27" s="337"/>
      <c r="W27" s="339"/>
      <c r="X27" s="339"/>
      <c r="Y27" s="340"/>
      <c r="Z27" s="339"/>
      <c r="AA27" s="339"/>
      <c r="AB27" s="674" t="s">
        <v>70</v>
      </c>
      <c r="AC27" s="599"/>
      <c r="AD27" s="675">
        <v>131816000</v>
      </c>
      <c r="AE27" s="691" t="s">
        <v>55</v>
      </c>
      <c r="AF27" s="728"/>
      <c r="AG27" s="734"/>
      <c r="AH27" s="724"/>
      <c r="AI27" s="647"/>
      <c r="AJ27" s="647"/>
    </row>
    <row r="28" spans="1:36" s="7" customFormat="1" ht="21" customHeight="1">
      <c r="A28" s="25"/>
      <c r="B28" s="26"/>
      <c r="C28" s="26"/>
      <c r="D28" s="612"/>
      <c r="E28" s="67"/>
      <c r="F28" s="67"/>
      <c r="G28" s="67"/>
      <c r="H28" s="67"/>
      <c r="I28" s="67"/>
      <c r="J28" s="67"/>
      <c r="K28" s="67"/>
      <c r="L28" s="67"/>
      <c r="M28" s="67"/>
      <c r="N28" s="43"/>
      <c r="O28" s="338" t="s">
        <v>812</v>
      </c>
      <c r="P28" s="338"/>
      <c r="Q28" s="338"/>
      <c r="R28" s="338"/>
      <c r="S28" s="338"/>
      <c r="T28" s="339"/>
      <c r="U28" s="339"/>
      <c r="V28" s="337"/>
      <c r="W28" s="339"/>
      <c r="X28" s="339"/>
      <c r="Y28" s="340"/>
      <c r="Z28" s="339"/>
      <c r="AA28" s="339"/>
      <c r="AB28" s="674" t="s">
        <v>805</v>
      </c>
      <c r="AC28" s="599"/>
      <c r="AD28" s="675">
        <v>7553000</v>
      </c>
      <c r="AE28" s="691" t="s">
        <v>55</v>
      </c>
      <c r="AF28" s="728"/>
      <c r="AG28" s="734"/>
      <c r="AH28" s="724"/>
      <c r="AI28" s="647"/>
      <c r="AJ28" s="647"/>
    </row>
    <row r="29" spans="1:36" s="7" customFormat="1" ht="21" customHeight="1">
      <c r="A29" s="25"/>
      <c r="B29" s="26"/>
      <c r="C29" s="26"/>
      <c r="D29" s="612"/>
      <c r="E29" s="67"/>
      <c r="F29" s="67"/>
      <c r="G29" s="67"/>
      <c r="H29" s="67"/>
      <c r="I29" s="67"/>
      <c r="J29" s="67"/>
      <c r="K29" s="67"/>
      <c r="L29" s="67"/>
      <c r="M29" s="67"/>
      <c r="N29" s="43"/>
      <c r="O29" s="338" t="s">
        <v>298</v>
      </c>
      <c r="P29" s="338"/>
      <c r="Q29" s="338"/>
      <c r="R29" s="338"/>
      <c r="S29" s="338"/>
      <c r="T29" s="339"/>
      <c r="U29" s="339"/>
      <c r="V29" s="337"/>
      <c r="W29" s="339"/>
      <c r="X29" s="339"/>
      <c r="Y29" s="340"/>
      <c r="Z29" s="339"/>
      <c r="AA29" s="339"/>
      <c r="AB29" s="674" t="s">
        <v>70</v>
      </c>
      <c r="AC29" s="599"/>
      <c r="AD29" s="675">
        <v>0</v>
      </c>
      <c r="AE29" s="691" t="s">
        <v>55</v>
      </c>
      <c r="AF29" s="728"/>
      <c r="AG29" s="734"/>
      <c r="AH29" s="724"/>
      <c r="AI29" s="647"/>
      <c r="AJ29" s="647"/>
    </row>
    <row r="30" spans="1:36" s="7" customFormat="1" ht="21" customHeight="1">
      <c r="A30" s="25"/>
      <c r="B30" s="26"/>
      <c r="C30" s="26"/>
      <c r="D30" s="612"/>
      <c r="E30" s="67"/>
      <c r="F30" s="67"/>
      <c r="G30" s="67"/>
      <c r="H30" s="67"/>
      <c r="I30" s="67"/>
      <c r="J30" s="67"/>
      <c r="K30" s="67"/>
      <c r="L30" s="67"/>
      <c r="M30" s="67"/>
      <c r="N30" s="43"/>
      <c r="O30" s="338" t="s">
        <v>557</v>
      </c>
      <c r="P30" s="338"/>
      <c r="Q30" s="338"/>
      <c r="R30" s="338"/>
      <c r="S30" s="338"/>
      <c r="T30" s="339"/>
      <c r="U30" s="339"/>
      <c r="V30" s="337"/>
      <c r="W30" s="339"/>
      <c r="X30" s="339"/>
      <c r="Y30" s="340"/>
      <c r="Z30" s="339"/>
      <c r="AA30" s="339"/>
      <c r="AB30" s="674" t="s">
        <v>151</v>
      </c>
      <c r="AC30" s="599"/>
      <c r="AD30" s="675">
        <v>334000</v>
      </c>
      <c r="AE30" s="691" t="s">
        <v>55</v>
      </c>
      <c r="AF30" s="728"/>
      <c r="AG30" s="734"/>
      <c r="AH30" s="724"/>
      <c r="AI30" s="647"/>
      <c r="AJ30" s="647"/>
    </row>
    <row r="31" spans="1:36" s="7" customFormat="1" ht="21" customHeight="1">
      <c r="A31" s="25"/>
      <c r="B31" s="26"/>
      <c r="C31" s="26"/>
      <c r="D31" s="612"/>
      <c r="E31" s="67"/>
      <c r="F31" s="67"/>
      <c r="G31" s="67"/>
      <c r="H31" s="67"/>
      <c r="I31" s="67"/>
      <c r="J31" s="67"/>
      <c r="K31" s="67"/>
      <c r="L31" s="67"/>
      <c r="M31" s="67"/>
      <c r="N31" s="43"/>
      <c r="O31" s="338" t="s">
        <v>615</v>
      </c>
      <c r="P31" s="338"/>
      <c r="Q31" s="338"/>
      <c r="R31" s="338"/>
      <c r="S31" s="338"/>
      <c r="T31" s="339"/>
      <c r="U31" s="339"/>
      <c r="V31" s="337"/>
      <c r="W31" s="339"/>
      <c r="X31" s="339"/>
      <c r="Y31" s="340"/>
      <c r="Z31" s="339"/>
      <c r="AA31" s="339"/>
      <c r="AB31" s="674" t="s">
        <v>151</v>
      </c>
      <c r="AC31" s="599"/>
      <c r="AD31" s="675">
        <v>2480000</v>
      </c>
      <c r="AE31" s="691" t="s">
        <v>55</v>
      </c>
      <c r="AF31" s="728"/>
      <c r="AG31" s="734"/>
      <c r="AH31" s="724"/>
      <c r="AI31" s="647"/>
      <c r="AJ31" s="647"/>
    </row>
    <row r="32" spans="1:36" s="7" customFormat="1" ht="21" customHeight="1">
      <c r="A32" s="25"/>
      <c r="B32" s="26"/>
      <c r="C32" s="26"/>
      <c r="D32" s="612"/>
      <c r="E32" s="67"/>
      <c r="F32" s="67"/>
      <c r="G32" s="67"/>
      <c r="H32" s="67"/>
      <c r="I32" s="67"/>
      <c r="J32" s="67"/>
      <c r="K32" s="67"/>
      <c r="L32" s="67"/>
      <c r="M32" s="67"/>
      <c r="N32" s="43"/>
      <c r="O32" s="338" t="s">
        <v>616</v>
      </c>
      <c r="P32" s="338"/>
      <c r="Q32" s="338"/>
      <c r="R32" s="338"/>
      <c r="S32" s="338"/>
      <c r="T32" s="339"/>
      <c r="U32" s="339"/>
      <c r="V32" s="337"/>
      <c r="W32" s="339"/>
      <c r="X32" s="339"/>
      <c r="Y32" s="340"/>
      <c r="Z32" s="339"/>
      <c r="AA32" s="339"/>
      <c r="AB32" s="674" t="s">
        <v>151</v>
      </c>
      <c r="AC32" s="599"/>
      <c r="AD32" s="675">
        <v>1100000</v>
      </c>
      <c r="AE32" s="691" t="s">
        <v>55</v>
      </c>
      <c r="AF32" s="728"/>
      <c r="AG32" s="734"/>
      <c r="AH32" s="724"/>
      <c r="AI32" s="647"/>
      <c r="AJ32" s="647"/>
    </row>
    <row r="33" spans="1:36" s="7" customFormat="1" ht="21" customHeight="1">
      <c r="A33" s="25"/>
      <c r="B33" s="26"/>
      <c r="C33" s="26"/>
      <c r="D33" s="612"/>
      <c r="E33" s="67"/>
      <c r="F33" s="67"/>
      <c r="G33" s="67"/>
      <c r="H33" s="67"/>
      <c r="I33" s="67"/>
      <c r="J33" s="67"/>
      <c r="K33" s="67"/>
      <c r="L33" s="67"/>
      <c r="M33" s="67"/>
      <c r="N33" s="43"/>
      <c r="O33" s="338"/>
      <c r="P33" s="338"/>
      <c r="Q33" s="338"/>
      <c r="R33" s="338"/>
      <c r="S33" s="338"/>
      <c r="T33" s="339"/>
      <c r="U33" s="339"/>
      <c r="V33" s="337"/>
      <c r="W33" s="339"/>
      <c r="X33" s="339"/>
      <c r="Y33" s="340"/>
      <c r="Z33" s="339"/>
      <c r="AA33" s="339"/>
      <c r="AB33" s="674"/>
      <c r="AC33" s="599"/>
      <c r="AD33" s="675"/>
      <c r="AE33" s="691"/>
      <c r="AF33" s="728"/>
      <c r="AG33" s="734"/>
      <c r="AH33" s="724"/>
      <c r="AI33" s="647"/>
      <c r="AJ33" s="647"/>
    </row>
    <row r="34" spans="1:36" s="7" customFormat="1" ht="21" customHeight="1">
      <c r="A34" s="25"/>
      <c r="B34" s="26"/>
      <c r="C34" s="26"/>
      <c r="D34" s="612"/>
      <c r="E34" s="67"/>
      <c r="F34" s="67"/>
      <c r="G34" s="67"/>
      <c r="H34" s="67"/>
      <c r="I34" s="67"/>
      <c r="J34" s="67"/>
      <c r="K34" s="67"/>
      <c r="L34" s="67"/>
      <c r="M34" s="67"/>
      <c r="N34" s="43"/>
      <c r="O34" s="513" t="s">
        <v>169</v>
      </c>
      <c r="P34" s="338"/>
      <c r="Q34" s="338"/>
      <c r="R34" s="338"/>
      <c r="S34" s="338"/>
      <c r="T34" s="339"/>
      <c r="U34" s="339"/>
      <c r="V34" s="337"/>
      <c r="W34" s="428" t="s">
        <v>152</v>
      </c>
      <c r="X34" s="428"/>
      <c r="Y34" s="236"/>
      <c r="Z34" s="428"/>
      <c r="AA34" s="428"/>
      <c r="AB34" s="698"/>
      <c r="AC34" s="588" t="s">
        <v>153</v>
      </c>
      <c r="AD34" s="663">
        <f>SUM(AD35:AD37)</f>
        <v>26354000</v>
      </c>
      <c r="AE34" s="692" t="s">
        <v>55</v>
      </c>
      <c r="AF34" s="728"/>
      <c r="AG34" s="734"/>
      <c r="AH34" s="724"/>
      <c r="AI34" s="647"/>
      <c r="AJ34" s="647"/>
    </row>
    <row r="35" spans="1:36" s="7" customFormat="1" ht="21" customHeight="1">
      <c r="A35" s="25"/>
      <c r="B35" s="26"/>
      <c r="C35" s="26"/>
      <c r="D35" s="612"/>
      <c r="E35" s="67"/>
      <c r="F35" s="67"/>
      <c r="G35" s="67"/>
      <c r="H35" s="67"/>
      <c r="I35" s="67"/>
      <c r="J35" s="67"/>
      <c r="K35" s="67"/>
      <c r="L35" s="67"/>
      <c r="M35" s="67"/>
      <c r="N35" s="43"/>
      <c r="O35" s="338" t="s">
        <v>734</v>
      </c>
      <c r="P35" s="338"/>
      <c r="Q35" s="338"/>
      <c r="R35" s="338"/>
      <c r="S35" s="338"/>
      <c r="T35" s="339"/>
      <c r="U35" s="339"/>
      <c r="V35" s="337"/>
      <c r="W35" s="339"/>
      <c r="X35" s="339"/>
      <c r="Y35" s="340"/>
      <c r="Z35" s="339"/>
      <c r="AA35" s="339"/>
      <c r="AB35" s="674" t="s">
        <v>70</v>
      </c>
      <c r="AC35" s="599"/>
      <c r="AD35" s="675">
        <v>25874000</v>
      </c>
      <c r="AE35" s="691" t="s">
        <v>55</v>
      </c>
      <c r="AF35" s="728"/>
      <c r="AG35" s="734"/>
      <c r="AH35" s="724"/>
      <c r="AI35" s="647"/>
      <c r="AJ35" s="647"/>
    </row>
    <row r="36" spans="1:36" s="7" customFormat="1" ht="21" customHeight="1">
      <c r="A36" s="25"/>
      <c r="B36" s="26"/>
      <c r="C36" s="26"/>
      <c r="D36" s="612"/>
      <c r="E36" s="67"/>
      <c r="F36" s="67"/>
      <c r="G36" s="67"/>
      <c r="H36" s="67"/>
      <c r="I36" s="67"/>
      <c r="J36" s="67"/>
      <c r="K36" s="67"/>
      <c r="L36" s="67"/>
      <c r="M36" s="67"/>
      <c r="N36" s="43"/>
      <c r="O36" s="338" t="s">
        <v>812</v>
      </c>
      <c r="P36" s="338"/>
      <c r="Q36" s="338"/>
      <c r="R36" s="338"/>
      <c r="S36" s="338"/>
      <c r="T36" s="339"/>
      <c r="U36" s="339"/>
      <c r="V36" s="337"/>
      <c r="W36" s="339"/>
      <c r="X36" s="339"/>
      <c r="Y36" s="340"/>
      <c r="Z36" s="339"/>
      <c r="AA36" s="339"/>
      <c r="AB36" s="674" t="s">
        <v>805</v>
      </c>
      <c r="AC36" s="599"/>
      <c r="AD36" s="675">
        <v>480000</v>
      </c>
      <c r="AE36" s="691" t="s">
        <v>55</v>
      </c>
      <c r="AF36" s="728"/>
      <c r="AG36" s="734"/>
      <c r="AH36" s="724"/>
      <c r="AI36" s="647"/>
      <c r="AJ36" s="647"/>
    </row>
    <row r="37" spans="1:36" s="7" customFormat="1" ht="21" customHeight="1">
      <c r="A37" s="25"/>
      <c r="B37" s="26"/>
      <c r="C37" s="26"/>
      <c r="D37" s="612"/>
      <c r="E37" s="67"/>
      <c r="F37" s="67"/>
      <c r="G37" s="67"/>
      <c r="H37" s="67"/>
      <c r="I37" s="67"/>
      <c r="J37" s="67"/>
      <c r="K37" s="67"/>
      <c r="L37" s="67"/>
      <c r="M37" s="67"/>
      <c r="N37" s="43"/>
      <c r="O37" s="338" t="s">
        <v>298</v>
      </c>
      <c r="P37" s="338"/>
      <c r="Q37" s="338"/>
      <c r="R37" s="338"/>
      <c r="S37" s="338"/>
      <c r="T37" s="339"/>
      <c r="U37" s="339"/>
      <c r="V37" s="337"/>
      <c r="W37" s="339"/>
      <c r="X37" s="339"/>
      <c r="Y37" s="340"/>
      <c r="Z37" s="339"/>
      <c r="AA37" s="339"/>
      <c r="AB37" s="674" t="s">
        <v>70</v>
      </c>
      <c r="AC37" s="599"/>
      <c r="AD37" s="675">
        <v>0</v>
      </c>
      <c r="AE37" s="691" t="s">
        <v>55</v>
      </c>
      <c r="AF37" s="728"/>
      <c r="AG37" s="734"/>
      <c r="AH37" s="724"/>
      <c r="AI37" s="647"/>
      <c r="AJ37" s="647"/>
    </row>
    <row r="38" spans="1:36" s="7" customFormat="1" ht="21" customHeight="1">
      <c r="A38" s="25"/>
      <c r="B38" s="26"/>
      <c r="C38" s="26"/>
      <c r="D38" s="612"/>
      <c r="E38" s="67"/>
      <c r="F38" s="67"/>
      <c r="G38" s="67"/>
      <c r="H38" s="67"/>
      <c r="I38" s="67"/>
      <c r="J38" s="67"/>
      <c r="K38" s="67"/>
      <c r="L38" s="67"/>
      <c r="M38" s="67"/>
      <c r="N38" s="43"/>
      <c r="O38" s="338"/>
      <c r="P38" s="338"/>
      <c r="Q38" s="338"/>
      <c r="R38" s="338"/>
      <c r="S38" s="338"/>
      <c r="T38" s="339"/>
      <c r="U38" s="339"/>
      <c r="V38" s="337"/>
      <c r="W38" s="339"/>
      <c r="X38" s="339"/>
      <c r="Y38" s="340"/>
      <c r="Z38" s="339"/>
      <c r="AA38" s="339"/>
      <c r="AB38" s="674"/>
      <c r="AC38" s="599"/>
      <c r="AD38" s="675"/>
      <c r="AE38" s="691"/>
      <c r="AF38" s="728"/>
      <c r="AG38" s="734"/>
      <c r="AH38" s="724"/>
      <c r="AI38" s="647"/>
      <c r="AJ38" s="647"/>
    </row>
    <row r="39" spans="1:36" s="7" customFormat="1" ht="21" customHeight="1">
      <c r="A39" s="25"/>
      <c r="B39" s="26"/>
      <c r="C39" s="26"/>
      <c r="D39" s="612"/>
      <c r="E39" s="67"/>
      <c r="F39" s="67"/>
      <c r="G39" s="67"/>
      <c r="H39" s="67"/>
      <c r="I39" s="67"/>
      <c r="J39" s="67"/>
      <c r="K39" s="67"/>
      <c r="L39" s="67"/>
      <c r="M39" s="67"/>
      <c r="N39" s="43"/>
      <c r="O39" s="513" t="s">
        <v>170</v>
      </c>
      <c r="P39" s="338"/>
      <c r="Q39" s="338"/>
      <c r="R39" s="338"/>
      <c r="S39" s="338"/>
      <c r="T39" s="339"/>
      <c r="U39" s="339"/>
      <c r="V39" s="337"/>
      <c r="W39" s="428" t="s">
        <v>152</v>
      </c>
      <c r="X39" s="428"/>
      <c r="Y39" s="236"/>
      <c r="Z39" s="428"/>
      <c r="AA39" s="428"/>
      <c r="AB39" s="698"/>
      <c r="AC39" s="588" t="s">
        <v>153</v>
      </c>
      <c r="AD39" s="663">
        <f>ROUND(SUM(AD40:AD44),-3)</f>
        <v>302776000</v>
      </c>
      <c r="AE39" s="692" t="s">
        <v>55</v>
      </c>
      <c r="AF39" s="728"/>
      <c r="AG39" s="734"/>
      <c r="AH39" s="724"/>
      <c r="AI39" s="647"/>
      <c r="AJ39" s="647"/>
    </row>
    <row r="40" spans="1:36" s="7" customFormat="1" ht="21" customHeight="1">
      <c r="A40" s="25"/>
      <c r="B40" s="26"/>
      <c r="C40" s="26"/>
      <c r="D40" s="612"/>
      <c r="E40" s="67"/>
      <c r="F40" s="67"/>
      <c r="G40" s="67"/>
      <c r="H40" s="67"/>
      <c r="I40" s="67"/>
      <c r="J40" s="67"/>
      <c r="K40" s="67"/>
      <c r="L40" s="67"/>
      <c r="M40" s="67"/>
      <c r="N40" s="43"/>
      <c r="O40" s="338" t="s">
        <v>734</v>
      </c>
      <c r="P40" s="338"/>
      <c r="Q40" s="338"/>
      <c r="R40" s="338"/>
      <c r="S40" s="338"/>
      <c r="T40" s="339"/>
      <c r="U40" s="339"/>
      <c r="V40" s="337"/>
      <c r="W40" s="339"/>
      <c r="X40" s="339"/>
      <c r="Y40" s="340"/>
      <c r="Z40" s="339"/>
      <c r="AA40" s="339"/>
      <c r="AB40" s="674" t="s">
        <v>70</v>
      </c>
      <c r="AC40" s="599"/>
      <c r="AD40" s="675">
        <v>271840000</v>
      </c>
      <c r="AE40" s="691" t="s">
        <v>55</v>
      </c>
      <c r="AF40" s="728"/>
      <c r="AG40" s="734"/>
      <c r="AH40" s="724"/>
      <c r="AI40" s="647"/>
      <c r="AJ40" s="647"/>
    </row>
    <row r="41" spans="1:36" s="7" customFormat="1" ht="21" customHeight="1">
      <c r="A41" s="25"/>
      <c r="B41" s="26"/>
      <c r="C41" s="26"/>
      <c r="D41" s="612"/>
      <c r="E41" s="67"/>
      <c r="F41" s="67"/>
      <c r="G41" s="67"/>
      <c r="H41" s="67"/>
      <c r="I41" s="67"/>
      <c r="J41" s="67"/>
      <c r="K41" s="67"/>
      <c r="L41" s="67"/>
      <c r="M41" s="67"/>
      <c r="N41" s="43"/>
      <c r="O41" s="338" t="s">
        <v>812</v>
      </c>
      <c r="P41" s="338"/>
      <c r="Q41" s="338"/>
      <c r="R41" s="338"/>
      <c r="S41" s="338"/>
      <c r="T41" s="339"/>
      <c r="U41" s="339"/>
      <c r="V41" s="337"/>
      <c r="W41" s="339"/>
      <c r="X41" s="339"/>
      <c r="Y41" s="340"/>
      <c r="Z41" s="339"/>
      <c r="AA41" s="339"/>
      <c r="AB41" s="674" t="s">
        <v>805</v>
      </c>
      <c r="AC41" s="599"/>
      <c r="AD41" s="675">
        <v>11411000</v>
      </c>
      <c r="AE41" s="691" t="s">
        <v>55</v>
      </c>
      <c r="AF41" s="728"/>
      <c r="AG41" s="734"/>
      <c r="AH41" s="724"/>
      <c r="AI41" s="647"/>
      <c r="AJ41" s="647"/>
    </row>
    <row r="42" spans="1:36" s="7" customFormat="1" ht="21" customHeight="1">
      <c r="A42" s="25"/>
      <c r="B42" s="26"/>
      <c r="C42" s="26"/>
      <c r="D42" s="612"/>
      <c r="E42" s="67"/>
      <c r="F42" s="67"/>
      <c r="G42" s="67"/>
      <c r="H42" s="67"/>
      <c r="I42" s="67"/>
      <c r="J42" s="67"/>
      <c r="K42" s="67"/>
      <c r="L42" s="67"/>
      <c r="M42" s="67"/>
      <c r="N42" s="43"/>
      <c r="O42" s="338" t="s">
        <v>298</v>
      </c>
      <c r="P42" s="338"/>
      <c r="Q42" s="338"/>
      <c r="R42" s="338"/>
      <c r="S42" s="338"/>
      <c r="T42" s="339"/>
      <c r="U42" s="339"/>
      <c r="V42" s="337"/>
      <c r="W42" s="339"/>
      <c r="X42" s="339"/>
      <c r="Y42" s="340"/>
      <c r="Z42" s="339"/>
      <c r="AA42" s="339"/>
      <c r="AB42" s="674" t="s">
        <v>70</v>
      </c>
      <c r="AC42" s="599"/>
      <c r="AD42" s="675">
        <v>0</v>
      </c>
      <c r="AE42" s="691" t="s">
        <v>55</v>
      </c>
      <c r="AF42" s="728"/>
      <c r="AG42" s="734"/>
      <c r="AH42" s="724"/>
      <c r="AI42" s="647"/>
      <c r="AJ42" s="647"/>
    </row>
    <row r="43" spans="1:36" s="7" customFormat="1" ht="21" customHeight="1">
      <c r="A43" s="25"/>
      <c r="B43" s="26"/>
      <c r="C43" s="26"/>
      <c r="D43" s="612"/>
      <c r="E43" s="67"/>
      <c r="F43" s="67"/>
      <c r="G43" s="67"/>
      <c r="H43" s="67"/>
      <c r="I43" s="67"/>
      <c r="J43" s="67"/>
      <c r="K43" s="67"/>
      <c r="L43" s="67"/>
      <c r="M43" s="67"/>
      <c r="N43" s="43"/>
      <c r="O43" s="338" t="s">
        <v>557</v>
      </c>
      <c r="P43" s="338"/>
      <c r="Q43" s="338"/>
      <c r="R43" s="338"/>
      <c r="S43" s="338"/>
      <c r="T43" s="339"/>
      <c r="U43" s="339"/>
      <c r="V43" s="337"/>
      <c r="W43" s="339"/>
      <c r="X43" s="339"/>
      <c r="Y43" s="340"/>
      <c r="Z43" s="339"/>
      <c r="AA43" s="339"/>
      <c r="AB43" s="674" t="s">
        <v>151</v>
      </c>
      <c r="AC43" s="599"/>
      <c r="AD43" s="675">
        <v>561000</v>
      </c>
      <c r="AE43" s="691" t="s">
        <v>55</v>
      </c>
      <c r="AF43" s="728"/>
      <c r="AG43" s="734"/>
      <c r="AH43" s="724"/>
      <c r="AI43" s="647"/>
      <c r="AJ43" s="647"/>
    </row>
    <row r="44" spans="1:36" s="7" customFormat="1" ht="21" customHeight="1">
      <c r="A44" s="25"/>
      <c r="B44" s="26"/>
      <c r="C44" s="26"/>
      <c r="D44" s="612"/>
      <c r="E44" s="67"/>
      <c r="F44" s="67"/>
      <c r="G44" s="67"/>
      <c r="H44" s="67"/>
      <c r="I44" s="67"/>
      <c r="J44" s="67"/>
      <c r="K44" s="67"/>
      <c r="L44" s="67"/>
      <c r="M44" s="67"/>
      <c r="N44" s="43"/>
      <c r="O44" s="338" t="s">
        <v>558</v>
      </c>
      <c r="P44" s="338"/>
      <c r="Q44" s="338"/>
      <c r="R44" s="338"/>
      <c r="S44" s="338"/>
      <c r="T44" s="339"/>
      <c r="U44" s="339"/>
      <c r="V44" s="337"/>
      <c r="W44" s="339"/>
      <c r="X44" s="339"/>
      <c r="Y44" s="340"/>
      <c r="Z44" s="339"/>
      <c r="AA44" s="339"/>
      <c r="AB44" s="674" t="s">
        <v>805</v>
      </c>
      <c r="AC44" s="599"/>
      <c r="AD44" s="675">
        <v>18964000</v>
      </c>
      <c r="AE44" s="691" t="s">
        <v>55</v>
      </c>
      <c r="AF44" s="728"/>
      <c r="AG44" s="734"/>
      <c r="AH44" s="724"/>
      <c r="AI44" s="647"/>
      <c r="AJ44" s="647"/>
    </row>
    <row r="45" spans="1:36" s="7" customFormat="1" ht="21" customHeight="1">
      <c r="A45" s="25"/>
      <c r="B45" s="26"/>
      <c r="C45" s="26"/>
      <c r="D45" s="612"/>
      <c r="E45" s="67"/>
      <c r="F45" s="67"/>
      <c r="G45" s="67"/>
      <c r="H45" s="67"/>
      <c r="I45" s="67"/>
      <c r="J45" s="67"/>
      <c r="K45" s="67"/>
      <c r="L45" s="67"/>
      <c r="M45" s="67"/>
      <c r="N45" s="43"/>
      <c r="O45" s="338"/>
      <c r="P45" s="338"/>
      <c r="Q45" s="338"/>
      <c r="R45" s="338"/>
      <c r="S45" s="338"/>
      <c r="T45" s="339"/>
      <c r="U45" s="339"/>
      <c r="V45" s="337"/>
      <c r="W45" s="339"/>
      <c r="X45" s="339"/>
      <c r="Y45" s="340"/>
      <c r="Z45" s="339"/>
      <c r="AA45" s="339"/>
      <c r="AB45" s="674"/>
      <c r="AC45" s="599"/>
      <c r="AD45" s="675"/>
      <c r="AE45" s="691"/>
      <c r="AF45" s="728"/>
      <c r="AG45" s="734"/>
      <c r="AH45" s="724"/>
      <c r="AI45" s="647"/>
      <c r="AJ45" s="647"/>
    </row>
    <row r="46" spans="1:36" s="7" customFormat="1" ht="21" customHeight="1">
      <c r="A46" s="25"/>
      <c r="B46" s="26"/>
      <c r="C46" s="26"/>
      <c r="D46" s="612"/>
      <c r="E46" s="67"/>
      <c r="F46" s="67"/>
      <c r="G46" s="67"/>
      <c r="H46" s="67"/>
      <c r="I46" s="67"/>
      <c r="J46" s="67"/>
      <c r="K46" s="67"/>
      <c r="L46" s="67"/>
      <c r="M46" s="67"/>
      <c r="N46" s="43"/>
      <c r="O46" s="513" t="s">
        <v>737</v>
      </c>
      <c r="P46" s="338"/>
      <c r="Q46" s="338"/>
      <c r="R46" s="338"/>
      <c r="S46" s="338"/>
      <c r="T46" s="339"/>
      <c r="U46" s="339"/>
      <c r="V46" s="337"/>
      <c r="W46" s="428" t="s">
        <v>152</v>
      </c>
      <c r="X46" s="428"/>
      <c r="Y46" s="236"/>
      <c r="Z46" s="428"/>
      <c r="AA46" s="428"/>
      <c r="AB46" s="698"/>
      <c r="AC46" s="588" t="s">
        <v>153</v>
      </c>
      <c r="AD46" s="663">
        <f>ROUND(SUM(AD47),-3)</f>
        <v>5340000</v>
      </c>
      <c r="AE46" s="692" t="s">
        <v>55</v>
      </c>
      <c r="AF46" s="728"/>
      <c r="AG46" s="734"/>
      <c r="AH46" s="724"/>
      <c r="AI46" s="647"/>
      <c r="AJ46" s="647"/>
    </row>
    <row r="47" spans="1:36" s="7" customFormat="1" ht="21" customHeight="1">
      <c r="A47" s="25"/>
      <c r="B47" s="26"/>
      <c r="C47" s="26"/>
      <c r="D47" s="612"/>
      <c r="E47" s="67"/>
      <c r="F47" s="67"/>
      <c r="G47" s="67"/>
      <c r="H47" s="67"/>
      <c r="I47" s="67"/>
      <c r="J47" s="67"/>
      <c r="K47" s="67"/>
      <c r="L47" s="67"/>
      <c r="M47" s="67"/>
      <c r="N47" s="43"/>
      <c r="O47" s="338" t="s">
        <v>734</v>
      </c>
      <c r="P47" s="338"/>
      <c r="Q47" s="338"/>
      <c r="R47" s="338"/>
      <c r="S47" s="338"/>
      <c r="T47" s="339"/>
      <c r="U47" s="339"/>
      <c r="V47" s="337"/>
      <c r="W47" s="339"/>
      <c r="X47" s="339"/>
      <c r="Y47" s="340"/>
      <c r="Z47" s="339"/>
      <c r="AA47" s="339"/>
      <c r="AB47" s="674" t="s">
        <v>70</v>
      </c>
      <c r="AC47" s="599"/>
      <c r="AD47" s="675">
        <v>5340000</v>
      </c>
      <c r="AE47" s="691" t="s">
        <v>55</v>
      </c>
      <c r="AF47" s="728"/>
      <c r="AG47" s="734"/>
      <c r="AH47" s="724"/>
      <c r="AI47" s="647"/>
      <c r="AJ47" s="647"/>
    </row>
    <row r="48" spans="1:36" s="7" customFormat="1" ht="21" customHeight="1">
      <c r="A48" s="25"/>
      <c r="B48" s="26"/>
      <c r="C48" s="26"/>
      <c r="D48" s="612"/>
      <c r="E48" s="67"/>
      <c r="F48" s="67"/>
      <c r="G48" s="67"/>
      <c r="H48" s="67"/>
      <c r="I48" s="67"/>
      <c r="J48" s="67"/>
      <c r="K48" s="67"/>
      <c r="L48" s="67"/>
      <c r="M48" s="67"/>
      <c r="N48" s="43"/>
      <c r="O48" s="338"/>
      <c r="P48" s="338"/>
      <c r="Q48" s="338"/>
      <c r="R48" s="338"/>
      <c r="S48" s="338"/>
      <c r="T48" s="339"/>
      <c r="U48" s="339"/>
      <c r="V48" s="337"/>
      <c r="W48" s="339"/>
      <c r="X48" s="339"/>
      <c r="Y48" s="340"/>
      <c r="Z48" s="339"/>
      <c r="AA48" s="339"/>
      <c r="AB48" s="674"/>
      <c r="AC48" s="599"/>
      <c r="AD48" s="675"/>
      <c r="AE48" s="691"/>
      <c r="AF48" s="728"/>
      <c r="AG48" s="734"/>
      <c r="AH48" s="724"/>
      <c r="AI48" s="647"/>
      <c r="AJ48" s="647"/>
    </row>
    <row r="49" spans="1:36" s="7" customFormat="1" ht="21" customHeight="1">
      <c r="A49" s="25"/>
      <c r="B49" s="26"/>
      <c r="C49" s="26"/>
      <c r="D49" s="612"/>
      <c r="E49" s="67"/>
      <c r="F49" s="67"/>
      <c r="G49" s="67"/>
      <c r="H49" s="67"/>
      <c r="I49" s="67"/>
      <c r="J49" s="67"/>
      <c r="K49" s="67"/>
      <c r="L49" s="67"/>
      <c r="M49" s="67"/>
      <c r="N49" s="43"/>
      <c r="O49" s="513" t="s">
        <v>736</v>
      </c>
      <c r="P49" s="338"/>
      <c r="Q49" s="338"/>
      <c r="R49" s="338"/>
      <c r="S49" s="338"/>
      <c r="T49" s="339"/>
      <c r="U49" s="339"/>
      <c r="V49" s="337"/>
      <c r="W49" s="428" t="s">
        <v>152</v>
      </c>
      <c r="X49" s="428"/>
      <c r="Y49" s="236"/>
      <c r="Z49" s="428"/>
      <c r="AA49" s="428"/>
      <c r="AB49" s="698"/>
      <c r="AC49" s="588" t="s">
        <v>153</v>
      </c>
      <c r="AD49" s="663">
        <f>SUM(AD50:AD51)</f>
        <v>968000</v>
      </c>
      <c r="AE49" s="692" t="s">
        <v>55</v>
      </c>
      <c r="AF49" s="728"/>
      <c r="AG49" s="734"/>
      <c r="AH49" s="724"/>
      <c r="AI49" s="647"/>
      <c r="AJ49" s="647"/>
    </row>
    <row r="50" spans="1:36" s="7" customFormat="1" ht="21" customHeight="1">
      <c r="A50" s="25"/>
      <c r="B50" s="26"/>
      <c r="C50" s="26"/>
      <c r="D50" s="612"/>
      <c r="E50" s="67"/>
      <c r="F50" s="67"/>
      <c r="G50" s="67"/>
      <c r="H50" s="67"/>
      <c r="I50" s="67"/>
      <c r="J50" s="67"/>
      <c r="K50" s="67"/>
      <c r="L50" s="67"/>
      <c r="M50" s="67"/>
      <c r="N50" s="43"/>
      <c r="O50" s="338" t="s">
        <v>591</v>
      </c>
      <c r="P50" s="338"/>
      <c r="Q50" s="338"/>
      <c r="R50" s="338"/>
      <c r="S50" s="337">
        <v>70000</v>
      </c>
      <c r="T50" s="339" t="s">
        <v>55</v>
      </c>
      <c r="U50" s="298" t="s">
        <v>56</v>
      </c>
      <c r="V50" s="337">
        <v>1</v>
      </c>
      <c r="W50" s="339" t="s">
        <v>54</v>
      </c>
      <c r="X50" s="298" t="s">
        <v>56</v>
      </c>
      <c r="Y50" s="506">
        <v>12</v>
      </c>
      <c r="Z50" s="339" t="s">
        <v>0</v>
      </c>
      <c r="AA50" s="339" t="s">
        <v>53</v>
      </c>
      <c r="AB50" s="674" t="s">
        <v>151</v>
      </c>
      <c r="AC50" s="599"/>
      <c r="AD50" s="675">
        <f>S50*V50*Y50</f>
        <v>840000</v>
      </c>
      <c r="AE50" s="691" t="s">
        <v>55</v>
      </c>
      <c r="AF50" s="728"/>
      <c r="AG50" s="734"/>
      <c r="AH50" s="724"/>
      <c r="AI50" s="647"/>
      <c r="AJ50" s="647"/>
    </row>
    <row r="51" spans="1:36" s="7" customFormat="1" ht="21" customHeight="1">
      <c r="A51" s="25"/>
      <c r="B51" s="26"/>
      <c r="C51" s="26"/>
      <c r="D51" s="612"/>
      <c r="E51" s="67"/>
      <c r="F51" s="67"/>
      <c r="G51" s="67"/>
      <c r="H51" s="67"/>
      <c r="I51" s="67"/>
      <c r="J51" s="67"/>
      <c r="K51" s="67"/>
      <c r="L51" s="67"/>
      <c r="M51" s="67"/>
      <c r="N51" s="43"/>
      <c r="O51" s="338" t="s">
        <v>652</v>
      </c>
      <c r="P51" s="338"/>
      <c r="Q51" s="338"/>
      <c r="R51" s="338"/>
      <c r="S51" s="337">
        <v>9813</v>
      </c>
      <c r="T51" s="339" t="s">
        <v>55</v>
      </c>
      <c r="U51" s="298" t="s">
        <v>56</v>
      </c>
      <c r="V51" s="337">
        <v>1</v>
      </c>
      <c r="W51" s="339" t="s">
        <v>54</v>
      </c>
      <c r="X51" s="298" t="s">
        <v>56</v>
      </c>
      <c r="Y51" s="506">
        <v>12</v>
      </c>
      <c r="Z51" s="339" t="s">
        <v>740</v>
      </c>
      <c r="AA51" s="339" t="s">
        <v>53</v>
      </c>
      <c r="AB51" s="674" t="s">
        <v>651</v>
      </c>
      <c r="AC51" s="599"/>
      <c r="AD51" s="675">
        <f>ROUND(S51*V51*Y51+9810, -3)</f>
        <v>128000</v>
      </c>
      <c r="AE51" s="691" t="s">
        <v>648</v>
      </c>
      <c r="AF51" s="728"/>
      <c r="AG51" s="734"/>
      <c r="AH51" s="724"/>
      <c r="AI51" s="647"/>
      <c r="AJ51" s="647"/>
    </row>
    <row r="52" spans="1:36" s="7" customFormat="1" ht="21" customHeight="1">
      <c r="A52" s="25"/>
      <c r="B52" s="26"/>
      <c r="C52" s="26"/>
      <c r="D52" s="612"/>
      <c r="E52" s="67"/>
      <c r="F52" s="67"/>
      <c r="G52" s="67"/>
      <c r="H52" s="67"/>
      <c r="I52" s="67"/>
      <c r="J52" s="67"/>
      <c r="K52" s="67"/>
      <c r="L52" s="67"/>
      <c r="M52" s="67"/>
      <c r="N52" s="43"/>
      <c r="O52" s="338"/>
      <c r="P52" s="338"/>
      <c r="Q52" s="338"/>
      <c r="R52" s="338"/>
      <c r="S52" s="337"/>
      <c r="T52" s="298"/>
      <c r="U52" s="517"/>
      <c r="V52" s="298"/>
      <c r="W52" s="321"/>
      <c r="X52" s="321"/>
      <c r="Y52" s="340"/>
      <c r="Z52" s="339"/>
      <c r="AA52" s="339"/>
      <c r="AB52" s="674"/>
      <c r="AC52" s="598"/>
      <c r="AD52" s="673"/>
      <c r="AE52" s="691"/>
      <c r="AF52" s="728"/>
      <c r="AG52" s="734"/>
      <c r="AH52" s="724"/>
      <c r="AI52" s="647"/>
      <c r="AJ52" s="647"/>
    </row>
    <row r="53" spans="1:36" s="7" customFormat="1" ht="21" customHeight="1">
      <c r="A53" s="25"/>
      <c r="B53" s="26"/>
      <c r="C53" s="18" t="s">
        <v>9</v>
      </c>
      <c r="D53" s="613">
        <v>163191</v>
      </c>
      <c r="E53" s="71">
        <f>ROUND(AD53/1000,0)</f>
        <v>163191</v>
      </c>
      <c r="F53" s="71">
        <f>SUMIF($AB$54:$AB$66,"보조",$AD$54:$AD$66)/1000</f>
        <v>149954</v>
      </c>
      <c r="G53" s="71">
        <f>SUMIF($AB$54:$AB$66,"6종",$AD$54:$AD$66)/1000</f>
        <v>7760</v>
      </c>
      <c r="H53" s="71">
        <f>SUMIF($AB$54:$AB$66,"4종",$AD$54:$AD$66)/1000</f>
        <v>0</v>
      </c>
      <c r="I53" s="71">
        <f>SUMIF($AB$54:$AB$66,"후원",$AD$54:$AD$66)/1000</f>
        <v>0</v>
      </c>
      <c r="J53" s="71">
        <f>SUMIF($AB$54:$AB$66,"입소",$AD$54:$AD$66)/1000</f>
        <v>0</v>
      </c>
      <c r="K53" s="71">
        <f>SUMIF($AB$54:$AB$66,"법인",$AD$54:$AD$66)/1000</f>
        <v>5477</v>
      </c>
      <c r="L53" s="71">
        <f>SUMIF($AB$54:$AB$66,"잡수",$AD$54:$AD$66)/1000</f>
        <v>0</v>
      </c>
      <c r="M53" s="70">
        <f>E53-D53</f>
        <v>0</v>
      </c>
      <c r="N53" s="75">
        <f>IF(D53=0,0,M53/D53)</f>
        <v>0</v>
      </c>
      <c r="O53" s="187" t="s">
        <v>35</v>
      </c>
      <c r="P53" s="511"/>
      <c r="Q53" s="188"/>
      <c r="R53" s="188"/>
      <c r="S53" s="188"/>
      <c r="T53" s="444"/>
      <c r="U53" s="444"/>
      <c r="V53" s="189"/>
      <c r="W53" s="448" t="s">
        <v>152</v>
      </c>
      <c r="X53" s="448"/>
      <c r="Y53" s="190"/>
      <c r="Z53" s="448"/>
      <c r="AA53" s="448"/>
      <c r="AB53" s="711"/>
      <c r="AC53" s="541" t="s">
        <v>153</v>
      </c>
      <c r="AD53" s="656">
        <f>SUM(AD54,AD57,AD60,AD63)</f>
        <v>163191000</v>
      </c>
      <c r="AE53" s="686" t="s">
        <v>55</v>
      </c>
      <c r="AF53" s="728"/>
      <c r="AG53" s="734"/>
      <c r="AH53" s="724"/>
      <c r="AI53" s="647"/>
      <c r="AJ53" s="647"/>
    </row>
    <row r="54" spans="1:36" s="7" customFormat="1" ht="21" customHeight="1">
      <c r="A54" s="25"/>
      <c r="B54" s="26"/>
      <c r="C54" s="26"/>
      <c r="D54" s="617"/>
      <c r="E54" s="353"/>
      <c r="F54" s="353"/>
      <c r="G54" s="353"/>
      <c r="H54" s="353"/>
      <c r="I54" s="353"/>
      <c r="J54" s="353"/>
      <c r="K54" s="353"/>
      <c r="L54" s="353"/>
      <c r="M54" s="72"/>
      <c r="N54" s="43"/>
      <c r="O54" s="513" t="s">
        <v>735</v>
      </c>
      <c r="P54" s="338"/>
      <c r="Q54" s="338"/>
      <c r="R54" s="338"/>
      <c r="S54" s="338"/>
      <c r="T54" s="339"/>
      <c r="U54" s="339"/>
      <c r="V54" s="337"/>
      <c r="W54" s="428" t="s">
        <v>152</v>
      </c>
      <c r="X54" s="428"/>
      <c r="Y54" s="236"/>
      <c r="Z54" s="428"/>
      <c r="AA54" s="428"/>
      <c r="AB54" s="698"/>
      <c r="AC54" s="588"/>
      <c r="AD54" s="663">
        <f>SUM(AD55:AD55)</f>
        <v>149954000</v>
      </c>
      <c r="AE54" s="692" t="s">
        <v>55</v>
      </c>
      <c r="AF54" s="728"/>
      <c r="AG54" s="734"/>
      <c r="AH54" s="724"/>
      <c r="AI54" s="647"/>
      <c r="AJ54" s="647"/>
    </row>
    <row r="55" spans="1:36" s="7" customFormat="1" ht="21" customHeight="1">
      <c r="A55" s="25"/>
      <c r="B55" s="26"/>
      <c r="C55" s="26"/>
      <c r="D55" s="618"/>
      <c r="E55" s="354"/>
      <c r="F55" s="354"/>
      <c r="G55" s="354"/>
      <c r="H55" s="354"/>
      <c r="I55" s="354"/>
      <c r="J55" s="354"/>
      <c r="K55" s="354"/>
      <c r="L55" s="354"/>
      <c r="M55" s="72"/>
      <c r="N55" s="43"/>
      <c r="O55" s="338" t="s">
        <v>592</v>
      </c>
      <c r="P55" s="338"/>
      <c r="Q55" s="338"/>
      <c r="R55" s="338"/>
      <c r="S55" s="337">
        <f>SUM(AD9,AD27,AD35,AD40,AD47)</f>
        <v>1799447000</v>
      </c>
      <c r="T55" s="339" t="s">
        <v>55</v>
      </c>
      <c r="U55" s="339" t="s">
        <v>60</v>
      </c>
      <c r="V55" s="305">
        <v>12</v>
      </c>
      <c r="W55" s="226" t="s">
        <v>0</v>
      </c>
      <c r="X55" s="339"/>
      <c r="Y55" s="340"/>
      <c r="Z55" s="339"/>
      <c r="AA55" s="339" t="s">
        <v>53</v>
      </c>
      <c r="AB55" s="674" t="s">
        <v>70</v>
      </c>
      <c r="AC55" s="599"/>
      <c r="AD55" s="675">
        <f>ROUND(S55/V55,-3)</f>
        <v>149954000</v>
      </c>
      <c r="AE55" s="691" t="s">
        <v>55</v>
      </c>
      <c r="AF55" s="728"/>
      <c r="AG55" s="734"/>
      <c r="AH55" s="724"/>
      <c r="AI55" s="647"/>
      <c r="AJ55" s="647"/>
    </row>
    <row r="56" spans="1:36" s="7" customFormat="1" ht="21" customHeight="1">
      <c r="A56" s="25"/>
      <c r="B56" s="26"/>
      <c r="C56" s="26"/>
      <c r="D56" s="612"/>
      <c r="E56" s="67"/>
      <c r="F56" s="67"/>
      <c r="G56" s="67"/>
      <c r="H56" s="67"/>
      <c r="I56" s="67"/>
      <c r="J56" s="67"/>
      <c r="K56" s="67"/>
      <c r="L56" s="67"/>
      <c r="M56" s="72"/>
      <c r="N56" s="43"/>
      <c r="O56" s="338"/>
      <c r="P56" s="338"/>
      <c r="Q56" s="338"/>
      <c r="R56" s="338"/>
      <c r="S56" s="337"/>
      <c r="T56" s="339"/>
      <c r="U56" s="339"/>
      <c r="V56" s="305"/>
      <c r="W56" s="226"/>
      <c r="X56" s="339"/>
      <c r="Y56" s="340"/>
      <c r="Z56" s="339"/>
      <c r="AA56" s="339"/>
      <c r="AB56" s="674"/>
      <c r="AC56" s="599"/>
      <c r="AD56" s="675"/>
      <c r="AE56" s="691"/>
      <c r="AF56" s="728"/>
      <c r="AG56" s="734"/>
      <c r="AH56" s="724"/>
      <c r="AI56" s="647"/>
      <c r="AJ56" s="647"/>
    </row>
    <row r="57" spans="1:36" s="7" customFormat="1" ht="21" customHeight="1">
      <c r="A57" s="25"/>
      <c r="B57" s="26"/>
      <c r="C57" s="26"/>
      <c r="D57" s="612"/>
      <c r="E57" s="67"/>
      <c r="F57" s="67"/>
      <c r="G57" s="67"/>
      <c r="H57" s="67"/>
      <c r="I57" s="67"/>
      <c r="J57" s="67"/>
      <c r="K57" s="67"/>
      <c r="L57" s="67"/>
      <c r="M57" s="72"/>
      <c r="N57" s="43"/>
      <c r="O57" s="513" t="s">
        <v>813</v>
      </c>
      <c r="P57" s="338"/>
      <c r="Q57" s="338"/>
      <c r="R57" s="338"/>
      <c r="S57" s="338"/>
      <c r="T57" s="339"/>
      <c r="U57" s="339"/>
      <c r="V57" s="337"/>
      <c r="W57" s="428" t="s">
        <v>152</v>
      </c>
      <c r="X57" s="428"/>
      <c r="Y57" s="236"/>
      <c r="Z57" s="428"/>
      <c r="AA57" s="428"/>
      <c r="AB57" s="698"/>
      <c r="AC57" s="588" t="s">
        <v>153</v>
      </c>
      <c r="AD57" s="663">
        <f>ROUND(AD58,-3)</f>
        <v>7760000</v>
      </c>
      <c r="AE57" s="692" t="s">
        <v>55</v>
      </c>
      <c r="AF57" s="728"/>
      <c r="AG57" s="734"/>
      <c r="AH57" s="724"/>
      <c r="AI57" s="647"/>
      <c r="AJ57" s="647"/>
    </row>
    <row r="58" spans="1:36" s="7" customFormat="1" ht="21" customHeight="1">
      <c r="A58" s="25"/>
      <c r="B58" s="26"/>
      <c r="C58" s="26"/>
      <c r="D58" s="612"/>
      <c r="E58" s="67"/>
      <c r="F58" s="67"/>
      <c r="G58" s="67"/>
      <c r="H58" s="67"/>
      <c r="I58" s="67"/>
      <c r="J58" s="67"/>
      <c r="K58" s="67"/>
      <c r="L58" s="67"/>
      <c r="M58" s="72"/>
      <c r="N58" s="43"/>
      <c r="O58" s="338"/>
      <c r="P58" s="338"/>
      <c r="Q58" s="338"/>
      <c r="R58" s="338"/>
      <c r="S58" s="337">
        <f>SUM(AD11,AD28,AD36,AD41)</f>
        <v>93110000</v>
      </c>
      <c r="T58" s="339" t="s">
        <v>55</v>
      </c>
      <c r="U58" s="339" t="s">
        <v>60</v>
      </c>
      <c r="V58" s="305">
        <v>12</v>
      </c>
      <c r="W58" s="226" t="s">
        <v>0</v>
      </c>
      <c r="X58" s="339"/>
      <c r="Y58" s="340"/>
      <c r="Z58" s="339"/>
      <c r="AA58" s="339" t="s">
        <v>53</v>
      </c>
      <c r="AB58" s="674" t="s">
        <v>805</v>
      </c>
      <c r="AC58" s="599"/>
      <c r="AD58" s="675">
        <f>ROUNDUP(S58/V58,-3)</f>
        <v>7760000</v>
      </c>
      <c r="AE58" s="691" t="s">
        <v>55</v>
      </c>
      <c r="AF58" s="728"/>
      <c r="AG58" s="734"/>
      <c r="AH58" s="724"/>
      <c r="AI58" s="647"/>
      <c r="AJ58" s="647"/>
    </row>
    <row r="59" spans="1:36" s="7" customFormat="1" ht="21" customHeight="1">
      <c r="A59" s="25"/>
      <c r="B59" s="26"/>
      <c r="C59" s="26"/>
      <c r="D59" s="612"/>
      <c r="E59" s="67"/>
      <c r="F59" s="67"/>
      <c r="G59" s="67"/>
      <c r="H59" s="67"/>
      <c r="I59" s="67"/>
      <c r="J59" s="67"/>
      <c r="K59" s="67"/>
      <c r="L59" s="67"/>
      <c r="M59" s="72"/>
      <c r="N59" s="43"/>
      <c r="O59" s="338"/>
      <c r="P59" s="338"/>
      <c r="Q59" s="338"/>
      <c r="R59" s="338"/>
      <c r="S59" s="337"/>
      <c r="T59" s="339"/>
      <c r="U59" s="339"/>
      <c r="V59" s="305"/>
      <c r="W59" s="226"/>
      <c r="X59" s="339"/>
      <c r="Y59" s="340"/>
      <c r="Z59" s="339"/>
      <c r="AA59" s="339"/>
      <c r="AB59" s="674"/>
      <c r="AC59" s="599"/>
      <c r="AD59" s="675"/>
      <c r="AE59" s="691"/>
      <c r="AF59" s="728"/>
      <c r="AG59" s="734"/>
      <c r="AH59" s="724"/>
      <c r="AI59" s="647"/>
      <c r="AJ59" s="647"/>
    </row>
    <row r="60" spans="1:36" s="7" customFormat="1" ht="21" customHeight="1">
      <c r="A60" s="25"/>
      <c r="B60" s="26"/>
      <c r="C60" s="26"/>
      <c r="D60" s="612"/>
      <c r="E60" s="67"/>
      <c r="F60" s="67"/>
      <c r="G60" s="67"/>
      <c r="H60" s="67"/>
      <c r="I60" s="67"/>
      <c r="J60" s="67"/>
      <c r="K60" s="67"/>
      <c r="L60" s="67"/>
      <c r="M60" s="72"/>
      <c r="N60" s="43"/>
      <c r="O60" s="513" t="s">
        <v>300</v>
      </c>
      <c r="P60" s="338"/>
      <c r="Q60" s="338"/>
      <c r="R60" s="338"/>
      <c r="S60" s="338"/>
      <c r="T60" s="339"/>
      <c r="U60" s="339"/>
      <c r="V60" s="337"/>
      <c r="W60" s="428" t="s">
        <v>152</v>
      </c>
      <c r="X60" s="428"/>
      <c r="Y60" s="236"/>
      <c r="Z60" s="428"/>
      <c r="AA60" s="428"/>
      <c r="AB60" s="698"/>
      <c r="AC60" s="588" t="s">
        <v>153</v>
      </c>
      <c r="AD60" s="663">
        <f>SUM(AD61:AD62)</f>
        <v>0</v>
      </c>
      <c r="AE60" s="692" t="s">
        <v>55</v>
      </c>
      <c r="AF60" s="728"/>
      <c r="AG60" s="734"/>
      <c r="AH60" s="724"/>
      <c r="AI60" s="647"/>
      <c r="AJ60" s="647"/>
    </row>
    <row r="61" spans="1:36" s="7" customFormat="1" ht="21" customHeight="1">
      <c r="A61" s="25"/>
      <c r="B61" s="26"/>
      <c r="C61" s="26"/>
      <c r="D61" s="612"/>
      <c r="E61" s="67"/>
      <c r="F61" s="67"/>
      <c r="G61" s="67"/>
      <c r="H61" s="67"/>
      <c r="I61" s="67"/>
      <c r="J61" s="67"/>
      <c r="K61" s="67"/>
      <c r="L61" s="67"/>
      <c r="M61" s="72"/>
      <c r="N61" s="43"/>
      <c r="O61" s="338"/>
      <c r="P61" s="338"/>
      <c r="Q61" s="338"/>
      <c r="R61" s="338"/>
      <c r="S61" s="337">
        <f>SUM(AD13,AD29,AD37,AD42)</f>
        <v>0</v>
      </c>
      <c r="T61" s="339" t="s">
        <v>55</v>
      </c>
      <c r="U61" s="339" t="s">
        <v>60</v>
      </c>
      <c r="V61" s="305">
        <v>12</v>
      </c>
      <c r="W61" s="226" t="s">
        <v>0</v>
      </c>
      <c r="X61" s="339"/>
      <c r="Y61" s="340"/>
      <c r="Z61" s="339"/>
      <c r="AA61" s="339" t="s">
        <v>53</v>
      </c>
      <c r="AB61" s="674" t="s">
        <v>70</v>
      </c>
      <c r="AC61" s="599"/>
      <c r="AD61" s="675">
        <f>ROUNDUP(S61/V61,-3)</f>
        <v>0</v>
      </c>
      <c r="AE61" s="691" t="s">
        <v>55</v>
      </c>
      <c r="AF61" s="728"/>
      <c r="AG61" s="734"/>
      <c r="AH61" s="724"/>
      <c r="AI61" s="647"/>
      <c r="AJ61" s="647"/>
    </row>
    <row r="62" spans="1:36" s="7" customFormat="1" ht="21" customHeight="1">
      <c r="A62" s="25"/>
      <c r="B62" s="26"/>
      <c r="C62" s="26"/>
      <c r="D62" s="612"/>
      <c r="E62" s="67"/>
      <c r="F62" s="67"/>
      <c r="G62" s="67"/>
      <c r="H62" s="67"/>
      <c r="I62" s="67"/>
      <c r="J62" s="67"/>
      <c r="K62" s="67"/>
      <c r="L62" s="67"/>
      <c r="M62" s="72"/>
      <c r="N62" s="43"/>
      <c r="O62" s="338"/>
      <c r="P62" s="338"/>
      <c r="Q62" s="338"/>
      <c r="R62" s="338"/>
      <c r="S62" s="337"/>
      <c r="T62" s="339"/>
      <c r="U62" s="339"/>
      <c r="V62" s="305"/>
      <c r="W62" s="226"/>
      <c r="X62" s="339"/>
      <c r="Y62" s="340"/>
      <c r="Z62" s="339"/>
      <c r="AA62" s="339"/>
      <c r="AB62" s="674"/>
      <c r="AC62" s="599"/>
      <c r="AD62" s="675"/>
      <c r="AE62" s="691"/>
      <c r="AF62" s="728"/>
      <c r="AG62" s="734"/>
      <c r="AH62" s="724"/>
      <c r="AI62" s="647"/>
      <c r="AJ62" s="647"/>
    </row>
    <row r="63" spans="1:36" s="7" customFormat="1" ht="21" customHeight="1">
      <c r="A63" s="25"/>
      <c r="B63" s="26"/>
      <c r="C63" s="26"/>
      <c r="D63" s="612"/>
      <c r="E63" s="67"/>
      <c r="F63" s="67"/>
      <c r="G63" s="67"/>
      <c r="H63" s="67"/>
      <c r="I63" s="67"/>
      <c r="J63" s="67"/>
      <c r="K63" s="67"/>
      <c r="L63" s="67"/>
      <c r="M63" s="72"/>
      <c r="N63" s="43"/>
      <c r="O63" s="513" t="s">
        <v>299</v>
      </c>
      <c r="P63" s="338"/>
      <c r="Q63" s="338"/>
      <c r="R63" s="338"/>
      <c r="S63" s="338"/>
      <c r="T63" s="339"/>
      <c r="U63" s="339"/>
      <c r="V63" s="337"/>
      <c r="W63" s="428" t="s">
        <v>152</v>
      </c>
      <c r="X63" s="428"/>
      <c r="Y63" s="236"/>
      <c r="Z63" s="428"/>
      <c r="AA63" s="428"/>
      <c r="AB63" s="698"/>
      <c r="AC63" s="588" t="s">
        <v>153</v>
      </c>
      <c r="AD63" s="663">
        <f>SUM(AD64:AD66)</f>
        <v>5477000</v>
      </c>
      <c r="AE63" s="692" t="s">
        <v>55</v>
      </c>
      <c r="AF63" s="728"/>
      <c r="AG63" s="734"/>
      <c r="AH63" s="724"/>
      <c r="AI63" s="647"/>
      <c r="AJ63" s="647"/>
    </row>
    <row r="64" spans="1:36" s="7" customFormat="1" ht="21" customHeight="1">
      <c r="A64" s="25"/>
      <c r="B64" s="26"/>
      <c r="C64" s="26"/>
      <c r="D64" s="612"/>
      <c r="E64" s="67"/>
      <c r="F64" s="67"/>
      <c r="G64" s="67"/>
      <c r="H64" s="67"/>
      <c r="I64" s="67"/>
      <c r="J64" s="67"/>
      <c r="K64" s="67"/>
      <c r="L64" s="67"/>
      <c r="M64" s="72"/>
      <c r="N64" s="43"/>
      <c r="O64" s="338" t="s">
        <v>241</v>
      </c>
      <c r="P64" s="338"/>
      <c r="Q64" s="338"/>
      <c r="R64" s="338"/>
      <c r="S64" s="337">
        <f>AD44</f>
        <v>18964000</v>
      </c>
      <c r="T64" s="339" t="s">
        <v>55</v>
      </c>
      <c r="U64" s="339" t="s">
        <v>60</v>
      </c>
      <c r="V64" s="305">
        <v>12</v>
      </c>
      <c r="W64" s="226" t="s">
        <v>0</v>
      </c>
      <c r="X64" s="339"/>
      <c r="Y64" s="340"/>
      <c r="Z64" s="339"/>
      <c r="AA64" s="339" t="s">
        <v>53</v>
      </c>
      <c r="AB64" s="674" t="s">
        <v>151</v>
      </c>
      <c r="AC64" s="599"/>
      <c r="AD64" s="675">
        <f>ROUND(S64/V64,-3)</f>
        <v>1580000</v>
      </c>
      <c r="AE64" s="685" t="s">
        <v>55</v>
      </c>
      <c r="AF64" s="728"/>
      <c r="AG64" s="734"/>
      <c r="AH64" s="724"/>
      <c r="AI64" s="647"/>
      <c r="AJ64" s="647"/>
    </row>
    <row r="65" spans="1:36" s="7" customFormat="1" ht="21" customHeight="1">
      <c r="A65" s="25"/>
      <c r="B65" s="26"/>
      <c r="C65" s="26"/>
      <c r="D65" s="612"/>
      <c r="E65" s="67"/>
      <c r="F65" s="67"/>
      <c r="G65" s="67"/>
      <c r="H65" s="67"/>
      <c r="I65" s="67"/>
      <c r="J65" s="67"/>
      <c r="K65" s="67"/>
      <c r="L65" s="67"/>
      <c r="M65" s="72"/>
      <c r="N65" s="43"/>
      <c r="O65" s="338" t="s">
        <v>814</v>
      </c>
      <c r="P65" s="338"/>
      <c r="Q65" s="338"/>
      <c r="R65" s="338"/>
      <c r="S65" s="337">
        <f>($K$7+$K$25)*1000-AD51</f>
        <v>46754000</v>
      </c>
      <c r="T65" s="339" t="s">
        <v>55</v>
      </c>
      <c r="U65" s="339" t="s">
        <v>60</v>
      </c>
      <c r="V65" s="305">
        <v>12</v>
      </c>
      <c r="W65" s="226" t="s">
        <v>0</v>
      </c>
      <c r="X65" s="339"/>
      <c r="Y65" s="340"/>
      <c r="Z65" s="339"/>
      <c r="AA65" s="339" t="s">
        <v>53</v>
      </c>
      <c r="AB65" s="674" t="s">
        <v>151</v>
      </c>
      <c r="AC65" s="599"/>
      <c r="AD65" s="675">
        <f>ROUNDUP(S65/V65,-3)</f>
        <v>3897000</v>
      </c>
      <c r="AE65" s="685" t="s">
        <v>55</v>
      </c>
      <c r="AF65" s="728"/>
      <c r="AG65" s="734"/>
      <c r="AH65" s="724"/>
      <c r="AI65" s="647"/>
      <c r="AJ65" s="647"/>
    </row>
    <row r="66" spans="1:36" s="7" customFormat="1" ht="21" customHeight="1">
      <c r="A66" s="25"/>
      <c r="B66" s="26"/>
      <c r="C66" s="26"/>
      <c r="D66" s="612"/>
      <c r="E66" s="67"/>
      <c r="F66" s="67"/>
      <c r="G66" s="67"/>
      <c r="H66" s="67"/>
      <c r="I66" s="67"/>
      <c r="J66" s="67"/>
      <c r="K66" s="67"/>
      <c r="L66" s="67"/>
      <c r="M66" s="72"/>
      <c r="N66" s="43"/>
      <c r="O66" s="338"/>
      <c r="P66" s="234"/>
      <c r="Q66" s="234"/>
      <c r="R66" s="234"/>
      <c r="S66" s="234"/>
      <c r="T66" s="445"/>
      <c r="U66" s="445"/>
      <c r="V66" s="371"/>
      <c r="W66" s="445"/>
      <c r="X66" s="445"/>
      <c r="Y66" s="515"/>
      <c r="Z66" s="445"/>
      <c r="AA66" s="445"/>
      <c r="AB66" s="674"/>
      <c r="AC66" s="564"/>
      <c r="AD66" s="675"/>
      <c r="AE66" s="687"/>
      <c r="AF66" s="728"/>
      <c r="AG66" s="734"/>
      <c r="AH66" s="724"/>
      <c r="AI66" s="647"/>
      <c r="AJ66" s="647"/>
    </row>
    <row r="67" spans="1:36" s="7" customFormat="1" ht="21" customHeight="1">
      <c r="A67" s="25"/>
      <c r="B67" s="26"/>
      <c r="C67" s="76" t="s">
        <v>65</v>
      </c>
      <c r="D67" s="613">
        <v>200066</v>
      </c>
      <c r="E67" s="71">
        <f>ROUND(AD67/1000,0)</f>
        <v>200066</v>
      </c>
      <c r="F67" s="71">
        <f>SUMIF($AB$68:$AB$100,"보조",$AD$68:$AD$100)/1000</f>
        <v>185635</v>
      </c>
      <c r="G67" s="71">
        <f>SUMIF($AB$68:$AB$100,"6종",$AD$68:$AD$100)/1000</f>
        <v>9606</v>
      </c>
      <c r="H67" s="71">
        <f>SUMIF($AB$68:$AB$100,"4종",$AD$68:$AD$100)/1000</f>
        <v>0</v>
      </c>
      <c r="I67" s="71">
        <f>SUMIF($AB$68:$AB$100,"후원",$AD$68:$AD$100)/1000</f>
        <v>0</v>
      </c>
      <c r="J67" s="71">
        <f>SUMIF($AB$68:$AB$100,"입소",$AD$68:$AD$100)/1000</f>
        <v>0</v>
      </c>
      <c r="K67" s="71">
        <f>SUMIF($AB$68:$AB$100,"법인",$AD$68:$AD$100)/1000</f>
        <v>4825</v>
      </c>
      <c r="L67" s="71">
        <f>SUMIF($AB$68:$AB$100,"잡수",$AD$68:$AD$100)/1000</f>
        <v>0</v>
      </c>
      <c r="M67" s="77">
        <f>E67-D67</f>
        <v>0</v>
      </c>
      <c r="N67" s="75">
        <f>IF(D67=0,0,M67/D67)</f>
        <v>0</v>
      </c>
      <c r="O67" s="187" t="s">
        <v>36</v>
      </c>
      <c r="P67" s="511"/>
      <c r="Q67" s="188"/>
      <c r="R67" s="188"/>
      <c r="S67" s="188"/>
      <c r="T67" s="444"/>
      <c r="U67" s="444"/>
      <c r="V67" s="189"/>
      <c r="W67" s="448" t="s">
        <v>116</v>
      </c>
      <c r="X67" s="448"/>
      <c r="Y67" s="190"/>
      <c r="Z67" s="448"/>
      <c r="AA67" s="448"/>
      <c r="AB67" s="711"/>
      <c r="AC67" s="541"/>
      <c r="AD67" s="656">
        <f>SUM(AD69,AD75,AD81,AD87,AD93,AD99)</f>
        <v>200066000</v>
      </c>
      <c r="AE67" s="686" t="s">
        <v>25</v>
      </c>
      <c r="AF67" s="728"/>
      <c r="AG67" s="734"/>
      <c r="AH67" s="724"/>
      <c r="AI67" s="647"/>
      <c r="AJ67" s="647"/>
    </row>
    <row r="68" spans="1:36" s="7" customFormat="1" ht="21" customHeight="1">
      <c r="A68" s="25"/>
      <c r="B68" s="26"/>
      <c r="C68" s="26" t="s">
        <v>117</v>
      </c>
      <c r="D68" s="355"/>
      <c r="E68" s="353"/>
      <c r="F68" s="353"/>
      <c r="G68" s="353"/>
      <c r="H68" s="353"/>
      <c r="I68" s="353"/>
      <c r="J68" s="353"/>
      <c r="K68" s="353"/>
      <c r="L68" s="353"/>
      <c r="M68" s="72"/>
      <c r="N68" s="43"/>
      <c r="O68" s="234"/>
      <c r="P68" s="234"/>
      <c r="Q68" s="234"/>
      <c r="R68" s="234"/>
      <c r="S68" s="234"/>
      <c r="T68" s="445"/>
      <c r="U68" s="445"/>
      <c r="V68" s="371"/>
      <c r="W68" s="445"/>
      <c r="X68" s="445"/>
      <c r="Y68" s="515"/>
      <c r="Z68" s="445"/>
      <c r="AA68" s="445"/>
      <c r="AB68" s="710"/>
      <c r="AC68" s="564"/>
      <c r="AD68" s="723"/>
      <c r="AE68" s="687"/>
      <c r="AF68" s="728"/>
      <c r="AG68" s="734"/>
      <c r="AH68" s="724"/>
      <c r="AI68" s="647"/>
      <c r="AJ68" s="647"/>
    </row>
    <row r="69" spans="1:36" s="7" customFormat="1" ht="21" customHeight="1">
      <c r="A69" s="25"/>
      <c r="B69" s="26"/>
      <c r="C69" s="26"/>
      <c r="D69" s="356"/>
      <c r="E69" s="354"/>
      <c r="F69" s="354"/>
      <c r="G69" s="354"/>
      <c r="H69" s="354"/>
      <c r="I69" s="354"/>
      <c r="J69" s="354"/>
      <c r="K69" s="354"/>
      <c r="L69" s="354"/>
      <c r="M69" s="72"/>
      <c r="N69" s="43"/>
      <c r="O69" s="513" t="s">
        <v>171</v>
      </c>
      <c r="P69" s="338"/>
      <c r="Q69" s="338"/>
      <c r="R69" s="338"/>
      <c r="S69" s="338"/>
      <c r="T69" s="339"/>
      <c r="U69" s="339"/>
      <c r="V69" s="337"/>
      <c r="W69" s="428" t="s">
        <v>152</v>
      </c>
      <c r="X69" s="428"/>
      <c r="Y69" s="236"/>
      <c r="Z69" s="428"/>
      <c r="AA69" s="428"/>
      <c r="AB69" s="698"/>
      <c r="AC69" s="588"/>
      <c r="AD69" s="663">
        <f>ROUND(SUM(AD70:AD73),-3)</f>
        <v>87270000</v>
      </c>
      <c r="AE69" s="692" t="s">
        <v>55</v>
      </c>
      <c r="AF69" s="728"/>
      <c r="AG69" s="734"/>
      <c r="AH69" s="724"/>
      <c r="AI69" s="647"/>
      <c r="AJ69" s="647"/>
    </row>
    <row r="70" spans="1:36" s="7" customFormat="1" ht="21" customHeight="1">
      <c r="A70" s="25"/>
      <c r="B70" s="26"/>
      <c r="C70" s="26"/>
      <c r="D70" s="88"/>
      <c r="E70" s="67"/>
      <c r="F70" s="67"/>
      <c r="G70" s="67"/>
      <c r="H70" s="67"/>
      <c r="I70" s="67"/>
      <c r="J70" s="67"/>
      <c r="K70" s="67"/>
      <c r="L70" s="67"/>
      <c r="M70" s="67"/>
      <c r="N70" s="43"/>
      <c r="O70" s="338" t="s">
        <v>734</v>
      </c>
      <c r="P70" s="338"/>
      <c r="Q70" s="338"/>
      <c r="R70" s="338"/>
      <c r="S70" s="337">
        <f>S55</f>
        <v>1799447000</v>
      </c>
      <c r="T70" s="339" t="s">
        <v>55</v>
      </c>
      <c r="U70" s="226" t="s">
        <v>56</v>
      </c>
      <c r="V70" s="321">
        <v>0.09</v>
      </c>
      <c r="W70" s="339" t="s">
        <v>60</v>
      </c>
      <c r="X70" s="383">
        <v>2</v>
      </c>
      <c r="Y70" s="518"/>
      <c r="Z70" s="474"/>
      <c r="AA70" s="339" t="s">
        <v>53</v>
      </c>
      <c r="AB70" s="674" t="s">
        <v>70</v>
      </c>
      <c r="AC70" s="599"/>
      <c r="AD70" s="675">
        <f>ROUNDUP(S70*V70/X70,-3)</f>
        <v>80976000</v>
      </c>
      <c r="AE70" s="691" t="s">
        <v>55</v>
      </c>
      <c r="AF70" s="728"/>
      <c r="AG70" s="734"/>
      <c r="AH70" s="724"/>
      <c r="AI70" s="647"/>
      <c r="AJ70" s="647"/>
    </row>
    <row r="71" spans="1:36" s="7" customFormat="1" ht="21" customHeight="1">
      <c r="A71" s="25"/>
      <c r="B71" s="26"/>
      <c r="C71" s="26"/>
      <c r="D71" s="88"/>
      <c r="E71" s="67"/>
      <c r="F71" s="67"/>
      <c r="G71" s="67"/>
      <c r="H71" s="67"/>
      <c r="I71" s="67"/>
      <c r="J71" s="67"/>
      <c r="K71" s="67"/>
      <c r="L71" s="67"/>
      <c r="M71" s="67"/>
      <c r="N71" s="43"/>
      <c r="O71" s="338" t="s">
        <v>815</v>
      </c>
      <c r="P71" s="338"/>
      <c r="Q71" s="338"/>
      <c r="R71" s="338"/>
      <c r="S71" s="337">
        <f>S58</f>
        <v>93110000</v>
      </c>
      <c r="T71" s="339" t="s">
        <v>55</v>
      </c>
      <c r="U71" s="226" t="s">
        <v>56</v>
      </c>
      <c r="V71" s="321">
        <v>0.09</v>
      </c>
      <c r="W71" s="339" t="s">
        <v>60</v>
      </c>
      <c r="X71" s="383">
        <v>2</v>
      </c>
      <c r="Y71" s="518"/>
      <c r="Z71" s="474"/>
      <c r="AA71" s="339" t="s">
        <v>53</v>
      </c>
      <c r="AB71" s="674" t="s">
        <v>805</v>
      </c>
      <c r="AC71" s="599"/>
      <c r="AD71" s="675">
        <f>ROUNDUP(S71*V71/X71,-3)</f>
        <v>4190000</v>
      </c>
      <c r="AE71" s="691" t="s">
        <v>55</v>
      </c>
      <c r="AF71" s="728"/>
      <c r="AG71" s="734"/>
      <c r="AH71" s="724"/>
      <c r="AI71" s="647"/>
      <c r="AJ71" s="647"/>
    </row>
    <row r="72" spans="1:36" s="7" customFormat="1" ht="21" customHeight="1">
      <c r="A72" s="25"/>
      <c r="B72" s="26"/>
      <c r="C72" s="26"/>
      <c r="D72" s="88"/>
      <c r="E72" s="67"/>
      <c r="F72" s="67"/>
      <c r="G72" s="67"/>
      <c r="H72" s="67"/>
      <c r="I72" s="67"/>
      <c r="J72" s="67"/>
      <c r="K72" s="67"/>
      <c r="L72" s="67"/>
      <c r="M72" s="67"/>
      <c r="N72" s="43"/>
      <c r="O72" s="338" t="s">
        <v>298</v>
      </c>
      <c r="P72" s="338"/>
      <c r="Q72" s="338"/>
      <c r="R72" s="338"/>
      <c r="S72" s="337">
        <f>S61</f>
        <v>0</v>
      </c>
      <c r="T72" s="339" t="s">
        <v>55</v>
      </c>
      <c r="U72" s="226" t="s">
        <v>56</v>
      </c>
      <c r="V72" s="321">
        <v>0.09</v>
      </c>
      <c r="W72" s="339" t="s">
        <v>60</v>
      </c>
      <c r="X72" s="383">
        <v>2</v>
      </c>
      <c r="Y72" s="518"/>
      <c r="Z72" s="474"/>
      <c r="AA72" s="339" t="s">
        <v>53</v>
      </c>
      <c r="AB72" s="674" t="s">
        <v>70</v>
      </c>
      <c r="AC72" s="599"/>
      <c r="AD72" s="675">
        <f>ROUNDUP(S72*V72/X72,-3)</f>
        <v>0</v>
      </c>
      <c r="AE72" s="691" t="s">
        <v>55</v>
      </c>
      <c r="AF72" s="728"/>
      <c r="AG72" s="734"/>
      <c r="AH72" s="724"/>
      <c r="AI72" s="647"/>
      <c r="AJ72" s="647"/>
    </row>
    <row r="73" spans="1:36" s="7" customFormat="1" ht="21" customHeight="1">
      <c r="A73" s="25"/>
      <c r="B73" s="26"/>
      <c r="C73" s="26"/>
      <c r="D73" s="88"/>
      <c r="E73" s="67"/>
      <c r="F73" s="67"/>
      <c r="G73" s="67"/>
      <c r="H73" s="67"/>
      <c r="I73" s="67"/>
      <c r="J73" s="67"/>
      <c r="K73" s="67"/>
      <c r="L73" s="67"/>
      <c r="M73" s="67"/>
      <c r="N73" s="43"/>
      <c r="O73" s="338" t="s">
        <v>593</v>
      </c>
      <c r="P73" s="338"/>
      <c r="Q73" s="338"/>
      <c r="R73" s="338"/>
      <c r="S73" s="337">
        <f>S65</f>
        <v>46754000</v>
      </c>
      <c r="T73" s="339" t="s">
        <v>55</v>
      </c>
      <c r="U73" s="226" t="s">
        <v>56</v>
      </c>
      <c r="V73" s="321">
        <v>0.09</v>
      </c>
      <c r="W73" s="339" t="s">
        <v>60</v>
      </c>
      <c r="X73" s="383">
        <v>2</v>
      </c>
      <c r="Y73" s="518"/>
      <c r="Z73" s="474"/>
      <c r="AA73" s="339" t="s">
        <v>53</v>
      </c>
      <c r="AB73" s="674" t="s">
        <v>151</v>
      </c>
      <c r="AC73" s="599"/>
      <c r="AD73" s="675">
        <f>ROUND(S73*V73/X73,-3)</f>
        <v>2104000</v>
      </c>
      <c r="AE73" s="691" t="s">
        <v>55</v>
      </c>
      <c r="AF73" s="728"/>
      <c r="AG73" s="734"/>
      <c r="AH73" s="724"/>
      <c r="AI73" s="647"/>
      <c r="AJ73" s="647"/>
    </row>
    <row r="74" spans="1:36" s="7" customFormat="1" ht="21" customHeight="1">
      <c r="A74" s="25"/>
      <c r="B74" s="26"/>
      <c r="C74" s="26"/>
      <c r="D74" s="88"/>
      <c r="E74" s="67"/>
      <c r="F74" s="67"/>
      <c r="G74" s="67"/>
      <c r="H74" s="67"/>
      <c r="I74" s="67"/>
      <c r="J74" s="67"/>
      <c r="K74" s="67"/>
      <c r="L74" s="67"/>
      <c r="M74" s="67"/>
      <c r="N74" s="43"/>
      <c r="O74" s="338"/>
      <c r="P74" s="338"/>
      <c r="Q74" s="338"/>
      <c r="R74" s="338"/>
      <c r="S74" s="338"/>
      <c r="T74" s="339"/>
      <c r="U74" s="339"/>
      <c r="V74" s="337"/>
      <c r="W74" s="339"/>
      <c r="X74" s="339"/>
      <c r="Y74" s="340"/>
      <c r="Z74" s="339"/>
      <c r="AA74" s="339"/>
      <c r="AB74" s="674"/>
      <c r="AC74" s="599"/>
      <c r="AD74" s="675"/>
      <c r="AE74" s="691"/>
      <c r="AF74" s="728"/>
      <c r="AG74" s="734"/>
      <c r="AH74" s="724"/>
      <c r="AI74" s="647"/>
      <c r="AJ74" s="647"/>
    </row>
    <row r="75" spans="1:36" s="7" customFormat="1" ht="21" customHeight="1">
      <c r="A75" s="25"/>
      <c r="B75" s="26"/>
      <c r="C75" s="26"/>
      <c r="D75" s="88"/>
      <c r="E75" s="67"/>
      <c r="F75" s="67"/>
      <c r="G75" s="67"/>
      <c r="H75" s="67"/>
      <c r="I75" s="67"/>
      <c r="J75" s="67"/>
      <c r="K75" s="67"/>
      <c r="L75" s="67"/>
      <c r="M75" s="67"/>
      <c r="N75" s="43"/>
      <c r="O75" s="513" t="s">
        <v>172</v>
      </c>
      <c r="P75" s="338"/>
      <c r="Q75" s="338"/>
      <c r="R75" s="338"/>
      <c r="S75" s="338"/>
      <c r="T75" s="339"/>
      <c r="U75" s="339"/>
      <c r="V75" s="337"/>
      <c r="W75" s="428" t="s">
        <v>152</v>
      </c>
      <c r="X75" s="428"/>
      <c r="Y75" s="236"/>
      <c r="Z75" s="428"/>
      <c r="AA75" s="428"/>
      <c r="AB75" s="698"/>
      <c r="AC75" s="588" t="s">
        <v>153</v>
      </c>
      <c r="AD75" s="663">
        <f>ROUND(SUM(AD76:AD79),-3)</f>
        <v>68750000</v>
      </c>
      <c r="AE75" s="692" t="s">
        <v>55</v>
      </c>
      <c r="AF75" s="728"/>
      <c r="AG75" s="734"/>
      <c r="AH75" s="724"/>
      <c r="AI75" s="647"/>
      <c r="AJ75" s="647"/>
    </row>
    <row r="76" spans="1:36" s="7" customFormat="1" ht="21" customHeight="1">
      <c r="A76" s="25"/>
      <c r="B76" s="26"/>
      <c r="C76" s="26"/>
      <c r="D76" s="88"/>
      <c r="E76" s="67"/>
      <c r="F76" s="67"/>
      <c r="G76" s="67"/>
      <c r="H76" s="67"/>
      <c r="I76" s="67"/>
      <c r="J76" s="67"/>
      <c r="K76" s="67"/>
      <c r="L76" s="67"/>
      <c r="M76" s="67"/>
      <c r="N76" s="43"/>
      <c r="O76" s="338" t="s">
        <v>734</v>
      </c>
      <c r="P76" s="338"/>
      <c r="Q76" s="338"/>
      <c r="R76" s="338"/>
      <c r="S76" s="337">
        <f>S70</f>
        <v>1799447000</v>
      </c>
      <c r="T76" s="339" t="s">
        <v>55</v>
      </c>
      <c r="U76" s="226" t="s">
        <v>56</v>
      </c>
      <c r="V76" s="519">
        <v>7.0900000000000005E-2</v>
      </c>
      <c r="W76" s="339" t="s">
        <v>60</v>
      </c>
      <c r="X76" s="383">
        <v>2</v>
      </c>
      <c r="Y76" s="518"/>
      <c r="Z76" s="474"/>
      <c r="AA76" s="339" t="s">
        <v>53</v>
      </c>
      <c r="AB76" s="674" t="s">
        <v>70</v>
      </c>
      <c r="AC76" s="599"/>
      <c r="AD76" s="675">
        <f>ROUNDUP(S76*V76/X76,-3)</f>
        <v>63791000</v>
      </c>
      <c r="AE76" s="691" t="s">
        <v>55</v>
      </c>
      <c r="AF76" s="728"/>
      <c r="AG76" s="734"/>
      <c r="AH76" s="724"/>
      <c r="AI76" s="647"/>
      <c r="AJ76" s="647"/>
    </row>
    <row r="77" spans="1:36" s="7" customFormat="1" ht="21" customHeight="1">
      <c r="A77" s="25"/>
      <c r="B77" s="26"/>
      <c r="C77" s="26"/>
      <c r="D77" s="88"/>
      <c r="E77" s="67"/>
      <c r="F77" s="67"/>
      <c r="G77" s="67"/>
      <c r="H77" s="67"/>
      <c r="I77" s="67"/>
      <c r="J77" s="67"/>
      <c r="K77" s="67"/>
      <c r="L77" s="67"/>
      <c r="M77" s="67"/>
      <c r="N77" s="43"/>
      <c r="O77" s="338" t="s">
        <v>815</v>
      </c>
      <c r="P77" s="338"/>
      <c r="Q77" s="338"/>
      <c r="R77" s="338"/>
      <c r="S77" s="337">
        <f>S71</f>
        <v>93110000</v>
      </c>
      <c r="T77" s="339" t="s">
        <v>25</v>
      </c>
      <c r="U77" s="339" t="s">
        <v>26</v>
      </c>
      <c r="V77" s="519">
        <v>7.0900000000000005E-2</v>
      </c>
      <c r="W77" s="339" t="s">
        <v>123</v>
      </c>
      <c r="X77" s="339">
        <v>2</v>
      </c>
      <c r="Y77" s="340"/>
      <c r="Z77" s="339"/>
      <c r="AA77" s="339" t="s">
        <v>27</v>
      </c>
      <c r="AB77" s="674" t="s">
        <v>805</v>
      </c>
      <c r="AC77" s="599"/>
      <c r="AD77" s="675">
        <f>ROUND(S77*V77/X77,-3)</f>
        <v>3301000</v>
      </c>
      <c r="AE77" s="691" t="s">
        <v>55</v>
      </c>
      <c r="AF77" s="728"/>
      <c r="AG77" s="734"/>
      <c r="AH77" s="724"/>
      <c r="AI77" s="647"/>
      <c r="AJ77" s="647"/>
    </row>
    <row r="78" spans="1:36" s="7" customFormat="1" ht="21" customHeight="1">
      <c r="A78" s="25"/>
      <c r="B78" s="26"/>
      <c r="C78" s="26"/>
      <c r="D78" s="88"/>
      <c r="E78" s="67"/>
      <c r="F78" s="67"/>
      <c r="G78" s="67"/>
      <c r="H78" s="67"/>
      <c r="I78" s="67"/>
      <c r="J78" s="67"/>
      <c r="K78" s="67"/>
      <c r="L78" s="67"/>
      <c r="M78" s="67"/>
      <c r="N78" s="43"/>
      <c r="O78" s="338" t="s">
        <v>298</v>
      </c>
      <c r="P78" s="338"/>
      <c r="Q78" s="338"/>
      <c r="R78" s="338"/>
      <c r="S78" s="337">
        <f>S61</f>
        <v>0</v>
      </c>
      <c r="T78" s="339" t="s">
        <v>55</v>
      </c>
      <c r="U78" s="226" t="s">
        <v>56</v>
      </c>
      <c r="V78" s="519">
        <v>7.0900000000000005E-2</v>
      </c>
      <c r="W78" s="339" t="s">
        <v>60</v>
      </c>
      <c r="X78" s="383">
        <v>2</v>
      </c>
      <c r="Y78" s="518"/>
      <c r="Z78" s="474"/>
      <c r="AA78" s="339" t="s">
        <v>53</v>
      </c>
      <c r="AB78" s="674" t="s">
        <v>70</v>
      </c>
      <c r="AC78" s="599"/>
      <c r="AD78" s="675">
        <f>ROUNDDOWN(S78*V78/X78,-3)</f>
        <v>0</v>
      </c>
      <c r="AE78" s="691" t="s">
        <v>55</v>
      </c>
      <c r="AF78" s="728"/>
      <c r="AG78" s="734"/>
      <c r="AH78" s="724"/>
      <c r="AI78" s="647"/>
      <c r="AJ78" s="647"/>
    </row>
    <row r="79" spans="1:36" s="7" customFormat="1" ht="21" customHeight="1">
      <c r="A79" s="25"/>
      <c r="B79" s="26"/>
      <c r="C79" s="26"/>
      <c r="D79" s="88"/>
      <c r="E79" s="67"/>
      <c r="F79" s="67"/>
      <c r="G79" s="67"/>
      <c r="H79" s="67"/>
      <c r="I79" s="67"/>
      <c r="J79" s="67"/>
      <c r="K79" s="67"/>
      <c r="L79" s="67"/>
      <c r="M79" s="67"/>
      <c r="N79" s="43"/>
      <c r="O79" s="338" t="s">
        <v>593</v>
      </c>
      <c r="P79" s="338"/>
      <c r="Q79" s="338"/>
      <c r="R79" s="338"/>
      <c r="S79" s="337">
        <f>S65</f>
        <v>46754000</v>
      </c>
      <c r="T79" s="339" t="s">
        <v>55</v>
      </c>
      <c r="U79" s="226" t="s">
        <v>56</v>
      </c>
      <c r="V79" s="519">
        <v>7.0900000000000005E-2</v>
      </c>
      <c r="W79" s="339" t="s">
        <v>60</v>
      </c>
      <c r="X79" s="383">
        <v>2</v>
      </c>
      <c r="Y79" s="518"/>
      <c r="Z79" s="474"/>
      <c r="AA79" s="339" t="s">
        <v>53</v>
      </c>
      <c r="AB79" s="674" t="s">
        <v>151</v>
      </c>
      <c r="AC79" s="599"/>
      <c r="AD79" s="675">
        <f>ROUNDUP(S79*V79/X79,-3)</f>
        <v>1658000</v>
      </c>
      <c r="AE79" s="691" t="s">
        <v>55</v>
      </c>
      <c r="AF79" s="728"/>
      <c r="AG79" s="734"/>
      <c r="AH79" s="724"/>
      <c r="AI79" s="647"/>
      <c r="AJ79" s="647"/>
    </row>
    <row r="80" spans="1:36" s="7" customFormat="1" ht="21" customHeight="1">
      <c r="A80" s="25"/>
      <c r="B80" s="26"/>
      <c r="C80" s="26"/>
      <c r="D80" s="88"/>
      <c r="E80" s="67"/>
      <c r="F80" s="67"/>
      <c r="G80" s="67"/>
      <c r="H80" s="67"/>
      <c r="I80" s="67"/>
      <c r="J80" s="67"/>
      <c r="K80" s="67"/>
      <c r="L80" s="67"/>
      <c r="M80" s="67"/>
      <c r="N80" s="43"/>
      <c r="O80" s="338"/>
      <c r="P80" s="338"/>
      <c r="Q80" s="338"/>
      <c r="R80" s="338"/>
      <c r="S80" s="338"/>
      <c r="T80" s="339"/>
      <c r="U80" s="339"/>
      <c r="V80" s="337"/>
      <c r="W80" s="339"/>
      <c r="X80" s="339"/>
      <c r="Y80" s="340"/>
      <c r="Z80" s="339"/>
      <c r="AA80" s="339"/>
      <c r="AB80" s="674"/>
      <c r="AC80" s="599"/>
      <c r="AD80" s="675"/>
      <c r="AE80" s="691"/>
      <c r="AF80" s="728"/>
      <c r="AG80" s="734"/>
      <c r="AH80" s="724"/>
      <c r="AI80" s="647"/>
      <c r="AJ80" s="647"/>
    </row>
    <row r="81" spans="1:36" s="7" customFormat="1" ht="21" customHeight="1">
      <c r="A81" s="25"/>
      <c r="B81" s="26"/>
      <c r="C81" s="26"/>
      <c r="D81" s="88"/>
      <c r="E81" s="67"/>
      <c r="F81" s="67"/>
      <c r="G81" s="67"/>
      <c r="H81" s="67"/>
      <c r="I81" s="67"/>
      <c r="J81" s="67"/>
      <c r="K81" s="67"/>
      <c r="L81" s="67"/>
      <c r="M81" s="67"/>
      <c r="N81" s="43"/>
      <c r="O81" s="513" t="s">
        <v>173</v>
      </c>
      <c r="P81" s="338"/>
      <c r="Q81" s="338"/>
      <c r="R81" s="338"/>
      <c r="S81" s="338"/>
      <c r="T81" s="339"/>
      <c r="U81" s="339"/>
      <c r="V81" s="337"/>
      <c r="W81" s="428" t="s">
        <v>152</v>
      </c>
      <c r="X81" s="428"/>
      <c r="Y81" s="236"/>
      <c r="Z81" s="428"/>
      <c r="AA81" s="428"/>
      <c r="AB81" s="698"/>
      <c r="AC81" s="588" t="s">
        <v>153</v>
      </c>
      <c r="AD81" s="663">
        <f>ROUND(SUM(AD82:AD85),-3)</f>
        <v>8808000</v>
      </c>
      <c r="AE81" s="692" t="s">
        <v>55</v>
      </c>
      <c r="AF81" s="728"/>
      <c r="AG81" s="734"/>
      <c r="AH81" s="724"/>
      <c r="AI81" s="647"/>
      <c r="AJ81" s="647"/>
    </row>
    <row r="82" spans="1:36" s="7" customFormat="1" ht="21" customHeight="1">
      <c r="A82" s="25"/>
      <c r="B82" s="26"/>
      <c r="C82" s="26"/>
      <c r="D82" s="88"/>
      <c r="E82" s="67"/>
      <c r="F82" s="67"/>
      <c r="G82" s="67"/>
      <c r="H82" s="67"/>
      <c r="I82" s="67"/>
      <c r="J82" s="67"/>
      <c r="K82" s="67"/>
      <c r="L82" s="67"/>
      <c r="M82" s="67"/>
      <c r="N82" s="43"/>
      <c r="O82" s="338" t="s">
        <v>734</v>
      </c>
      <c r="P82" s="338"/>
      <c r="Q82" s="338"/>
      <c r="R82" s="338"/>
      <c r="S82" s="186">
        <f>AD76</f>
        <v>63791000</v>
      </c>
      <c r="T82" s="339" t="s">
        <v>55</v>
      </c>
      <c r="U82" s="226" t="s">
        <v>56</v>
      </c>
      <c r="V82" s="320">
        <v>0.12809999999999999</v>
      </c>
      <c r="W82" s="226"/>
      <c r="X82" s="229"/>
      <c r="Y82" s="518"/>
      <c r="Z82" s="474"/>
      <c r="AA82" s="339" t="s">
        <v>53</v>
      </c>
      <c r="AB82" s="674" t="s">
        <v>70</v>
      </c>
      <c r="AC82" s="599"/>
      <c r="AD82" s="675">
        <f>ROUNDUP(S82*V82,-3)</f>
        <v>8172000</v>
      </c>
      <c r="AE82" s="691" t="s">
        <v>55</v>
      </c>
      <c r="AF82" s="728"/>
      <c r="AG82" s="734"/>
      <c r="AH82" s="724"/>
      <c r="AI82" s="647"/>
      <c r="AJ82" s="647"/>
    </row>
    <row r="83" spans="1:36" s="7" customFormat="1" ht="21" customHeight="1">
      <c r="A83" s="25"/>
      <c r="B83" s="26"/>
      <c r="C83" s="26"/>
      <c r="D83" s="88"/>
      <c r="E83" s="67"/>
      <c r="F83" s="67"/>
      <c r="G83" s="67"/>
      <c r="H83" s="67"/>
      <c r="I83" s="67"/>
      <c r="J83" s="67"/>
      <c r="K83" s="67"/>
      <c r="L83" s="67"/>
      <c r="M83" s="67"/>
      <c r="N83" s="43"/>
      <c r="O83" s="338" t="s">
        <v>815</v>
      </c>
      <c r="P83" s="338"/>
      <c r="Q83" s="338"/>
      <c r="R83" s="338"/>
      <c r="S83" s="186">
        <f>AD77</f>
        <v>3301000</v>
      </c>
      <c r="T83" s="339" t="s">
        <v>55</v>
      </c>
      <c r="U83" s="226" t="s">
        <v>56</v>
      </c>
      <c r="V83" s="320">
        <v>0.12809999999999999</v>
      </c>
      <c r="W83" s="226"/>
      <c r="X83" s="229"/>
      <c r="Y83" s="518"/>
      <c r="Z83" s="474"/>
      <c r="AA83" s="339" t="s">
        <v>53</v>
      </c>
      <c r="AB83" s="674" t="s">
        <v>805</v>
      </c>
      <c r="AC83" s="599"/>
      <c r="AD83" s="675">
        <f>ROUNDUP(S83*V83,-3)</f>
        <v>423000</v>
      </c>
      <c r="AE83" s="691" t="s">
        <v>55</v>
      </c>
      <c r="AF83" s="728"/>
      <c r="AG83" s="734"/>
      <c r="AH83" s="724"/>
      <c r="AI83" s="647"/>
      <c r="AJ83" s="647"/>
    </row>
    <row r="84" spans="1:36" s="7" customFormat="1" ht="21" customHeight="1">
      <c r="A84" s="25"/>
      <c r="B84" s="26"/>
      <c r="C84" s="26"/>
      <c r="D84" s="88"/>
      <c r="E84" s="67"/>
      <c r="F84" s="67"/>
      <c r="G84" s="67"/>
      <c r="H84" s="67"/>
      <c r="I84" s="67"/>
      <c r="J84" s="67"/>
      <c r="K84" s="67"/>
      <c r="L84" s="67"/>
      <c r="M84" s="67"/>
      <c r="N84" s="43"/>
      <c r="O84" s="338" t="s">
        <v>298</v>
      </c>
      <c r="P84" s="338"/>
      <c r="Q84" s="338"/>
      <c r="R84" s="338"/>
      <c r="S84" s="186">
        <f>AD78</f>
        <v>0</v>
      </c>
      <c r="T84" s="339" t="s">
        <v>55</v>
      </c>
      <c r="U84" s="226" t="s">
        <v>56</v>
      </c>
      <c r="V84" s="320">
        <v>0.12809999999999999</v>
      </c>
      <c r="W84" s="226"/>
      <c r="X84" s="229"/>
      <c r="Y84" s="518"/>
      <c r="Z84" s="474"/>
      <c r="AA84" s="339" t="s">
        <v>53</v>
      </c>
      <c r="AB84" s="674" t="s">
        <v>70</v>
      </c>
      <c r="AC84" s="599"/>
      <c r="AD84" s="675">
        <f>ROUNDUP(S84*V84,-3)</f>
        <v>0</v>
      </c>
      <c r="AE84" s="691" t="s">
        <v>55</v>
      </c>
      <c r="AF84" s="728"/>
      <c r="AG84" s="734"/>
      <c r="AH84" s="724"/>
      <c r="AI84" s="647"/>
      <c r="AJ84" s="647"/>
    </row>
    <row r="85" spans="1:36" s="7" customFormat="1" ht="21" customHeight="1">
      <c r="A85" s="25"/>
      <c r="B85" s="26"/>
      <c r="C85" s="26"/>
      <c r="D85" s="88"/>
      <c r="E85" s="67"/>
      <c r="F85" s="67"/>
      <c r="G85" s="67"/>
      <c r="H85" s="67"/>
      <c r="I85" s="67"/>
      <c r="J85" s="67"/>
      <c r="K85" s="67"/>
      <c r="L85" s="67"/>
      <c r="M85" s="67"/>
      <c r="N85" s="43"/>
      <c r="O85" s="338" t="s">
        <v>593</v>
      </c>
      <c r="P85" s="338"/>
      <c r="Q85" s="338"/>
      <c r="R85" s="338"/>
      <c r="S85" s="186">
        <f>AD79</f>
        <v>1658000</v>
      </c>
      <c r="T85" s="339" t="s">
        <v>55</v>
      </c>
      <c r="U85" s="226" t="s">
        <v>56</v>
      </c>
      <c r="V85" s="320">
        <v>0.12809999999999999</v>
      </c>
      <c r="W85" s="226"/>
      <c r="X85" s="229"/>
      <c r="Y85" s="518"/>
      <c r="Z85" s="474"/>
      <c r="AA85" s="339" t="s">
        <v>53</v>
      </c>
      <c r="AB85" s="674" t="s">
        <v>151</v>
      </c>
      <c r="AC85" s="599"/>
      <c r="AD85" s="675">
        <f>ROUNDUP(S85*V85,-3)</f>
        <v>213000</v>
      </c>
      <c r="AE85" s="691" t="s">
        <v>55</v>
      </c>
      <c r="AF85" s="728"/>
      <c r="AG85" s="734"/>
      <c r="AH85" s="724"/>
      <c r="AI85" s="647"/>
      <c r="AJ85" s="647"/>
    </row>
    <row r="86" spans="1:36" s="7" customFormat="1" ht="21" customHeight="1">
      <c r="A86" s="25"/>
      <c r="B86" s="26"/>
      <c r="C86" s="26"/>
      <c r="D86" s="88"/>
      <c r="E86" s="67"/>
      <c r="F86" s="67"/>
      <c r="G86" s="67"/>
      <c r="H86" s="67"/>
      <c r="I86" s="67"/>
      <c r="J86" s="67"/>
      <c r="K86" s="67"/>
      <c r="L86" s="67"/>
      <c r="M86" s="67"/>
      <c r="N86" s="43"/>
      <c r="O86" s="338"/>
      <c r="P86" s="338"/>
      <c r="Q86" s="338"/>
      <c r="R86" s="338"/>
      <c r="S86" s="338"/>
      <c r="T86" s="339"/>
      <c r="U86" s="339"/>
      <c r="V86" s="337"/>
      <c r="W86" s="339"/>
      <c r="X86" s="339"/>
      <c r="Y86" s="340"/>
      <c r="Z86" s="339"/>
      <c r="AA86" s="339"/>
      <c r="AB86" s="674"/>
      <c r="AC86" s="599"/>
      <c r="AD86" s="675"/>
      <c r="AE86" s="691"/>
      <c r="AF86" s="728"/>
      <c r="AG86" s="734"/>
      <c r="AH86" s="724"/>
      <c r="AI86" s="647"/>
      <c r="AJ86" s="647"/>
    </row>
    <row r="87" spans="1:36" s="7" customFormat="1" ht="21" customHeight="1">
      <c r="A87" s="25"/>
      <c r="B87" s="26"/>
      <c r="C87" s="26"/>
      <c r="D87" s="88"/>
      <c r="E87" s="67"/>
      <c r="F87" s="67"/>
      <c r="G87" s="67"/>
      <c r="H87" s="67"/>
      <c r="I87" s="67"/>
      <c r="J87" s="67"/>
      <c r="K87" s="67"/>
      <c r="L87" s="67"/>
      <c r="M87" s="67"/>
      <c r="N87" s="43"/>
      <c r="O87" s="513" t="s">
        <v>174</v>
      </c>
      <c r="P87" s="338"/>
      <c r="Q87" s="338"/>
      <c r="R87" s="338"/>
      <c r="S87" s="338"/>
      <c r="T87" s="339"/>
      <c r="U87" s="339"/>
      <c r="V87" s="337"/>
      <c r="W87" s="428" t="s">
        <v>152</v>
      </c>
      <c r="X87" s="428"/>
      <c r="Y87" s="236"/>
      <c r="Z87" s="428"/>
      <c r="AA87" s="428"/>
      <c r="AB87" s="698"/>
      <c r="AC87" s="588" t="s">
        <v>153</v>
      </c>
      <c r="AD87" s="663">
        <f>ROUND(SUM(AD88:AD92),-3)</f>
        <v>22303000</v>
      </c>
      <c r="AE87" s="692" t="s">
        <v>55</v>
      </c>
      <c r="AF87" s="728"/>
      <c r="AG87" s="734"/>
      <c r="AH87" s="724"/>
      <c r="AI87" s="647"/>
      <c r="AJ87" s="647"/>
    </row>
    <row r="88" spans="1:36" s="7" customFormat="1" ht="21" customHeight="1">
      <c r="A88" s="25"/>
      <c r="B88" s="26"/>
      <c r="C88" s="26"/>
      <c r="D88" s="88"/>
      <c r="E88" s="67"/>
      <c r="F88" s="67"/>
      <c r="G88" s="67"/>
      <c r="H88" s="67"/>
      <c r="I88" s="67"/>
      <c r="J88" s="67"/>
      <c r="K88" s="67"/>
      <c r="L88" s="67"/>
      <c r="M88" s="67"/>
      <c r="N88" s="43"/>
      <c r="O88" s="338" t="s">
        <v>734</v>
      </c>
      <c r="P88" s="338"/>
      <c r="Q88" s="338"/>
      <c r="R88" s="338"/>
      <c r="S88" s="337">
        <f>S76</f>
        <v>1799447000</v>
      </c>
      <c r="T88" s="339" t="s">
        <v>55</v>
      </c>
      <c r="U88" s="226" t="s">
        <v>56</v>
      </c>
      <c r="V88" s="320">
        <v>1.15E-2</v>
      </c>
      <c r="W88" s="226"/>
      <c r="X88" s="229"/>
      <c r="Y88" s="518"/>
      <c r="Z88" s="474"/>
      <c r="AA88" s="339" t="s">
        <v>53</v>
      </c>
      <c r="AB88" s="674" t="s">
        <v>70</v>
      </c>
      <c r="AC88" s="599"/>
      <c r="AD88" s="675">
        <f>ROUND(S88*V88,-3)</f>
        <v>20694000</v>
      </c>
      <c r="AE88" s="691" t="s">
        <v>55</v>
      </c>
      <c r="AF88" s="728"/>
      <c r="AG88" s="734"/>
      <c r="AH88" s="728"/>
      <c r="AI88" s="647"/>
      <c r="AJ88" s="647"/>
    </row>
    <row r="89" spans="1:36" s="7" customFormat="1" ht="21" customHeight="1">
      <c r="A89" s="25"/>
      <c r="B89" s="26"/>
      <c r="C89" s="26"/>
      <c r="D89" s="88"/>
      <c r="E89" s="67"/>
      <c r="F89" s="67"/>
      <c r="G89" s="67"/>
      <c r="H89" s="67"/>
      <c r="I89" s="67"/>
      <c r="J89" s="67"/>
      <c r="K89" s="67"/>
      <c r="L89" s="67"/>
      <c r="M89" s="67"/>
      <c r="N89" s="43"/>
      <c r="O89" s="338" t="s">
        <v>815</v>
      </c>
      <c r="P89" s="338"/>
      <c r="Q89" s="338"/>
      <c r="R89" s="338"/>
      <c r="S89" s="337">
        <f>S77</f>
        <v>93110000</v>
      </c>
      <c r="T89" s="339" t="s">
        <v>55</v>
      </c>
      <c r="U89" s="226" t="s">
        <v>56</v>
      </c>
      <c r="V89" s="320">
        <v>1.15E-2</v>
      </c>
      <c r="W89" s="226"/>
      <c r="X89" s="229"/>
      <c r="Y89" s="518"/>
      <c r="Z89" s="474"/>
      <c r="AA89" s="339" t="s">
        <v>53</v>
      </c>
      <c r="AB89" s="674" t="s">
        <v>805</v>
      </c>
      <c r="AC89" s="599"/>
      <c r="AD89" s="675">
        <f>ROUNDUP(S89*V89,-3)</f>
        <v>1071000</v>
      </c>
      <c r="AE89" s="691" t="s">
        <v>55</v>
      </c>
      <c r="AF89" s="728"/>
      <c r="AG89" s="734"/>
      <c r="AH89" s="724"/>
      <c r="AI89" s="647"/>
      <c r="AJ89" s="647"/>
    </row>
    <row r="90" spans="1:36" s="7" customFormat="1" ht="21" customHeight="1">
      <c r="A90" s="25"/>
      <c r="B90" s="26"/>
      <c r="C90" s="26"/>
      <c r="D90" s="88"/>
      <c r="E90" s="67"/>
      <c r="F90" s="67"/>
      <c r="G90" s="67"/>
      <c r="H90" s="67"/>
      <c r="I90" s="67"/>
      <c r="J90" s="67"/>
      <c r="K90" s="67"/>
      <c r="L90" s="67"/>
      <c r="M90" s="67"/>
      <c r="N90" s="43"/>
      <c r="O90" s="338" t="s">
        <v>298</v>
      </c>
      <c r="P90" s="338"/>
      <c r="Q90" s="338"/>
      <c r="R90" s="338"/>
      <c r="S90" s="337">
        <f>S78</f>
        <v>0</v>
      </c>
      <c r="T90" s="339" t="s">
        <v>55</v>
      </c>
      <c r="U90" s="226" t="s">
        <v>56</v>
      </c>
      <c r="V90" s="320">
        <v>1.15E-2</v>
      </c>
      <c r="W90" s="226"/>
      <c r="X90" s="229"/>
      <c r="Y90" s="518"/>
      <c r="Z90" s="474"/>
      <c r="AA90" s="339" t="s">
        <v>53</v>
      </c>
      <c r="AB90" s="674" t="s">
        <v>70</v>
      </c>
      <c r="AC90" s="599"/>
      <c r="AD90" s="675">
        <f>ROUNDUP(S90*V90,-3)</f>
        <v>0</v>
      </c>
      <c r="AE90" s="691" t="s">
        <v>55</v>
      </c>
      <c r="AF90" s="728"/>
      <c r="AG90" s="734"/>
      <c r="AH90" s="724"/>
      <c r="AI90" s="647"/>
      <c r="AJ90" s="647"/>
    </row>
    <row r="91" spans="1:36" s="7" customFormat="1" ht="21" customHeight="1">
      <c r="A91" s="25"/>
      <c r="B91" s="26"/>
      <c r="C91" s="26"/>
      <c r="D91" s="88"/>
      <c r="E91" s="67"/>
      <c r="F91" s="67"/>
      <c r="G91" s="67"/>
      <c r="H91" s="67"/>
      <c r="I91" s="67"/>
      <c r="J91" s="67"/>
      <c r="K91" s="67"/>
      <c r="L91" s="67"/>
      <c r="M91" s="67"/>
      <c r="N91" s="43"/>
      <c r="O91" s="338" t="s">
        <v>593</v>
      </c>
      <c r="P91" s="338"/>
      <c r="Q91" s="338"/>
      <c r="R91" s="338"/>
      <c r="S91" s="337">
        <f>S65</f>
        <v>46754000</v>
      </c>
      <c r="T91" s="339" t="s">
        <v>55</v>
      </c>
      <c r="U91" s="226" t="s">
        <v>56</v>
      </c>
      <c r="V91" s="320">
        <v>1.15E-2</v>
      </c>
      <c r="W91" s="226"/>
      <c r="X91" s="229"/>
      <c r="Y91" s="518"/>
      <c r="Z91" s="474"/>
      <c r="AA91" s="339" t="s">
        <v>53</v>
      </c>
      <c r="AB91" s="674" t="s">
        <v>151</v>
      </c>
      <c r="AC91" s="599"/>
      <c r="AD91" s="675">
        <f>ROUND(S91*V91,-3)</f>
        <v>538000</v>
      </c>
      <c r="AE91" s="691" t="s">
        <v>55</v>
      </c>
      <c r="AF91" s="728"/>
      <c r="AG91" s="734"/>
      <c r="AH91" s="724"/>
      <c r="AI91" s="647"/>
      <c r="AJ91" s="647"/>
    </row>
    <row r="92" spans="1:36" s="7" customFormat="1" ht="21" customHeight="1">
      <c r="A92" s="25"/>
      <c r="B92" s="26"/>
      <c r="C92" s="26"/>
      <c r="D92" s="88"/>
      <c r="E92" s="67"/>
      <c r="F92" s="67"/>
      <c r="G92" s="67"/>
      <c r="H92" s="67"/>
      <c r="I92" s="67"/>
      <c r="J92" s="67"/>
      <c r="K92" s="67"/>
      <c r="L92" s="67"/>
      <c r="M92" s="67"/>
      <c r="N92" s="43"/>
      <c r="O92" s="338"/>
      <c r="P92" s="338"/>
      <c r="Q92" s="338"/>
      <c r="R92" s="338"/>
      <c r="S92" s="338"/>
      <c r="T92" s="339"/>
      <c r="U92" s="339"/>
      <c r="V92" s="337"/>
      <c r="W92" s="339"/>
      <c r="X92" s="339"/>
      <c r="Y92" s="340"/>
      <c r="Z92" s="339"/>
      <c r="AA92" s="339"/>
      <c r="AB92" s="674"/>
      <c r="AC92" s="599"/>
      <c r="AD92" s="675"/>
      <c r="AE92" s="690"/>
      <c r="AF92" s="728"/>
      <c r="AG92" s="734"/>
      <c r="AH92" s="724"/>
      <c r="AI92" s="647"/>
      <c r="AJ92" s="647"/>
    </row>
    <row r="93" spans="1:36" s="7" customFormat="1" ht="21" customHeight="1">
      <c r="A93" s="25"/>
      <c r="B93" s="26"/>
      <c r="C93" s="26"/>
      <c r="D93" s="88"/>
      <c r="E93" s="67"/>
      <c r="F93" s="67"/>
      <c r="G93" s="67"/>
      <c r="H93" s="67"/>
      <c r="I93" s="67"/>
      <c r="J93" s="67"/>
      <c r="K93" s="67"/>
      <c r="L93" s="67"/>
      <c r="M93" s="67"/>
      <c r="N93" s="43"/>
      <c r="O93" s="513" t="s">
        <v>175</v>
      </c>
      <c r="P93" s="338"/>
      <c r="Q93" s="338"/>
      <c r="R93" s="338"/>
      <c r="S93" s="338"/>
      <c r="T93" s="339"/>
      <c r="U93" s="339"/>
      <c r="V93" s="337"/>
      <c r="W93" s="428" t="s">
        <v>152</v>
      </c>
      <c r="X93" s="428"/>
      <c r="Y93" s="236"/>
      <c r="Z93" s="428"/>
      <c r="AA93" s="428"/>
      <c r="AB93" s="698"/>
      <c r="AC93" s="588" t="s">
        <v>153</v>
      </c>
      <c r="AD93" s="663">
        <f>ROUND(SUM(AD94:AD97),-3)</f>
        <v>12935000</v>
      </c>
      <c r="AE93" s="692" t="s">
        <v>55</v>
      </c>
      <c r="AF93" s="728"/>
      <c r="AG93" s="734"/>
      <c r="AH93" s="724"/>
      <c r="AI93" s="647"/>
      <c r="AJ93" s="647"/>
    </row>
    <row r="94" spans="1:36" s="7" customFormat="1" ht="21" customHeight="1">
      <c r="A94" s="25"/>
      <c r="B94" s="26"/>
      <c r="C94" s="26"/>
      <c r="D94" s="88"/>
      <c r="E94" s="67"/>
      <c r="F94" s="67"/>
      <c r="G94" s="67"/>
      <c r="H94" s="67"/>
      <c r="I94" s="67"/>
      <c r="J94" s="67"/>
      <c r="K94" s="67"/>
      <c r="L94" s="67"/>
      <c r="M94" s="67"/>
      <c r="N94" s="43"/>
      <c r="O94" s="338" t="s">
        <v>734</v>
      </c>
      <c r="P94" s="338"/>
      <c r="Q94" s="338"/>
      <c r="R94" s="338"/>
      <c r="S94" s="337">
        <f>S88</f>
        <v>1799447000</v>
      </c>
      <c r="T94" s="339" t="s">
        <v>55</v>
      </c>
      <c r="U94" s="226" t="s">
        <v>56</v>
      </c>
      <c r="V94" s="520">
        <v>6.6699999999999997E-3</v>
      </c>
      <c r="W94" s="226"/>
      <c r="X94" s="229"/>
      <c r="Y94" s="518"/>
      <c r="Z94" s="474"/>
      <c r="AA94" s="339" t="s">
        <v>53</v>
      </c>
      <c r="AB94" s="674" t="s">
        <v>70</v>
      </c>
      <c r="AC94" s="599"/>
      <c r="AD94" s="675">
        <f>ROUND(S94*V94,-3)</f>
        <v>12002000</v>
      </c>
      <c r="AE94" s="691" t="s">
        <v>55</v>
      </c>
      <c r="AF94" s="728"/>
      <c r="AG94" s="734"/>
      <c r="AH94" s="724"/>
      <c r="AI94" s="647"/>
      <c r="AJ94" s="647"/>
    </row>
    <row r="95" spans="1:36" s="7" customFormat="1" ht="21" customHeight="1">
      <c r="A95" s="25"/>
      <c r="B95" s="26"/>
      <c r="C95" s="26"/>
      <c r="D95" s="88"/>
      <c r="E95" s="67"/>
      <c r="F95" s="67"/>
      <c r="G95" s="67"/>
      <c r="H95" s="67"/>
      <c r="I95" s="67"/>
      <c r="J95" s="67"/>
      <c r="K95" s="67"/>
      <c r="L95" s="67"/>
      <c r="M95" s="67"/>
      <c r="N95" s="43"/>
      <c r="O95" s="338" t="s">
        <v>815</v>
      </c>
      <c r="P95" s="338"/>
      <c r="Q95" s="338"/>
      <c r="R95" s="338"/>
      <c r="S95" s="337">
        <f>S89</f>
        <v>93110000</v>
      </c>
      <c r="T95" s="339" t="s">
        <v>55</v>
      </c>
      <c r="U95" s="226" t="s">
        <v>56</v>
      </c>
      <c r="V95" s="520">
        <v>6.6699999999999997E-3</v>
      </c>
      <c r="W95" s="226"/>
      <c r="X95" s="229"/>
      <c r="Y95" s="518"/>
      <c r="Z95" s="474"/>
      <c r="AA95" s="339" t="s">
        <v>53</v>
      </c>
      <c r="AB95" s="674" t="s">
        <v>805</v>
      </c>
      <c r="AC95" s="599"/>
      <c r="AD95" s="675">
        <f>ROUND(S95*V95,-3)</f>
        <v>621000</v>
      </c>
      <c r="AE95" s="691" t="s">
        <v>55</v>
      </c>
      <c r="AF95" s="728"/>
      <c r="AG95" s="734"/>
      <c r="AH95" s="724"/>
      <c r="AI95" s="647"/>
      <c r="AJ95" s="647"/>
    </row>
    <row r="96" spans="1:36" s="7" customFormat="1" ht="21" customHeight="1">
      <c r="A96" s="25"/>
      <c r="B96" s="26"/>
      <c r="C96" s="26"/>
      <c r="D96" s="88"/>
      <c r="E96" s="67"/>
      <c r="F96" s="67"/>
      <c r="G96" s="67"/>
      <c r="H96" s="67"/>
      <c r="I96" s="67"/>
      <c r="J96" s="67"/>
      <c r="K96" s="67"/>
      <c r="L96" s="67"/>
      <c r="M96" s="67"/>
      <c r="N96" s="43"/>
      <c r="O96" s="338" t="s">
        <v>298</v>
      </c>
      <c r="P96" s="338"/>
      <c r="Q96" s="338"/>
      <c r="R96" s="338"/>
      <c r="S96" s="337">
        <f>S90</f>
        <v>0</v>
      </c>
      <c r="T96" s="339" t="s">
        <v>55</v>
      </c>
      <c r="U96" s="226" t="s">
        <v>56</v>
      </c>
      <c r="V96" s="520">
        <v>6.6699999999999997E-3</v>
      </c>
      <c r="W96" s="226"/>
      <c r="X96" s="229"/>
      <c r="Y96" s="518"/>
      <c r="Z96" s="474"/>
      <c r="AA96" s="339" t="s">
        <v>53</v>
      </c>
      <c r="AB96" s="674" t="s">
        <v>70</v>
      </c>
      <c r="AC96" s="599"/>
      <c r="AD96" s="675">
        <f>ROUNDUP(S96*V96,-3)</f>
        <v>0</v>
      </c>
      <c r="AE96" s="691" t="s">
        <v>55</v>
      </c>
      <c r="AF96" s="728"/>
      <c r="AG96" s="734"/>
      <c r="AH96" s="724"/>
      <c r="AI96" s="647"/>
      <c r="AJ96" s="647"/>
    </row>
    <row r="97" spans="1:36" s="7" customFormat="1" ht="21" customHeight="1">
      <c r="A97" s="25"/>
      <c r="B97" s="26"/>
      <c r="C97" s="26"/>
      <c r="D97" s="88"/>
      <c r="E97" s="67"/>
      <c r="F97" s="67"/>
      <c r="G97" s="67"/>
      <c r="H97" s="67"/>
      <c r="I97" s="67"/>
      <c r="J97" s="67"/>
      <c r="K97" s="67"/>
      <c r="L97" s="67"/>
      <c r="M97" s="67"/>
      <c r="N97" s="43"/>
      <c r="O97" s="338" t="s">
        <v>593</v>
      </c>
      <c r="P97" s="338"/>
      <c r="Q97" s="338"/>
      <c r="R97" s="338"/>
      <c r="S97" s="337">
        <f>S65</f>
        <v>46754000</v>
      </c>
      <c r="T97" s="339" t="s">
        <v>55</v>
      </c>
      <c r="U97" s="226" t="s">
        <v>56</v>
      </c>
      <c r="V97" s="520">
        <v>6.6699999999999997E-3</v>
      </c>
      <c r="W97" s="226"/>
      <c r="X97" s="229"/>
      <c r="Y97" s="518"/>
      <c r="Z97" s="474"/>
      <c r="AA97" s="339" t="s">
        <v>53</v>
      </c>
      <c r="AB97" s="674" t="s">
        <v>151</v>
      </c>
      <c r="AC97" s="599"/>
      <c r="AD97" s="675">
        <f>ROUNDUP(S97*V97,-3)</f>
        <v>312000</v>
      </c>
      <c r="AE97" s="691" t="s">
        <v>55</v>
      </c>
      <c r="AF97" s="728"/>
      <c r="AG97" s="734"/>
      <c r="AH97" s="724"/>
      <c r="AI97" s="647"/>
      <c r="AJ97" s="647"/>
    </row>
    <row r="98" spans="1:36" s="7" customFormat="1" ht="21" customHeight="1">
      <c r="A98" s="25"/>
      <c r="B98" s="26"/>
      <c r="C98" s="26"/>
      <c r="D98" s="88"/>
      <c r="E98" s="67"/>
      <c r="F98" s="67"/>
      <c r="G98" s="67"/>
      <c r="H98" s="67"/>
      <c r="I98" s="67"/>
      <c r="J98" s="67"/>
      <c r="K98" s="67"/>
      <c r="L98" s="67"/>
      <c r="M98" s="67"/>
      <c r="N98" s="43"/>
      <c r="O98" s="338"/>
      <c r="P98" s="338"/>
      <c r="Q98" s="338"/>
      <c r="R98" s="338"/>
      <c r="S98" s="337"/>
      <c r="T98" s="339"/>
      <c r="U98" s="226"/>
      <c r="V98" s="520"/>
      <c r="W98" s="226"/>
      <c r="X98" s="229"/>
      <c r="Y98" s="518"/>
      <c r="Z98" s="474"/>
      <c r="AA98" s="339"/>
      <c r="AB98" s="674"/>
      <c r="AC98" s="599"/>
      <c r="AD98" s="675"/>
      <c r="AE98" s="691"/>
      <c r="AF98" s="728"/>
      <c r="AG98" s="734"/>
      <c r="AH98" s="724"/>
      <c r="AI98" s="647"/>
      <c r="AJ98" s="647"/>
    </row>
    <row r="99" spans="1:36" s="7" customFormat="1" ht="21" hidden="1" customHeight="1">
      <c r="A99" s="25"/>
      <c r="B99" s="26"/>
      <c r="C99" s="26"/>
      <c r="D99" s="88"/>
      <c r="E99" s="67"/>
      <c r="F99" s="67"/>
      <c r="G99" s="67"/>
      <c r="H99" s="67"/>
      <c r="I99" s="67"/>
      <c r="J99" s="67"/>
      <c r="K99" s="67"/>
      <c r="L99" s="67"/>
      <c r="M99" s="67"/>
      <c r="N99" s="43"/>
      <c r="O99" s="338" t="s">
        <v>653</v>
      </c>
      <c r="P99" s="338"/>
      <c r="Q99" s="338"/>
      <c r="R99" s="338"/>
      <c r="S99" s="337"/>
      <c r="T99" s="339"/>
      <c r="U99" s="226"/>
      <c r="V99" s="520"/>
      <c r="W99" s="226"/>
      <c r="X99" s="229"/>
      <c r="Y99" s="518"/>
      <c r="Z99" s="474"/>
      <c r="AA99" s="339"/>
      <c r="AB99" s="674" t="s">
        <v>151</v>
      </c>
      <c r="AC99" s="599"/>
      <c r="AD99" s="675">
        <v>0</v>
      </c>
      <c r="AE99" s="691" t="s">
        <v>55</v>
      </c>
      <c r="AF99" s="728"/>
      <c r="AG99" s="734"/>
      <c r="AH99" s="724"/>
      <c r="AI99" s="647"/>
      <c r="AJ99" s="647"/>
    </row>
    <row r="100" spans="1:36" s="7" customFormat="1" ht="21" hidden="1" customHeight="1">
      <c r="A100" s="25"/>
      <c r="B100" s="26"/>
      <c r="C100" s="26"/>
      <c r="D100" s="88"/>
      <c r="E100" s="67"/>
      <c r="F100" s="67"/>
      <c r="G100" s="67"/>
      <c r="H100" s="67"/>
      <c r="I100" s="67"/>
      <c r="J100" s="67"/>
      <c r="K100" s="67"/>
      <c r="L100" s="67"/>
      <c r="M100" s="67"/>
      <c r="N100" s="43"/>
      <c r="O100" s="338"/>
      <c r="P100" s="338"/>
      <c r="Q100" s="338"/>
      <c r="R100" s="338"/>
      <c r="S100" s="338"/>
      <c r="T100" s="339"/>
      <c r="U100" s="339"/>
      <c r="V100" s="337"/>
      <c r="W100" s="339"/>
      <c r="X100" s="339"/>
      <c r="Y100" s="340"/>
      <c r="Z100" s="339"/>
      <c r="AA100" s="339"/>
      <c r="AB100" s="674"/>
      <c r="AC100" s="599"/>
      <c r="AD100" s="675"/>
      <c r="AE100" s="691"/>
      <c r="AF100" s="728"/>
      <c r="AG100" s="734"/>
      <c r="AH100" s="724"/>
      <c r="AI100" s="647"/>
      <c r="AJ100" s="647"/>
    </row>
    <row r="101" spans="1:36" s="7" customFormat="1" ht="21" customHeight="1">
      <c r="A101" s="25"/>
      <c r="B101" s="26"/>
      <c r="C101" s="18" t="s">
        <v>66</v>
      </c>
      <c r="D101" s="90">
        <v>7787</v>
      </c>
      <c r="E101" s="71">
        <f>ROUND(AD101/1000,0)</f>
        <v>7787</v>
      </c>
      <c r="F101" s="71">
        <f>SUMIF($AB$102:$AB$106,"보조",$AD$102:$AD$106)/1000</f>
        <v>0</v>
      </c>
      <c r="G101" s="71">
        <f>SUMIF($AB$102:$AB$106,"6종",$AD$102:$AD$106)/1000</f>
        <v>5400</v>
      </c>
      <c r="H101" s="71">
        <f>SUMIF($AB$102:$AB$106,"4종",$AD$102:$AD$106)/1000</f>
        <v>0</v>
      </c>
      <c r="I101" s="71">
        <f>SUMIF($AB$102:$AB$106,"후원",$AD$102:$AD$106)/1000</f>
        <v>2387</v>
      </c>
      <c r="J101" s="71">
        <f>SUMIF($AB$102:$AB$106,"입소",$AD$102:$AD$106)/1000</f>
        <v>0</v>
      </c>
      <c r="K101" s="71">
        <f>SUMIF($AB$102:$AB$106,"법인",$AD$102:$AD$106)/1000</f>
        <v>0</v>
      </c>
      <c r="L101" s="71">
        <f>SUMIF($AB$102:$AB$106,"잡수",$AD$102:$AD$106)/1000</f>
        <v>0</v>
      </c>
      <c r="M101" s="70">
        <f>E101-D101</f>
        <v>0</v>
      </c>
      <c r="N101" s="75">
        <f>IF(D101=0,0,M101/D101)</f>
        <v>0</v>
      </c>
      <c r="O101" s="187" t="s">
        <v>67</v>
      </c>
      <c r="P101" s="511"/>
      <c r="Q101" s="188"/>
      <c r="R101" s="188"/>
      <c r="S101" s="188"/>
      <c r="T101" s="444"/>
      <c r="U101" s="444"/>
      <c r="V101" s="189"/>
      <c r="W101" s="448" t="s">
        <v>116</v>
      </c>
      <c r="X101" s="448"/>
      <c r="Y101" s="190"/>
      <c r="Z101" s="448"/>
      <c r="AA101" s="448"/>
      <c r="AB101" s="711"/>
      <c r="AC101" s="541"/>
      <c r="AD101" s="656">
        <f>SUM(AD102:AD106)</f>
        <v>7787000</v>
      </c>
      <c r="AE101" s="686" t="s">
        <v>25</v>
      </c>
      <c r="AF101" s="728"/>
      <c r="AG101" s="734"/>
      <c r="AH101" s="724"/>
      <c r="AI101" s="647"/>
      <c r="AJ101" s="647"/>
    </row>
    <row r="102" spans="1:36" s="7" customFormat="1" ht="21" customHeight="1">
      <c r="A102" s="25"/>
      <c r="B102" s="26"/>
      <c r="C102" s="26"/>
      <c r="D102" s="88"/>
      <c r="E102" s="67"/>
      <c r="F102" s="67"/>
      <c r="G102" s="67"/>
      <c r="H102" s="67"/>
      <c r="I102" s="67"/>
      <c r="J102" s="67"/>
      <c r="K102" s="67"/>
      <c r="L102" s="67"/>
      <c r="M102" s="67"/>
      <c r="N102" s="43"/>
      <c r="O102" s="338" t="s">
        <v>284</v>
      </c>
      <c r="P102" s="338"/>
      <c r="Q102" s="338"/>
      <c r="R102" s="338"/>
      <c r="S102" s="337">
        <v>300000</v>
      </c>
      <c r="T102" s="339" t="s">
        <v>55</v>
      </c>
      <c r="U102" s="226" t="s">
        <v>56</v>
      </c>
      <c r="V102" s="327">
        <v>18</v>
      </c>
      <c r="W102" s="226" t="s">
        <v>54</v>
      </c>
      <c r="X102" s="229"/>
      <c r="Y102" s="503"/>
      <c r="Z102" s="451"/>
      <c r="AA102" s="339" t="s">
        <v>53</v>
      </c>
      <c r="AB102" s="674" t="s">
        <v>805</v>
      </c>
      <c r="AC102" s="599"/>
      <c r="AD102" s="675">
        <f>ROUNDUP(S102*V102,-3)</f>
        <v>5400000</v>
      </c>
      <c r="AE102" s="685" t="s">
        <v>55</v>
      </c>
      <c r="AF102" s="728"/>
      <c r="AG102" s="734"/>
      <c r="AH102" s="724"/>
      <c r="AI102" s="647"/>
      <c r="AJ102" s="647"/>
    </row>
    <row r="103" spans="1:36" s="7" customFormat="1" ht="21" customHeight="1">
      <c r="A103" s="25"/>
      <c r="B103" s="26"/>
      <c r="C103" s="26"/>
      <c r="D103" s="88"/>
      <c r="E103" s="67"/>
      <c r="F103" s="67"/>
      <c r="G103" s="67"/>
      <c r="H103" s="67"/>
      <c r="I103" s="67"/>
      <c r="J103" s="67"/>
      <c r="K103" s="67"/>
      <c r="L103" s="67"/>
      <c r="M103" s="67"/>
      <c r="N103" s="43"/>
      <c r="O103" s="338" t="s">
        <v>285</v>
      </c>
      <c r="P103" s="338"/>
      <c r="Q103" s="338"/>
      <c r="R103" s="338"/>
      <c r="S103" s="337"/>
      <c r="T103" s="339"/>
      <c r="U103" s="226"/>
      <c r="V103" s="327"/>
      <c r="W103" s="226" t="s">
        <v>153</v>
      </c>
      <c r="X103" s="229"/>
      <c r="Y103" s="503"/>
      <c r="Z103" s="451"/>
      <c r="AA103" s="339"/>
      <c r="AB103" s="674" t="s">
        <v>137</v>
      </c>
      <c r="AC103" s="599"/>
      <c r="AD103" s="675">
        <v>800000</v>
      </c>
      <c r="AE103" s="685" t="s">
        <v>55</v>
      </c>
      <c r="AF103" s="728"/>
      <c r="AG103" s="734"/>
      <c r="AH103" s="724"/>
      <c r="AI103" s="647"/>
      <c r="AJ103" s="647"/>
    </row>
    <row r="104" spans="1:36" s="7" customFormat="1" ht="21" customHeight="1">
      <c r="A104" s="25"/>
      <c r="B104" s="26"/>
      <c r="C104" s="26"/>
      <c r="D104" s="88"/>
      <c r="E104" s="67"/>
      <c r="F104" s="67"/>
      <c r="G104" s="67"/>
      <c r="H104" s="67"/>
      <c r="I104" s="67"/>
      <c r="J104" s="67"/>
      <c r="K104" s="67"/>
      <c r="L104" s="67"/>
      <c r="M104" s="67"/>
      <c r="N104" s="43"/>
      <c r="O104" s="338" t="s">
        <v>286</v>
      </c>
      <c r="P104" s="338"/>
      <c r="Q104" s="338"/>
      <c r="R104" s="338"/>
      <c r="S104" s="337">
        <v>40000</v>
      </c>
      <c r="T104" s="339" t="s">
        <v>55</v>
      </c>
      <c r="U104" s="226" t="s">
        <v>56</v>
      </c>
      <c r="V104" s="327">
        <v>45</v>
      </c>
      <c r="W104" s="226" t="s">
        <v>54</v>
      </c>
      <c r="X104" s="229"/>
      <c r="Y104" s="503"/>
      <c r="Z104" s="451"/>
      <c r="AA104" s="339" t="s">
        <v>53</v>
      </c>
      <c r="AB104" s="661" t="s">
        <v>137</v>
      </c>
      <c r="AC104" s="546"/>
      <c r="AD104" s="675">
        <v>1177000</v>
      </c>
      <c r="AE104" s="693" t="s">
        <v>55</v>
      </c>
      <c r="AF104" s="728"/>
      <c r="AG104" s="734"/>
      <c r="AH104" s="724"/>
      <c r="AI104" s="647"/>
      <c r="AJ104" s="647"/>
    </row>
    <row r="105" spans="1:36" s="7" customFormat="1" ht="21" customHeight="1">
      <c r="A105" s="25"/>
      <c r="B105" s="26"/>
      <c r="C105" s="26"/>
      <c r="D105" s="88"/>
      <c r="E105" s="67"/>
      <c r="F105" s="67"/>
      <c r="G105" s="67"/>
      <c r="H105" s="67"/>
      <c r="I105" s="67"/>
      <c r="J105" s="67"/>
      <c r="K105" s="67"/>
      <c r="L105" s="67"/>
      <c r="M105" s="67"/>
      <c r="N105" s="43"/>
      <c r="O105" s="338" t="s">
        <v>232</v>
      </c>
      <c r="P105" s="338"/>
      <c r="Q105" s="337"/>
      <c r="R105" s="337"/>
      <c r="S105" s="337"/>
      <c r="T105" s="339"/>
      <c r="U105" s="339"/>
      <c r="V105" s="337"/>
      <c r="W105" s="339"/>
      <c r="X105" s="339"/>
      <c r="Y105" s="340"/>
      <c r="Z105" s="339"/>
      <c r="AA105" s="339"/>
      <c r="AB105" s="661" t="s">
        <v>137</v>
      </c>
      <c r="AC105" s="599"/>
      <c r="AD105" s="675">
        <v>350000</v>
      </c>
      <c r="AE105" s="685" t="s">
        <v>55</v>
      </c>
      <c r="AF105" s="728"/>
      <c r="AG105" s="734"/>
      <c r="AH105" s="724"/>
      <c r="AI105" s="647"/>
      <c r="AJ105" s="647"/>
    </row>
    <row r="106" spans="1:36" s="7" customFormat="1" ht="21" customHeight="1">
      <c r="A106" s="25"/>
      <c r="B106" s="34"/>
      <c r="C106" s="34"/>
      <c r="D106" s="89"/>
      <c r="E106" s="68"/>
      <c r="F106" s="68"/>
      <c r="G106" s="68"/>
      <c r="H106" s="68"/>
      <c r="I106" s="68"/>
      <c r="J106" s="68"/>
      <c r="K106" s="68"/>
      <c r="L106" s="68"/>
      <c r="M106" s="68"/>
      <c r="N106" s="54"/>
      <c r="O106" s="513" t="s">
        <v>644</v>
      </c>
      <c r="P106" s="513"/>
      <c r="Q106" s="512"/>
      <c r="R106" s="512"/>
      <c r="S106" s="337">
        <v>12000</v>
      </c>
      <c r="T106" s="339" t="s">
        <v>55</v>
      </c>
      <c r="U106" s="226" t="s">
        <v>56</v>
      </c>
      <c r="V106" s="327">
        <v>5</v>
      </c>
      <c r="W106" s="226" t="s">
        <v>54</v>
      </c>
      <c r="X106" s="229"/>
      <c r="Y106" s="503"/>
      <c r="Z106" s="451"/>
      <c r="AA106" s="339" t="s">
        <v>53</v>
      </c>
      <c r="AB106" s="661" t="s">
        <v>137</v>
      </c>
      <c r="AC106" s="546"/>
      <c r="AD106" s="675">
        <f>S106*V106</f>
        <v>60000</v>
      </c>
      <c r="AE106" s="693" t="s">
        <v>55</v>
      </c>
      <c r="AF106" s="728"/>
      <c r="AG106" s="734"/>
      <c r="AH106" s="724"/>
      <c r="AI106" s="647"/>
      <c r="AJ106" s="647"/>
    </row>
    <row r="107" spans="1:36" s="7" customFormat="1" ht="21" customHeight="1">
      <c r="A107" s="25"/>
      <c r="B107" s="18" t="s">
        <v>118</v>
      </c>
      <c r="C107" s="18" t="s">
        <v>5</v>
      </c>
      <c r="D107" s="70">
        <v>11452</v>
      </c>
      <c r="E107" s="70">
        <f t="shared" ref="E107:J107" si="3">SUM(E108,E116,E118)</f>
        <v>16586</v>
      </c>
      <c r="F107" s="70">
        <f t="shared" si="3"/>
        <v>0</v>
      </c>
      <c r="G107" s="70">
        <f t="shared" si="3"/>
        <v>0</v>
      </c>
      <c r="H107" s="70">
        <f t="shared" si="3"/>
        <v>0</v>
      </c>
      <c r="I107" s="70">
        <f t="shared" si="3"/>
        <v>6011</v>
      </c>
      <c r="J107" s="70">
        <f t="shared" si="3"/>
        <v>0</v>
      </c>
      <c r="K107" s="70">
        <f>SUM(K108,K116,K118)</f>
        <v>10575</v>
      </c>
      <c r="L107" s="70">
        <f>SUM(L108,L116,L118)</f>
        <v>0</v>
      </c>
      <c r="M107" s="70">
        <f>E107-D107</f>
        <v>5134</v>
      </c>
      <c r="N107" s="75">
        <f>IF(D107=0,0,M107/D107)</f>
        <v>0.44830597275585049</v>
      </c>
      <c r="O107" s="188" t="s">
        <v>125</v>
      </c>
      <c r="P107" s="188"/>
      <c r="Q107" s="188"/>
      <c r="R107" s="188"/>
      <c r="S107" s="189"/>
      <c r="T107" s="444"/>
      <c r="U107" s="444"/>
      <c r="V107" s="189"/>
      <c r="W107" s="444"/>
      <c r="X107" s="444"/>
      <c r="Y107" s="336"/>
      <c r="Z107" s="444"/>
      <c r="AA107" s="444"/>
      <c r="AB107" s="709"/>
      <c r="AC107" s="552"/>
      <c r="AD107" s="672">
        <f>SUM(AD108,AD116,AD118)</f>
        <v>16586000</v>
      </c>
      <c r="AE107" s="695" t="s">
        <v>25</v>
      </c>
      <c r="AF107" s="728"/>
      <c r="AG107" s="734"/>
      <c r="AH107" s="724"/>
      <c r="AI107" s="647"/>
      <c r="AJ107" s="647"/>
    </row>
    <row r="108" spans="1:36" s="7" customFormat="1" ht="21" customHeight="1">
      <c r="A108" s="25"/>
      <c r="B108" s="26" t="s">
        <v>124</v>
      </c>
      <c r="C108" s="18" t="s">
        <v>10</v>
      </c>
      <c r="D108" s="70">
        <v>10130</v>
      </c>
      <c r="E108" s="70">
        <f>AD108/1000</f>
        <v>15264</v>
      </c>
      <c r="F108" s="71">
        <f>SUMIF($AB$109:$AB$115,"보조",$AD$109:$AD$115)/1000</f>
        <v>0</v>
      </c>
      <c r="G108" s="71">
        <f>SUMIF($AB$109:$AB$115,"6종",$AD$109:$AD$115)/1000</f>
        <v>0</v>
      </c>
      <c r="H108" s="71">
        <f>SUMIF($AB$109:$AB$115,"4종",$AD$109:$AD$115)/1000</f>
        <v>0</v>
      </c>
      <c r="I108" s="71">
        <f>SUMIF($AB$109:$AB$115,"후원",$AD$109:$AD$115)/1000</f>
        <v>6011</v>
      </c>
      <c r="J108" s="71">
        <f>SUMIF($AB$109:$AB$115,"입소",$AD$109:$AD$115)/1000</f>
        <v>0</v>
      </c>
      <c r="K108" s="71">
        <f>SUMIF($AB$109:$AB$115,"법인",$AD$109:$AD$115)/1000</f>
        <v>9253</v>
      </c>
      <c r="L108" s="71">
        <f>SUMIF($AB$109:$AB$115,"잡수",$AD$109:$AD$115)/1000</f>
        <v>0</v>
      </c>
      <c r="M108" s="70">
        <f>E108-D108</f>
        <v>5134</v>
      </c>
      <c r="N108" s="75">
        <f>IF(D108=0,0,M108/D108)</f>
        <v>0.50681145113524184</v>
      </c>
      <c r="O108" s="187" t="s">
        <v>37</v>
      </c>
      <c r="P108" s="521"/>
      <c r="Q108" s="191"/>
      <c r="R108" s="191"/>
      <c r="S108" s="191"/>
      <c r="T108" s="429"/>
      <c r="U108" s="429"/>
      <c r="V108" s="183"/>
      <c r="W108" s="429"/>
      <c r="X108" s="429"/>
      <c r="Y108" s="190" t="s">
        <v>127</v>
      </c>
      <c r="Z108" s="448"/>
      <c r="AA108" s="448"/>
      <c r="AB108" s="711"/>
      <c r="AC108" s="541"/>
      <c r="AD108" s="656">
        <f>SUM(AD109:AD114)</f>
        <v>15264000</v>
      </c>
      <c r="AE108" s="696" t="s">
        <v>25</v>
      </c>
      <c r="AF108" s="728"/>
      <c r="AG108" s="734"/>
      <c r="AH108" s="724"/>
      <c r="AI108" s="647"/>
      <c r="AJ108" s="647"/>
    </row>
    <row r="109" spans="1:36" s="7" customFormat="1" ht="21" customHeight="1">
      <c r="A109" s="25"/>
      <c r="B109" s="26"/>
      <c r="C109" s="26"/>
      <c r="D109" s="88"/>
      <c r="E109" s="67"/>
      <c r="F109" s="307"/>
      <c r="G109" s="307"/>
      <c r="H109" s="307"/>
      <c r="I109" s="307"/>
      <c r="J109" s="307"/>
      <c r="K109" s="307"/>
      <c r="L109" s="307"/>
      <c r="M109" s="67"/>
      <c r="N109" s="43"/>
      <c r="O109" s="177" t="s">
        <v>233</v>
      </c>
      <c r="P109" s="338"/>
      <c r="Q109" s="338"/>
      <c r="R109" s="338"/>
      <c r="S109" s="337"/>
      <c r="T109" s="298"/>
      <c r="U109" s="298"/>
      <c r="V109" s="337"/>
      <c r="W109" s="298"/>
      <c r="X109" s="339"/>
      <c r="Y109" s="340"/>
      <c r="Z109" s="339"/>
      <c r="AA109" s="339"/>
      <c r="AB109" s="674" t="s">
        <v>151</v>
      </c>
      <c r="AC109" s="598"/>
      <c r="AD109" s="673">
        <v>1000000</v>
      </c>
      <c r="AE109" s="685" t="s">
        <v>55</v>
      </c>
      <c r="AF109" s="728"/>
      <c r="AG109" s="734"/>
      <c r="AH109" s="724"/>
      <c r="AI109" s="647"/>
      <c r="AJ109" s="647"/>
    </row>
    <row r="110" spans="1:36" s="7" customFormat="1" ht="21" customHeight="1">
      <c r="A110" s="25"/>
      <c r="B110" s="26"/>
      <c r="C110" s="26"/>
      <c r="D110" s="88"/>
      <c r="E110" s="67"/>
      <c r="F110" s="307"/>
      <c r="G110" s="307"/>
      <c r="H110" s="307"/>
      <c r="I110" s="307"/>
      <c r="J110" s="307"/>
      <c r="K110" s="307"/>
      <c r="L110" s="307"/>
      <c r="M110" s="67"/>
      <c r="N110" s="43"/>
      <c r="O110" s="338" t="s">
        <v>567</v>
      </c>
      <c r="P110" s="338"/>
      <c r="Q110" s="338"/>
      <c r="R110" s="338"/>
      <c r="S110" s="337"/>
      <c r="T110" s="339"/>
      <c r="U110" s="226"/>
      <c r="V110" s="327"/>
      <c r="W110" s="226"/>
      <c r="X110" s="229"/>
      <c r="Y110" s="503"/>
      <c r="Z110" s="451"/>
      <c r="AA110" s="339"/>
      <c r="AB110" s="674" t="s">
        <v>151</v>
      </c>
      <c r="AC110" s="546"/>
      <c r="AD110" s="673">
        <v>530000</v>
      </c>
      <c r="AE110" s="685" t="s">
        <v>55</v>
      </c>
      <c r="AF110" s="728"/>
      <c r="AG110" s="734"/>
      <c r="AH110" s="724"/>
      <c r="AI110" s="647"/>
      <c r="AJ110" s="647"/>
    </row>
    <row r="111" spans="1:36" s="7" customFormat="1" ht="21" customHeight="1">
      <c r="A111" s="25"/>
      <c r="B111" s="26"/>
      <c r="C111" s="26"/>
      <c r="D111" s="88"/>
      <c r="E111" s="67"/>
      <c r="F111" s="307"/>
      <c r="G111" s="307"/>
      <c r="H111" s="307"/>
      <c r="I111" s="307"/>
      <c r="J111" s="307"/>
      <c r="K111" s="307"/>
      <c r="L111" s="307"/>
      <c r="M111" s="67"/>
      <c r="N111" s="43"/>
      <c r="O111" s="338" t="s">
        <v>568</v>
      </c>
      <c r="P111" s="338"/>
      <c r="Q111" s="338"/>
      <c r="R111" s="338"/>
      <c r="S111" s="337"/>
      <c r="T111" s="339"/>
      <c r="U111" s="226"/>
      <c r="V111" s="327"/>
      <c r="W111" s="226"/>
      <c r="X111" s="229"/>
      <c r="Y111" s="503"/>
      <c r="Z111" s="451"/>
      <c r="AA111" s="339"/>
      <c r="AB111" s="674" t="s">
        <v>151</v>
      </c>
      <c r="AC111" s="546"/>
      <c r="AD111" s="673">
        <v>4080000</v>
      </c>
      <c r="AE111" s="685" t="s">
        <v>55</v>
      </c>
      <c r="AF111" s="728"/>
      <c r="AG111" s="734"/>
      <c r="AH111" s="724"/>
      <c r="AI111" s="647"/>
      <c r="AJ111" s="647"/>
    </row>
    <row r="112" spans="1:36" s="7" customFormat="1" ht="21" customHeight="1">
      <c r="A112" s="25"/>
      <c r="B112" s="26"/>
      <c r="C112" s="26"/>
      <c r="D112" s="88"/>
      <c r="E112" s="67"/>
      <c r="F112" s="307"/>
      <c r="G112" s="307"/>
      <c r="H112" s="307"/>
      <c r="I112" s="307"/>
      <c r="J112" s="307"/>
      <c r="K112" s="307"/>
      <c r="L112" s="307"/>
      <c r="M112" s="67"/>
      <c r="N112" s="43"/>
      <c r="O112" s="514" t="s">
        <v>830</v>
      </c>
      <c r="P112" s="338"/>
      <c r="Q112" s="338"/>
      <c r="R112" s="338"/>
      <c r="S112" s="337">
        <v>20000</v>
      </c>
      <c r="T112" s="339" t="s">
        <v>55</v>
      </c>
      <c r="U112" s="226" t="s">
        <v>56</v>
      </c>
      <c r="V112" s="337">
        <v>46</v>
      </c>
      <c r="W112" s="339" t="s">
        <v>54</v>
      </c>
      <c r="X112" s="226"/>
      <c r="Y112" s="507"/>
      <c r="Z112" s="451"/>
      <c r="AA112" s="339" t="s">
        <v>53</v>
      </c>
      <c r="AB112" s="674" t="s">
        <v>151</v>
      </c>
      <c r="AC112" s="599"/>
      <c r="AD112" s="675">
        <f>S112*V112</f>
        <v>920000</v>
      </c>
      <c r="AE112" s="685" t="s">
        <v>55</v>
      </c>
      <c r="AF112" s="728"/>
      <c r="AG112" s="734"/>
      <c r="AH112" s="724"/>
      <c r="AI112" s="647"/>
      <c r="AJ112" s="647"/>
    </row>
    <row r="113" spans="1:36" s="7" customFormat="1" ht="21" customHeight="1">
      <c r="A113" s="25"/>
      <c r="B113" s="26"/>
      <c r="C113" s="26"/>
      <c r="D113" s="88"/>
      <c r="E113" s="67"/>
      <c r="F113" s="307"/>
      <c r="G113" s="307"/>
      <c r="H113" s="307"/>
      <c r="I113" s="307"/>
      <c r="J113" s="307"/>
      <c r="K113" s="307"/>
      <c r="L113" s="307"/>
      <c r="M113" s="67"/>
      <c r="N113" s="43"/>
      <c r="O113" s="338" t="s">
        <v>596</v>
      </c>
      <c r="P113" s="338"/>
      <c r="Q113" s="338"/>
      <c r="R113" s="338"/>
      <c r="S113" s="337"/>
      <c r="T113" s="339"/>
      <c r="U113" s="226"/>
      <c r="V113" s="337"/>
      <c r="W113" s="339"/>
      <c r="X113" s="226"/>
      <c r="Y113" s="340" t="s">
        <v>595</v>
      </c>
      <c r="Z113" s="339"/>
      <c r="AA113" s="339"/>
      <c r="AB113" s="674" t="s">
        <v>137</v>
      </c>
      <c r="AC113" s="546"/>
      <c r="AD113" s="675">
        <f>5000000+1011000</f>
        <v>6011000</v>
      </c>
      <c r="AE113" s="693" t="s">
        <v>55</v>
      </c>
      <c r="AF113" s="728"/>
      <c r="AG113" s="734"/>
      <c r="AH113" s="724"/>
      <c r="AI113" s="647"/>
      <c r="AJ113" s="647"/>
    </row>
    <row r="114" spans="1:36" s="531" customFormat="1" ht="21" customHeight="1">
      <c r="A114" s="532"/>
      <c r="B114" s="533"/>
      <c r="C114" s="533"/>
      <c r="D114" s="539"/>
      <c r="E114" s="536"/>
      <c r="F114" s="550"/>
      <c r="G114" s="550"/>
      <c r="H114" s="550"/>
      <c r="I114" s="550"/>
      <c r="J114" s="550"/>
      <c r="K114" s="550"/>
      <c r="L114" s="550"/>
      <c r="M114" s="536"/>
      <c r="N114" s="535"/>
      <c r="O114" s="554"/>
      <c r="P114" s="554"/>
      <c r="Q114" s="554"/>
      <c r="R114" s="554"/>
      <c r="S114" s="553"/>
      <c r="T114" s="555"/>
      <c r="U114" s="545"/>
      <c r="V114" s="551"/>
      <c r="W114" s="545"/>
      <c r="X114" s="547"/>
      <c r="Y114" s="563"/>
      <c r="Z114" s="562"/>
      <c r="AA114" s="555"/>
      <c r="AB114" s="674" t="s">
        <v>151</v>
      </c>
      <c r="AC114" s="546"/>
      <c r="AD114" s="673">
        <v>2723000</v>
      </c>
      <c r="AE114" s="685" t="s">
        <v>55</v>
      </c>
      <c r="AF114" s="728"/>
      <c r="AG114" s="734"/>
      <c r="AH114" s="724"/>
      <c r="AI114" s="647"/>
      <c r="AJ114" s="647"/>
    </row>
    <row r="115" spans="1:36" s="7" customFormat="1" ht="21" customHeight="1">
      <c r="A115" s="25"/>
      <c r="B115" s="26"/>
      <c r="C115" s="26"/>
      <c r="D115" s="88"/>
      <c r="E115" s="67"/>
      <c r="F115" s="67"/>
      <c r="G115" s="67"/>
      <c r="H115" s="67"/>
      <c r="I115" s="67"/>
      <c r="J115" s="67"/>
      <c r="K115" s="67"/>
      <c r="L115" s="67"/>
      <c r="M115" s="67"/>
      <c r="N115" s="43"/>
      <c r="O115" s="178"/>
      <c r="P115" s="513"/>
      <c r="Q115" s="513"/>
      <c r="R115" s="513"/>
      <c r="S115" s="512"/>
      <c r="T115" s="233"/>
      <c r="U115" s="233"/>
      <c r="V115" s="512"/>
      <c r="W115" s="233"/>
      <c r="X115" s="428"/>
      <c r="Y115" s="236"/>
      <c r="Z115" s="428"/>
      <c r="AA115" s="428"/>
      <c r="AB115" s="698"/>
      <c r="AC115" s="606"/>
      <c r="AD115" s="737"/>
      <c r="AE115" s="694"/>
      <c r="AF115" s="728"/>
      <c r="AG115" s="734"/>
      <c r="AH115" s="724"/>
      <c r="AI115" s="647"/>
      <c r="AJ115" s="647"/>
    </row>
    <row r="116" spans="1:36" s="7" customFormat="1" ht="21" customHeight="1">
      <c r="A116" s="25"/>
      <c r="B116" s="26"/>
      <c r="C116" s="18" t="s">
        <v>11</v>
      </c>
      <c r="D116" s="90">
        <v>0</v>
      </c>
      <c r="E116" s="70">
        <f>AD116/1000</f>
        <v>0</v>
      </c>
      <c r="F116" s="71">
        <f>SUMIF($AB$117:$AB$117,"보조",$AD$117:$AD$117)/1000</f>
        <v>0</v>
      </c>
      <c r="G116" s="71">
        <f>SUMIF($AB$117:$AB$117,"6종",$AD$117:$AD$117)/1000</f>
        <v>0</v>
      </c>
      <c r="H116" s="71">
        <f>SUMIF($AB$117:$AB$117,"4종",$AD$117:$AD$117)/1000</f>
        <v>0</v>
      </c>
      <c r="I116" s="71">
        <f>SUMIF($AB$117:$AB$117,"후원",$AD$117:$AD$117)/1000</f>
        <v>0</v>
      </c>
      <c r="J116" s="71">
        <f>SUMIF($AB$117:$AB$117,"입소",$AD$117:$AD$117)/1000</f>
        <v>0</v>
      </c>
      <c r="K116" s="71">
        <f>SUMIF($AB$117:$AB$117,"법인",$AD$117:$AD$117)/1000</f>
        <v>0</v>
      </c>
      <c r="L116" s="71">
        <f>SUMIF($AB$117:$AB$117,"잡수",$AD$117:$AD$117)/1000</f>
        <v>0</v>
      </c>
      <c r="M116" s="70">
        <f>E116-D116</f>
        <v>0</v>
      </c>
      <c r="N116" s="75">
        <f>IF(D116=0,0,M116/D116)</f>
        <v>0</v>
      </c>
      <c r="O116" s="374" t="s">
        <v>126</v>
      </c>
      <c r="P116" s="182"/>
      <c r="Q116" s="234"/>
      <c r="R116" s="234"/>
      <c r="S116" s="234"/>
      <c r="T116" s="445"/>
      <c r="U116" s="445"/>
      <c r="V116" s="371"/>
      <c r="W116" s="445"/>
      <c r="X116" s="445"/>
      <c r="Y116" s="373" t="s">
        <v>127</v>
      </c>
      <c r="Z116" s="449"/>
      <c r="AA116" s="449"/>
      <c r="AB116" s="712"/>
      <c r="AC116" s="560"/>
      <c r="AD116" s="682">
        <v>0</v>
      </c>
      <c r="AE116" s="694" t="s">
        <v>25</v>
      </c>
      <c r="AF116" s="728"/>
      <c r="AG116" s="734"/>
      <c r="AH116" s="724"/>
      <c r="AI116" s="647"/>
      <c r="AJ116" s="647"/>
    </row>
    <row r="117" spans="1:36" s="7" customFormat="1" ht="21" customHeight="1">
      <c r="A117" s="25"/>
      <c r="B117" s="26"/>
      <c r="C117" s="34"/>
      <c r="D117" s="89"/>
      <c r="E117" s="68"/>
      <c r="F117" s="68"/>
      <c r="G117" s="68"/>
      <c r="H117" s="68"/>
      <c r="I117" s="68"/>
      <c r="J117" s="68"/>
      <c r="K117" s="68"/>
      <c r="L117" s="68"/>
      <c r="M117" s="68"/>
      <c r="N117" s="54"/>
      <c r="O117" s="513"/>
      <c r="P117" s="513"/>
      <c r="Q117" s="513"/>
      <c r="R117" s="513"/>
      <c r="S117" s="512"/>
      <c r="T117" s="233"/>
      <c r="U117" s="233"/>
      <c r="V117" s="512"/>
      <c r="W117" s="233"/>
      <c r="X117" s="428"/>
      <c r="Y117" s="236"/>
      <c r="Z117" s="428"/>
      <c r="AA117" s="428"/>
      <c r="AB117" s="698"/>
      <c r="AC117" s="606"/>
      <c r="AD117" s="737"/>
      <c r="AE117" s="694"/>
      <c r="AF117" s="728"/>
      <c r="AG117" s="734"/>
      <c r="AH117" s="724"/>
      <c r="AI117" s="647"/>
      <c r="AJ117" s="647"/>
    </row>
    <row r="118" spans="1:36" s="7" customFormat="1" ht="21" customHeight="1">
      <c r="A118" s="25"/>
      <c r="B118" s="26"/>
      <c r="C118" s="26" t="s">
        <v>68</v>
      </c>
      <c r="D118" s="539">
        <v>1322</v>
      </c>
      <c r="E118" s="67">
        <f>AD118/1000</f>
        <v>1322</v>
      </c>
      <c r="F118" s="71">
        <f>SUMIF($AB$119:$AB$120,"보조",$AD$119:$AD$120)/1000</f>
        <v>0</v>
      </c>
      <c r="G118" s="71">
        <f>SUMIF($AB$119:$AB$120,"6종",$AD$119:$AD$120)/1000</f>
        <v>0</v>
      </c>
      <c r="H118" s="71">
        <f>SUMIF($AB$119:$AB$120,"4종",$AD$119:$AD$120)/1000</f>
        <v>0</v>
      </c>
      <c r="I118" s="71">
        <f>SUMIF($AB$119:$AB$120,"후원",$AD$119:$AD$120)/1000</f>
        <v>0</v>
      </c>
      <c r="J118" s="71">
        <f>SUMIF($AB$119:$AB$120,"입소",$AD$119:$AD$120)/1000</f>
        <v>0</v>
      </c>
      <c r="K118" s="71">
        <f>SUMIF($AB$119:$AB$120,"법인",$AD$119:$AD$120)/1000</f>
        <v>1322</v>
      </c>
      <c r="L118" s="71">
        <f>SUMIF($AB$119:$AB$120,"잡수",$AD$119:$AD$120)/1000</f>
        <v>0</v>
      </c>
      <c r="M118" s="67">
        <f>E118-D118</f>
        <v>0</v>
      </c>
      <c r="N118" s="43">
        <f>IF(D118=0,0,M118/D118)</f>
        <v>0</v>
      </c>
      <c r="O118" s="182" t="s">
        <v>38</v>
      </c>
      <c r="P118" s="234"/>
      <c r="Q118" s="234"/>
      <c r="R118" s="234"/>
      <c r="S118" s="234"/>
      <c r="T118" s="445"/>
      <c r="U118" s="445"/>
      <c r="V118" s="371"/>
      <c r="W118" s="445"/>
      <c r="X118" s="445"/>
      <c r="Y118" s="190" t="s">
        <v>127</v>
      </c>
      <c r="Z118" s="448"/>
      <c r="AA118" s="448"/>
      <c r="AB118" s="711"/>
      <c r="AC118" s="541"/>
      <c r="AD118" s="656">
        <f>SUM(AD119:AD120)</f>
        <v>1322000</v>
      </c>
      <c r="AE118" s="696" t="s">
        <v>25</v>
      </c>
      <c r="AF118" s="728"/>
      <c r="AG118" s="734"/>
      <c r="AH118" s="724"/>
      <c r="AI118" s="647"/>
      <c r="AJ118" s="647"/>
    </row>
    <row r="119" spans="1:36" s="7" customFormat="1" ht="21" customHeight="1">
      <c r="A119" s="25"/>
      <c r="B119" s="26"/>
      <c r="C119" s="26"/>
      <c r="D119" s="88"/>
      <c r="E119" s="67"/>
      <c r="F119" s="67"/>
      <c r="G119" s="67"/>
      <c r="H119" s="67"/>
      <c r="I119" s="67"/>
      <c r="J119" s="67"/>
      <c r="K119" s="67"/>
      <c r="L119" s="67"/>
      <c r="M119" s="67"/>
      <c r="N119" s="43"/>
      <c r="O119" s="338" t="s">
        <v>230</v>
      </c>
      <c r="P119" s="338"/>
      <c r="Q119" s="338"/>
      <c r="R119" s="338"/>
      <c r="S119" s="337"/>
      <c r="T119" s="298"/>
      <c r="U119" s="298"/>
      <c r="V119" s="337"/>
      <c r="W119" s="298"/>
      <c r="X119" s="339"/>
      <c r="Y119" s="340"/>
      <c r="Z119" s="339"/>
      <c r="AA119" s="339"/>
      <c r="AB119" s="674" t="s">
        <v>151</v>
      </c>
      <c r="AC119" s="598"/>
      <c r="AD119" s="673">
        <v>522000</v>
      </c>
      <c r="AE119" s="685" t="s">
        <v>55</v>
      </c>
      <c r="AF119" s="728"/>
      <c r="AG119" s="734"/>
      <c r="AH119" s="724"/>
      <c r="AI119" s="647"/>
      <c r="AJ119" s="647"/>
    </row>
    <row r="120" spans="1:36" s="7" customFormat="1" ht="21" customHeight="1">
      <c r="A120" s="25"/>
      <c r="B120" s="26"/>
      <c r="C120" s="34"/>
      <c r="D120" s="89"/>
      <c r="E120" s="68"/>
      <c r="F120" s="68"/>
      <c r="G120" s="68"/>
      <c r="H120" s="68"/>
      <c r="I120" s="68"/>
      <c r="J120" s="68"/>
      <c r="K120" s="68"/>
      <c r="L120" s="68"/>
      <c r="M120" s="68"/>
      <c r="N120" s="54"/>
      <c r="O120" s="513" t="s">
        <v>798</v>
      </c>
      <c r="P120" s="513"/>
      <c r="Q120" s="513"/>
      <c r="R120" s="513"/>
      <c r="S120" s="512">
        <v>50000</v>
      </c>
      <c r="T120" s="428" t="s">
        <v>55</v>
      </c>
      <c r="U120" s="233" t="s">
        <v>56</v>
      </c>
      <c r="V120" s="512">
        <v>4</v>
      </c>
      <c r="W120" s="428" t="s">
        <v>54</v>
      </c>
      <c r="X120" s="233" t="s">
        <v>56</v>
      </c>
      <c r="Y120" s="508">
        <v>4</v>
      </c>
      <c r="Z120" s="428" t="s">
        <v>61</v>
      </c>
      <c r="AA120" s="428" t="s">
        <v>53</v>
      </c>
      <c r="AB120" s="698" t="s">
        <v>151</v>
      </c>
      <c r="AC120" s="566"/>
      <c r="AD120" s="737">
        <f>S120*V120*Y120</f>
        <v>800000</v>
      </c>
      <c r="AE120" s="694" t="s">
        <v>55</v>
      </c>
      <c r="AF120" s="728"/>
      <c r="AG120" s="734"/>
      <c r="AH120" s="724"/>
      <c r="AI120" s="647"/>
      <c r="AJ120" s="647"/>
    </row>
    <row r="121" spans="1:36" s="7" customFormat="1" ht="21" customHeight="1">
      <c r="A121" s="25"/>
      <c r="B121" s="18" t="s">
        <v>12</v>
      </c>
      <c r="C121" s="96" t="s">
        <v>5</v>
      </c>
      <c r="D121" s="97">
        <v>222264</v>
      </c>
      <c r="E121" s="97">
        <f t="shared" ref="E121:L121" si="4">SUM(E122,E125,E148,E156,E168,E174)</f>
        <v>237341</v>
      </c>
      <c r="F121" s="97">
        <f t="shared" si="4"/>
        <v>67936</v>
      </c>
      <c r="G121" s="97">
        <f t="shared" si="4"/>
        <v>3600</v>
      </c>
      <c r="H121" s="97">
        <f t="shared" si="4"/>
        <v>0</v>
      </c>
      <c r="I121" s="97">
        <f t="shared" si="4"/>
        <v>47015</v>
      </c>
      <c r="J121" s="328">
        <f t="shared" si="4"/>
        <v>0</v>
      </c>
      <c r="K121" s="97">
        <f t="shared" si="4"/>
        <v>50200</v>
      </c>
      <c r="L121" s="97">
        <f t="shared" si="4"/>
        <v>68590</v>
      </c>
      <c r="M121" s="328">
        <f>E121-D121</f>
        <v>15077</v>
      </c>
      <c r="N121" s="98">
        <f>IF(D121=0,0,M121/D121)</f>
        <v>6.7833747255515969E-2</v>
      </c>
      <c r="O121" s="511" t="s">
        <v>76</v>
      </c>
      <c r="P121" s="511"/>
      <c r="Q121" s="511"/>
      <c r="R121" s="511"/>
      <c r="S121" s="510"/>
      <c r="T121" s="522"/>
      <c r="U121" s="448"/>
      <c r="V121" s="800"/>
      <c r="W121" s="801"/>
      <c r="X121" s="448"/>
      <c r="Y121" s="190"/>
      <c r="Z121" s="448"/>
      <c r="AA121" s="448"/>
      <c r="AB121" s="711"/>
      <c r="AC121" s="567"/>
      <c r="AD121" s="736">
        <f>SUM(AD122,AD125,AD148,AD156,AD168,AD174)</f>
        <v>237341000</v>
      </c>
      <c r="AE121" s="696" t="s">
        <v>25</v>
      </c>
      <c r="AF121" s="728"/>
      <c r="AG121" s="734"/>
      <c r="AH121" s="724"/>
      <c r="AI121" s="647"/>
      <c r="AJ121" s="647"/>
    </row>
    <row r="122" spans="1:36" s="7" customFormat="1" ht="21" customHeight="1">
      <c r="A122" s="25"/>
      <c r="B122" s="26"/>
      <c r="C122" s="26" t="s">
        <v>69</v>
      </c>
      <c r="D122" s="88">
        <v>1500</v>
      </c>
      <c r="E122" s="67">
        <f>AD122/1000</f>
        <v>1500</v>
      </c>
      <c r="F122" s="71">
        <f>SUMIF($AB$123:$AB$124,"보조",$AD$123:$AD$124)/1000</f>
        <v>0</v>
      </c>
      <c r="G122" s="71">
        <f>SUMIF($AB$123:$AB$124,"6종",$AD$123:$AD$124)/1000</f>
        <v>0</v>
      </c>
      <c r="H122" s="71">
        <f>SUMIF($AB$123:$AB$124,"4종",$AD$123:$AD$124)/1000</f>
        <v>0</v>
      </c>
      <c r="I122" s="71">
        <f>SUMIF($AB$123:$AB$124,"후원",$AD$123:$AD$124)/1000</f>
        <v>0</v>
      </c>
      <c r="J122" s="71">
        <f>SUMIF($AB$123:$AB$124,"입소",$AD$123:$AD$124)/1000</f>
        <v>0</v>
      </c>
      <c r="K122" s="71">
        <f>SUMIF($AB$123:$AB$124,"법인",$AD$123:$AD$124)/1000</f>
        <v>1500</v>
      </c>
      <c r="L122" s="71">
        <f>SUMIF($AB$123:$AB$124,"잡수",$AD$123:$AD$124)/1000</f>
        <v>0</v>
      </c>
      <c r="M122" s="67">
        <f>E122-D122</f>
        <v>0</v>
      </c>
      <c r="N122" s="43">
        <f>IF(D122=0,0,M122/D122)</f>
        <v>0</v>
      </c>
      <c r="O122" s="182" t="s">
        <v>40</v>
      </c>
      <c r="P122" s="234"/>
      <c r="Q122" s="234"/>
      <c r="R122" s="234"/>
      <c r="S122" s="234"/>
      <c r="T122" s="445"/>
      <c r="U122" s="445"/>
      <c r="V122" s="371"/>
      <c r="W122" s="445"/>
      <c r="X122" s="445"/>
      <c r="Y122" s="190" t="s">
        <v>127</v>
      </c>
      <c r="Z122" s="448"/>
      <c r="AA122" s="448"/>
      <c r="AB122" s="711"/>
      <c r="AC122" s="541"/>
      <c r="AD122" s="656">
        <f>SUM(AD123:AD124)</f>
        <v>1500000</v>
      </c>
      <c r="AE122" s="696" t="s">
        <v>25</v>
      </c>
      <c r="AF122" s="728"/>
      <c r="AG122" s="734"/>
      <c r="AH122" s="724"/>
      <c r="AI122" s="647"/>
      <c r="AJ122" s="647"/>
    </row>
    <row r="123" spans="1:36" s="7" customFormat="1" ht="21" customHeight="1">
      <c r="A123" s="25"/>
      <c r="B123" s="26"/>
      <c r="C123" s="26"/>
      <c r="D123" s="88"/>
      <c r="E123" s="67"/>
      <c r="F123" s="67"/>
      <c r="G123" s="67"/>
      <c r="H123" s="67"/>
      <c r="I123" s="67"/>
      <c r="J123" s="67"/>
      <c r="K123" s="67"/>
      <c r="L123" s="67"/>
      <c r="M123" s="67"/>
      <c r="N123" s="43"/>
      <c r="O123" s="338" t="s">
        <v>234</v>
      </c>
      <c r="P123" s="338"/>
      <c r="Q123" s="338"/>
      <c r="R123" s="338"/>
      <c r="S123" s="337"/>
      <c r="T123" s="298"/>
      <c r="U123" s="298"/>
      <c r="V123" s="337"/>
      <c r="W123" s="298"/>
      <c r="X123" s="339"/>
      <c r="Y123" s="340"/>
      <c r="Z123" s="339"/>
      <c r="AA123" s="339"/>
      <c r="AB123" s="674" t="s">
        <v>151</v>
      </c>
      <c r="AC123" s="598"/>
      <c r="AD123" s="673">
        <v>1000000</v>
      </c>
      <c r="AE123" s="685" t="s">
        <v>55</v>
      </c>
      <c r="AF123" s="728"/>
      <c r="AG123" s="734"/>
      <c r="AH123" s="724"/>
      <c r="AI123" s="647"/>
      <c r="AJ123" s="647"/>
    </row>
    <row r="124" spans="1:36" s="7" customFormat="1" ht="21" customHeight="1">
      <c r="A124" s="25"/>
      <c r="B124" s="26"/>
      <c r="C124" s="26"/>
      <c r="D124" s="88"/>
      <c r="E124" s="67"/>
      <c r="F124" s="67"/>
      <c r="G124" s="67"/>
      <c r="H124" s="67"/>
      <c r="I124" s="67"/>
      <c r="J124" s="67"/>
      <c r="K124" s="67"/>
      <c r="L124" s="67"/>
      <c r="M124" s="67"/>
      <c r="N124" s="43"/>
      <c r="O124" s="338" t="s">
        <v>235</v>
      </c>
      <c r="P124" s="338"/>
      <c r="Q124" s="338"/>
      <c r="R124" s="338"/>
      <c r="S124" s="337"/>
      <c r="T124" s="298"/>
      <c r="U124" s="298"/>
      <c r="V124" s="337"/>
      <c r="W124" s="298"/>
      <c r="X124" s="339"/>
      <c r="Y124" s="340"/>
      <c r="Z124" s="339"/>
      <c r="AA124" s="339"/>
      <c r="AB124" s="674" t="s">
        <v>151</v>
      </c>
      <c r="AC124" s="598"/>
      <c r="AD124" s="673">
        <v>500000</v>
      </c>
      <c r="AE124" s="685" t="s">
        <v>55</v>
      </c>
      <c r="AF124" s="728"/>
      <c r="AG124" s="734"/>
      <c r="AH124" s="724"/>
      <c r="AI124" s="647"/>
      <c r="AJ124" s="647"/>
    </row>
    <row r="125" spans="1:36" s="7" customFormat="1" ht="21" customHeight="1">
      <c r="A125" s="25"/>
      <c r="B125" s="26"/>
      <c r="C125" s="18" t="s">
        <v>41</v>
      </c>
      <c r="D125" s="90">
        <v>39271</v>
      </c>
      <c r="E125" s="70">
        <f>ROUND(AD125/1000,0)</f>
        <v>39271</v>
      </c>
      <c r="F125" s="71">
        <f>SUMIF($AB$126:$AB$144,"보조",$AD$126:$AD$144)/1000</f>
        <v>25568</v>
      </c>
      <c r="G125" s="71">
        <f>SUMIF($AB$126:$AB$144,"6종",$AD$126:$AD$144)/1000</f>
        <v>0</v>
      </c>
      <c r="H125" s="71">
        <f>SUMIF($AB$126:$AB$144,"4종",$AD$126:$AD$144)/1000</f>
        <v>0</v>
      </c>
      <c r="I125" s="71">
        <f>SUMIF($AB$126:$AB$144,"후원",$AD$126:$AD$144)/1000</f>
        <v>13703</v>
      </c>
      <c r="J125" s="71">
        <f>SUMIF($AB$126:$AB$144,"입소",$AD$126:$AD$144)/1000</f>
        <v>0</v>
      </c>
      <c r="K125" s="71">
        <f>SUMIF($AB$126:$AB$144,"법인",$AD$126:$AD$144)/1000</f>
        <v>0</v>
      </c>
      <c r="L125" s="71">
        <f>SUMIF($AB$126:$AB$144,"잡수",$AD$126:$AD$144)/1000</f>
        <v>0</v>
      </c>
      <c r="M125" s="77">
        <f>E125-D125</f>
        <v>0</v>
      </c>
      <c r="N125" s="75">
        <f>IF(D125=0,0,M125/D125)</f>
        <v>0</v>
      </c>
      <c r="O125" s="187" t="s">
        <v>42</v>
      </c>
      <c r="P125" s="188"/>
      <c r="Q125" s="188"/>
      <c r="R125" s="188"/>
      <c r="S125" s="188"/>
      <c r="T125" s="444"/>
      <c r="U125" s="444"/>
      <c r="V125" s="189"/>
      <c r="W125" s="444"/>
      <c r="X125" s="444"/>
      <c r="Y125" s="190" t="s">
        <v>28</v>
      </c>
      <c r="Z125" s="448"/>
      <c r="AA125" s="448"/>
      <c r="AB125" s="711"/>
      <c r="AC125" s="541"/>
      <c r="AD125" s="656">
        <f>SUM(AD126:AD144)</f>
        <v>39271000</v>
      </c>
      <c r="AE125" s="696" t="s">
        <v>25</v>
      </c>
      <c r="AF125" s="728"/>
      <c r="AG125" s="734"/>
      <c r="AH125" s="724"/>
      <c r="AI125" s="647"/>
      <c r="AJ125" s="647"/>
    </row>
    <row r="126" spans="1:36" s="7" customFormat="1" ht="21" customHeight="1">
      <c r="A126" s="25"/>
      <c r="B126" s="26"/>
      <c r="C126" s="26" t="s">
        <v>132</v>
      </c>
      <c r="D126" s="355"/>
      <c r="E126" s="353"/>
      <c r="F126" s="353"/>
      <c r="G126" s="353"/>
      <c r="H126" s="353"/>
      <c r="I126" s="353"/>
      <c r="J126" s="353"/>
      <c r="K126" s="353"/>
      <c r="L126" s="353"/>
      <c r="M126" s="67"/>
      <c r="N126" s="43"/>
      <c r="O126" s="191" t="s">
        <v>817</v>
      </c>
      <c r="P126" s="338"/>
      <c r="Q126" s="338"/>
      <c r="R126" s="338"/>
      <c r="S126" s="337"/>
      <c r="T126" s="298"/>
      <c r="U126" s="339"/>
      <c r="V126" s="192">
        <v>150000</v>
      </c>
      <c r="W126" s="335" t="s">
        <v>55</v>
      </c>
      <c r="X126" s="335" t="s">
        <v>26</v>
      </c>
      <c r="Y126" s="502">
        <v>12</v>
      </c>
      <c r="Z126" s="335" t="s">
        <v>29</v>
      </c>
      <c r="AA126" s="334" t="s">
        <v>27</v>
      </c>
      <c r="AB126" s="699" t="s">
        <v>70</v>
      </c>
      <c r="AC126" s="183"/>
      <c r="AD126" s="673">
        <f t="shared" ref="AD126:AD132" si="5">V126*Y126</f>
        <v>1800000</v>
      </c>
      <c r="AE126" s="695" t="s">
        <v>25</v>
      </c>
      <c r="AF126" s="728"/>
      <c r="AG126" s="734"/>
      <c r="AH126" s="724"/>
      <c r="AI126" s="647"/>
      <c r="AJ126" s="647"/>
    </row>
    <row r="127" spans="1:36" s="7" customFormat="1" ht="21" customHeight="1">
      <c r="A127" s="25"/>
      <c r="B127" s="26"/>
      <c r="C127" s="26"/>
      <c r="D127" s="356"/>
      <c r="E127" s="354"/>
      <c r="F127" s="354"/>
      <c r="G127" s="354"/>
      <c r="H127" s="354"/>
      <c r="I127" s="354"/>
      <c r="J127" s="354"/>
      <c r="K127" s="354"/>
      <c r="L127" s="354"/>
      <c r="M127" s="67"/>
      <c r="N127" s="43"/>
      <c r="O127" s="338" t="s">
        <v>176</v>
      </c>
      <c r="P127" s="338"/>
      <c r="Q127" s="338"/>
      <c r="R127" s="338"/>
      <c r="S127" s="337"/>
      <c r="T127" s="298"/>
      <c r="U127" s="298"/>
      <c r="V127" s="192">
        <v>200000</v>
      </c>
      <c r="W127" s="335" t="s">
        <v>55</v>
      </c>
      <c r="X127" s="335" t="s">
        <v>26</v>
      </c>
      <c r="Y127" s="502">
        <v>5</v>
      </c>
      <c r="Z127" s="335" t="s">
        <v>764</v>
      </c>
      <c r="AA127" s="334" t="s">
        <v>27</v>
      </c>
      <c r="AB127" s="674" t="s">
        <v>70</v>
      </c>
      <c r="AC127" s="598"/>
      <c r="AD127" s="673">
        <f t="shared" si="5"/>
        <v>1000000</v>
      </c>
      <c r="AE127" s="685" t="s">
        <v>55</v>
      </c>
      <c r="AF127" s="728"/>
      <c r="AG127" s="734"/>
      <c r="AH127" s="724"/>
      <c r="AI127" s="647"/>
      <c r="AJ127" s="647"/>
    </row>
    <row r="128" spans="1:36" s="7" customFormat="1" ht="21" customHeight="1">
      <c r="A128" s="25"/>
      <c r="B128" s="26"/>
      <c r="C128" s="26"/>
      <c r="D128" s="88"/>
      <c r="E128" s="67"/>
      <c r="F128" s="67"/>
      <c r="G128" s="67"/>
      <c r="H128" s="67"/>
      <c r="I128" s="67"/>
      <c r="J128" s="67"/>
      <c r="K128" s="67"/>
      <c r="L128" s="67"/>
      <c r="M128" s="67"/>
      <c r="N128" s="43"/>
      <c r="O128" s="338" t="s">
        <v>645</v>
      </c>
      <c r="P128" s="338"/>
      <c r="Q128" s="338"/>
      <c r="R128" s="338"/>
      <c r="S128" s="337"/>
      <c r="T128" s="298"/>
      <c r="U128" s="298"/>
      <c r="V128" s="192">
        <v>370000</v>
      </c>
      <c r="W128" s="335" t="s">
        <v>55</v>
      </c>
      <c r="X128" s="335" t="s">
        <v>26</v>
      </c>
      <c r="Y128" s="502">
        <v>12</v>
      </c>
      <c r="Z128" s="335" t="s">
        <v>29</v>
      </c>
      <c r="AA128" s="334" t="s">
        <v>27</v>
      </c>
      <c r="AB128" s="674" t="s">
        <v>70</v>
      </c>
      <c r="AC128" s="598"/>
      <c r="AD128" s="673">
        <f t="shared" si="5"/>
        <v>4440000</v>
      </c>
      <c r="AE128" s="685" t="s">
        <v>55</v>
      </c>
      <c r="AF128" s="728"/>
      <c r="AG128" s="734"/>
      <c r="AH128" s="724"/>
      <c r="AI128" s="647"/>
      <c r="AJ128" s="647"/>
    </row>
    <row r="129" spans="1:36" s="7" customFormat="1" ht="21" customHeight="1">
      <c r="A129" s="25"/>
      <c r="B129" s="26"/>
      <c r="C129" s="26"/>
      <c r="D129" s="88"/>
      <c r="E129" s="67"/>
      <c r="F129" s="67"/>
      <c r="G129" s="67"/>
      <c r="H129" s="67"/>
      <c r="I129" s="67"/>
      <c r="J129" s="67"/>
      <c r="K129" s="67"/>
      <c r="L129" s="67"/>
      <c r="M129" s="67"/>
      <c r="N129" s="43"/>
      <c r="O129" s="338" t="s">
        <v>219</v>
      </c>
      <c r="P129" s="338"/>
      <c r="Q129" s="338"/>
      <c r="R129" s="338"/>
      <c r="S129" s="337"/>
      <c r="T129" s="298"/>
      <c r="U129" s="298"/>
      <c r="V129" s="192">
        <v>400000</v>
      </c>
      <c r="W129" s="335" t="s">
        <v>55</v>
      </c>
      <c r="X129" s="335" t="s">
        <v>26</v>
      </c>
      <c r="Y129" s="502">
        <v>4</v>
      </c>
      <c r="Z129" s="335" t="s">
        <v>61</v>
      </c>
      <c r="AA129" s="334" t="s">
        <v>27</v>
      </c>
      <c r="AB129" s="674" t="s">
        <v>70</v>
      </c>
      <c r="AC129" s="598"/>
      <c r="AD129" s="673">
        <f t="shared" si="5"/>
        <v>1600000</v>
      </c>
      <c r="AE129" s="685" t="s">
        <v>55</v>
      </c>
      <c r="AF129" s="728"/>
      <c r="AG129" s="734"/>
      <c r="AH129" s="724"/>
      <c r="AI129" s="647"/>
      <c r="AJ129" s="647"/>
    </row>
    <row r="130" spans="1:36" s="7" customFormat="1" ht="21" customHeight="1">
      <c r="A130" s="25"/>
      <c r="B130" s="26"/>
      <c r="C130" s="26"/>
      <c r="D130" s="88"/>
      <c r="E130" s="67"/>
      <c r="F130" s="67"/>
      <c r="G130" s="67"/>
      <c r="H130" s="67"/>
      <c r="I130" s="67"/>
      <c r="J130" s="67"/>
      <c r="K130" s="67"/>
      <c r="L130" s="67"/>
      <c r="M130" s="67"/>
      <c r="N130" s="43"/>
      <c r="O130" s="338" t="s">
        <v>208</v>
      </c>
      <c r="P130" s="338"/>
      <c r="Q130" s="338"/>
      <c r="R130" s="338"/>
      <c r="S130" s="337"/>
      <c r="T130" s="298"/>
      <c r="U130" s="298"/>
      <c r="V130" s="192">
        <v>250000</v>
      </c>
      <c r="W130" s="335" t="s">
        <v>55</v>
      </c>
      <c r="X130" s="335" t="s">
        <v>26</v>
      </c>
      <c r="Y130" s="502">
        <v>6</v>
      </c>
      <c r="Z130" s="335" t="s">
        <v>29</v>
      </c>
      <c r="AA130" s="334" t="s">
        <v>27</v>
      </c>
      <c r="AB130" s="674" t="s">
        <v>70</v>
      </c>
      <c r="AC130" s="598"/>
      <c r="AD130" s="673">
        <f t="shared" si="5"/>
        <v>1500000</v>
      </c>
      <c r="AE130" s="685" t="s">
        <v>55</v>
      </c>
      <c r="AF130" s="728"/>
      <c r="AG130" s="734"/>
      <c r="AH130" s="724"/>
      <c r="AI130" s="647"/>
      <c r="AJ130" s="647"/>
    </row>
    <row r="131" spans="1:36" s="7" customFormat="1" ht="21" customHeight="1">
      <c r="A131" s="25"/>
      <c r="B131" s="26"/>
      <c r="C131" s="26"/>
      <c r="D131" s="88"/>
      <c r="E131" s="67"/>
      <c r="F131" s="67"/>
      <c r="G131" s="67"/>
      <c r="H131" s="67"/>
      <c r="I131" s="67"/>
      <c r="J131" s="67"/>
      <c r="K131" s="67"/>
      <c r="L131" s="67"/>
      <c r="M131" s="67"/>
      <c r="N131" s="43"/>
      <c r="O131" s="338" t="s">
        <v>209</v>
      </c>
      <c r="P131" s="338"/>
      <c r="Q131" s="338"/>
      <c r="R131" s="338"/>
      <c r="S131" s="337"/>
      <c r="T131" s="298"/>
      <c r="U131" s="298"/>
      <c r="V131" s="192">
        <v>200000</v>
      </c>
      <c r="W131" s="335" t="s">
        <v>55</v>
      </c>
      <c r="X131" s="335" t="s">
        <v>26</v>
      </c>
      <c r="Y131" s="502">
        <v>12</v>
      </c>
      <c r="Z131" s="335" t="s">
        <v>29</v>
      </c>
      <c r="AA131" s="334" t="s">
        <v>27</v>
      </c>
      <c r="AB131" s="674" t="s">
        <v>70</v>
      </c>
      <c r="AC131" s="598"/>
      <c r="AD131" s="673">
        <f t="shared" si="5"/>
        <v>2400000</v>
      </c>
      <c r="AE131" s="685" t="s">
        <v>55</v>
      </c>
      <c r="AF131" s="728"/>
      <c r="AG131" s="734"/>
      <c r="AH131" s="724"/>
      <c r="AI131" s="647"/>
      <c r="AJ131" s="647"/>
    </row>
    <row r="132" spans="1:36" s="7" customFormat="1" ht="21" customHeight="1">
      <c r="A132" s="25"/>
      <c r="B132" s="26"/>
      <c r="C132" s="26"/>
      <c r="D132" s="88"/>
      <c r="E132" s="67"/>
      <c r="F132" s="67"/>
      <c r="G132" s="67"/>
      <c r="H132" s="67"/>
      <c r="I132" s="67"/>
      <c r="J132" s="67"/>
      <c r="K132" s="67"/>
      <c r="L132" s="67"/>
      <c r="M132" s="67"/>
      <c r="N132" s="43"/>
      <c r="O132" s="338" t="s">
        <v>816</v>
      </c>
      <c r="P132" s="338"/>
      <c r="Q132" s="338"/>
      <c r="R132" s="338"/>
      <c r="S132" s="337"/>
      <c r="T132" s="298"/>
      <c r="U132" s="298"/>
      <c r="V132" s="334">
        <v>300000</v>
      </c>
      <c r="W132" s="335" t="s">
        <v>55</v>
      </c>
      <c r="X132" s="335" t="s">
        <v>26</v>
      </c>
      <c r="Y132" s="502">
        <v>12</v>
      </c>
      <c r="Z132" s="335" t="s">
        <v>29</v>
      </c>
      <c r="AA132" s="334" t="s">
        <v>27</v>
      </c>
      <c r="AB132" s="674" t="s">
        <v>70</v>
      </c>
      <c r="AC132" s="598"/>
      <c r="AD132" s="673">
        <f t="shared" si="5"/>
        <v>3600000</v>
      </c>
      <c r="AE132" s="685" t="s">
        <v>55</v>
      </c>
      <c r="AF132" s="728"/>
      <c r="AG132" s="734"/>
      <c r="AH132" s="724"/>
      <c r="AI132" s="647"/>
      <c r="AJ132" s="647"/>
    </row>
    <row r="133" spans="1:36" s="7" customFormat="1" ht="21" customHeight="1">
      <c r="A133" s="25"/>
      <c r="B133" s="26"/>
      <c r="C133" s="26"/>
      <c r="D133" s="88"/>
      <c r="E133" s="67"/>
      <c r="F133" s="67"/>
      <c r="G133" s="67"/>
      <c r="H133" s="67"/>
      <c r="I133" s="67"/>
      <c r="J133" s="67"/>
      <c r="K133" s="67"/>
      <c r="L133" s="67"/>
      <c r="M133" s="67"/>
      <c r="N133" s="43"/>
      <c r="O133" s="338"/>
      <c r="P133" s="338"/>
      <c r="Q133" s="338"/>
      <c r="R133" s="338"/>
      <c r="S133" s="337"/>
      <c r="T133" s="298"/>
      <c r="U133" s="298"/>
      <c r="V133" s="334">
        <v>200000</v>
      </c>
      <c r="W133" s="335" t="s">
        <v>55</v>
      </c>
      <c r="X133" s="335" t="s">
        <v>26</v>
      </c>
      <c r="Y133" s="502">
        <v>12</v>
      </c>
      <c r="Z133" s="335" t="s">
        <v>29</v>
      </c>
      <c r="AA133" s="334" t="s">
        <v>27</v>
      </c>
      <c r="AB133" s="674" t="s">
        <v>137</v>
      </c>
      <c r="AC133" s="598"/>
      <c r="AD133" s="673">
        <f t="shared" ref="AD133" si="6">V133*Y133</f>
        <v>2400000</v>
      </c>
      <c r="AE133" s="685" t="s">
        <v>55</v>
      </c>
      <c r="AF133" s="728"/>
      <c r="AG133" s="734"/>
      <c r="AH133" s="724"/>
      <c r="AI133" s="647"/>
      <c r="AJ133" s="647"/>
    </row>
    <row r="134" spans="1:36" s="7" customFormat="1" ht="21" customHeight="1">
      <c r="A134" s="25"/>
      <c r="B134" s="26"/>
      <c r="C134" s="26"/>
      <c r="D134" s="88"/>
      <c r="E134" s="67"/>
      <c r="F134" s="67"/>
      <c r="G134" s="67"/>
      <c r="H134" s="67"/>
      <c r="I134" s="67"/>
      <c r="J134" s="67"/>
      <c r="K134" s="67"/>
      <c r="L134" s="67"/>
      <c r="M134" s="67"/>
      <c r="N134" s="43"/>
      <c r="O134" s="338" t="s">
        <v>210</v>
      </c>
      <c r="P134" s="338"/>
      <c r="Q134" s="338"/>
      <c r="R134" s="338"/>
      <c r="S134" s="337"/>
      <c r="T134" s="298"/>
      <c r="U134" s="298"/>
      <c r="V134" s="192"/>
      <c r="W134" s="335" t="s">
        <v>55</v>
      </c>
      <c r="X134" s="335" t="s">
        <v>26</v>
      </c>
      <c r="Y134" s="502"/>
      <c r="Z134" s="335" t="s">
        <v>29</v>
      </c>
      <c r="AA134" s="334" t="s">
        <v>27</v>
      </c>
      <c r="AB134" s="674" t="s">
        <v>70</v>
      </c>
      <c r="AC134" s="598"/>
      <c r="AD134" s="673">
        <v>2376000</v>
      </c>
      <c r="AE134" s="685" t="s">
        <v>55</v>
      </c>
      <c r="AF134" s="728"/>
      <c r="AG134" s="734"/>
      <c r="AH134" s="724"/>
      <c r="AI134" s="647"/>
      <c r="AJ134" s="647"/>
    </row>
    <row r="135" spans="1:36" s="7" customFormat="1" ht="21" customHeight="1">
      <c r="A135" s="25"/>
      <c r="B135" s="26"/>
      <c r="C135" s="26"/>
      <c r="D135" s="88"/>
      <c r="E135" s="67"/>
      <c r="F135" s="67"/>
      <c r="G135" s="67"/>
      <c r="H135" s="67"/>
      <c r="I135" s="67"/>
      <c r="J135" s="67"/>
      <c r="K135" s="67"/>
      <c r="L135" s="67"/>
      <c r="M135" s="67"/>
      <c r="N135" s="43"/>
      <c r="O135" s="338" t="s">
        <v>244</v>
      </c>
      <c r="P135" s="338"/>
      <c r="Q135" s="338"/>
      <c r="R135" s="338"/>
      <c r="S135" s="337"/>
      <c r="T135" s="298"/>
      <c r="U135" s="339"/>
      <c r="V135" s="337"/>
      <c r="W135" s="298"/>
      <c r="X135" s="339"/>
      <c r="Y135" s="340"/>
      <c r="Z135" s="339"/>
      <c r="AA135" s="339"/>
      <c r="AB135" s="674" t="s">
        <v>70</v>
      </c>
      <c r="AC135" s="598"/>
      <c r="AD135" s="673">
        <v>2000000</v>
      </c>
      <c r="AE135" s="685" t="s">
        <v>25</v>
      </c>
      <c r="AF135" s="728"/>
      <c r="AG135" s="734"/>
      <c r="AH135" s="724"/>
      <c r="AI135" s="647"/>
      <c r="AJ135" s="647"/>
    </row>
    <row r="136" spans="1:36" s="7" customFormat="1" ht="21" customHeight="1">
      <c r="A136" s="25"/>
      <c r="B136" s="26"/>
      <c r="C136" s="26"/>
      <c r="D136" s="88"/>
      <c r="E136" s="67"/>
      <c r="F136" s="67"/>
      <c r="G136" s="67"/>
      <c r="H136" s="67"/>
      <c r="I136" s="67"/>
      <c r="J136" s="67"/>
      <c r="K136" s="67"/>
      <c r="L136" s="67"/>
      <c r="M136" s="67"/>
      <c r="N136" s="43"/>
      <c r="O136" s="338"/>
      <c r="P136" s="338"/>
      <c r="Q136" s="338"/>
      <c r="R136" s="338"/>
      <c r="S136" s="337"/>
      <c r="T136" s="298"/>
      <c r="U136" s="339"/>
      <c r="V136" s="337"/>
      <c r="W136" s="298"/>
      <c r="X136" s="339"/>
      <c r="Y136" s="340"/>
      <c r="Z136" s="339"/>
      <c r="AA136" s="339"/>
      <c r="AB136" s="674" t="s">
        <v>137</v>
      </c>
      <c r="AC136" s="598"/>
      <c r="AD136" s="673">
        <v>0</v>
      </c>
      <c r="AE136" s="685" t="s">
        <v>25</v>
      </c>
      <c r="AF136" s="728"/>
      <c r="AG136" s="734"/>
      <c r="AH136" s="724"/>
      <c r="AI136" s="647"/>
      <c r="AJ136" s="647"/>
    </row>
    <row r="137" spans="1:36" s="7" customFormat="1" ht="21" customHeight="1">
      <c r="A137" s="25"/>
      <c r="B137" s="26"/>
      <c r="C137" s="26"/>
      <c r="D137" s="88"/>
      <c r="E137" s="67"/>
      <c r="F137" s="67"/>
      <c r="G137" s="67"/>
      <c r="H137" s="67"/>
      <c r="I137" s="67"/>
      <c r="J137" s="67"/>
      <c r="K137" s="67"/>
      <c r="L137" s="67"/>
      <c r="M137" s="67"/>
      <c r="N137" s="43"/>
      <c r="O137" s="338" t="s">
        <v>245</v>
      </c>
      <c r="P137" s="338"/>
      <c r="Q137" s="338"/>
      <c r="R137" s="338"/>
      <c r="S137" s="337"/>
      <c r="T137" s="298"/>
      <c r="U137" s="298"/>
      <c r="V137" s="337"/>
      <c r="W137" s="298"/>
      <c r="X137" s="339"/>
      <c r="Y137" s="340"/>
      <c r="Z137" s="339"/>
      <c r="AA137" s="339"/>
      <c r="AB137" s="674" t="s">
        <v>70</v>
      </c>
      <c r="AC137" s="598"/>
      <c r="AD137" s="673">
        <v>500000</v>
      </c>
      <c r="AE137" s="685" t="s">
        <v>25</v>
      </c>
      <c r="AF137" s="728"/>
      <c r="AG137" s="734"/>
      <c r="AH137" s="724"/>
      <c r="AI137" s="647"/>
      <c r="AJ137" s="647"/>
    </row>
    <row r="138" spans="1:36" s="7" customFormat="1" ht="21" customHeight="1">
      <c r="A138" s="25"/>
      <c r="B138" s="26"/>
      <c r="C138" s="26"/>
      <c r="D138" s="88"/>
      <c r="E138" s="67"/>
      <c r="F138" s="67"/>
      <c r="G138" s="67"/>
      <c r="H138" s="67"/>
      <c r="I138" s="67"/>
      <c r="J138" s="67"/>
      <c r="K138" s="67"/>
      <c r="L138" s="67"/>
      <c r="M138" s="67"/>
      <c r="N138" s="43"/>
      <c r="O138" s="338"/>
      <c r="P138" s="338"/>
      <c r="Q138" s="338"/>
      <c r="R138" s="338"/>
      <c r="S138" s="337"/>
      <c r="T138" s="298"/>
      <c r="U138" s="298"/>
      <c r="V138" s="337"/>
      <c r="W138" s="298"/>
      <c r="X138" s="339"/>
      <c r="Y138" s="340"/>
      <c r="Z138" s="339"/>
      <c r="AA138" s="339"/>
      <c r="AB138" s="674" t="s">
        <v>137</v>
      </c>
      <c r="AC138" s="598"/>
      <c r="AD138" s="673">
        <v>500000</v>
      </c>
      <c r="AE138" s="685" t="s">
        <v>55</v>
      </c>
      <c r="AF138" s="728"/>
      <c r="AG138" s="734"/>
      <c r="AH138" s="724"/>
      <c r="AI138" s="647"/>
      <c r="AJ138" s="647"/>
    </row>
    <row r="139" spans="1:36" s="7" customFormat="1" ht="21" customHeight="1">
      <c r="A139" s="25"/>
      <c r="B139" s="26"/>
      <c r="C139" s="26"/>
      <c r="D139" s="88"/>
      <c r="E139" s="67"/>
      <c r="F139" s="67"/>
      <c r="G139" s="67"/>
      <c r="H139" s="67"/>
      <c r="I139" s="67"/>
      <c r="J139" s="67"/>
      <c r="K139" s="67"/>
      <c r="L139" s="67"/>
      <c r="M139" s="67"/>
      <c r="N139" s="43"/>
      <c r="O139" s="338" t="s">
        <v>797</v>
      </c>
      <c r="P139" s="338"/>
      <c r="Q139" s="338"/>
      <c r="R139" s="338"/>
      <c r="S139" s="337"/>
      <c r="T139" s="298"/>
      <c r="U139" s="298"/>
      <c r="V139" s="192">
        <v>300000</v>
      </c>
      <c r="W139" s="335" t="s">
        <v>55</v>
      </c>
      <c r="X139" s="335" t="s">
        <v>26</v>
      </c>
      <c r="Y139" s="502">
        <v>12</v>
      </c>
      <c r="Z139" s="335" t="s">
        <v>29</v>
      </c>
      <c r="AA139" s="334" t="s">
        <v>27</v>
      </c>
      <c r="AB139" s="674" t="s">
        <v>70</v>
      </c>
      <c r="AC139" s="598"/>
      <c r="AD139" s="673">
        <v>902000</v>
      </c>
      <c r="AE139" s="685" t="s">
        <v>55</v>
      </c>
      <c r="AF139" s="728"/>
      <c r="AG139" s="734"/>
      <c r="AH139" s="724"/>
      <c r="AI139" s="647"/>
      <c r="AJ139" s="647"/>
    </row>
    <row r="140" spans="1:36" s="7" customFormat="1" ht="21" customHeight="1">
      <c r="A140" s="25"/>
      <c r="B140" s="26"/>
      <c r="C140" s="26"/>
      <c r="D140" s="88"/>
      <c r="E140" s="67"/>
      <c r="F140" s="67"/>
      <c r="G140" s="67"/>
      <c r="H140" s="67"/>
      <c r="I140" s="67"/>
      <c r="J140" s="67"/>
      <c r="K140" s="67"/>
      <c r="L140" s="67"/>
      <c r="M140" s="67"/>
      <c r="N140" s="43"/>
      <c r="O140" s="338"/>
      <c r="P140" s="338"/>
      <c r="Q140" s="338"/>
      <c r="R140" s="338"/>
      <c r="S140" s="337"/>
      <c r="T140" s="298"/>
      <c r="U140" s="298"/>
      <c r="V140" s="337"/>
      <c r="W140" s="339"/>
      <c r="X140" s="339"/>
      <c r="Y140" s="340"/>
      <c r="Z140" s="339"/>
      <c r="AA140" s="339"/>
      <c r="AB140" s="674" t="s">
        <v>137</v>
      </c>
      <c r="AC140" s="598"/>
      <c r="AD140" s="673">
        <f>V139*Y139-AD139</f>
        <v>2698000</v>
      </c>
      <c r="AE140" s="685" t="s">
        <v>55</v>
      </c>
      <c r="AF140" s="728"/>
      <c r="AG140" s="734"/>
      <c r="AH140" s="724"/>
      <c r="AI140" s="647"/>
      <c r="AJ140" s="647"/>
    </row>
    <row r="141" spans="1:36" s="7" customFormat="1" ht="21" customHeight="1">
      <c r="A141" s="25"/>
      <c r="B141" s="26"/>
      <c r="C141" s="26"/>
      <c r="D141" s="88"/>
      <c r="E141" s="67"/>
      <c r="F141" s="67"/>
      <c r="G141" s="67"/>
      <c r="H141" s="67"/>
      <c r="I141" s="67"/>
      <c r="J141" s="67"/>
      <c r="K141" s="67"/>
      <c r="L141" s="67"/>
      <c r="M141" s="67"/>
      <c r="N141" s="43"/>
      <c r="O141" s="338" t="s">
        <v>246</v>
      </c>
      <c r="P141" s="338"/>
      <c r="Q141" s="338"/>
      <c r="R141" s="338"/>
      <c r="S141" s="337"/>
      <c r="T141" s="298"/>
      <c r="U141" s="298"/>
      <c r="V141" s="192">
        <v>150000</v>
      </c>
      <c r="W141" s="335" t="s">
        <v>55</v>
      </c>
      <c r="X141" s="335" t="s">
        <v>26</v>
      </c>
      <c r="Y141" s="502">
        <v>12</v>
      </c>
      <c r="Z141" s="335" t="s">
        <v>29</v>
      </c>
      <c r="AA141" s="334" t="s">
        <v>27</v>
      </c>
      <c r="AB141" s="674" t="s">
        <v>70</v>
      </c>
      <c r="AC141" s="598"/>
      <c r="AD141" s="673">
        <f>V141*Y141</f>
        <v>1800000</v>
      </c>
      <c r="AE141" s="716" t="s">
        <v>55</v>
      </c>
      <c r="AF141" s="728"/>
      <c r="AG141" s="734"/>
      <c r="AH141" s="724"/>
      <c r="AI141" s="647"/>
      <c r="AJ141" s="647"/>
    </row>
    <row r="142" spans="1:36" s="7" customFormat="1" ht="21" customHeight="1">
      <c r="A142" s="25"/>
      <c r="B142" s="26"/>
      <c r="C142" s="26"/>
      <c r="D142" s="88"/>
      <c r="E142" s="67"/>
      <c r="F142" s="67"/>
      <c r="G142" s="67"/>
      <c r="H142" s="67"/>
      <c r="I142" s="67"/>
      <c r="J142" s="67"/>
      <c r="K142" s="67"/>
      <c r="L142" s="67"/>
      <c r="M142" s="67"/>
      <c r="N142" s="43"/>
      <c r="O142" s="338" t="s">
        <v>301</v>
      </c>
      <c r="P142" s="338"/>
      <c r="Q142" s="338"/>
      <c r="R142" s="338"/>
      <c r="S142" s="337"/>
      <c r="T142" s="298"/>
      <c r="U142" s="298"/>
      <c r="V142" s="337"/>
      <c r="W142" s="298"/>
      <c r="X142" s="339"/>
      <c r="Y142" s="340"/>
      <c r="Z142" s="339"/>
      <c r="AA142" s="339"/>
      <c r="AB142" s="674" t="s">
        <v>137</v>
      </c>
      <c r="AC142" s="598"/>
      <c r="AD142" s="673">
        <v>7067000</v>
      </c>
      <c r="AE142" s="716" t="s">
        <v>55</v>
      </c>
      <c r="AF142" s="728"/>
      <c r="AG142" s="734"/>
      <c r="AH142" s="724"/>
      <c r="AI142" s="647"/>
      <c r="AJ142" s="647"/>
    </row>
    <row r="143" spans="1:36" s="7" customFormat="1" ht="21" customHeight="1">
      <c r="A143" s="25"/>
      <c r="B143" s="26"/>
      <c r="C143" s="26"/>
      <c r="D143" s="88"/>
      <c r="E143" s="67"/>
      <c r="F143" s="67"/>
      <c r="G143" s="67"/>
      <c r="H143" s="67"/>
      <c r="I143" s="67"/>
      <c r="J143" s="67"/>
      <c r="K143" s="67"/>
      <c r="L143" s="67"/>
      <c r="M143" s="67"/>
      <c r="N143" s="43"/>
      <c r="O143" s="338" t="s">
        <v>282</v>
      </c>
      <c r="P143" s="338"/>
      <c r="Q143" s="338"/>
      <c r="R143" s="338"/>
      <c r="S143" s="337"/>
      <c r="T143" s="298"/>
      <c r="U143" s="298"/>
      <c r="V143" s="192">
        <v>137500</v>
      </c>
      <c r="W143" s="335" t="s">
        <v>55</v>
      </c>
      <c r="X143" s="335" t="s">
        <v>26</v>
      </c>
      <c r="Y143" s="502">
        <v>12</v>
      </c>
      <c r="Z143" s="335" t="s">
        <v>29</v>
      </c>
      <c r="AA143" s="334" t="s">
        <v>27</v>
      </c>
      <c r="AB143" s="674" t="s">
        <v>70</v>
      </c>
      <c r="AC143" s="598"/>
      <c r="AD143" s="673">
        <f>V143*Y143</f>
        <v>1650000</v>
      </c>
      <c r="AE143" s="685" t="s">
        <v>55</v>
      </c>
      <c r="AF143" s="728"/>
      <c r="AG143" s="734"/>
      <c r="AH143" s="724"/>
      <c r="AI143" s="647"/>
      <c r="AJ143" s="647"/>
    </row>
    <row r="144" spans="1:36" s="7" customFormat="1" ht="21" customHeight="1">
      <c r="A144" s="25"/>
      <c r="B144" s="26"/>
      <c r="C144" s="26"/>
      <c r="D144" s="88"/>
      <c r="E144" s="67"/>
      <c r="F144" s="67"/>
      <c r="G144" s="67"/>
      <c r="H144" s="67"/>
      <c r="I144" s="67"/>
      <c r="J144" s="67"/>
      <c r="K144" s="67"/>
      <c r="L144" s="67"/>
      <c r="M144" s="67"/>
      <c r="N144" s="43"/>
      <c r="O144" s="338" t="s">
        <v>283</v>
      </c>
      <c r="P144" s="338"/>
      <c r="Q144" s="338"/>
      <c r="R144" s="338"/>
      <c r="S144" s="337"/>
      <c r="T144" s="298"/>
      <c r="U144" s="339"/>
      <c r="V144" s="337"/>
      <c r="W144" s="298"/>
      <c r="X144" s="339"/>
      <c r="Y144" s="340"/>
      <c r="Z144" s="339"/>
      <c r="AA144" s="339"/>
      <c r="AB144" s="674" t="s">
        <v>137</v>
      </c>
      <c r="AC144" s="598"/>
      <c r="AD144" s="673">
        <f>SUM(AD145:AD147)</f>
        <v>1038000</v>
      </c>
      <c r="AE144" s="685" t="s">
        <v>55</v>
      </c>
      <c r="AF144" s="728"/>
      <c r="AG144" s="734"/>
      <c r="AH144" s="724"/>
      <c r="AI144" s="647"/>
      <c r="AJ144" s="647"/>
    </row>
    <row r="145" spans="1:36" s="7" customFormat="1" ht="21" customHeight="1">
      <c r="A145" s="25"/>
      <c r="B145" s="26"/>
      <c r="C145" s="26"/>
      <c r="D145" s="88"/>
      <c r="E145" s="67"/>
      <c r="F145" s="67"/>
      <c r="G145" s="67"/>
      <c r="H145" s="67"/>
      <c r="I145" s="67"/>
      <c r="J145" s="67"/>
      <c r="K145" s="67"/>
      <c r="L145" s="67"/>
      <c r="M145" s="67"/>
      <c r="N145" s="43"/>
      <c r="O145" s="193" t="s">
        <v>221</v>
      </c>
      <c r="P145" s="193"/>
      <c r="Q145" s="193"/>
      <c r="R145" s="193"/>
      <c r="S145" s="192">
        <v>44000</v>
      </c>
      <c r="T145" s="335" t="s">
        <v>55</v>
      </c>
      <c r="U145" s="335" t="s">
        <v>26</v>
      </c>
      <c r="V145" s="192">
        <v>12</v>
      </c>
      <c r="W145" s="335" t="s">
        <v>29</v>
      </c>
      <c r="X145" s="334" t="s">
        <v>27</v>
      </c>
      <c r="Y145" s="502"/>
      <c r="Z145" s="334"/>
      <c r="AA145" s="334"/>
      <c r="AB145" s="671"/>
      <c r="AC145" s="192"/>
      <c r="AD145" s="673">
        <v>528000</v>
      </c>
      <c r="AE145" s="716" t="s">
        <v>55</v>
      </c>
      <c r="AF145" s="728"/>
      <c r="AG145" s="734"/>
      <c r="AH145" s="724"/>
      <c r="AI145" s="647"/>
      <c r="AJ145" s="647"/>
    </row>
    <row r="146" spans="1:36" s="7" customFormat="1" ht="21" customHeight="1">
      <c r="A146" s="25"/>
      <c r="B146" s="26"/>
      <c r="C146" s="26"/>
      <c r="D146" s="88"/>
      <c r="E146" s="67"/>
      <c r="F146" s="67"/>
      <c r="G146" s="67"/>
      <c r="H146" s="67"/>
      <c r="I146" s="67"/>
      <c r="J146" s="67"/>
      <c r="K146" s="67"/>
      <c r="L146" s="67"/>
      <c r="M146" s="67"/>
      <c r="N146" s="43"/>
      <c r="O146" s="193" t="s">
        <v>222</v>
      </c>
      <c r="P146" s="193"/>
      <c r="Q146" s="193"/>
      <c r="R146" s="193"/>
      <c r="S146" s="192">
        <v>40000</v>
      </c>
      <c r="T146" s="335" t="s">
        <v>55</v>
      </c>
      <c r="U146" s="335" t="s">
        <v>26</v>
      </c>
      <c r="V146" s="192">
        <v>12</v>
      </c>
      <c r="W146" s="335" t="s">
        <v>29</v>
      </c>
      <c r="X146" s="334" t="s">
        <v>27</v>
      </c>
      <c r="Y146" s="502"/>
      <c r="Z146" s="334"/>
      <c r="AA146" s="334"/>
      <c r="AB146" s="671"/>
      <c r="AC146" s="192"/>
      <c r="AD146" s="673">
        <v>480000</v>
      </c>
      <c r="AE146" s="716" t="s">
        <v>55</v>
      </c>
      <c r="AF146" s="728"/>
      <c r="AG146" s="734"/>
      <c r="AH146" s="724"/>
      <c r="AI146" s="647"/>
      <c r="AJ146" s="647"/>
    </row>
    <row r="147" spans="1:36" s="7" customFormat="1" ht="21" customHeight="1">
      <c r="A147" s="25"/>
      <c r="B147" s="26"/>
      <c r="C147" s="34"/>
      <c r="D147" s="89"/>
      <c r="E147" s="68"/>
      <c r="F147" s="68"/>
      <c r="G147" s="68"/>
      <c r="H147" s="68"/>
      <c r="I147" s="68"/>
      <c r="J147" s="68"/>
      <c r="K147" s="68"/>
      <c r="L147" s="68"/>
      <c r="M147" s="68"/>
      <c r="N147" s="54"/>
      <c r="O147" s="302" t="s">
        <v>223</v>
      </c>
      <c r="P147" s="302"/>
      <c r="Q147" s="302"/>
      <c r="R147" s="302"/>
      <c r="S147" s="302"/>
      <c r="T147" s="438"/>
      <c r="U147" s="438"/>
      <c r="V147" s="302"/>
      <c r="W147" s="438"/>
      <c r="X147" s="438"/>
      <c r="Y147" s="500"/>
      <c r="Z147" s="438"/>
      <c r="AA147" s="438"/>
      <c r="AB147" s="703"/>
      <c r="AC147" s="302"/>
      <c r="AD147" s="739">
        <v>30000</v>
      </c>
      <c r="AE147" s="717" t="s">
        <v>55</v>
      </c>
      <c r="AF147" s="728"/>
      <c r="AG147" s="734"/>
      <c r="AH147" s="724"/>
      <c r="AI147" s="647"/>
      <c r="AJ147" s="647"/>
    </row>
    <row r="148" spans="1:36" s="7" customFormat="1" ht="21" customHeight="1">
      <c r="A148" s="25"/>
      <c r="B148" s="26"/>
      <c r="C148" s="26" t="s">
        <v>39</v>
      </c>
      <c r="D148" s="619">
        <v>34320</v>
      </c>
      <c r="E148" s="67">
        <f>ROUND(AD148/1000,0)</f>
        <v>36386</v>
      </c>
      <c r="F148" s="71">
        <f>SUMIF($AB$149:$AB$155,"보조",$AD$149:$AD$155)/1000</f>
        <v>28586</v>
      </c>
      <c r="G148" s="71">
        <f>SUMIF($AB$149:$AB$155,"6종",$AD$149:$AD$155)/1000</f>
        <v>0</v>
      </c>
      <c r="H148" s="71">
        <f>SUMIF($AB$149:$AB$155,"4종",$AD$149:$AD$155)/1000</f>
        <v>0</v>
      </c>
      <c r="I148" s="71">
        <f>SUMIF($AB$149:$AB$155,"후원",$AD$149:$AD$155)/1000</f>
        <v>7800</v>
      </c>
      <c r="J148" s="71">
        <f>SUMIF($AB$149:$AB$155,"입소",$AD$149:$AD$155)/1000</f>
        <v>0</v>
      </c>
      <c r="K148" s="71">
        <f>SUMIF($AB$149:$AB$155,"법인",$AD$149:$AD$155)/1000</f>
        <v>0</v>
      </c>
      <c r="L148" s="71">
        <f>SUMIF($AB$149:$AB$155,"잡수",$AD$149:$AD$155)/1000</f>
        <v>0</v>
      </c>
      <c r="M148" s="329">
        <f>E148-D148</f>
        <v>2066</v>
      </c>
      <c r="N148" s="43">
        <f>IF(D148=0,0,M148/D148)</f>
        <v>6.0198135198135196E-2</v>
      </c>
      <c r="O148" s="182" t="s">
        <v>43</v>
      </c>
      <c r="P148" s="234"/>
      <c r="Q148" s="234"/>
      <c r="R148" s="234"/>
      <c r="S148" s="234"/>
      <c r="T148" s="445"/>
      <c r="U148" s="445"/>
      <c r="V148" s="371"/>
      <c r="W148" s="445"/>
      <c r="X148" s="445"/>
      <c r="Y148" s="190" t="s">
        <v>127</v>
      </c>
      <c r="Z148" s="448"/>
      <c r="AA148" s="448"/>
      <c r="AB148" s="711"/>
      <c r="AC148" s="541"/>
      <c r="AD148" s="656">
        <f>ROUND(SUM(AD149:AD155),-3)</f>
        <v>36386000</v>
      </c>
      <c r="AE148" s="696" t="s">
        <v>25</v>
      </c>
      <c r="AF148" s="728"/>
      <c r="AG148" s="734"/>
      <c r="AH148" s="724"/>
      <c r="AI148" s="647"/>
      <c r="AJ148" s="647"/>
    </row>
    <row r="149" spans="1:36" s="7" customFormat="1" ht="21" customHeight="1">
      <c r="A149" s="25"/>
      <c r="B149" s="26"/>
      <c r="C149" s="26"/>
      <c r="D149" s="624"/>
      <c r="E149" s="353"/>
      <c r="F149" s="353"/>
      <c r="G149" s="353"/>
      <c r="H149" s="353"/>
      <c r="I149" s="353"/>
      <c r="J149" s="353"/>
      <c r="K149" s="353"/>
      <c r="L149" s="353"/>
      <c r="M149" s="67"/>
      <c r="N149" s="43"/>
      <c r="O149" s="191" t="s">
        <v>195</v>
      </c>
      <c r="P149" s="338"/>
      <c r="Q149" s="338"/>
      <c r="R149" s="338"/>
      <c r="S149" s="337">
        <v>190000</v>
      </c>
      <c r="T149" s="335" t="s">
        <v>25</v>
      </c>
      <c r="U149" s="335" t="s">
        <v>26</v>
      </c>
      <c r="V149" s="192">
        <v>12</v>
      </c>
      <c r="W149" s="335" t="s">
        <v>29</v>
      </c>
      <c r="X149" s="334" t="s">
        <v>27</v>
      </c>
      <c r="Y149" s="340"/>
      <c r="Z149" s="339"/>
      <c r="AA149" s="339"/>
      <c r="AB149" s="674" t="s">
        <v>70</v>
      </c>
      <c r="AC149" s="598"/>
      <c r="AD149" s="673">
        <f>S149*V149</f>
        <v>2280000</v>
      </c>
      <c r="AE149" s="685" t="s">
        <v>25</v>
      </c>
      <c r="AF149" s="728"/>
      <c r="AG149" s="734"/>
      <c r="AH149" s="724"/>
      <c r="AI149" s="647"/>
      <c r="AJ149" s="647"/>
    </row>
    <row r="150" spans="1:36" s="7" customFormat="1" ht="21" customHeight="1">
      <c r="A150" s="25"/>
      <c r="B150" s="26"/>
      <c r="C150" s="26"/>
      <c r="D150" s="625"/>
      <c r="E150" s="354"/>
      <c r="F150" s="354"/>
      <c r="G150" s="354"/>
      <c r="H150" s="354"/>
      <c r="I150" s="354"/>
      <c r="J150" s="354"/>
      <c r="K150" s="354"/>
      <c r="L150" s="354"/>
      <c r="M150" s="67"/>
      <c r="N150" s="43"/>
      <c r="O150" s="338" t="s">
        <v>194</v>
      </c>
      <c r="P150" s="338"/>
      <c r="Q150" s="338"/>
      <c r="R150" s="338"/>
      <c r="S150" s="337">
        <v>1150000</v>
      </c>
      <c r="T150" s="298" t="s">
        <v>55</v>
      </c>
      <c r="U150" s="298" t="s">
        <v>26</v>
      </c>
      <c r="V150" s="337">
        <v>12</v>
      </c>
      <c r="W150" s="298" t="s">
        <v>0</v>
      </c>
      <c r="X150" s="339" t="s">
        <v>27</v>
      </c>
      <c r="Y150" s="340"/>
      <c r="Z150" s="339"/>
      <c r="AA150" s="339"/>
      <c r="AB150" s="674" t="s">
        <v>70</v>
      </c>
      <c r="AC150" s="598"/>
      <c r="AD150" s="673">
        <f>S150*V150</f>
        <v>13800000</v>
      </c>
      <c r="AE150" s="685" t="s">
        <v>25</v>
      </c>
      <c r="AF150" s="728"/>
      <c r="AG150" s="734"/>
      <c r="AH150" s="724"/>
      <c r="AI150" s="647"/>
      <c r="AJ150" s="647"/>
    </row>
    <row r="151" spans="1:36" s="7" customFormat="1" ht="21" customHeight="1">
      <c r="A151" s="25"/>
      <c r="B151" s="26"/>
      <c r="C151" s="26"/>
      <c r="D151" s="619"/>
      <c r="E151" s="67"/>
      <c r="F151" s="67"/>
      <c r="G151" s="67"/>
      <c r="H151" s="67"/>
      <c r="I151" s="67"/>
      <c r="J151" s="67"/>
      <c r="K151" s="67"/>
      <c r="L151" s="67"/>
      <c r="M151" s="67"/>
      <c r="N151" s="43"/>
      <c r="O151" s="338" t="s">
        <v>193</v>
      </c>
      <c r="P151" s="338"/>
      <c r="Q151" s="338"/>
      <c r="R151" s="338"/>
      <c r="S151" s="337">
        <v>1000000</v>
      </c>
      <c r="T151" s="298" t="s">
        <v>55</v>
      </c>
      <c r="U151" s="298" t="s">
        <v>26</v>
      </c>
      <c r="V151" s="337">
        <v>12</v>
      </c>
      <c r="W151" s="298" t="s">
        <v>0</v>
      </c>
      <c r="X151" s="339" t="s">
        <v>27</v>
      </c>
      <c r="Y151" s="340"/>
      <c r="Z151" s="339"/>
      <c r="AA151" s="339"/>
      <c r="AB151" s="674" t="s">
        <v>70</v>
      </c>
      <c r="AC151" s="598"/>
      <c r="AD151" s="673">
        <f>S151*V151</f>
        <v>12000000</v>
      </c>
      <c r="AE151" s="685" t="s">
        <v>25</v>
      </c>
      <c r="AF151" s="728"/>
      <c r="AG151" s="734"/>
      <c r="AH151" s="724"/>
      <c r="AI151" s="647"/>
      <c r="AJ151" s="647"/>
    </row>
    <row r="152" spans="1:36" s="7" customFormat="1" ht="21" customHeight="1">
      <c r="A152" s="25"/>
      <c r="B152" s="26"/>
      <c r="C152" s="26"/>
      <c r="D152" s="619"/>
      <c r="E152" s="67"/>
      <c r="F152" s="67"/>
      <c r="G152" s="67"/>
      <c r="H152" s="67"/>
      <c r="I152" s="67"/>
      <c r="J152" s="67"/>
      <c r="K152" s="67"/>
      <c r="L152" s="67"/>
      <c r="M152" s="67"/>
      <c r="N152" s="43"/>
      <c r="O152" s="338" t="s">
        <v>279</v>
      </c>
      <c r="P152" s="338"/>
      <c r="Q152" s="338"/>
      <c r="R152" s="338"/>
      <c r="S152" s="337">
        <v>45000</v>
      </c>
      <c r="T152" s="298" t="s">
        <v>55</v>
      </c>
      <c r="U152" s="298" t="s">
        <v>26</v>
      </c>
      <c r="V152" s="337">
        <v>12</v>
      </c>
      <c r="W152" s="298" t="s">
        <v>0</v>
      </c>
      <c r="X152" s="339" t="s">
        <v>27</v>
      </c>
      <c r="Y152" s="340"/>
      <c r="Z152" s="339"/>
      <c r="AA152" s="339"/>
      <c r="AB152" s="674" t="s">
        <v>70</v>
      </c>
      <c r="AC152" s="598"/>
      <c r="AD152" s="673">
        <f>S152*V152-34000</f>
        <v>506000</v>
      </c>
      <c r="AE152" s="685" t="s">
        <v>25</v>
      </c>
      <c r="AF152" s="728"/>
      <c r="AG152" s="734"/>
      <c r="AH152" s="724"/>
      <c r="AI152" s="647"/>
      <c r="AJ152" s="647"/>
    </row>
    <row r="153" spans="1:36" s="7" customFormat="1" ht="21" customHeight="1">
      <c r="A153" s="25"/>
      <c r="B153" s="26"/>
      <c r="C153" s="26"/>
      <c r="D153" s="619"/>
      <c r="E153" s="67"/>
      <c r="F153" s="67"/>
      <c r="G153" s="67"/>
      <c r="H153" s="67"/>
      <c r="I153" s="67"/>
      <c r="J153" s="67"/>
      <c r="K153" s="67"/>
      <c r="L153" s="67"/>
      <c r="M153" s="67"/>
      <c r="N153" s="43"/>
      <c r="O153" s="338" t="s">
        <v>218</v>
      </c>
      <c r="P153" s="338"/>
      <c r="Q153" s="338"/>
      <c r="R153" s="338"/>
      <c r="S153" s="192">
        <v>400000</v>
      </c>
      <c r="T153" s="335" t="s">
        <v>55</v>
      </c>
      <c r="U153" s="335" t="s">
        <v>26</v>
      </c>
      <c r="V153" s="192">
        <v>12</v>
      </c>
      <c r="W153" s="335" t="s">
        <v>29</v>
      </c>
      <c r="X153" s="334" t="s">
        <v>27</v>
      </c>
      <c r="Y153" s="502"/>
      <c r="Z153" s="335"/>
      <c r="AA153" s="334"/>
      <c r="AB153" s="674" t="s">
        <v>137</v>
      </c>
      <c r="AC153" s="598"/>
      <c r="AD153" s="673">
        <f>S153*V153</f>
        <v>4800000</v>
      </c>
      <c r="AE153" s="685" t="s">
        <v>55</v>
      </c>
      <c r="AF153" s="728"/>
      <c r="AG153" s="734"/>
      <c r="AH153" s="724"/>
      <c r="AI153" s="647"/>
      <c r="AJ153" s="647"/>
    </row>
    <row r="154" spans="1:36" s="7" customFormat="1" ht="21" customHeight="1">
      <c r="A154" s="25"/>
      <c r="B154" s="26"/>
      <c r="C154" s="26"/>
      <c r="D154" s="619"/>
      <c r="E154" s="67"/>
      <c r="F154" s="67"/>
      <c r="G154" s="67"/>
      <c r="H154" s="67"/>
      <c r="I154" s="67"/>
      <c r="J154" s="67"/>
      <c r="K154" s="67"/>
      <c r="L154" s="67"/>
      <c r="M154" s="67"/>
      <c r="N154" s="43"/>
      <c r="O154" s="338" t="s">
        <v>238</v>
      </c>
      <c r="P154" s="338"/>
      <c r="Q154" s="338"/>
      <c r="R154" s="338"/>
      <c r="S154" s="337"/>
      <c r="T154" s="298"/>
      <c r="U154" s="298"/>
      <c r="V154" s="337"/>
      <c r="W154" s="298"/>
      <c r="X154" s="339"/>
      <c r="Y154" s="340"/>
      <c r="Z154" s="339"/>
      <c r="AA154" s="339"/>
      <c r="AB154" s="674" t="s">
        <v>137</v>
      </c>
      <c r="AC154" s="598"/>
      <c r="AD154" s="673">
        <v>3000000</v>
      </c>
      <c r="AE154" s="685" t="s">
        <v>55</v>
      </c>
      <c r="AF154" s="728"/>
      <c r="AG154" s="734"/>
      <c r="AH154" s="724"/>
      <c r="AI154" s="647"/>
      <c r="AJ154" s="647"/>
    </row>
    <row r="155" spans="1:36" s="7" customFormat="1" ht="21" customHeight="1">
      <c r="A155" s="25"/>
      <c r="B155" s="26"/>
      <c r="C155" s="26"/>
      <c r="D155" s="619"/>
      <c r="E155" s="67"/>
      <c r="F155" s="67"/>
      <c r="G155" s="67"/>
      <c r="H155" s="67"/>
      <c r="I155" s="67"/>
      <c r="J155" s="67"/>
      <c r="K155" s="67"/>
      <c r="L155" s="67"/>
      <c r="M155" s="67"/>
      <c r="N155" s="43"/>
      <c r="O155" s="333"/>
      <c r="P155" s="338"/>
      <c r="Q155" s="338"/>
      <c r="R155" s="338"/>
      <c r="S155" s="337"/>
      <c r="T155" s="298"/>
      <c r="U155" s="298"/>
      <c r="V155" s="337"/>
      <c r="W155" s="298"/>
      <c r="X155" s="339"/>
      <c r="Y155" s="340"/>
      <c r="Z155" s="339"/>
      <c r="AA155" s="555"/>
      <c r="AB155" s="674"/>
      <c r="AC155" s="598"/>
      <c r="AD155" s="673"/>
      <c r="AE155" s="685"/>
      <c r="AF155" s="728"/>
      <c r="AG155" s="734"/>
      <c r="AH155" s="724"/>
      <c r="AI155" s="647"/>
      <c r="AJ155" s="647"/>
    </row>
    <row r="156" spans="1:36" ht="21" customHeight="1">
      <c r="A156" s="25"/>
      <c r="B156" s="26"/>
      <c r="C156" s="18" t="s">
        <v>15</v>
      </c>
      <c r="D156" s="622">
        <v>10410</v>
      </c>
      <c r="E156" s="70">
        <f>ROUND(AD156/1000,0)</f>
        <v>11632</v>
      </c>
      <c r="F156" s="71">
        <f>SUMIF($AB$157:$AB$167,"보조",$AD$157:$AD$167)/1000</f>
        <v>9162</v>
      </c>
      <c r="G156" s="71">
        <f>SUMIF($AB$157:$AB$167,"6종",$AD$157:$AD$167)/1000</f>
        <v>0</v>
      </c>
      <c r="H156" s="71">
        <f>SUMIF($AB$157:$AB$167,"4종",$AD$157:$AD$167)/1000</f>
        <v>0</v>
      </c>
      <c r="I156" s="71">
        <f>SUMIF($AB$157:$AB$167,"후원",$AD$157:$AD$167)/1000</f>
        <v>1000</v>
      </c>
      <c r="J156" s="71">
        <f>SUMIF($AB$157:$AB$167,"입소",$AD$157:$AD$167)/1000</f>
        <v>0</v>
      </c>
      <c r="K156" s="71">
        <f>SUMIF($AB$157:$AB$167,"법인",$AD$157:$AD$167)/1000</f>
        <v>1470</v>
      </c>
      <c r="L156" s="71">
        <f>SUMIF($AB$157:$AB$167,"잡수",$AD$157:$AD$167)/1000</f>
        <v>0</v>
      </c>
      <c r="M156" s="77">
        <f>E156-D156</f>
        <v>1222</v>
      </c>
      <c r="N156" s="75">
        <f>IF(D156=0,0,M156/D156)</f>
        <v>0.11738712776176753</v>
      </c>
      <c r="O156" s="187" t="s">
        <v>44</v>
      </c>
      <c r="P156" s="188"/>
      <c r="Q156" s="188"/>
      <c r="R156" s="188"/>
      <c r="S156" s="188"/>
      <c r="T156" s="444"/>
      <c r="U156" s="444"/>
      <c r="V156" s="189"/>
      <c r="W156" s="444"/>
      <c r="X156" s="444"/>
      <c r="Y156" s="190" t="s">
        <v>127</v>
      </c>
      <c r="Z156" s="448"/>
      <c r="AA156" s="448"/>
      <c r="AB156" s="711"/>
      <c r="AC156" s="541"/>
      <c r="AD156" s="656">
        <f>SUM(AD158:AD167)</f>
        <v>11632000</v>
      </c>
      <c r="AE156" s="696" t="s">
        <v>25</v>
      </c>
      <c r="AF156" s="728"/>
      <c r="AG156" s="734"/>
    </row>
    <row r="157" spans="1:36" s="7" customFormat="1" ht="21" customHeight="1">
      <c r="A157" s="25"/>
      <c r="B157" s="26"/>
      <c r="C157" s="26"/>
      <c r="D157" s="624"/>
      <c r="E157" s="353"/>
      <c r="F157" s="353"/>
      <c r="G157" s="353"/>
      <c r="H157" s="353"/>
      <c r="I157" s="353"/>
      <c r="J157" s="353"/>
      <c r="K157" s="353"/>
      <c r="L157" s="353"/>
      <c r="M157" s="67"/>
      <c r="N157" s="43"/>
      <c r="O157" s="338" t="s">
        <v>160</v>
      </c>
      <c r="P157" s="338"/>
      <c r="Q157" s="338"/>
      <c r="R157" s="338"/>
      <c r="S157" s="338"/>
      <c r="T157" s="339"/>
      <c r="U157" s="339"/>
      <c r="V157" s="337"/>
      <c r="W157" s="339"/>
      <c r="X157" s="339"/>
      <c r="Y157" s="340"/>
      <c r="Z157" s="339"/>
      <c r="AA157" s="339"/>
      <c r="AB157" s="674"/>
      <c r="AC157" s="599"/>
      <c r="AD157" s="675"/>
      <c r="AE157" s="685"/>
      <c r="AF157" s="728"/>
      <c r="AG157" s="734"/>
      <c r="AH157" s="724"/>
      <c r="AI157" s="647"/>
      <c r="AJ157" s="647"/>
    </row>
    <row r="158" spans="1:36" s="7" customFormat="1" ht="21" customHeight="1">
      <c r="A158" s="25"/>
      <c r="B158" s="26"/>
      <c r="C158" s="26"/>
      <c r="D158" s="625"/>
      <c r="E158" s="354"/>
      <c r="F158" s="354"/>
      <c r="G158" s="354"/>
      <c r="H158" s="354"/>
      <c r="I158" s="354"/>
      <c r="J158" s="354"/>
      <c r="K158" s="354"/>
      <c r="L158" s="354"/>
      <c r="M158" s="67"/>
      <c r="N158" s="43"/>
      <c r="O158" s="338" t="s">
        <v>161</v>
      </c>
      <c r="P158" s="359"/>
      <c r="Q158" s="359"/>
      <c r="R158" s="359"/>
      <c r="S158" s="337">
        <v>120000</v>
      </c>
      <c r="T158" s="298" t="s">
        <v>55</v>
      </c>
      <c r="U158" s="298" t="s">
        <v>26</v>
      </c>
      <c r="V158" s="337">
        <v>12</v>
      </c>
      <c r="W158" s="298" t="s">
        <v>0</v>
      </c>
      <c r="X158" s="339" t="s">
        <v>27</v>
      </c>
      <c r="Y158" s="340"/>
      <c r="Z158" s="339"/>
      <c r="AA158" s="339"/>
      <c r="AB158" s="674" t="s">
        <v>70</v>
      </c>
      <c r="AC158" s="598"/>
      <c r="AD158" s="673">
        <f>S158*V158</f>
        <v>1440000</v>
      </c>
      <c r="AE158" s="685" t="s">
        <v>25</v>
      </c>
      <c r="AF158" s="728"/>
      <c r="AG158" s="734"/>
      <c r="AH158" s="724"/>
      <c r="AI158" s="647"/>
      <c r="AJ158" s="647"/>
    </row>
    <row r="159" spans="1:36" s="7" customFormat="1" ht="21" customHeight="1">
      <c r="A159" s="25"/>
      <c r="B159" s="26"/>
      <c r="C159" s="26"/>
      <c r="D159" s="619"/>
      <c r="E159" s="67"/>
      <c r="F159" s="67"/>
      <c r="G159" s="67"/>
      <c r="H159" s="67"/>
      <c r="I159" s="67"/>
      <c r="J159" s="67"/>
      <c r="K159" s="67"/>
      <c r="L159" s="67"/>
      <c r="M159" s="67"/>
      <c r="N159" s="43"/>
      <c r="O159" s="338" t="s">
        <v>162</v>
      </c>
      <c r="P159" s="359"/>
      <c r="Q159" s="359"/>
      <c r="R159" s="359"/>
      <c r="S159" s="337">
        <v>120000</v>
      </c>
      <c r="T159" s="298" t="s">
        <v>55</v>
      </c>
      <c r="U159" s="298" t="s">
        <v>26</v>
      </c>
      <c r="V159" s="337">
        <v>12</v>
      </c>
      <c r="W159" s="298" t="s">
        <v>0</v>
      </c>
      <c r="X159" s="339" t="s">
        <v>27</v>
      </c>
      <c r="Y159" s="340"/>
      <c r="Z159" s="339"/>
      <c r="AA159" s="339"/>
      <c r="AB159" s="674" t="s">
        <v>70</v>
      </c>
      <c r="AC159" s="598"/>
      <c r="AD159" s="673">
        <f>S159*V159</f>
        <v>1440000</v>
      </c>
      <c r="AE159" s="685" t="s">
        <v>25</v>
      </c>
      <c r="AF159" s="728"/>
      <c r="AG159" s="734"/>
      <c r="AH159" s="724"/>
      <c r="AI159" s="647"/>
      <c r="AJ159" s="647"/>
    </row>
    <row r="160" spans="1:36" s="7" customFormat="1" ht="21" customHeight="1">
      <c r="A160" s="25"/>
      <c r="B160" s="26"/>
      <c r="C160" s="26"/>
      <c r="D160" s="619"/>
      <c r="E160" s="67"/>
      <c r="F160" s="67"/>
      <c r="G160" s="67"/>
      <c r="H160" s="67"/>
      <c r="I160" s="67"/>
      <c r="J160" s="67"/>
      <c r="K160" s="67"/>
      <c r="L160" s="67"/>
      <c r="M160" s="67"/>
      <c r="N160" s="43"/>
      <c r="O160" s="338" t="s">
        <v>196</v>
      </c>
      <c r="P160" s="359"/>
      <c r="Q160" s="359"/>
      <c r="R160" s="359"/>
      <c r="S160" s="337">
        <v>622000</v>
      </c>
      <c r="T160" s="298" t="s">
        <v>55</v>
      </c>
      <c r="U160" s="298" t="s">
        <v>26</v>
      </c>
      <c r="V160" s="337">
        <v>1</v>
      </c>
      <c r="W160" s="298" t="s">
        <v>0</v>
      </c>
      <c r="X160" s="339" t="s">
        <v>27</v>
      </c>
      <c r="Y160" s="340"/>
      <c r="Z160" s="339"/>
      <c r="AA160" s="339"/>
      <c r="AB160" s="674" t="s">
        <v>70</v>
      </c>
      <c r="AC160" s="598"/>
      <c r="AD160" s="673">
        <f>S160*V160</f>
        <v>622000</v>
      </c>
      <c r="AE160" s="685" t="s">
        <v>25</v>
      </c>
      <c r="AF160" s="728"/>
      <c r="AG160" s="734"/>
      <c r="AH160" s="724"/>
      <c r="AI160" s="647"/>
      <c r="AJ160" s="647"/>
    </row>
    <row r="161" spans="1:36" s="7" customFormat="1" ht="21" customHeight="1">
      <c r="A161" s="25"/>
      <c r="B161" s="26"/>
      <c r="C161" s="26"/>
      <c r="D161" s="619"/>
      <c r="E161" s="67"/>
      <c r="F161" s="67"/>
      <c r="G161" s="67"/>
      <c r="H161" s="67"/>
      <c r="I161" s="67"/>
      <c r="J161" s="67"/>
      <c r="K161" s="67"/>
      <c r="L161" s="67"/>
      <c r="M161" s="67"/>
      <c r="N161" s="43"/>
      <c r="O161" s="338"/>
      <c r="P161" s="359"/>
      <c r="Q161" s="359"/>
      <c r="R161" s="359"/>
      <c r="S161" s="359"/>
      <c r="T161" s="339"/>
      <c r="U161" s="230"/>
      <c r="V161" s="338"/>
      <c r="W161" s="298"/>
      <c r="X161" s="339"/>
      <c r="Y161" s="340"/>
      <c r="Z161" s="339"/>
      <c r="AA161" s="298"/>
      <c r="AB161" s="674"/>
      <c r="AC161" s="598"/>
      <c r="AD161" s="673"/>
      <c r="AE161" s="685"/>
      <c r="AF161" s="728"/>
      <c r="AG161" s="734"/>
      <c r="AH161" s="724"/>
      <c r="AI161" s="647"/>
      <c r="AJ161" s="647"/>
    </row>
    <row r="162" spans="1:36" s="7" customFormat="1" ht="21" customHeight="1">
      <c r="A162" s="25"/>
      <c r="B162" s="26"/>
      <c r="C162" s="26"/>
      <c r="D162" s="619"/>
      <c r="E162" s="67"/>
      <c r="F162" s="67"/>
      <c r="G162" s="67"/>
      <c r="H162" s="67"/>
      <c r="I162" s="67"/>
      <c r="J162" s="67"/>
      <c r="K162" s="67"/>
      <c r="L162" s="67"/>
      <c r="M162" s="67"/>
      <c r="N162" s="43"/>
      <c r="O162" s="802" t="s">
        <v>163</v>
      </c>
      <c r="P162" s="802"/>
      <c r="Q162" s="802"/>
      <c r="R162" s="802"/>
      <c r="S162" s="802"/>
      <c r="T162" s="298"/>
      <c r="U162" s="339"/>
      <c r="V162" s="338"/>
      <c r="W162" s="298"/>
      <c r="X162" s="339"/>
      <c r="Y162" s="340"/>
      <c r="Z162" s="339"/>
      <c r="AA162" s="298"/>
      <c r="AB162" s="674"/>
      <c r="AC162" s="598"/>
      <c r="AD162" s="673"/>
      <c r="AE162" s="685"/>
      <c r="AF162" s="728"/>
      <c r="AG162" s="734"/>
      <c r="AH162" s="724"/>
      <c r="AI162" s="647"/>
      <c r="AJ162" s="647"/>
    </row>
    <row r="163" spans="1:36" s="7" customFormat="1" ht="21" customHeight="1">
      <c r="A163" s="25"/>
      <c r="B163" s="26"/>
      <c r="C163" s="26"/>
      <c r="D163" s="619"/>
      <c r="E163" s="67"/>
      <c r="F163" s="67"/>
      <c r="G163" s="67"/>
      <c r="H163" s="67"/>
      <c r="I163" s="67"/>
      <c r="J163" s="67"/>
      <c r="K163" s="67"/>
      <c r="L163" s="67"/>
      <c r="M163" s="67"/>
      <c r="N163" s="43"/>
      <c r="O163" s="338" t="s">
        <v>280</v>
      </c>
      <c r="P163" s="231"/>
      <c r="Q163" s="231"/>
      <c r="R163" s="231"/>
      <c r="S163" s="338"/>
      <c r="T163" s="339"/>
      <c r="U163" s="230"/>
      <c r="V163" s="338"/>
      <c r="W163" s="298"/>
      <c r="X163" s="339"/>
      <c r="Y163" s="340"/>
      <c r="Z163" s="339"/>
      <c r="AA163" s="298"/>
      <c r="AB163" s="674" t="s">
        <v>70</v>
      </c>
      <c r="AC163" s="598"/>
      <c r="AD163" s="673">
        <v>4320000</v>
      </c>
      <c r="AE163" s="685" t="s">
        <v>25</v>
      </c>
      <c r="AF163" s="728"/>
      <c r="AG163" s="734"/>
      <c r="AH163" s="724"/>
      <c r="AI163" s="647"/>
      <c r="AJ163" s="647"/>
    </row>
    <row r="164" spans="1:36" s="7" customFormat="1" ht="21" customHeight="1">
      <c r="A164" s="25"/>
      <c r="B164" s="26"/>
      <c r="C164" s="26"/>
      <c r="D164" s="619"/>
      <c r="E164" s="67"/>
      <c r="F164" s="67"/>
      <c r="G164" s="67"/>
      <c r="H164" s="67"/>
      <c r="I164" s="67"/>
      <c r="J164" s="67"/>
      <c r="K164" s="67"/>
      <c r="L164" s="67"/>
      <c r="M164" s="67"/>
      <c r="N164" s="43"/>
      <c r="O164" s="338" t="s">
        <v>224</v>
      </c>
      <c r="P164" s="359"/>
      <c r="Q164" s="359"/>
      <c r="R164" s="359"/>
      <c r="S164" s="359"/>
      <c r="T164" s="446"/>
      <c r="U164" s="446"/>
      <c r="V164" s="359"/>
      <c r="W164" s="446"/>
      <c r="X164" s="446"/>
      <c r="Y164" s="340"/>
      <c r="Z164" s="339"/>
      <c r="AA164" s="298"/>
      <c r="AB164" s="674" t="s">
        <v>70</v>
      </c>
      <c r="AC164" s="598"/>
      <c r="AD164" s="673">
        <v>1340000</v>
      </c>
      <c r="AE164" s="685" t="s">
        <v>25</v>
      </c>
      <c r="AF164" s="728"/>
      <c r="AG164" s="734"/>
      <c r="AH164" s="724"/>
      <c r="AI164" s="647"/>
      <c r="AJ164" s="647"/>
    </row>
    <row r="165" spans="1:36" s="7" customFormat="1" ht="21" customHeight="1">
      <c r="A165" s="25"/>
      <c r="B165" s="26"/>
      <c r="C165" s="26"/>
      <c r="D165" s="619"/>
      <c r="E165" s="67"/>
      <c r="F165" s="67"/>
      <c r="G165" s="67"/>
      <c r="H165" s="67"/>
      <c r="I165" s="67"/>
      <c r="J165" s="67"/>
      <c r="K165" s="67"/>
      <c r="L165" s="67"/>
      <c r="M165" s="67"/>
      <c r="N165" s="43"/>
      <c r="O165" s="338" t="s">
        <v>226</v>
      </c>
      <c r="P165" s="231"/>
      <c r="Q165" s="231"/>
      <c r="R165" s="231"/>
      <c r="S165" s="338"/>
      <c r="T165" s="339"/>
      <c r="U165" s="230"/>
      <c r="V165" s="338"/>
      <c r="W165" s="298"/>
      <c r="X165" s="339"/>
      <c r="Y165" s="340"/>
      <c r="Z165" s="339"/>
      <c r="AA165" s="298"/>
      <c r="AB165" s="674" t="s">
        <v>137</v>
      </c>
      <c r="AC165" s="598"/>
      <c r="AD165" s="673">
        <v>750000</v>
      </c>
      <c r="AE165" s="685" t="s">
        <v>55</v>
      </c>
      <c r="AF165" s="728"/>
      <c r="AG165" s="734"/>
      <c r="AH165" s="724"/>
      <c r="AI165" s="647"/>
      <c r="AJ165" s="647"/>
    </row>
    <row r="166" spans="1:36" s="7" customFormat="1" ht="21" customHeight="1">
      <c r="A166" s="25"/>
      <c r="B166" s="26"/>
      <c r="C166" s="26"/>
      <c r="D166" s="619"/>
      <c r="E166" s="67"/>
      <c r="F166" s="67"/>
      <c r="G166" s="67"/>
      <c r="H166" s="67"/>
      <c r="I166" s="67"/>
      <c r="J166" s="67"/>
      <c r="K166" s="67"/>
      <c r="L166" s="67"/>
      <c r="M166" s="67"/>
      <c r="N166" s="43"/>
      <c r="O166" s="338" t="s">
        <v>229</v>
      </c>
      <c r="P166" s="231"/>
      <c r="Q166" s="231"/>
      <c r="R166" s="231"/>
      <c r="S166" s="338"/>
      <c r="T166" s="339"/>
      <c r="U166" s="230"/>
      <c r="V166" s="338"/>
      <c r="W166" s="298"/>
      <c r="X166" s="339"/>
      <c r="Y166" s="340"/>
      <c r="Z166" s="339"/>
      <c r="AA166" s="298"/>
      <c r="AB166" s="667" t="s">
        <v>137</v>
      </c>
      <c r="AC166" s="598"/>
      <c r="AD166" s="673">
        <v>250000</v>
      </c>
      <c r="AE166" s="685" t="s">
        <v>25</v>
      </c>
      <c r="AF166" s="728"/>
      <c r="AG166" s="734"/>
      <c r="AH166" s="724"/>
      <c r="AI166" s="647"/>
      <c r="AJ166" s="647"/>
    </row>
    <row r="167" spans="1:36" s="7" customFormat="1" ht="21" customHeight="1">
      <c r="A167" s="25"/>
      <c r="B167" s="26"/>
      <c r="C167" s="26"/>
      <c r="D167" s="619"/>
      <c r="E167" s="67"/>
      <c r="F167" s="67"/>
      <c r="G167" s="67"/>
      <c r="H167" s="67"/>
      <c r="I167" s="67"/>
      <c r="J167" s="67"/>
      <c r="K167" s="67"/>
      <c r="L167" s="67"/>
      <c r="M167" s="67"/>
      <c r="N167" s="43"/>
      <c r="O167" s="523" t="s">
        <v>834</v>
      </c>
      <c r="P167" s="359"/>
      <c r="Q167" s="359"/>
      <c r="R167" s="359"/>
      <c r="S167" s="359"/>
      <c r="T167" s="446"/>
      <c r="U167" s="446"/>
      <c r="V167" s="359"/>
      <c r="W167" s="446"/>
      <c r="X167" s="446"/>
      <c r="Y167" s="232"/>
      <c r="Z167" s="230"/>
      <c r="AA167" s="230"/>
      <c r="AB167" s="661" t="s">
        <v>151</v>
      </c>
      <c r="AC167" s="546"/>
      <c r="AD167" s="673">
        <v>1470000</v>
      </c>
      <c r="AE167" s="685" t="s">
        <v>25</v>
      </c>
      <c r="AF167" s="728"/>
      <c r="AG167" s="734"/>
      <c r="AH167" s="724"/>
      <c r="AI167" s="647"/>
      <c r="AJ167" s="647"/>
    </row>
    <row r="168" spans="1:36" s="7" customFormat="1" ht="21" customHeight="1">
      <c r="A168" s="25"/>
      <c r="B168" s="26"/>
      <c r="C168" s="18" t="s">
        <v>45</v>
      </c>
      <c r="D168" s="622">
        <v>11220</v>
      </c>
      <c r="E168" s="70">
        <f>ROUND(AD168/1000,0)</f>
        <v>12020</v>
      </c>
      <c r="F168" s="71">
        <f>SUMIF($AB$169:$AB$173,"보조",$AD$169:$AD$173)/1000</f>
        <v>4620</v>
      </c>
      <c r="G168" s="71">
        <f>SUMIF($AB$169:$AB$173,"6종",$AD$169:$AD$173)/1000</f>
        <v>3600</v>
      </c>
      <c r="H168" s="71">
        <f>SUMIF($AB$169:$AB$173,"4종",$AD$169:$AD$173)/1000</f>
        <v>0</v>
      </c>
      <c r="I168" s="71">
        <f>SUMIF($AB$169:$AB$173,"후원",$AD$169:$AD$173)/1000</f>
        <v>3800</v>
      </c>
      <c r="J168" s="71">
        <f>SUMIF($AB$169:$AB$173,"입소",$AD$169:$AD$173)/1000</f>
        <v>0</v>
      </c>
      <c r="K168" s="71">
        <f>SUMIF($AB$169:$AB$173,"법인",$AD$169:$AD$173)/1000</f>
        <v>0</v>
      </c>
      <c r="L168" s="71">
        <f>SUMIF($AB$169:$AB$173,"잡수",$AD$169:$AD$173)/1000</f>
        <v>0</v>
      </c>
      <c r="M168" s="102">
        <f>E168-D168</f>
        <v>800</v>
      </c>
      <c r="N168" s="75">
        <f>IF(D168=0,0,M168/D168)</f>
        <v>7.130124777183601E-2</v>
      </c>
      <c r="O168" s="187" t="s">
        <v>46</v>
      </c>
      <c r="P168" s="188"/>
      <c r="Q168" s="188"/>
      <c r="R168" s="188"/>
      <c r="S168" s="188"/>
      <c r="T168" s="444"/>
      <c r="U168" s="444"/>
      <c r="V168" s="189"/>
      <c r="W168" s="444"/>
      <c r="X168" s="444"/>
      <c r="Y168" s="190" t="s">
        <v>127</v>
      </c>
      <c r="Z168" s="448"/>
      <c r="AA168" s="448"/>
      <c r="AB168" s="711"/>
      <c r="AC168" s="541"/>
      <c r="AD168" s="656">
        <f>SUM(AD169:AD172)</f>
        <v>12020000</v>
      </c>
      <c r="AE168" s="696" t="s">
        <v>25</v>
      </c>
      <c r="AF168" s="728"/>
      <c r="AG168" s="734"/>
      <c r="AH168" s="724"/>
      <c r="AI168" s="647"/>
      <c r="AJ168" s="647"/>
    </row>
    <row r="169" spans="1:36" s="7" customFormat="1" ht="21" customHeight="1">
      <c r="A169" s="25"/>
      <c r="B169" s="26"/>
      <c r="C169" s="26"/>
      <c r="D169" s="624"/>
      <c r="E169" s="353"/>
      <c r="F169" s="353"/>
      <c r="G169" s="353"/>
      <c r="H169" s="353"/>
      <c r="I169" s="353"/>
      <c r="J169" s="353"/>
      <c r="K169" s="353"/>
      <c r="L169" s="353"/>
      <c r="M169" s="67"/>
      <c r="N169" s="43"/>
      <c r="O169" s="338" t="s">
        <v>818</v>
      </c>
      <c r="P169" s="338"/>
      <c r="Q169" s="338"/>
      <c r="R169" s="338"/>
      <c r="S169" s="337">
        <v>390000</v>
      </c>
      <c r="T169" s="298" t="s">
        <v>55</v>
      </c>
      <c r="U169" s="298" t="s">
        <v>26</v>
      </c>
      <c r="V169" s="337">
        <v>12</v>
      </c>
      <c r="W169" s="298" t="s">
        <v>0</v>
      </c>
      <c r="X169" s="339" t="s">
        <v>27</v>
      </c>
      <c r="Y169" s="340"/>
      <c r="Z169" s="339"/>
      <c r="AA169" s="339"/>
      <c r="AB169" s="674" t="s">
        <v>70</v>
      </c>
      <c r="AC169" s="598"/>
      <c r="AD169" s="673">
        <f>S169*V169-60000</f>
        <v>4620000</v>
      </c>
      <c r="AE169" s="685" t="s">
        <v>25</v>
      </c>
      <c r="AF169" s="728"/>
      <c r="AG169" s="734"/>
      <c r="AH169" s="724"/>
      <c r="AI169" s="647"/>
      <c r="AJ169" s="647"/>
    </row>
    <row r="170" spans="1:36" s="7" customFormat="1" ht="21" customHeight="1">
      <c r="A170" s="25"/>
      <c r="B170" s="26"/>
      <c r="C170" s="26"/>
      <c r="D170" s="625"/>
      <c r="E170" s="354"/>
      <c r="F170" s="354"/>
      <c r="G170" s="354"/>
      <c r="H170" s="354"/>
      <c r="I170" s="354"/>
      <c r="J170" s="354"/>
      <c r="K170" s="354"/>
      <c r="L170" s="354"/>
      <c r="M170" s="67"/>
      <c r="N170" s="43"/>
      <c r="O170" s="338" t="s">
        <v>819</v>
      </c>
      <c r="P170" s="338"/>
      <c r="Q170" s="338"/>
      <c r="R170" s="338"/>
      <c r="S170" s="337">
        <v>300000</v>
      </c>
      <c r="T170" s="298" t="s">
        <v>55</v>
      </c>
      <c r="U170" s="298" t="s">
        <v>26</v>
      </c>
      <c r="V170" s="337">
        <v>12</v>
      </c>
      <c r="W170" s="298" t="s">
        <v>0</v>
      </c>
      <c r="X170" s="339" t="s">
        <v>27</v>
      </c>
      <c r="Y170" s="340"/>
      <c r="Z170" s="339"/>
      <c r="AA170" s="339"/>
      <c r="AB170" s="674" t="s">
        <v>805</v>
      </c>
      <c r="AC170" s="598"/>
      <c r="AD170" s="673">
        <f>S170*V170</f>
        <v>3600000</v>
      </c>
      <c r="AE170" s="685" t="s">
        <v>25</v>
      </c>
      <c r="AF170" s="728"/>
      <c r="AG170" s="734"/>
      <c r="AH170" s="724"/>
      <c r="AI170" s="647"/>
      <c r="AJ170" s="647"/>
    </row>
    <row r="171" spans="1:36" s="7" customFormat="1" ht="21" customHeight="1">
      <c r="A171" s="25"/>
      <c r="B171" s="26"/>
      <c r="C171" s="26"/>
      <c r="D171" s="625"/>
      <c r="E171" s="354"/>
      <c r="F171" s="354"/>
      <c r="G171" s="354"/>
      <c r="H171" s="354"/>
      <c r="I171" s="354"/>
      <c r="J171" s="354"/>
      <c r="K171" s="354"/>
      <c r="L171" s="354"/>
      <c r="M171" s="67"/>
      <c r="N171" s="43"/>
      <c r="O171" s="338"/>
      <c r="P171" s="338"/>
      <c r="Q171" s="338"/>
      <c r="R171" s="338"/>
      <c r="S171" s="337"/>
      <c r="T171" s="298"/>
      <c r="U171" s="298"/>
      <c r="V171" s="337"/>
      <c r="W171" s="298"/>
      <c r="X171" s="339"/>
      <c r="Y171" s="340"/>
      <c r="Z171" s="339"/>
      <c r="AA171" s="339"/>
      <c r="AB171" s="674" t="s">
        <v>137</v>
      </c>
      <c r="AC171" s="598"/>
      <c r="AD171" s="673">
        <f>900000+500000</f>
        <v>1400000</v>
      </c>
      <c r="AE171" s="685" t="s">
        <v>55</v>
      </c>
      <c r="AF171" s="728"/>
      <c r="AG171" s="734"/>
      <c r="AH171" s="724"/>
      <c r="AI171" s="647"/>
      <c r="AJ171" s="647"/>
    </row>
    <row r="172" spans="1:36" s="7" customFormat="1" ht="21" customHeight="1">
      <c r="A172" s="25"/>
      <c r="B172" s="26"/>
      <c r="C172" s="26"/>
      <c r="D172" s="619"/>
      <c r="E172" s="67"/>
      <c r="F172" s="67"/>
      <c r="G172" s="67"/>
      <c r="H172" s="67"/>
      <c r="I172" s="67"/>
      <c r="J172" s="67"/>
      <c r="K172" s="67"/>
      <c r="L172" s="67"/>
      <c r="M172" s="67"/>
      <c r="N172" s="43"/>
      <c r="O172" s="338" t="s">
        <v>177</v>
      </c>
      <c r="P172" s="338"/>
      <c r="Q172" s="338"/>
      <c r="R172" s="338"/>
      <c r="S172" s="337">
        <v>200000</v>
      </c>
      <c r="T172" s="298" t="s">
        <v>55</v>
      </c>
      <c r="U172" s="298" t="s">
        <v>26</v>
      </c>
      <c r="V172" s="337">
        <v>12</v>
      </c>
      <c r="W172" s="298" t="s">
        <v>0</v>
      </c>
      <c r="X172" s="339" t="s">
        <v>27</v>
      </c>
      <c r="Y172" s="340"/>
      <c r="Z172" s="339"/>
      <c r="AA172" s="339"/>
      <c r="AB172" s="674" t="s">
        <v>137</v>
      </c>
      <c r="AC172" s="598"/>
      <c r="AD172" s="673">
        <f>S172*V172</f>
        <v>2400000</v>
      </c>
      <c r="AE172" s="685" t="s">
        <v>25</v>
      </c>
      <c r="AF172" s="728"/>
      <c r="AG172" s="734"/>
      <c r="AH172" s="724"/>
      <c r="AI172" s="647"/>
      <c r="AJ172" s="647"/>
    </row>
    <row r="173" spans="1:36" s="7" customFormat="1" ht="21" customHeight="1">
      <c r="A173" s="25"/>
      <c r="B173" s="26"/>
      <c r="C173" s="34"/>
      <c r="D173" s="621"/>
      <c r="E173" s="68"/>
      <c r="F173" s="68"/>
      <c r="G173" s="68"/>
      <c r="H173" s="68"/>
      <c r="I173" s="68"/>
      <c r="J173" s="68"/>
      <c r="K173" s="68"/>
      <c r="L173" s="68"/>
      <c r="M173" s="68"/>
      <c r="N173" s="54"/>
      <c r="O173" s="513"/>
      <c r="P173" s="513"/>
      <c r="Q173" s="513"/>
      <c r="R173" s="513"/>
      <c r="S173" s="512"/>
      <c r="T173" s="233"/>
      <c r="U173" s="428"/>
      <c r="V173" s="790"/>
      <c r="W173" s="791"/>
      <c r="X173" s="428"/>
      <c r="Y173" s="236"/>
      <c r="Z173" s="428"/>
      <c r="AA173" s="428"/>
      <c r="AB173" s="698"/>
      <c r="AC173" s="606"/>
      <c r="AD173" s="737"/>
      <c r="AE173" s="694"/>
      <c r="AF173" s="728"/>
      <c r="AG173" s="734"/>
      <c r="AH173" s="724"/>
      <c r="AI173" s="647"/>
      <c r="AJ173" s="647"/>
    </row>
    <row r="174" spans="1:36" s="7" customFormat="1" ht="21" customHeight="1">
      <c r="A174" s="25"/>
      <c r="B174" s="26"/>
      <c r="C174" s="18" t="s">
        <v>71</v>
      </c>
      <c r="D174" s="622">
        <v>125543</v>
      </c>
      <c r="E174" s="70">
        <f>ROUND(AD174/1000,0)</f>
        <v>136532</v>
      </c>
      <c r="F174" s="71">
        <f>SUMIF($AB$176:$AB$203,"보조",$AD$176:$AD$203)/1000</f>
        <v>0</v>
      </c>
      <c r="G174" s="71">
        <f>SUMIF($AB$176:$AB$203,"6종",$AD$176:$AD$203)/1000</f>
        <v>0</v>
      </c>
      <c r="H174" s="71">
        <f>SUMIF($AB$176:$AB$203,"4종",$AD$176:$AD$203)/1000</f>
        <v>0</v>
      </c>
      <c r="I174" s="71">
        <f>SUMIF($AB$176:$AB$203,"후원",$AD$176:$AD$203)/1000</f>
        <v>20712</v>
      </c>
      <c r="J174" s="71">
        <f>SUMIF($AB$176:$AB$203,"입소",$AD$176:$AD$203)/1000</f>
        <v>0</v>
      </c>
      <c r="K174" s="71">
        <f>SUMIF($AB$176:$AB$203,"법인",$AD$176:$AD$203)/1000</f>
        <v>47230</v>
      </c>
      <c r="L174" s="71">
        <f>SUMIF($AB$176:$AB$203,"잡수",$AD$176:$AD$203)/1000</f>
        <v>68590</v>
      </c>
      <c r="M174" s="77">
        <f>E174-D174</f>
        <v>10989</v>
      </c>
      <c r="N174" s="75">
        <f>IF(D174=0,0,M174/D174)</f>
        <v>8.7531762025760101E-2</v>
      </c>
      <c r="O174" s="182" t="s">
        <v>227</v>
      </c>
      <c r="P174" s="188"/>
      <c r="Q174" s="188"/>
      <c r="R174" s="188"/>
      <c r="S174" s="188"/>
      <c r="T174" s="444"/>
      <c r="U174" s="444"/>
      <c r="V174" s="189"/>
      <c r="W174" s="444"/>
      <c r="X174" s="444"/>
      <c r="Y174" s="190" t="s">
        <v>130</v>
      </c>
      <c r="Z174" s="448"/>
      <c r="AA174" s="448"/>
      <c r="AB174" s="711"/>
      <c r="AC174" s="541"/>
      <c r="AD174" s="656">
        <f>SUM(AD175,AD192)</f>
        <v>136532000</v>
      </c>
      <c r="AE174" s="696" t="s">
        <v>25</v>
      </c>
      <c r="AF174" s="728"/>
      <c r="AG174" s="734"/>
      <c r="AH174" s="724"/>
      <c r="AI174" s="647"/>
      <c r="AJ174" s="647"/>
    </row>
    <row r="175" spans="1:36" s="7" customFormat="1" ht="21" customHeight="1">
      <c r="A175" s="25"/>
      <c r="B175" s="26"/>
      <c r="C175" s="26"/>
      <c r="D175" s="355"/>
      <c r="E175" s="353"/>
      <c r="F175" s="353"/>
      <c r="G175" s="353"/>
      <c r="H175" s="353"/>
      <c r="I175" s="353"/>
      <c r="J175" s="353"/>
      <c r="K175" s="353"/>
      <c r="L175" s="353"/>
      <c r="M175" s="67"/>
      <c r="N175" s="43"/>
      <c r="O175" s="182" t="s">
        <v>72</v>
      </c>
      <c r="P175" s="234"/>
      <c r="Q175" s="234"/>
      <c r="R175" s="234"/>
      <c r="S175" s="234"/>
      <c r="T175" s="445"/>
      <c r="U175" s="445"/>
      <c r="V175" s="371"/>
      <c r="W175" s="445"/>
      <c r="X175" s="445"/>
      <c r="Y175" s="190" t="s">
        <v>127</v>
      </c>
      <c r="Z175" s="448"/>
      <c r="AA175" s="448"/>
      <c r="AB175" s="711"/>
      <c r="AC175" s="541"/>
      <c r="AD175" s="656">
        <f>SUM(AD177:AD191)</f>
        <v>37850000</v>
      </c>
      <c r="AE175" s="696" t="s">
        <v>25</v>
      </c>
      <c r="AF175" s="728"/>
      <c r="AG175" s="734"/>
      <c r="AH175" s="724"/>
      <c r="AI175" s="647"/>
      <c r="AJ175" s="647"/>
    </row>
    <row r="176" spans="1:36" s="7" customFormat="1" ht="20.25" customHeight="1">
      <c r="A176" s="25"/>
      <c r="B176" s="26"/>
      <c r="C176" s="26"/>
      <c r="D176" s="355"/>
      <c r="E176" s="353"/>
      <c r="F176" s="353"/>
      <c r="G176" s="354"/>
      <c r="H176" s="353"/>
      <c r="I176" s="353"/>
      <c r="J176" s="354"/>
      <c r="K176" s="353"/>
      <c r="L176" s="353"/>
      <c r="M176" s="67"/>
      <c r="N176" s="43"/>
      <c r="O176" s="338" t="s">
        <v>776</v>
      </c>
      <c r="P176" s="338"/>
      <c r="Q176" s="338"/>
      <c r="R176" s="338"/>
      <c r="S176" s="227"/>
      <c r="T176" s="339"/>
      <c r="U176" s="339"/>
      <c r="V176" s="337"/>
      <c r="W176" s="339"/>
      <c r="X176" s="339"/>
      <c r="Y176" s="340"/>
      <c r="Z176" s="339"/>
      <c r="AA176" s="339"/>
      <c r="AB176" s="674"/>
      <c r="AC176" s="599"/>
      <c r="AD176" s="675"/>
      <c r="AE176" s="685"/>
      <c r="AF176" s="728"/>
      <c r="AG176" s="734"/>
      <c r="AH176" s="724"/>
      <c r="AI176" s="647"/>
      <c r="AJ176" s="647"/>
    </row>
    <row r="177" spans="1:36" s="7" customFormat="1" ht="20.25" customHeight="1">
      <c r="A177" s="25"/>
      <c r="B177" s="26"/>
      <c r="C177" s="26"/>
      <c r="D177" s="356"/>
      <c r="E177" s="354"/>
      <c r="F177" s="354"/>
      <c r="G177" s="354"/>
      <c r="H177" s="354"/>
      <c r="I177" s="354"/>
      <c r="J177" s="354"/>
      <c r="K177" s="354"/>
      <c r="L177" s="354"/>
      <c r="M177" s="67"/>
      <c r="N177" s="43"/>
      <c r="O177" s="338" t="s">
        <v>777</v>
      </c>
      <c r="P177" s="338"/>
      <c r="Q177" s="338"/>
      <c r="R177" s="338"/>
      <c r="S177" s="340"/>
      <c r="T177" s="339"/>
      <c r="U177" s="226"/>
      <c r="V177" s="340"/>
      <c r="W177" s="339"/>
      <c r="X177" s="226"/>
      <c r="Y177" s="340"/>
      <c r="Z177" s="339"/>
      <c r="AA177" s="339"/>
      <c r="AB177" s="674" t="s">
        <v>151</v>
      </c>
      <c r="AC177" s="599"/>
      <c r="AD177" s="675">
        <v>4500000</v>
      </c>
      <c r="AE177" s="685" t="s">
        <v>55</v>
      </c>
      <c r="AF177" s="728"/>
      <c r="AG177" s="734"/>
      <c r="AH177" s="724"/>
      <c r="AI177" s="647"/>
      <c r="AJ177" s="647"/>
    </row>
    <row r="178" spans="1:36" s="7" customFormat="1" ht="20.25" customHeight="1">
      <c r="A178" s="25"/>
      <c r="B178" s="26"/>
      <c r="C178" s="26"/>
      <c r="D178" s="78"/>
      <c r="E178" s="67"/>
      <c r="F178" s="67"/>
      <c r="G178" s="67"/>
      <c r="H178" s="67"/>
      <c r="I178" s="67"/>
      <c r="J178" s="67"/>
      <c r="K178" s="67"/>
      <c r="L178" s="67"/>
      <c r="M178" s="67"/>
      <c r="N178" s="43"/>
      <c r="O178" s="338" t="s">
        <v>778</v>
      </c>
      <c r="P178" s="338"/>
      <c r="Q178" s="338"/>
      <c r="R178" s="338"/>
      <c r="S178" s="337">
        <v>50000</v>
      </c>
      <c r="T178" s="339" t="s">
        <v>55</v>
      </c>
      <c r="U178" s="226" t="s">
        <v>56</v>
      </c>
      <c r="V178" s="337">
        <v>10</v>
      </c>
      <c r="W178" s="339" t="s">
        <v>54</v>
      </c>
      <c r="X178" s="226"/>
      <c r="Y178" s="340"/>
      <c r="Z178" s="339"/>
      <c r="AA178" s="339" t="s">
        <v>53</v>
      </c>
      <c r="AB178" s="674" t="s">
        <v>151</v>
      </c>
      <c r="AC178" s="599"/>
      <c r="AD178" s="675">
        <f>S178*V178</f>
        <v>500000</v>
      </c>
      <c r="AE178" s="685" t="s">
        <v>55</v>
      </c>
      <c r="AF178" s="728"/>
      <c r="AG178" s="734"/>
      <c r="AH178" s="724"/>
      <c r="AI178" s="647"/>
      <c r="AJ178" s="647"/>
    </row>
    <row r="179" spans="1:36" s="7" customFormat="1" ht="20.25" customHeight="1">
      <c r="A179" s="25"/>
      <c r="B179" s="26"/>
      <c r="C179" s="26"/>
      <c r="D179" s="78"/>
      <c r="E179" s="67"/>
      <c r="F179" s="67"/>
      <c r="G179" s="67"/>
      <c r="H179" s="67"/>
      <c r="I179" s="67"/>
      <c r="J179" s="67"/>
      <c r="K179" s="67"/>
      <c r="L179" s="67"/>
      <c r="M179" s="67"/>
      <c r="N179" s="43"/>
      <c r="O179" s="338" t="s">
        <v>779</v>
      </c>
      <c r="P179" s="338"/>
      <c r="Q179" s="338"/>
      <c r="R179" s="338"/>
      <c r="S179" s="227"/>
      <c r="T179" s="339"/>
      <c r="U179" s="339"/>
      <c r="V179" s="337"/>
      <c r="W179" s="339"/>
      <c r="X179" s="339"/>
      <c r="Y179" s="340"/>
      <c r="Z179" s="339"/>
      <c r="AA179" s="339"/>
      <c r="AB179" s="674"/>
      <c r="AC179" s="599"/>
      <c r="AD179" s="675"/>
      <c r="AE179" s="685"/>
      <c r="AF179" s="728"/>
      <c r="AG179" s="734"/>
      <c r="AH179" s="724"/>
      <c r="AI179" s="647"/>
      <c r="AJ179" s="647"/>
    </row>
    <row r="180" spans="1:36" s="7" customFormat="1" ht="20.25" customHeight="1">
      <c r="A180" s="25"/>
      <c r="B180" s="26"/>
      <c r="C180" s="26"/>
      <c r="D180" s="78"/>
      <c r="E180" s="67"/>
      <c r="F180" s="67"/>
      <c r="G180" s="67"/>
      <c r="H180" s="67"/>
      <c r="I180" s="67"/>
      <c r="J180" s="67"/>
      <c r="K180" s="67"/>
      <c r="L180" s="67"/>
      <c r="M180" s="67"/>
      <c r="N180" s="43"/>
      <c r="O180" s="338" t="s">
        <v>780</v>
      </c>
      <c r="P180" s="338"/>
      <c r="Q180" s="338"/>
      <c r="R180" s="338"/>
      <c r="S180" s="337"/>
      <c r="T180" s="339"/>
      <c r="U180" s="226"/>
      <c r="V180" s="337"/>
      <c r="W180" s="339"/>
      <c r="X180" s="226"/>
      <c r="Y180" s="340"/>
      <c r="Z180" s="339"/>
      <c r="AA180" s="339" t="s">
        <v>53</v>
      </c>
      <c r="AB180" s="674" t="s">
        <v>151</v>
      </c>
      <c r="AC180" s="599"/>
      <c r="AD180" s="675">
        <v>2000000</v>
      </c>
      <c r="AE180" s="685" t="s">
        <v>55</v>
      </c>
      <c r="AF180" s="728"/>
      <c r="AG180" s="734"/>
      <c r="AH180" s="724"/>
      <c r="AI180" s="647"/>
      <c r="AJ180" s="647"/>
    </row>
    <row r="181" spans="1:36" s="7" customFormat="1" ht="20.25" customHeight="1">
      <c r="A181" s="25"/>
      <c r="B181" s="26"/>
      <c r="C181" s="26"/>
      <c r="D181" s="78"/>
      <c r="E181" s="67"/>
      <c r="F181" s="67"/>
      <c r="G181" s="67"/>
      <c r="H181" s="67"/>
      <c r="I181" s="67"/>
      <c r="J181" s="67"/>
      <c r="K181" s="67"/>
      <c r="L181" s="67"/>
      <c r="M181" s="67"/>
      <c r="N181" s="43"/>
      <c r="O181" s="338" t="s">
        <v>781</v>
      </c>
      <c r="P181" s="338"/>
      <c r="Q181" s="338"/>
      <c r="R181" s="338"/>
      <c r="S181" s="337"/>
      <c r="T181" s="339"/>
      <c r="U181" s="226"/>
      <c r="V181" s="337"/>
      <c r="W181" s="339"/>
      <c r="X181" s="226"/>
      <c r="Y181" s="340"/>
      <c r="Z181" s="339"/>
      <c r="AA181" s="339" t="s">
        <v>53</v>
      </c>
      <c r="AB181" s="674" t="s">
        <v>151</v>
      </c>
      <c r="AC181" s="599"/>
      <c r="AD181" s="675">
        <v>8600000</v>
      </c>
      <c r="AE181" s="685" t="s">
        <v>55</v>
      </c>
      <c r="AF181" s="728"/>
      <c r="AG181" s="734"/>
      <c r="AH181" s="724"/>
      <c r="AI181" s="647"/>
      <c r="AJ181" s="647"/>
    </row>
    <row r="182" spans="1:36" s="7" customFormat="1" ht="20.25" customHeight="1">
      <c r="A182" s="25"/>
      <c r="B182" s="26"/>
      <c r="C182" s="26"/>
      <c r="D182" s="78"/>
      <c r="E182" s="67"/>
      <c r="F182" s="67"/>
      <c r="G182" s="67"/>
      <c r="H182" s="67"/>
      <c r="I182" s="67"/>
      <c r="J182" s="67"/>
      <c r="K182" s="67"/>
      <c r="L182" s="67"/>
      <c r="M182" s="67"/>
      <c r="N182" s="43"/>
      <c r="O182" s="338" t="s">
        <v>851</v>
      </c>
      <c r="P182" s="338"/>
      <c r="Q182" s="338"/>
      <c r="R182" s="338"/>
      <c r="S182" s="337">
        <v>2000000</v>
      </c>
      <c r="T182" s="298" t="s">
        <v>55</v>
      </c>
      <c r="U182" s="298" t="s">
        <v>26</v>
      </c>
      <c r="V182" s="337"/>
      <c r="W182" s="298"/>
      <c r="X182" s="226"/>
      <c r="Y182" s="340">
        <v>1</v>
      </c>
      <c r="Z182" s="339" t="s">
        <v>61</v>
      </c>
      <c r="AA182" s="339" t="s">
        <v>53</v>
      </c>
      <c r="AB182" s="674" t="s">
        <v>151</v>
      </c>
      <c r="AC182" s="599"/>
      <c r="AD182" s="673">
        <f>S182*Y182</f>
        <v>2000000</v>
      </c>
      <c r="AE182" s="685" t="s">
        <v>55</v>
      </c>
      <c r="AF182" s="728"/>
      <c r="AG182" s="734"/>
      <c r="AH182" s="724"/>
      <c r="AI182" s="647"/>
      <c r="AJ182" s="647"/>
    </row>
    <row r="183" spans="1:36" s="7" customFormat="1" ht="20.25" customHeight="1">
      <c r="A183" s="25"/>
      <c r="B183" s="26"/>
      <c r="C183" s="26"/>
      <c r="D183" s="78"/>
      <c r="E183" s="67"/>
      <c r="F183" s="67"/>
      <c r="G183" s="67"/>
      <c r="H183" s="67"/>
      <c r="I183" s="67"/>
      <c r="J183" s="67"/>
      <c r="K183" s="67"/>
      <c r="L183" s="67"/>
      <c r="M183" s="67"/>
      <c r="N183" s="43"/>
      <c r="O183" s="338" t="s">
        <v>728</v>
      </c>
      <c r="P183" s="338"/>
      <c r="Q183" s="338"/>
      <c r="R183" s="338"/>
      <c r="S183" s="337">
        <v>20000</v>
      </c>
      <c r="T183" s="298" t="s">
        <v>55</v>
      </c>
      <c r="U183" s="298" t="s">
        <v>26</v>
      </c>
      <c r="V183" s="337">
        <v>14</v>
      </c>
      <c r="W183" s="298" t="s">
        <v>54</v>
      </c>
      <c r="X183" s="226" t="s">
        <v>56</v>
      </c>
      <c r="Y183" s="340">
        <v>2</v>
      </c>
      <c r="Z183" s="339" t="s">
        <v>61</v>
      </c>
      <c r="AA183" s="339" t="s">
        <v>53</v>
      </c>
      <c r="AB183" s="661" t="s">
        <v>151</v>
      </c>
      <c r="AC183" s="546"/>
      <c r="AD183" s="673">
        <f>S183*V183*Y183</f>
        <v>560000</v>
      </c>
      <c r="AE183" s="693" t="s">
        <v>25</v>
      </c>
      <c r="AF183" s="728"/>
      <c r="AG183" s="734"/>
      <c r="AH183" s="724"/>
      <c r="AI183" s="647"/>
      <c r="AJ183" s="647"/>
    </row>
    <row r="184" spans="1:36" s="7" customFormat="1" ht="20.25" customHeight="1">
      <c r="A184" s="25"/>
      <c r="B184" s="26"/>
      <c r="C184" s="26"/>
      <c r="D184" s="78"/>
      <c r="E184" s="67"/>
      <c r="F184" s="67"/>
      <c r="G184" s="67"/>
      <c r="H184" s="67"/>
      <c r="I184" s="67"/>
      <c r="J184" s="67"/>
      <c r="K184" s="67"/>
      <c r="L184" s="67"/>
      <c r="M184" s="67"/>
      <c r="N184" s="43"/>
      <c r="O184" s="338" t="s">
        <v>729</v>
      </c>
      <c r="P184" s="338"/>
      <c r="Q184" s="338"/>
      <c r="R184" s="338"/>
      <c r="S184" s="337"/>
      <c r="T184" s="298"/>
      <c r="U184" s="298" t="s">
        <v>26</v>
      </c>
      <c r="V184" s="337"/>
      <c r="W184" s="298"/>
      <c r="X184" s="339" t="s">
        <v>27</v>
      </c>
      <c r="Y184" s="232"/>
      <c r="Z184" s="339"/>
      <c r="AA184" s="230"/>
      <c r="AB184" s="661" t="s">
        <v>151</v>
      </c>
      <c r="AC184" s="546"/>
      <c r="AD184" s="673">
        <v>140000</v>
      </c>
      <c r="AE184" s="693" t="s">
        <v>55</v>
      </c>
      <c r="AF184" s="728"/>
      <c r="AG184" s="734"/>
      <c r="AH184" s="724"/>
      <c r="AI184" s="647"/>
      <c r="AJ184" s="647"/>
    </row>
    <row r="185" spans="1:36" s="7" customFormat="1" ht="20.25" customHeight="1">
      <c r="A185" s="25"/>
      <c r="B185" s="26"/>
      <c r="C185" s="26"/>
      <c r="D185" s="78"/>
      <c r="E185" s="67"/>
      <c r="F185" s="67"/>
      <c r="G185" s="67"/>
      <c r="H185" s="67"/>
      <c r="I185" s="67"/>
      <c r="J185" s="67"/>
      <c r="K185" s="67"/>
      <c r="L185" s="67"/>
      <c r="M185" s="67"/>
      <c r="N185" s="43"/>
      <c r="O185" s="338" t="s">
        <v>730</v>
      </c>
      <c r="P185" s="338"/>
      <c r="Q185" s="338"/>
      <c r="R185" s="338"/>
      <c r="S185" s="337">
        <v>50000</v>
      </c>
      <c r="T185" s="339" t="s">
        <v>55</v>
      </c>
      <c r="U185" s="226" t="s">
        <v>56</v>
      </c>
      <c r="V185" s="337">
        <v>45</v>
      </c>
      <c r="W185" s="339" t="s">
        <v>54</v>
      </c>
      <c r="X185" s="226" t="s">
        <v>56</v>
      </c>
      <c r="Y185" s="340">
        <v>1</v>
      </c>
      <c r="Z185" s="339" t="s">
        <v>61</v>
      </c>
      <c r="AA185" s="339" t="s">
        <v>53</v>
      </c>
      <c r="AB185" s="674" t="s">
        <v>151</v>
      </c>
      <c r="AC185" s="599"/>
      <c r="AD185" s="675">
        <f>S185*V185*Y185</f>
        <v>2250000</v>
      </c>
      <c r="AE185" s="685" t="s">
        <v>55</v>
      </c>
      <c r="AF185" s="728"/>
      <c r="AG185" s="734"/>
      <c r="AH185" s="724"/>
      <c r="AI185" s="647"/>
      <c r="AJ185" s="647"/>
    </row>
    <row r="186" spans="1:36" s="7" customFormat="1" ht="20.25" customHeight="1">
      <c r="A186" s="25"/>
      <c r="B186" s="26"/>
      <c r="C186" s="27"/>
      <c r="D186" s="78"/>
      <c r="E186" s="67"/>
      <c r="F186" s="67"/>
      <c r="G186" s="67"/>
      <c r="H186" s="67"/>
      <c r="I186" s="67"/>
      <c r="J186" s="67"/>
      <c r="K186" s="67"/>
      <c r="L186" s="67"/>
      <c r="M186" s="67"/>
      <c r="N186" s="43"/>
      <c r="O186" s="338" t="s">
        <v>801</v>
      </c>
      <c r="P186" s="338"/>
      <c r="Q186" s="338"/>
      <c r="R186" s="338"/>
      <c r="S186" s="337"/>
      <c r="T186" s="339"/>
      <c r="U186" s="226"/>
      <c r="V186" s="337"/>
      <c r="W186" s="339"/>
      <c r="X186" s="226"/>
      <c r="Y186" s="340"/>
      <c r="Z186" s="339"/>
      <c r="AA186" s="339"/>
      <c r="AB186" s="674" t="s">
        <v>774</v>
      </c>
      <c r="AC186" s="599"/>
      <c r="AD186" s="675">
        <v>500000</v>
      </c>
      <c r="AE186" s="685" t="s">
        <v>25</v>
      </c>
      <c r="AF186" s="728"/>
      <c r="AG186" s="734"/>
      <c r="AH186" s="724"/>
      <c r="AI186" s="647"/>
      <c r="AJ186" s="647"/>
    </row>
    <row r="187" spans="1:36" s="7" customFormat="1" ht="20.25" customHeight="1">
      <c r="A187" s="25"/>
      <c r="B187" s="26"/>
      <c r="C187" s="27"/>
      <c r="D187" s="78"/>
      <c r="E187" s="67"/>
      <c r="F187" s="67"/>
      <c r="G187" s="67"/>
      <c r="H187" s="67"/>
      <c r="I187" s="67"/>
      <c r="J187" s="67"/>
      <c r="K187" s="67"/>
      <c r="L187" s="67"/>
      <c r="M187" s="67"/>
      <c r="N187" s="43"/>
      <c r="O187" s="338" t="s">
        <v>802</v>
      </c>
      <c r="P187" s="338"/>
      <c r="Q187" s="338"/>
      <c r="R187" s="338"/>
      <c r="S187" s="337"/>
      <c r="T187" s="339"/>
      <c r="U187" s="226"/>
      <c r="V187" s="337"/>
      <c r="W187" s="339"/>
      <c r="X187" s="226"/>
      <c r="Y187" s="340"/>
      <c r="Z187" s="339"/>
      <c r="AA187" s="339"/>
      <c r="AB187" s="674" t="s">
        <v>774</v>
      </c>
      <c r="AC187" s="599"/>
      <c r="AD187" s="675">
        <v>1600000</v>
      </c>
      <c r="AE187" s="685" t="s">
        <v>25</v>
      </c>
      <c r="AF187" s="728"/>
      <c r="AG187" s="734"/>
      <c r="AH187" s="724"/>
      <c r="AI187" s="647"/>
      <c r="AJ187" s="647"/>
    </row>
    <row r="188" spans="1:36" s="7" customFormat="1" ht="20.25" customHeight="1">
      <c r="A188" s="25"/>
      <c r="B188" s="26"/>
      <c r="C188" s="27"/>
      <c r="D188" s="78"/>
      <c r="E188" s="67"/>
      <c r="F188" s="67"/>
      <c r="G188" s="67"/>
      <c r="H188" s="67"/>
      <c r="I188" s="67"/>
      <c r="J188" s="67"/>
      <c r="K188" s="67"/>
      <c r="L188" s="67"/>
      <c r="M188" s="67"/>
      <c r="N188" s="43"/>
      <c r="O188" s="338" t="s">
        <v>803</v>
      </c>
      <c r="P188" s="338"/>
      <c r="Q188" s="338"/>
      <c r="R188" s="338"/>
      <c r="S188" s="337"/>
      <c r="T188" s="339"/>
      <c r="U188" s="226"/>
      <c r="V188" s="337"/>
      <c r="W188" s="339"/>
      <c r="X188" s="226"/>
      <c r="Y188" s="340"/>
      <c r="Z188" s="339"/>
      <c r="AA188" s="339"/>
      <c r="AB188" s="674" t="s">
        <v>774</v>
      </c>
      <c r="AC188" s="599"/>
      <c r="AD188" s="675">
        <v>2000000</v>
      </c>
      <c r="AE188" s="685" t="s">
        <v>25</v>
      </c>
      <c r="AF188" s="728"/>
      <c r="AG188" s="734"/>
      <c r="AH188" s="724"/>
      <c r="AI188" s="647"/>
      <c r="AJ188" s="647"/>
    </row>
    <row r="189" spans="1:36" s="7" customFormat="1" ht="20.25" customHeight="1">
      <c r="A189" s="25"/>
      <c r="B189" s="26"/>
      <c r="C189" s="27"/>
      <c r="D189" s="78"/>
      <c r="E189" s="67"/>
      <c r="F189" s="67"/>
      <c r="G189" s="67"/>
      <c r="H189" s="67"/>
      <c r="I189" s="67"/>
      <c r="J189" s="67"/>
      <c r="K189" s="67"/>
      <c r="L189" s="67"/>
      <c r="M189" s="67"/>
      <c r="N189" s="43"/>
      <c r="O189" s="338" t="s">
        <v>833</v>
      </c>
      <c r="P189" s="338"/>
      <c r="Q189" s="338"/>
      <c r="R189" s="338"/>
      <c r="S189" s="337"/>
      <c r="T189" s="339"/>
      <c r="U189" s="226"/>
      <c r="V189" s="337"/>
      <c r="W189" s="339" t="s">
        <v>832</v>
      </c>
      <c r="X189" s="226"/>
      <c r="Y189" s="340"/>
      <c r="Z189" s="339"/>
      <c r="AA189" s="339"/>
      <c r="AB189" s="674" t="s">
        <v>831</v>
      </c>
      <c r="AC189" s="599"/>
      <c r="AD189" s="675">
        <f>7200000+4000000</f>
        <v>11200000</v>
      </c>
      <c r="AE189" s="685" t="s">
        <v>25</v>
      </c>
      <c r="AF189" s="728"/>
      <c r="AG189" s="734"/>
      <c r="AH189" s="724"/>
      <c r="AI189" s="647"/>
      <c r="AJ189" s="647"/>
    </row>
    <row r="190" spans="1:36" s="531" customFormat="1" ht="20.25" customHeight="1">
      <c r="A190" s="532"/>
      <c r="B190" s="533"/>
      <c r="C190" s="534"/>
      <c r="D190" s="538"/>
      <c r="E190" s="536"/>
      <c r="F190" s="536"/>
      <c r="G190" s="536"/>
      <c r="H190" s="536"/>
      <c r="I190" s="536"/>
      <c r="J190" s="536"/>
      <c r="K190" s="536"/>
      <c r="L190" s="536"/>
      <c r="M190" s="536"/>
      <c r="N190" s="535"/>
      <c r="O190" s="554" t="s">
        <v>852</v>
      </c>
      <c r="P190" s="554"/>
      <c r="Q190" s="554"/>
      <c r="R190" s="554"/>
      <c r="S190" s="553"/>
      <c r="T190" s="555"/>
      <c r="U190" s="545"/>
      <c r="V190" s="553"/>
      <c r="W190" s="555"/>
      <c r="X190" s="545"/>
      <c r="Y190" s="556"/>
      <c r="Z190" s="555"/>
      <c r="AA190" s="555"/>
      <c r="AB190" s="674" t="s">
        <v>774</v>
      </c>
      <c r="AC190" s="599"/>
      <c r="AD190" s="675">
        <v>2000000</v>
      </c>
      <c r="AE190" s="685" t="s">
        <v>25</v>
      </c>
      <c r="AF190" s="728"/>
      <c r="AG190" s="734"/>
      <c r="AH190" s="724"/>
      <c r="AI190" s="647"/>
      <c r="AJ190" s="647"/>
    </row>
    <row r="191" spans="1:36" s="7" customFormat="1" ht="20.25" customHeight="1">
      <c r="A191" s="25"/>
      <c r="B191" s="26"/>
      <c r="C191" s="27"/>
      <c r="D191" s="78"/>
      <c r="E191" s="67"/>
      <c r="F191" s="67"/>
      <c r="G191" s="67"/>
      <c r="H191" s="67"/>
      <c r="I191" s="67"/>
      <c r="J191" s="67"/>
      <c r="K191" s="67"/>
      <c r="L191" s="67"/>
      <c r="M191" s="67"/>
      <c r="N191" s="43"/>
      <c r="O191" s="554"/>
      <c r="P191" s="338"/>
      <c r="Q191" s="338"/>
      <c r="R191" s="338"/>
      <c r="S191" s="337"/>
      <c r="T191" s="298"/>
      <c r="U191" s="298"/>
      <c r="V191" s="337"/>
      <c r="W191" s="298"/>
      <c r="X191" s="339"/>
      <c r="Y191" s="232"/>
      <c r="Z191" s="339"/>
      <c r="AA191" s="230"/>
      <c r="AB191" s="661"/>
      <c r="AC191" s="546"/>
      <c r="AD191" s="673"/>
      <c r="AE191" s="693"/>
      <c r="AF191" s="728"/>
      <c r="AG191" s="734"/>
      <c r="AH191" s="724"/>
      <c r="AI191" s="647"/>
      <c r="AJ191" s="647"/>
    </row>
    <row r="192" spans="1:36" s="7" customFormat="1" ht="20.25" customHeight="1">
      <c r="A192" s="25"/>
      <c r="B192" s="26"/>
      <c r="C192" s="27"/>
      <c r="D192" s="78"/>
      <c r="E192" s="67"/>
      <c r="F192" s="67"/>
      <c r="G192" s="67"/>
      <c r="H192" s="67"/>
      <c r="I192" s="67"/>
      <c r="J192" s="67"/>
      <c r="K192" s="67"/>
      <c r="L192" s="67"/>
      <c r="M192" s="67"/>
      <c r="N192" s="43"/>
      <c r="O192" s="182" t="s">
        <v>227</v>
      </c>
      <c r="P192" s="338"/>
      <c r="Q192" s="338"/>
      <c r="R192" s="338"/>
      <c r="S192" s="337"/>
      <c r="T192" s="298"/>
      <c r="U192" s="298"/>
      <c r="V192" s="337"/>
      <c r="W192" s="298"/>
      <c r="X192" s="339"/>
      <c r="Y192" s="190" t="s">
        <v>127</v>
      </c>
      <c r="Z192" s="448"/>
      <c r="AA192" s="448"/>
      <c r="AB192" s="711"/>
      <c r="AC192" s="541"/>
      <c r="AD192" s="656">
        <f>SUM(AD193:AD203)</f>
        <v>98682000</v>
      </c>
      <c r="AE192" s="696" t="s">
        <v>25</v>
      </c>
      <c r="AF192" s="728"/>
      <c r="AG192" s="734"/>
      <c r="AH192" s="724"/>
      <c r="AI192" s="647"/>
      <c r="AJ192" s="647"/>
    </row>
    <row r="193" spans="1:38" s="7" customFormat="1" ht="21" customHeight="1">
      <c r="A193" s="25"/>
      <c r="B193" s="26"/>
      <c r="C193" s="26"/>
      <c r="D193" s="88"/>
      <c r="E193" s="67"/>
      <c r="F193" s="67"/>
      <c r="G193" s="67"/>
      <c r="H193" s="67"/>
      <c r="I193" s="67"/>
      <c r="J193" s="67"/>
      <c r="K193" s="67"/>
      <c r="L193" s="67"/>
      <c r="M193" s="67"/>
      <c r="N193" s="43"/>
      <c r="O193" s="338" t="s">
        <v>287</v>
      </c>
      <c r="P193" s="338"/>
      <c r="Q193" s="337"/>
      <c r="R193" s="337"/>
      <c r="S193" s="337">
        <v>30000</v>
      </c>
      <c r="T193" s="230" t="s">
        <v>55</v>
      </c>
      <c r="U193" s="226" t="s">
        <v>56</v>
      </c>
      <c r="V193" s="230">
        <v>5</v>
      </c>
      <c r="W193" s="339" t="s">
        <v>54</v>
      </c>
      <c r="X193" s="226" t="s">
        <v>56</v>
      </c>
      <c r="Y193" s="232">
        <v>2</v>
      </c>
      <c r="Z193" s="230" t="s">
        <v>61</v>
      </c>
      <c r="AA193" s="453" t="s">
        <v>53</v>
      </c>
      <c r="AB193" s="661" t="s">
        <v>85</v>
      </c>
      <c r="AC193" s="546"/>
      <c r="AD193" s="673">
        <f>S193*V193*Y193</f>
        <v>300000</v>
      </c>
      <c r="AE193" s="693" t="s">
        <v>55</v>
      </c>
      <c r="AF193" s="728"/>
      <c r="AG193" s="734"/>
      <c r="AH193" s="724"/>
      <c r="AI193" s="647"/>
      <c r="AJ193" s="647"/>
    </row>
    <row r="194" spans="1:38" s="7" customFormat="1" ht="21" customHeight="1">
      <c r="A194" s="25"/>
      <c r="B194" s="26"/>
      <c r="C194" s="26"/>
      <c r="D194" s="88"/>
      <c r="E194" s="67"/>
      <c r="F194" s="67"/>
      <c r="G194" s="67"/>
      <c r="H194" s="67"/>
      <c r="I194" s="67"/>
      <c r="J194" s="67"/>
      <c r="K194" s="67"/>
      <c r="L194" s="67"/>
      <c r="M194" s="67"/>
      <c r="N194" s="43"/>
      <c r="O194" s="338" t="s">
        <v>288</v>
      </c>
      <c r="P194" s="338"/>
      <c r="Q194" s="338"/>
      <c r="R194" s="338"/>
      <c r="S194" s="337"/>
      <c r="T194" s="230"/>
      <c r="U194" s="230"/>
      <c r="V194" s="227"/>
      <c r="W194" s="339"/>
      <c r="X194" s="230"/>
      <c r="Y194" s="232"/>
      <c r="Z194" s="230"/>
      <c r="AA194" s="339"/>
      <c r="AB194" s="661" t="s">
        <v>85</v>
      </c>
      <c r="AC194" s="546"/>
      <c r="AD194" s="673">
        <v>200000</v>
      </c>
      <c r="AE194" s="685" t="s">
        <v>55</v>
      </c>
      <c r="AF194" s="728"/>
      <c r="AG194" s="734"/>
      <c r="AH194" s="724"/>
      <c r="AI194" s="647"/>
      <c r="AJ194" s="647"/>
    </row>
    <row r="195" spans="1:38" s="7" customFormat="1" ht="21" customHeight="1">
      <c r="A195" s="25"/>
      <c r="B195" s="26"/>
      <c r="C195" s="26"/>
      <c r="D195" s="88"/>
      <c r="E195" s="67"/>
      <c r="F195" s="67"/>
      <c r="G195" s="67"/>
      <c r="H195" s="67"/>
      <c r="I195" s="67"/>
      <c r="J195" s="67"/>
      <c r="K195" s="67"/>
      <c r="L195" s="67"/>
      <c r="M195" s="67"/>
      <c r="N195" s="43"/>
      <c r="O195" s="338" t="s">
        <v>620</v>
      </c>
      <c r="P195" s="338"/>
      <c r="Q195" s="338"/>
      <c r="R195" s="338"/>
      <c r="S195" s="337"/>
      <c r="T195" s="230"/>
      <c r="U195" s="230"/>
      <c r="V195" s="227"/>
      <c r="W195" s="339"/>
      <c r="X195" s="230"/>
      <c r="Y195" s="232"/>
      <c r="Z195" s="230"/>
      <c r="AA195" s="339"/>
      <c r="AB195" s="661" t="s">
        <v>85</v>
      </c>
      <c r="AC195" s="546"/>
      <c r="AD195" s="673">
        <v>50000</v>
      </c>
      <c r="AE195" s="685" t="s">
        <v>55</v>
      </c>
      <c r="AF195" s="728"/>
      <c r="AG195" s="734"/>
      <c r="AH195" s="724"/>
      <c r="AI195" s="647"/>
      <c r="AJ195" s="647"/>
    </row>
    <row r="196" spans="1:38" s="7" customFormat="1" ht="21" customHeight="1">
      <c r="A196" s="25"/>
      <c r="B196" s="26"/>
      <c r="C196" s="26"/>
      <c r="D196" s="88"/>
      <c r="E196" s="67"/>
      <c r="F196" s="67"/>
      <c r="G196" s="67"/>
      <c r="H196" s="67"/>
      <c r="I196" s="67"/>
      <c r="J196" s="67"/>
      <c r="K196" s="67"/>
      <c r="L196" s="67"/>
      <c r="M196" s="67"/>
      <c r="N196" s="43"/>
      <c r="O196" s="177" t="s">
        <v>564</v>
      </c>
      <c r="P196" s="337"/>
      <c r="Q196" s="337"/>
      <c r="R196" s="337"/>
      <c r="S196" s="337">
        <v>70000</v>
      </c>
      <c r="T196" s="339" t="s">
        <v>55</v>
      </c>
      <c r="U196" s="298" t="s">
        <v>56</v>
      </c>
      <c r="V196" s="337">
        <v>47</v>
      </c>
      <c r="W196" s="298" t="s">
        <v>54</v>
      </c>
      <c r="X196" s="298" t="s">
        <v>56</v>
      </c>
      <c r="Y196" s="340">
        <v>12</v>
      </c>
      <c r="Z196" s="339" t="s">
        <v>0</v>
      </c>
      <c r="AA196" s="339" t="s">
        <v>53</v>
      </c>
      <c r="AB196" s="674" t="s">
        <v>85</v>
      </c>
      <c r="AC196" s="554"/>
      <c r="AD196" s="673">
        <f>ROUND(S196*V196*Y196,-3)</f>
        <v>39480000</v>
      </c>
      <c r="AE196" s="685" t="s">
        <v>55</v>
      </c>
      <c r="AF196" s="728"/>
      <c r="AG196" s="734"/>
      <c r="AH196" s="724"/>
      <c r="AI196" s="647"/>
      <c r="AJ196" s="647"/>
    </row>
    <row r="197" spans="1:38" s="7" customFormat="1" ht="21" customHeight="1">
      <c r="A197" s="25"/>
      <c r="B197" s="26"/>
      <c r="C197" s="26"/>
      <c r="D197" s="88"/>
      <c r="E197" s="67"/>
      <c r="F197" s="67"/>
      <c r="G197" s="67"/>
      <c r="H197" s="67"/>
      <c r="I197" s="67"/>
      <c r="J197" s="67"/>
      <c r="K197" s="67"/>
      <c r="L197" s="67"/>
      <c r="M197" s="67"/>
      <c r="N197" s="43"/>
      <c r="O197" s="338"/>
      <c r="P197" s="337"/>
      <c r="Q197" s="337"/>
      <c r="R197" s="337"/>
      <c r="S197" s="337"/>
      <c r="T197" s="339"/>
      <c r="U197" s="298"/>
      <c r="V197" s="337"/>
      <c r="W197" s="298"/>
      <c r="X197" s="298"/>
      <c r="Y197" s="340"/>
      <c r="Z197" s="339"/>
      <c r="AA197" s="339"/>
      <c r="AB197" s="674" t="s">
        <v>85</v>
      </c>
      <c r="AC197" s="554"/>
      <c r="AD197" s="673"/>
      <c r="AE197" s="685" t="s">
        <v>55</v>
      </c>
      <c r="AF197" s="728"/>
      <c r="AG197" s="734"/>
      <c r="AH197" s="724"/>
      <c r="AI197" s="647"/>
      <c r="AJ197" s="647"/>
    </row>
    <row r="198" spans="1:38" s="7" customFormat="1" ht="21" customHeight="1">
      <c r="A198" s="25"/>
      <c r="B198" s="26"/>
      <c r="C198" s="26"/>
      <c r="D198" s="88"/>
      <c r="E198" s="67"/>
      <c r="F198" s="67"/>
      <c r="G198" s="67"/>
      <c r="H198" s="67"/>
      <c r="I198" s="67"/>
      <c r="J198" s="67"/>
      <c r="K198" s="67"/>
      <c r="L198" s="67"/>
      <c r="M198" s="67"/>
      <c r="N198" s="43"/>
      <c r="O198" s="338" t="s">
        <v>289</v>
      </c>
      <c r="P198" s="338"/>
      <c r="Q198" s="338"/>
      <c r="R198" s="338"/>
      <c r="S198" s="337">
        <v>70000</v>
      </c>
      <c r="T198" s="298" t="s">
        <v>55</v>
      </c>
      <c r="U198" s="298" t="s">
        <v>26</v>
      </c>
      <c r="V198" s="337">
        <v>10</v>
      </c>
      <c r="W198" s="339" t="s">
        <v>54</v>
      </c>
      <c r="X198" s="298" t="s">
        <v>26</v>
      </c>
      <c r="Y198" s="340">
        <v>12</v>
      </c>
      <c r="Z198" s="339" t="s">
        <v>0</v>
      </c>
      <c r="AA198" s="339" t="s">
        <v>27</v>
      </c>
      <c r="AB198" s="674" t="s">
        <v>85</v>
      </c>
      <c r="AC198" s="598"/>
      <c r="AD198" s="673">
        <f>S198*V198*Y198</f>
        <v>8400000</v>
      </c>
      <c r="AE198" s="716" t="s">
        <v>55</v>
      </c>
      <c r="AF198" s="728"/>
      <c r="AG198" s="734"/>
      <c r="AH198" s="724"/>
      <c r="AI198" s="647"/>
      <c r="AJ198" s="647"/>
    </row>
    <row r="199" spans="1:38" s="7" customFormat="1" ht="21" customHeight="1">
      <c r="A199" s="25"/>
      <c r="B199" s="26"/>
      <c r="C199" s="26"/>
      <c r="D199" s="88"/>
      <c r="E199" s="67"/>
      <c r="F199" s="67"/>
      <c r="G199" s="67"/>
      <c r="H199" s="67"/>
      <c r="I199" s="67"/>
      <c r="J199" s="67"/>
      <c r="K199" s="67"/>
      <c r="L199" s="67"/>
      <c r="M199" s="67"/>
      <c r="N199" s="43"/>
      <c r="O199" s="338" t="s">
        <v>290</v>
      </c>
      <c r="P199" s="338"/>
      <c r="Q199" s="338"/>
      <c r="R199" s="338"/>
      <c r="S199" s="337">
        <v>70000</v>
      </c>
      <c r="T199" s="298" t="s">
        <v>55</v>
      </c>
      <c r="U199" s="298" t="s">
        <v>26</v>
      </c>
      <c r="V199" s="337">
        <v>21</v>
      </c>
      <c r="W199" s="339" t="s">
        <v>54</v>
      </c>
      <c r="X199" s="298" t="s">
        <v>26</v>
      </c>
      <c r="Y199" s="340">
        <v>12</v>
      </c>
      <c r="Z199" s="339" t="s">
        <v>0</v>
      </c>
      <c r="AA199" s="339" t="s">
        <v>27</v>
      </c>
      <c r="AB199" s="674" t="s">
        <v>85</v>
      </c>
      <c r="AC199" s="598"/>
      <c r="AD199" s="673">
        <f>S199*V199*Y199</f>
        <v>17640000</v>
      </c>
      <c r="AE199" s="716" t="s">
        <v>55</v>
      </c>
      <c r="AF199" s="728"/>
      <c r="AG199" s="734"/>
      <c r="AH199" s="724"/>
      <c r="AI199" s="647"/>
      <c r="AJ199" s="647"/>
    </row>
    <row r="200" spans="1:38" s="7" customFormat="1" ht="21" customHeight="1">
      <c r="A200" s="25"/>
      <c r="B200" s="26"/>
      <c r="C200" s="27"/>
      <c r="D200" s="88"/>
      <c r="E200" s="67"/>
      <c r="F200" s="67"/>
      <c r="G200" s="67"/>
      <c r="H200" s="67"/>
      <c r="I200" s="67"/>
      <c r="J200" s="67"/>
      <c r="K200" s="67"/>
      <c r="L200" s="67"/>
      <c r="M200" s="67"/>
      <c r="N200" s="43"/>
      <c r="O200" s="177" t="s">
        <v>773</v>
      </c>
      <c r="P200" s="337"/>
      <c r="Q200" s="337"/>
      <c r="R200" s="337"/>
      <c r="S200" s="337">
        <v>3500</v>
      </c>
      <c r="T200" s="339" t="s">
        <v>358</v>
      </c>
      <c r="U200" s="298" t="s">
        <v>26</v>
      </c>
      <c r="V200" s="337">
        <v>720</v>
      </c>
      <c r="W200" s="298" t="s">
        <v>796</v>
      </c>
      <c r="X200" s="298"/>
      <c r="Y200" s="340"/>
      <c r="Z200" s="339"/>
      <c r="AA200" s="339" t="s">
        <v>53</v>
      </c>
      <c r="AB200" s="674" t="s">
        <v>85</v>
      </c>
      <c r="AC200" s="554"/>
      <c r="AD200" s="673">
        <f>S200*V200</f>
        <v>2520000</v>
      </c>
      <c r="AE200" s="685" t="s">
        <v>55</v>
      </c>
      <c r="AF200" s="728"/>
      <c r="AG200" s="734"/>
      <c r="AH200" s="724"/>
      <c r="AI200" s="647"/>
      <c r="AJ200" s="647"/>
    </row>
    <row r="201" spans="1:38" s="7" customFormat="1" ht="20.25" customHeight="1">
      <c r="A201" s="25"/>
      <c r="B201" s="26"/>
      <c r="C201" s="27"/>
      <c r="D201" s="78"/>
      <c r="E201" s="67"/>
      <c r="F201" s="67"/>
      <c r="G201" s="67"/>
      <c r="H201" s="67"/>
      <c r="I201" s="67"/>
      <c r="J201" s="67"/>
      <c r="K201" s="67"/>
      <c r="L201" s="67"/>
      <c r="M201" s="67"/>
      <c r="N201" s="43"/>
      <c r="O201" s="338" t="s">
        <v>804</v>
      </c>
      <c r="P201" s="338"/>
      <c r="Q201" s="338"/>
      <c r="R201" s="338"/>
      <c r="S201" s="337"/>
      <c r="T201" s="339"/>
      <c r="U201" s="226"/>
      <c r="V201" s="337"/>
      <c r="W201" s="339"/>
      <c r="X201" s="226"/>
      <c r="Y201" s="340"/>
      <c r="Z201" s="339"/>
      <c r="AA201" s="339"/>
      <c r="AB201" s="661" t="s">
        <v>151</v>
      </c>
      <c r="AC201" s="599"/>
      <c r="AD201" s="675">
        <v>800000</v>
      </c>
      <c r="AE201" s="693" t="s">
        <v>55</v>
      </c>
      <c r="AF201" s="728"/>
      <c r="AG201" s="734"/>
      <c r="AH201" s="724"/>
      <c r="AI201" s="647"/>
      <c r="AJ201" s="647"/>
    </row>
    <row r="202" spans="1:38" s="7" customFormat="1" ht="20.25" customHeight="1">
      <c r="A202" s="25"/>
      <c r="B202" s="26"/>
      <c r="C202" s="27"/>
      <c r="D202" s="78"/>
      <c r="E202" s="67"/>
      <c r="F202" s="67"/>
      <c r="G202" s="67"/>
      <c r="H202" s="67"/>
      <c r="I202" s="67"/>
      <c r="J202" s="67"/>
      <c r="K202" s="67"/>
      <c r="L202" s="67"/>
      <c r="M202" s="67"/>
      <c r="N202" s="43"/>
      <c r="O202" s="338" t="s">
        <v>841</v>
      </c>
      <c r="P202" s="338"/>
      <c r="Q202" s="338"/>
      <c r="R202" s="338"/>
      <c r="S202" s="337"/>
      <c r="T202" s="339"/>
      <c r="U202" s="226"/>
      <c r="V202" s="337"/>
      <c r="W202" s="339"/>
      <c r="X202" s="226"/>
      <c r="Y202" s="340"/>
      <c r="Z202" s="339"/>
      <c r="AA202" s="339"/>
      <c r="AB202" s="674" t="s">
        <v>151</v>
      </c>
      <c r="AC202" s="599"/>
      <c r="AD202" s="675">
        <v>19780000</v>
      </c>
      <c r="AE202" s="685" t="s">
        <v>55</v>
      </c>
      <c r="AF202" s="728"/>
      <c r="AG202" s="734"/>
      <c r="AH202" s="527"/>
      <c r="AI202" s="527"/>
      <c r="AJ202" s="647"/>
    </row>
    <row r="203" spans="1:38" s="7" customFormat="1" ht="21" customHeight="1">
      <c r="A203" s="25"/>
      <c r="B203" s="34"/>
      <c r="C203" s="283"/>
      <c r="D203" s="89"/>
      <c r="E203" s="68"/>
      <c r="F203" s="68"/>
      <c r="G203" s="68"/>
      <c r="H203" s="68"/>
      <c r="I203" s="68"/>
      <c r="J203" s="68"/>
      <c r="K203" s="68"/>
      <c r="L203" s="68"/>
      <c r="M203" s="68"/>
      <c r="N203" s="54"/>
      <c r="O203" s="513"/>
      <c r="P203" s="513"/>
      <c r="Q203" s="513"/>
      <c r="R203" s="513"/>
      <c r="S203" s="512"/>
      <c r="T203" s="233"/>
      <c r="U203" s="428"/>
      <c r="V203" s="309"/>
      <c r="W203" s="561"/>
      <c r="X203" s="428"/>
      <c r="Y203" s="236" t="s">
        <v>840</v>
      </c>
      <c r="Z203" s="428"/>
      <c r="AA203" s="428"/>
      <c r="AB203" s="698" t="s">
        <v>838</v>
      </c>
      <c r="AC203" s="606"/>
      <c r="AD203" s="737">
        <v>9512000</v>
      </c>
      <c r="AE203" s="685" t="s">
        <v>55</v>
      </c>
      <c r="AF203" s="728"/>
      <c r="AG203" s="734"/>
      <c r="AH203" s="724"/>
      <c r="AI203" s="647"/>
      <c r="AJ203" s="647"/>
    </row>
    <row r="204" spans="1:38" s="7" customFormat="1" ht="21" customHeight="1">
      <c r="A204" s="69" t="s">
        <v>47</v>
      </c>
      <c r="B204" s="785" t="s">
        <v>20</v>
      </c>
      <c r="C204" s="785"/>
      <c r="D204" s="632">
        <v>101169</v>
      </c>
      <c r="E204" s="105">
        <f>E205</f>
        <v>191300</v>
      </c>
      <c r="F204" s="105">
        <f t="shared" ref="F204:L204" si="7">F205</f>
        <v>6047</v>
      </c>
      <c r="G204" s="105">
        <f t="shared" si="7"/>
        <v>5000</v>
      </c>
      <c r="H204" s="105">
        <f t="shared" si="7"/>
        <v>0</v>
      </c>
      <c r="I204" s="105">
        <f>I205</f>
        <v>180253</v>
      </c>
      <c r="J204" s="105">
        <f t="shared" si="7"/>
        <v>0</v>
      </c>
      <c r="K204" s="105">
        <f t="shared" si="7"/>
        <v>0</v>
      </c>
      <c r="L204" s="105">
        <f t="shared" si="7"/>
        <v>0</v>
      </c>
      <c r="M204" s="330">
        <f>E204-D204</f>
        <v>90131</v>
      </c>
      <c r="N204" s="94">
        <f>IF(D204=0,0,M204/D204)</f>
        <v>0.890895432395299</v>
      </c>
      <c r="O204" s="234" t="s">
        <v>129</v>
      </c>
      <c r="P204" s="234"/>
      <c r="Q204" s="234"/>
      <c r="R204" s="234"/>
      <c r="S204" s="371"/>
      <c r="T204" s="445"/>
      <c r="U204" s="445"/>
      <c r="V204" s="371"/>
      <c r="W204" s="445"/>
      <c r="X204" s="445"/>
      <c r="Y204" s="515"/>
      <c r="Z204" s="445"/>
      <c r="AA204" s="445"/>
      <c r="AB204" s="710"/>
      <c r="AC204" s="371"/>
      <c r="AD204" s="673">
        <f>AD205</f>
        <v>191300000</v>
      </c>
      <c r="AE204" s="685" t="s">
        <v>55</v>
      </c>
      <c r="AF204" s="728"/>
      <c r="AG204" s="734"/>
      <c r="AH204" s="724"/>
      <c r="AI204" s="647"/>
      <c r="AJ204" s="647"/>
    </row>
    <row r="205" spans="1:38" s="7" customFormat="1" ht="21" customHeight="1">
      <c r="A205" s="104" t="s">
        <v>134</v>
      </c>
      <c r="B205" s="26" t="s">
        <v>17</v>
      </c>
      <c r="C205" s="26" t="s">
        <v>130</v>
      </c>
      <c r="D205" s="629">
        <v>101169</v>
      </c>
      <c r="E205" s="67">
        <f t="shared" ref="E205:L205" si="8">SUM(E206,E213,E227)</f>
        <v>191300</v>
      </c>
      <c r="F205" s="67">
        <f t="shared" si="8"/>
        <v>6047</v>
      </c>
      <c r="G205" s="67">
        <f t="shared" si="8"/>
        <v>5000</v>
      </c>
      <c r="H205" s="67">
        <f t="shared" si="8"/>
        <v>0</v>
      </c>
      <c r="I205" s="67">
        <f t="shared" si="8"/>
        <v>180253</v>
      </c>
      <c r="J205" s="67">
        <f t="shared" si="8"/>
        <v>0</v>
      </c>
      <c r="K205" s="67">
        <f t="shared" si="8"/>
        <v>0</v>
      </c>
      <c r="L205" s="67">
        <f t="shared" si="8"/>
        <v>0</v>
      </c>
      <c r="M205" s="67">
        <f>E205-D205</f>
        <v>90131</v>
      </c>
      <c r="N205" s="43">
        <f>IF(D205=0,0,M205/D205)</f>
        <v>0.890895432395299</v>
      </c>
      <c r="O205" s="188" t="s">
        <v>131</v>
      </c>
      <c r="P205" s="188"/>
      <c r="Q205" s="188"/>
      <c r="R205" s="188"/>
      <c r="S205" s="188"/>
      <c r="T205" s="444"/>
      <c r="U205" s="444"/>
      <c r="V205" s="189"/>
      <c r="W205" s="444"/>
      <c r="X205" s="444"/>
      <c r="Y205" s="336"/>
      <c r="Z205" s="444"/>
      <c r="AA205" s="444"/>
      <c r="AB205" s="709"/>
      <c r="AC205" s="552"/>
      <c r="AD205" s="668">
        <f>AD206+AD213+AD227</f>
        <v>191300000</v>
      </c>
      <c r="AE205" s="689" t="s">
        <v>25</v>
      </c>
      <c r="AF205" s="728"/>
      <c r="AG205" s="734"/>
      <c r="AH205" s="724"/>
      <c r="AI205" s="647"/>
      <c r="AJ205" s="647"/>
    </row>
    <row r="206" spans="1:38" s="7" customFormat="1" ht="21" customHeight="1">
      <c r="A206" s="25"/>
      <c r="B206" s="26"/>
      <c r="C206" s="18" t="s">
        <v>131</v>
      </c>
      <c r="D206" s="631">
        <v>0</v>
      </c>
      <c r="E206" s="102">
        <f>ROUND(AD206/1000,0)</f>
        <v>0</v>
      </c>
      <c r="F206" s="71">
        <f>SUMIF($AB$208:$AB$212,"보조",$AD$208:$AD$212)/1000</f>
        <v>0</v>
      </c>
      <c r="G206" s="71">
        <f>SUMIF($AB$212:$AB$212,"6종",$AD$212:$AD$212)/1000</f>
        <v>0</v>
      </c>
      <c r="H206" s="71">
        <f>SUMIF($AB$212:$AB$212,"4종",$AD$212:$AD$212)/1000</f>
        <v>0</v>
      </c>
      <c r="I206" s="71">
        <f>SUMIF($AB$211:$AB$211,"후원",$AD$211:$AD$211)/1000</f>
        <v>0</v>
      </c>
      <c r="J206" s="71">
        <f>SUMIF($AB$212:$AB$212,"입소",$AD$212:$AD$212)/1000</f>
        <v>0</v>
      </c>
      <c r="K206" s="71">
        <f>SUMIF($AB$208:$AB$212,"법인",$AD$208:$AD$212)/1000</f>
        <v>0</v>
      </c>
      <c r="L206" s="71">
        <f>SUMIF($AB$212:$AB$212,"잡수",$AD$212:$AD$212)/1000</f>
        <v>0</v>
      </c>
      <c r="M206" s="102">
        <f>E206-D206</f>
        <v>0</v>
      </c>
      <c r="N206" s="103">
        <f>IF(D206=0,0,M206/D206)</f>
        <v>0</v>
      </c>
      <c r="O206" s="187" t="s">
        <v>48</v>
      </c>
      <c r="P206" s="188"/>
      <c r="Q206" s="188"/>
      <c r="R206" s="188"/>
      <c r="S206" s="188"/>
      <c r="T206" s="444"/>
      <c r="U206" s="444"/>
      <c r="V206" s="189"/>
      <c r="W206" s="444"/>
      <c r="X206" s="444"/>
      <c r="Y206" s="190" t="s">
        <v>130</v>
      </c>
      <c r="Z206" s="448"/>
      <c r="AA206" s="448"/>
      <c r="AB206" s="711"/>
      <c r="AC206" s="541"/>
      <c r="AD206" s="666">
        <f>AD207+AD210</f>
        <v>0</v>
      </c>
      <c r="AE206" s="686" t="s">
        <v>25</v>
      </c>
      <c r="AF206" s="728"/>
      <c r="AG206" s="734"/>
      <c r="AH206" s="724"/>
      <c r="AI206" s="647"/>
      <c r="AJ206" s="647"/>
    </row>
    <row r="207" spans="1:38" s="7" customFormat="1" ht="21" customHeight="1">
      <c r="A207" s="25"/>
      <c r="B207" s="26"/>
      <c r="C207" s="26"/>
      <c r="D207" s="634"/>
      <c r="E207" s="353"/>
      <c r="F207" s="353"/>
      <c r="G207" s="353"/>
      <c r="H207" s="353"/>
      <c r="I207" s="353"/>
      <c r="J207" s="353"/>
      <c r="K207" s="353"/>
      <c r="L207" s="353"/>
      <c r="M207" s="329"/>
      <c r="N207" s="168"/>
      <c r="O207" s="234"/>
      <c r="P207" s="234"/>
      <c r="Q207" s="234"/>
      <c r="R207" s="234"/>
      <c r="S207" s="234"/>
      <c r="T207" s="445"/>
      <c r="U207" s="445"/>
      <c r="V207" s="371"/>
      <c r="W207" s="445"/>
      <c r="X207" s="445"/>
      <c r="Y207" s="190" t="s">
        <v>127</v>
      </c>
      <c r="Z207" s="448"/>
      <c r="AA207" s="448"/>
      <c r="AB207" s="711"/>
      <c r="AC207" s="541"/>
      <c r="AD207" s="666">
        <f>SUM(AD208:AD209)</f>
        <v>0</v>
      </c>
      <c r="AE207" s="686" t="s">
        <v>25</v>
      </c>
      <c r="AF207" s="728"/>
      <c r="AG207" s="734"/>
      <c r="AH207" s="724"/>
      <c r="AI207" s="647"/>
      <c r="AJ207" s="647"/>
    </row>
    <row r="208" spans="1:38" s="7" customFormat="1" ht="21" hidden="1" customHeight="1">
      <c r="A208" s="25"/>
      <c r="B208" s="26"/>
      <c r="C208" s="26"/>
      <c r="D208" s="635"/>
      <c r="E208" s="354"/>
      <c r="F208" s="354"/>
      <c r="G208" s="354"/>
      <c r="H208" s="354"/>
      <c r="I208" s="354"/>
      <c r="J208" s="354"/>
      <c r="K208" s="354"/>
      <c r="L208" s="354"/>
      <c r="M208" s="329"/>
      <c r="N208" s="168"/>
      <c r="O208" s="338" t="s">
        <v>617</v>
      </c>
      <c r="P208" s="338"/>
      <c r="Q208" s="338"/>
      <c r="R208" s="338"/>
      <c r="S208" s="338"/>
      <c r="T208" s="445"/>
      <c r="U208" s="445"/>
      <c r="V208" s="371"/>
      <c r="W208" s="445"/>
      <c r="X208" s="445"/>
      <c r="Y208" s="515"/>
      <c r="Z208" s="445"/>
      <c r="AA208" s="445"/>
      <c r="AB208" s="674" t="s">
        <v>613</v>
      </c>
      <c r="AC208" s="564"/>
      <c r="AD208" s="675">
        <v>0</v>
      </c>
      <c r="AE208" s="687" t="s">
        <v>55</v>
      </c>
      <c r="AF208" s="728"/>
      <c r="AG208" s="734"/>
      <c r="AH208" s="724"/>
      <c r="AI208" s="647"/>
      <c r="AJ208" s="647"/>
      <c r="AL208" s="558"/>
    </row>
    <row r="209" spans="1:38" s="7" customFormat="1" ht="20.25" hidden="1" customHeight="1">
      <c r="A209" s="25"/>
      <c r="B209" s="26"/>
      <c r="C209" s="26"/>
      <c r="D209" s="633"/>
      <c r="E209" s="329"/>
      <c r="F209" s="307"/>
      <c r="G209" s="307"/>
      <c r="H209" s="307"/>
      <c r="I209" s="307"/>
      <c r="J209" s="307"/>
      <c r="K209" s="307"/>
      <c r="L209" s="307"/>
      <c r="M209" s="329"/>
      <c r="N209" s="168"/>
      <c r="O209" s="338"/>
      <c r="P209" s="338"/>
      <c r="Q209" s="338"/>
      <c r="R209" s="338"/>
      <c r="S209" s="338"/>
      <c r="T209" s="445"/>
      <c r="U209" s="445"/>
      <c r="V209" s="371"/>
      <c r="W209" s="445"/>
      <c r="X209" s="445"/>
      <c r="Y209" s="515"/>
      <c r="Z209" s="445"/>
      <c r="AA209" s="445"/>
      <c r="AB209" s="674" t="s">
        <v>612</v>
      </c>
      <c r="AC209" s="564"/>
      <c r="AD209" s="675"/>
      <c r="AE209" s="687" t="s">
        <v>55</v>
      </c>
      <c r="AF209" s="728"/>
      <c r="AG209" s="734"/>
      <c r="AH209" s="724"/>
      <c r="AI209" s="647"/>
      <c r="AJ209" s="647"/>
      <c r="AL209" s="558"/>
    </row>
    <row r="210" spans="1:38" s="7" customFormat="1" ht="20.25" hidden="1" customHeight="1">
      <c r="A210" s="25"/>
      <c r="B210" s="26"/>
      <c r="C210" s="26"/>
      <c r="D210" s="633"/>
      <c r="E210" s="329"/>
      <c r="F210" s="307"/>
      <c r="G210" s="307"/>
      <c r="H210" s="307"/>
      <c r="I210" s="307"/>
      <c r="J210" s="307"/>
      <c r="K210" s="307"/>
      <c r="L210" s="307"/>
      <c r="M210" s="329"/>
      <c r="N210" s="168"/>
      <c r="O210" s="338" t="s">
        <v>618</v>
      </c>
      <c r="P210" s="338"/>
      <c r="Q210" s="338"/>
      <c r="R210" s="338"/>
      <c r="S210" s="338"/>
      <c r="T210" s="445"/>
      <c r="U210" s="445"/>
      <c r="V210" s="371"/>
      <c r="W210" s="445"/>
      <c r="X210" s="445"/>
      <c r="Y210" s="190" t="s">
        <v>127</v>
      </c>
      <c r="Z210" s="448"/>
      <c r="AA210" s="448"/>
      <c r="AB210" s="702"/>
      <c r="AC210" s="541"/>
      <c r="AD210" s="666">
        <f>SUM(AD211:AD212)</f>
        <v>0</v>
      </c>
      <c r="AE210" s="686" t="s">
        <v>25</v>
      </c>
      <c r="AF210" s="728"/>
      <c r="AG210" s="734"/>
      <c r="AH210" s="724"/>
      <c r="AI210" s="647"/>
      <c r="AJ210" s="647"/>
      <c r="AL210" s="558"/>
    </row>
    <row r="211" spans="1:38" s="7" customFormat="1" ht="21" hidden="1" customHeight="1">
      <c r="A211" s="25"/>
      <c r="B211" s="26"/>
      <c r="C211" s="26"/>
      <c r="D211" s="633"/>
      <c r="E211" s="329"/>
      <c r="F211" s="307"/>
      <c r="G211" s="307"/>
      <c r="H211" s="307"/>
      <c r="I211" s="307"/>
      <c r="J211" s="307"/>
      <c r="K211" s="307"/>
      <c r="L211" s="307"/>
      <c r="M211" s="329"/>
      <c r="N211" s="168"/>
      <c r="O211" s="338"/>
      <c r="P211" s="338"/>
      <c r="Q211" s="338"/>
      <c r="R211" s="338"/>
      <c r="S211" s="338"/>
      <c r="T211" s="445"/>
      <c r="U211" s="445"/>
      <c r="V211" s="371"/>
      <c r="W211" s="445"/>
      <c r="X211" s="445"/>
      <c r="Y211" s="515"/>
      <c r="Z211" s="445"/>
      <c r="AA211" s="445"/>
      <c r="AB211" s="674" t="s">
        <v>614</v>
      </c>
      <c r="AC211" s="564"/>
      <c r="AD211" s="675">
        <v>0</v>
      </c>
      <c r="AE211" s="687" t="s">
        <v>55</v>
      </c>
      <c r="AF211" s="728"/>
      <c r="AG211" s="734"/>
      <c r="AH211" s="724"/>
      <c r="AI211" s="647"/>
      <c r="AJ211" s="647"/>
      <c r="AL211" s="558"/>
    </row>
    <row r="212" spans="1:38" s="7" customFormat="1" ht="21" customHeight="1">
      <c r="A212" s="25"/>
      <c r="B212" s="26"/>
      <c r="C212" s="26"/>
      <c r="D212" s="629"/>
      <c r="E212" s="67"/>
      <c r="F212" s="67"/>
      <c r="G212" s="67"/>
      <c r="H212" s="67"/>
      <c r="I212" s="67"/>
      <c r="J212" s="67"/>
      <c r="K212" s="67"/>
      <c r="L212" s="67"/>
      <c r="M212" s="67"/>
      <c r="N212" s="43"/>
      <c r="O212" s="227"/>
      <c r="P212" s="227"/>
      <c r="Q212" s="227"/>
      <c r="R212" s="227"/>
      <c r="S212" s="227"/>
      <c r="T212" s="230"/>
      <c r="U212" s="230"/>
      <c r="V212" s="227"/>
      <c r="W212" s="230"/>
      <c r="X212" s="230"/>
      <c r="Y212" s="232"/>
      <c r="Z212" s="230"/>
      <c r="AA212" s="230"/>
      <c r="AB212" s="661" t="s">
        <v>612</v>
      </c>
      <c r="AC212" s="546"/>
      <c r="AD212" s="670"/>
      <c r="AE212" s="685" t="s">
        <v>55</v>
      </c>
      <c r="AF212" s="728"/>
      <c r="AG212" s="734"/>
      <c r="AH212" s="724"/>
      <c r="AI212" s="647"/>
      <c r="AJ212" s="647"/>
      <c r="AL212" s="558"/>
    </row>
    <row r="213" spans="1:38" s="7" customFormat="1" ht="21" customHeight="1">
      <c r="A213" s="25"/>
      <c r="B213" s="26"/>
      <c r="C213" s="18" t="s">
        <v>18</v>
      </c>
      <c r="D213" s="630">
        <v>71609</v>
      </c>
      <c r="E213" s="70">
        <f>ROUND(AD213/1000,0)</f>
        <v>168691</v>
      </c>
      <c r="F213" s="71">
        <f>SUMIF($AB$214:$AB$224,"보조",$AD$214:$AD$224)/1000</f>
        <v>0</v>
      </c>
      <c r="G213" s="71">
        <f>SUMIF($AB$214:$AB$224,"6종",$AD$214:$AD$224)/1000</f>
        <v>5000</v>
      </c>
      <c r="H213" s="71">
        <f>SUMIF($AB$214:$AB$224,"4종",$AD$214:$AD$224)/1000</f>
        <v>0</v>
      </c>
      <c r="I213" s="71">
        <f>SUMIF($AB$214:$AB$226,"후원",$AD$214:$AD$226)/1000</f>
        <v>163691</v>
      </c>
      <c r="J213" s="71">
        <f>SUMIF($AB$214:$AB$224,"입소",$AD$214:$AD$224)/1000</f>
        <v>0</v>
      </c>
      <c r="K213" s="71">
        <f>SUMIF($AB$214:$AB$224,"법인",$AD$214:$AD$224)/1000</f>
        <v>0</v>
      </c>
      <c r="L213" s="71">
        <f>SUMIF($AB$214:$AB$224,"잡수",$AD$214:$AD$224)/1000</f>
        <v>0</v>
      </c>
      <c r="M213" s="326">
        <f>E213-D213</f>
        <v>97082</v>
      </c>
      <c r="N213" s="75">
        <f>IF(D213=0,0,M213/D213)</f>
        <v>1.3557234425840328</v>
      </c>
      <c r="O213" s="187" t="s">
        <v>49</v>
      </c>
      <c r="P213" s="188"/>
      <c r="Q213" s="188"/>
      <c r="R213" s="188"/>
      <c r="S213" s="188"/>
      <c r="T213" s="444"/>
      <c r="U213" s="444"/>
      <c r="V213" s="189"/>
      <c r="W213" s="444"/>
      <c r="X213" s="444"/>
      <c r="Y213" s="190" t="s">
        <v>127</v>
      </c>
      <c r="Z213" s="448"/>
      <c r="AA213" s="448"/>
      <c r="AB213" s="711"/>
      <c r="AC213" s="541"/>
      <c r="AD213" s="666">
        <f>ROUND(SUM(AD214:AD226),-3)</f>
        <v>168691000</v>
      </c>
      <c r="AE213" s="686" t="s">
        <v>25</v>
      </c>
      <c r="AF213" s="728"/>
      <c r="AG213" s="734"/>
      <c r="AH213" s="724"/>
      <c r="AI213" s="647"/>
      <c r="AJ213" s="647"/>
      <c r="AL213" s="558"/>
    </row>
    <row r="214" spans="1:38" s="7" customFormat="1" ht="21" customHeight="1">
      <c r="A214" s="25"/>
      <c r="B214" s="26"/>
      <c r="C214" s="26"/>
      <c r="D214" s="626"/>
      <c r="E214" s="353"/>
      <c r="F214" s="353"/>
      <c r="G214" s="353"/>
      <c r="H214" s="353"/>
      <c r="I214" s="353"/>
      <c r="J214" s="353"/>
      <c r="K214" s="353"/>
      <c r="L214" s="353"/>
      <c r="M214" s="67"/>
      <c r="N214" s="43"/>
      <c r="O214" s="338" t="s">
        <v>619</v>
      </c>
      <c r="P214" s="338"/>
      <c r="Q214" s="338"/>
      <c r="R214" s="338"/>
      <c r="S214" s="337"/>
      <c r="T214" s="298"/>
      <c r="U214" s="298"/>
      <c r="V214" s="337"/>
      <c r="W214" s="298"/>
      <c r="X214" s="339"/>
      <c r="Y214" s="599" t="s">
        <v>302</v>
      </c>
      <c r="Z214" s="339"/>
      <c r="AA214" s="339"/>
      <c r="AB214" s="674" t="s">
        <v>647</v>
      </c>
      <c r="AC214" s="598"/>
      <c r="AD214" s="673">
        <v>10000000</v>
      </c>
      <c r="AE214" s="685" t="s">
        <v>55</v>
      </c>
      <c r="AF214" s="728"/>
      <c r="AG214" s="734"/>
      <c r="AH214" s="724"/>
      <c r="AI214" s="647"/>
      <c r="AJ214" s="647"/>
    </row>
    <row r="215" spans="1:38" s="531" customFormat="1" ht="21" customHeight="1">
      <c r="A215" s="532"/>
      <c r="B215" s="533"/>
      <c r="C215" s="533"/>
      <c r="D215" s="628"/>
      <c r="E215" s="557"/>
      <c r="F215" s="557"/>
      <c r="G215" s="557"/>
      <c r="H215" s="557"/>
      <c r="I215" s="557"/>
      <c r="J215" s="557"/>
      <c r="K215" s="557"/>
      <c r="L215" s="557"/>
      <c r="M215" s="536"/>
      <c r="N215" s="535"/>
      <c r="O215" s="554" t="s">
        <v>842</v>
      </c>
      <c r="P215" s="554"/>
      <c r="Q215" s="554"/>
      <c r="R215" s="554"/>
      <c r="S215" s="553"/>
      <c r="T215" s="548"/>
      <c r="U215" s="549"/>
      <c r="V215" s="556"/>
      <c r="W215" s="555"/>
      <c r="X215" s="555"/>
      <c r="Y215" s="556" t="s">
        <v>791</v>
      </c>
      <c r="Z215" s="555"/>
      <c r="AA215" s="555"/>
      <c r="AB215" s="674" t="s">
        <v>137</v>
      </c>
      <c r="AC215" s="598"/>
      <c r="AD215" s="673">
        <v>1980000</v>
      </c>
      <c r="AE215" s="685" t="s">
        <v>55</v>
      </c>
      <c r="AF215" s="728"/>
      <c r="AG215" s="734"/>
      <c r="AH215" s="724"/>
      <c r="AI215" s="647"/>
      <c r="AJ215" s="647"/>
    </row>
    <row r="216" spans="1:38" s="531" customFormat="1" ht="21" customHeight="1">
      <c r="A216" s="532"/>
      <c r="B216" s="533"/>
      <c r="C216" s="533"/>
      <c r="D216" s="628"/>
      <c r="E216" s="557"/>
      <c r="F216" s="557"/>
      <c r="G216" s="557"/>
      <c r="H216" s="557"/>
      <c r="I216" s="557"/>
      <c r="J216" s="557"/>
      <c r="K216" s="557"/>
      <c r="L216" s="557"/>
      <c r="M216" s="536"/>
      <c r="N216" s="535"/>
      <c r="O216" s="554"/>
      <c r="P216" s="554"/>
      <c r="Q216" s="554"/>
      <c r="R216" s="554"/>
      <c r="S216" s="553"/>
      <c r="T216" s="549"/>
      <c r="U216" s="549"/>
      <c r="V216" s="553"/>
      <c r="W216" s="549"/>
      <c r="X216" s="555"/>
      <c r="Y216" s="556" t="s">
        <v>212</v>
      </c>
      <c r="Z216" s="555"/>
      <c r="AA216" s="555"/>
      <c r="AB216" s="674" t="s">
        <v>137</v>
      </c>
      <c r="AC216" s="598"/>
      <c r="AD216" s="673">
        <v>1406000</v>
      </c>
      <c r="AE216" s="685" t="s">
        <v>792</v>
      </c>
      <c r="AF216" s="728"/>
      <c r="AG216" s="734"/>
      <c r="AH216" s="724"/>
      <c r="AI216" s="647"/>
      <c r="AJ216" s="647"/>
    </row>
    <row r="217" spans="1:38" s="531" customFormat="1" ht="21" customHeight="1">
      <c r="A217" s="532"/>
      <c r="B217" s="533"/>
      <c r="C217" s="533"/>
      <c r="D217" s="628"/>
      <c r="E217" s="557"/>
      <c r="F217" s="557"/>
      <c r="G217" s="557"/>
      <c r="H217" s="557"/>
      <c r="I217" s="557"/>
      <c r="J217" s="557"/>
      <c r="K217" s="557"/>
      <c r="L217" s="557"/>
      <c r="M217" s="536"/>
      <c r="N217" s="535"/>
      <c r="O217" s="554" t="s">
        <v>846</v>
      </c>
      <c r="P217" s="554"/>
      <c r="Q217" s="554"/>
      <c r="R217" s="554"/>
      <c r="S217" s="553"/>
      <c r="T217" s="548"/>
      <c r="U217" s="549"/>
      <c r="V217" s="556"/>
      <c r="W217" s="555"/>
      <c r="X217" s="555"/>
      <c r="Y217" s="556" t="s">
        <v>839</v>
      </c>
      <c r="Z217" s="555"/>
      <c r="AA217" s="555"/>
      <c r="AB217" s="674" t="s">
        <v>137</v>
      </c>
      <c r="AC217" s="598"/>
      <c r="AD217" s="673">
        <f>135752000+30000</f>
        <v>135782000</v>
      </c>
      <c r="AE217" s="685" t="s">
        <v>55</v>
      </c>
      <c r="AF217" s="728"/>
      <c r="AG217" s="734"/>
      <c r="AH217" s="724"/>
      <c r="AI217" s="673"/>
      <c r="AJ217" s="647"/>
    </row>
    <row r="218" spans="1:38" s="531" customFormat="1" ht="21" customHeight="1">
      <c r="A218" s="532"/>
      <c r="B218" s="533"/>
      <c r="C218" s="533"/>
      <c r="D218" s="620"/>
      <c r="E218" s="536"/>
      <c r="F218" s="536"/>
      <c r="G218" s="536"/>
      <c r="H218" s="536"/>
      <c r="I218" s="536"/>
      <c r="J218" s="536"/>
      <c r="K218" s="536"/>
      <c r="L218" s="536"/>
      <c r="M218" s="536"/>
      <c r="N218" s="535"/>
      <c r="O218" s="554" t="s">
        <v>843</v>
      </c>
      <c r="P218" s="554"/>
      <c r="Q218" s="554"/>
      <c r="R218" s="554"/>
      <c r="S218" s="553"/>
      <c r="T218" s="548"/>
      <c r="U218" s="549"/>
      <c r="V218" s="556"/>
      <c r="W218" s="555"/>
      <c r="X218" s="555"/>
      <c r="Y218" s="556" t="s">
        <v>847</v>
      </c>
      <c r="Z218" s="555"/>
      <c r="AA218" s="555"/>
      <c r="AB218" s="674" t="s">
        <v>844</v>
      </c>
      <c r="AC218" s="598"/>
      <c r="AD218" s="673">
        <v>5000000</v>
      </c>
      <c r="AE218" s="685" t="s">
        <v>55</v>
      </c>
      <c r="AF218" s="728"/>
      <c r="AG218" s="734"/>
      <c r="AH218" s="724"/>
      <c r="AI218" s="647"/>
      <c r="AJ218" s="647"/>
    </row>
    <row r="219" spans="1:38" s="531" customFormat="1" ht="21" customHeight="1">
      <c r="A219" s="532"/>
      <c r="B219" s="533"/>
      <c r="C219" s="533"/>
      <c r="D219" s="620"/>
      <c r="E219" s="536"/>
      <c r="F219" s="536"/>
      <c r="G219" s="536"/>
      <c r="H219" s="536"/>
      <c r="I219" s="536"/>
      <c r="J219" s="536"/>
      <c r="K219" s="536"/>
      <c r="L219" s="536"/>
      <c r="M219" s="536"/>
      <c r="N219" s="535"/>
      <c r="O219" s="554"/>
      <c r="P219" s="554"/>
      <c r="Q219" s="554"/>
      <c r="R219" s="554"/>
      <c r="S219" s="553"/>
      <c r="T219" s="548"/>
      <c r="U219" s="549"/>
      <c r="V219" s="556"/>
      <c r="W219" s="555"/>
      <c r="X219" s="555"/>
      <c r="Y219" s="556" t="s">
        <v>845</v>
      </c>
      <c r="Z219" s="555"/>
      <c r="AA219" s="555"/>
      <c r="AB219" s="674" t="s">
        <v>137</v>
      </c>
      <c r="AC219" s="598"/>
      <c r="AD219" s="673">
        <v>8714000</v>
      </c>
      <c r="AE219" s="685" t="s">
        <v>55</v>
      </c>
      <c r="AF219" s="728"/>
      <c r="AG219" s="734"/>
      <c r="AH219" s="724"/>
      <c r="AI219" s="647"/>
      <c r="AJ219" s="647"/>
    </row>
    <row r="220" spans="1:38" s="531" customFormat="1" ht="21" customHeight="1">
      <c r="A220" s="532"/>
      <c r="B220" s="533"/>
      <c r="C220" s="533"/>
      <c r="D220" s="620"/>
      <c r="E220" s="536"/>
      <c r="F220" s="536"/>
      <c r="G220" s="536"/>
      <c r="H220" s="536"/>
      <c r="I220" s="536"/>
      <c r="J220" s="536"/>
      <c r="K220" s="536"/>
      <c r="L220" s="536"/>
      <c r="M220" s="536"/>
      <c r="N220" s="535"/>
      <c r="O220" s="554" t="s">
        <v>857</v>
      </c>
      <c r="P220" s="554"/>
      <c r="Q220" s="554"/>
      <c r="R220" s="554"/>
      <c r="S220" s="598"/>
      <c r="T220" s="548"/>
      <c r="U220" s="549"/>
      <c r="V220" s="599"/>
      <c r="W220" s="555"/>
      <c r="X220" s="555"/>
      <c r="Y220" s="599" t="s">
        <v>858</v>
      </c>
      <c r="Z220" s="555"/>
      <c r="AA220" s="555"/>
      <c r="AB220" s="674" t="s">
        <v>137</v>
      </c>
      <c r="AC220" s="598"/>
      <c r="AD220" s="673">
        <v>2500000</v>
      </c>
      <c r="AE220" s="685" t="s">
        <v>55</v>
      </c>
      <c r="AF220" s="728"/>
      <c r="AG220" s="734"/>
      <c r="AH220" s="724"/>
      <c r="AI220" s="647"/>
      <c r="AJ220" s="647"/>
    </row>
    <row r="221" spans="1:38" s="531" customFormat="1" ht="21" customHeight="1">
      <c r="A221" s="532"/>
      <c r="B221" s="533"/>
      <c r="C221" s="533"/>
      <c r="D221" s="620"/>
      <c r="E221" s="536"/>
      <c r="F221" s="536"/>
      <c r="G221" s="536"/>
      <c r="H221" s="536"/>
      <c r="I221" s="536"/>
      <c r="J221" s="536"/>
      <c r="K221" s="536"/>
      <c r="L221" s="536"/>
      <c r="M221" s="536"/>
      <c r="N221" s="535"/>
      <c r="O221" s="554"/>
      <c r="P221" s="554"/>
      <c r="Q221" s="554"/>
      <c r="R221" s="554"/>
      <c r="S221" s="598"/>
      <c r="T221" s="548"/>
      <c r="U221" s="549"/>
      <c r="V221" s="599"/>
      <c r="W221" s="555"/>
      <c r="X221" s="555"/>
      <c r="Y221" s="599" t="s">
        <v>859</v>
      </c>
      <c r="Z221" s="555"/>
      <c r="AA221" s="555"/>
      <c r="AB221" s="674" t="s">
        <v>137</v>
      </c>
      <c r="AC221" s="598"/>
      <c r="AD221" s="673">
        <f>270880+120</f>
        <v>271000</v>
      </c>
      <c r="AE221" s="685" t="s">
        <v>55</v>
      </c>
      <c r="AF221" s="728"/>
      <c r="AG221" s="734"/>
      <c r="AH221" s="724"/>
      <c r="AI221" s="647"/>
      <c r="AJ221" s="647"/>
    </row>
    <row r="222" spans="1:38" s="531" customFormat="1" ht="21" customHeight="1">
      <c r="A222" s="532"/>
      <c r="B222" s="533"/>
      <c r="C222" s="533"/>
      <c r="D222" s="620"/>
      <c r="E222" s="536"/>
      <c r="F222" s="536"/>
      <c r="G222" s="536"/>
      <c r="H222" s="536"/>
      <c r="I222" s="536"/>
      <c r="J222" s="536"/>
      <c r="K222" s="536"/>
      <c r="L222" s="536"/>
      <c r="M222" s="536"/>
      <c r="N222" s="535"/>
      <c r="O222" s="554" t="s">
        <v>855</v>
      </c>
      <c r="P222" s="554"/>
      <c r="Q222" s="554"/>
      <c r="R222" s="554"/>
      <c r="S222" s="553"/>
      <c r="T222" s="548"/>
      <c r="U222" s="549"/>
      <c r="V222" s="556"/>
      <c r="W222" s="555"/>
      <c r="X222" s="555"/>
      <c r="Y222" s="556"/>
      <c r="Z222" s="555"/>
      <c r="AA222" s="555"/>
      <c r="AB222" s="674" t="s">
        <v>137</v>
      </c>
      <c r="AC222" s="598"/>
      <c r="AD222" s="673">
        <v>0</v>
      </c>
      <c r="AE222" s="685" t="s">
        <v>55</v>
      </c>
      <c r="AF222" s="728"/>
      <c r="AG222" s="734"/>
      <c r="AH222" s="724"/>
      <c r="AI222" s="647"/>
      <c r="AJ222" s="647"/>
    </row>
    <row r="223" spans="1:38" s="531" customFormat="1" ht="21" customHeight="1">
      <c r="A223" s="532"/>
      <c r="B223" s="533"/>
      <c r="C223" s="533"/>
      <c r="D223" s="620"/>
      <c r="E223" s="536"/>
      <c r="F223" s="536"/>
      <c r="G223" s="536"/>
      <c r="H223" s="536"/>
      <c r="I223" s="536"/>
      <c r="J223" s="536"/>
      <c r="K223" s="536"/>
      <c r="L223" s="536"/>
      <c r="M223" s="536"/>
      <c r="N223" s="535"/>
      <c r="O223" s="554" t="s">
        <v>856</v>
      </c>
      <c r="P223" s="554"/>
      <c r="Q223" s="554"/>
      <c r="R223" s="554"/>
      <c r="S223" s="553"/>
      <c r="T223" s="548"/>
      <c r="U223" s="549"/>
      <c r="V223" s="556"/>
      <c r="W223" s="555"/>
      <c r="X223" s="555"/>
      <c r="Y223" s="556"/>
      <c r="Z223" s="555"/>
      <c r="AA223" s="555"/>
      <c r="AB223" s="674" t="s">
        <v>137</v>
      </c>
      <c r="AC223" s="598"/>
      <c r="AD223" s="673">
        <f>3376000-338000</f>
        <v>3038000</v>
      </c>
      <c r="AE223" s="685" t="s">
        <v>55</v>
      </c>
      <c r="AF223" s="728"/>
      <c r="AG223" s="734"/>
      <c r="AH223" s="724"/>
      <c r="AI223" s="647"/>
      <c r="AJ223" s="647"/>
    </row>
    <row r="224" spans="1:38" s="531" customFormat="1" ht="21" customHeight="1">
      <c r="A224" s="532"/>
      <c r="B224" s="533"/>
      <c r="C224" s="533"/>
      <c r="D224" s="620"/>
      <c r="E224" s="536"/>
      <c r="F224" s="536"/>
      <c r="G224" s="536"/>
      <c r="H224" s="536"/>
      <c r="I224" s="536"/>
      <c r="J224" s="536"/>
      <c r="K224" s="536"/>
      <c r="L224" s="536"/>
      <c r="M224" s="536"/>
      <c r="N224" s="535"/>
      <c r="O224" s="554"/>
      <c r="P224" s="554"/>
      <c r="Q224" s="554"/>
      <c r="R224" s="554"/>
      <c r="S224" s="553"/>
      <c r="T224" s="548"/>
      <c r="U224" s="549"/>
      <c r="V224" s="556"/>
      <c r="W224" s="555"/>
      <c r="X224" s="555"/>
      <c r="Y224" s="556"/>
      <c r="Z224" s="555"/>
      <c r="AA224" s="555"/>
      <c r="AB224" s="674"/>
      <c r="AC224" s="598"/>
      <c r="AD224" s="673"/>
      <c r="AE224" s="685"/>
      <c r="AF224" s="728"/>
      <c r="AG224" s="734"/>
      <c r="AH224" s="724"/>
      <c r="AI224" s="647"/>
      <c r="AJ224" s="647"/>
    </row>
    <row r="225" spans="1:36" s="7" customFormat="1" ht="21" customHeight="1">
      <c r="A225" s="25"/>
      <c r="B225" s="26"/>
      <c r="C225" s="26"/>
      <c r="D225" s="620"/>
      <c r="E225" s="67"/>
      <c r="F225" s="67"/>
      <c r="G225" s="67"/>
      <c r="H225" s="67"/>
      <c r="I225" s="67"/>
      <c r="J225" s="67"/>
      <c r="K225" s="67"/>
      <c r="L225" s="67"/>
      <c r="M225" s="67"/>
      <c r="N225" s="43"/>
      <c r="O225" s="338"/>
      <c r="P225" s="338"/>
      <c r="Q225" s="338"/>
      <c r="R225" s="338"/>
      <c r="S225" s="337"/>
      <c r="T225" s="230"/>
      <c r="U225" s="298"/>
      <c r="V225" s="340"/>
      <c r="W225" s="339"/>
      <c r="X225" s="339"/>
      <c r="Y225" s="340"/>
      <c r="Z225" s="339"/>
      <c r="AA225" s="339"/>
      <c r="AB225" s="674"/>
      <c r="AC225" s="598"/>
      <c r="AD225" s="673"/>
      <c r="AE225" s="685"/>
      <c r="AF225" s="728"/>
      <c r="AG225" s="734"/>
      <c r="AH225" s="724"/>
      <c r="AI225" s="647"/>
      <c r="AJ225" s="647"/>
    </row>
    <row r="226" spans="1:36" s="7" customFormat="1" ht="21" customHeight="1">
      <c r="A226" s="25"/>
      <c r="B226" s="26"/>
      <c r="C226" s="26"/>
      <c r="D226" s="620"/>
      <c r="E226" s="67"/>
      <c r="F226" s="67"/>
      <c r="G226" s="67"/>
      <c r="H226" s="67"/>
      <c r="I226" s="67"/>
      <c r="J226" s="67"/>
      <c r="K226" s="67"/>
      <c r="L226" s="67"/>
      <c r="M226" s="67"/>
      <c r="N226" s="43"/>
      <c r="O226" s="338"/>
      <c r="P226" s="338"/>
      <c r="Q226" s="338"/>
      <c r="R226" s="338"/>
      <c r="S226" s="337"/>
      <c r="T226" s="230"/>
      <c r="U226" s="298"/>
      <c r="V226" s="340"/>
      <c r="W226" s="339"/>
      <c r="X226" s="339"/>
      <c r="Y226" s="340"/>
      <c r="Z226" s="339"/>
      <c r="AA226" s="339"/>
      <c r="AB226" s="674"/>
      <c r="AC226" s="598"/>
      <c r="AD226" s="673"/>
      <c r="AE226" s="685"/>
      <c r="AF226" s="728"/>
      <c r="AG226" s="734"/>
      <c r="AH226" s="724"/>
      <c r="AI226" s="647"/>
      <c r="AJ226" s="647"/>
    </row>
    <row r="227" spans="1:36" s="7" customFormat="1" ht="21" customHeight="1">
      <c r="A227" s="25"/>
      <c r="B227" s="26"/>
      <c r="C227" s="18" t="s">
        <v>50</v>
      </c>
      <c r="D227" s="636">
        <v>29560</v>
      </c>
      <c r="E227" s="70">
        <f>ROUND(AD227/1000,0)</f>
        <v>22609</v>
      </c>
      <c r="F227" s="71">
        <f>SUMIF($AB$228:$AB$242,"보조",$AD$228:$AD$242)/1000</f>
        <v>6047</v>
      </c>
      <c r="G227" s="71">
        <f>SUMIF($AB$228:$AB$242,"6종",$AD$228:$AD$242)/1000</f>
        <v>0</v>
      </c>
      <c r="H227" s="71">
        <f>SUMIF($AB$228:$AB$242,"4종",$AD$228:$AD$242)/1000</f>
        <v>0</v>
      </c>
      <c r="I227" s="71">
        <f>SUMIF($AB$228:$AB$242,"후원",$AD$228:$AD$242)/1000</f>
        <v>16562</v>
      </c>
      <c r="J227" s="71">
        <f>SUMIF($AB$228:$AB$242,"입소",$AD$228:$AD$242)/1000</f>
        <v>0</v>
      </c>
      <c r="K227" s="71">
        <f>SUMIF($AB$228:$AB$242,"법인",$AD$228:$AD$242)/1000</f>
        <v>0</v>
      </c>
      <c r="L227" s="71">
        <f>SUMIF($AB$228:$AB$242,"잡수",$AD$228:$AD$242)/1000</f>
        <v>0</v>
      </c>
      <c r="M227" s="77">
        <f>E227-D227</f>
        <v>-6951</v>
      </c>
      <c r="N227" s="75">
        <f>IF(D227=0,0,M227/D227)</f>
        <v>-0.235148849797023</v>
      </c>
      <c r="O227" s="187" t="s">
        <v>51</v>
      </c>
      <c r="P227" s="188"/>
      <c r="Q227" s="188"/>
      <c r="R227" s="188"/>
      <c r="S227" s="188"/>
      <c r="T227" s="444"/>
      <c r="U227" s="444"/>
      <c r="V227" s="189"/>
      <c r="W227" s="444"/>
      <c r="X227" s="444"/>
      <c r="Y227" s="190" t="s">
        <v>127</v>
      </c>
      <c r="Z227" s="448"/>
      <c r="AA227" s="448"/>
      <c r="AB227" s="711"/>
      <c r="AC227" s="541"/>
      <c r="AD227" s="656">
        <f>SUM(AD228:AD242)</f>
        <v>22609000</v>
      </c>
      <c r="AE227" s="686" t="s">
        <v>25</v>
      </c>
      <c r="AF227" s="728"/>
      <c r="AG227" s="734"/>
      <c r="AH227" s="724"/>
      <c r="AI227" s="647"/>
      <c r="AJ227" s="647"/>
    </row>
    <row r="228" spans="1:36" ht="21" customHeight="1">
      <c r="A228" s="25"/>
      <c r="B228" s="26"/>
      <c r="C228" s="26" t="s">
        <v>139</v>
      </c>
      <c r="D228" s="626"/>
      <c r="E228" s="353"/>
      <c r="F228" s="353"/>
      <c r="G228" s="353"/>
      <c r="H228" s="353"/>
      <c r="I228" s="353"/>
      <c r="J228" s="353"/>
      <c r="K228" s="353"/>
      <c r="L228" s="353"/>
      <c r="M228" s="67"/>
      <c r="N228" s="43"/>
      <c r="O228" s="338" t="s">
        <v>242</v>
      </c>
      <c r="P228" s="338"/>
      <c r="Q228" s="338"/>
      <c r="R228" s="338"/>
      <c r="S228" s="337">
        <v>220000</v>
      </c>
      <c r="T228" s="298" t="s">
        <v>55</v>
      </c>
      <c r="U228" s="298" t="s">
        <v>26</v>
      </c>
      <c r="V228" s="337">
        <v>12</v>
      </c>
      <c r="W228" s="298" t="s">
        <v>0</v>
      </c>
      <c r="X228" s="339" t="s">
        <v>27</v>
      </c>
      <c r="Y228" s="340"/>
      <c r="Z228" s="339"/>
      <c r="AA228" s="339"/>
      <c r="AB228" s="674" t="s">
        <v>70</v>
      </c>
      <c r="AC228" s="598"/>
      <c r="AD228" s="673">
        <f>S228*V228</f>
        <v>2640000</v>
      </c>
      <c r="AE228" s="685" t="s">
        <v>25</v>
      </c>
      <c r="AF228" s="728"/>
      <c r="AG228" s="734"/>
    </row>
    <row r="229" spans="1:36" ht="21" customHeight="1">
      <c r="A229" s="25"/>
      <c r="B229" s="26"/>
      <c r="C229" s="26"/>
      <c r="D229" s="627"/>
      <c r="E229" s="354"/>
      <c r="F229" s="354"/>
      <c r="G229" s="354"/>
      <c r="H229" s="354"/>
      <c r="I229" s="354"/>
      <c r="J229" s="354"/>
      <c r="K229" s="354"/>
      <c r="L229" s="354"/>
      <c r="M229" s="67"/>
      <c r="N229" s="43"/>
      <c r="O229" s="338" t="s">
        <v>243</v>
      </c>
      <c r="P229" s="338"/>
      <c r="Q229" s="338"/>
      <c r="R229" s="338"/>
      <c r="S229" s="337">
        <v>140000</v>
      </c>
      <c r="T229" s="298" t="s">
        <v>55</v>
      </c>
      <c r="U229" s="298" t="s">
        <v>26</v>
      </c>
      <c r="V229" s="337">
        <v>12</v>
      </c>
      <c r="W229" s="298" t="s">
        <v>0</v>
      </c>
      <c r="X229" s="339" t="s">
        <v>27</v>
      </c>
      <c r="Y229" s="340"/>
      <c r="Z229" s="339"/>
      <c r="AA229" s="339"/>
      <c r="AB229" s="674" t="s">
        <v>70</v>
      </c>
      <c r="AC229" s="598"/>
      <c r="AD229" s="673">
        <f>S229*V229</f>
        <v>1680000</v>
      </c>
      <c r="AE229" s="685" t="s">
        <v>25</v>
      </c>
      <c r="AF229" s="728"/>
      <c r="AG229" s="734"/>
    </row>
    <row r="230" spans="1:36" ht="21" customHeight="1">
      <c r="A230" s="25"/>
      <c r="B230" s="26"/>
      <c r="C230" s="26"/>
      <c r="D230" s="623"/>
      <c r="E230" s="67"/>
      <c r="F230" s="67"/>
      <c r="G230" s="67"/>
      <c r="H230" s="67"/>
      <c r="I230" s="67"/>
      <c r="J230" s="67"/>
      <c r="K230" s="67"/>
      <c r="L230" s="67"/>
      <c r="M230" s="67"/>
      <c r="N230" s="43"/>
      <c r="O230" s="338" t="s">
        <v>277</v>
      </c>
      <c r="P230" s="338"/>
      <c r="Q230" s="338"/>
      <c r="R230" s="338"/>
      <c r="S230" s="337"/>
      <c r="T230" s="298"/>
      <c r="U230" s="298"/>
      <c r="V230" s="337"/>
      <c r="W230" s="339" t="s">
        <v>216</v>
      </c>
      <c r="X230" s="339"/>
      <c r="Y230" s="340"/>
      <c r="Z230" s="339"/>
      <c r="AA230" s="339"/>
      <c r="AB230" s="674" t="s">
        <v>137</v>
      </c>
      <c r="AC230" s="598"/>
      <c r="AD230" s="673">
        <v>13769000</v>
      </c>
      <c r="AE230" s="685" t="s">
        <v>55</v>
      </c>
      <c r="AF230" s="728"/>
      <c r="AG230" s="734"/>
    </row>
    <row r="231" spans="1:36" ht="21" customHeight="1">
      <c r="A231" s="25"/>
      <c r="B231" s="26"/>
      <c r="C231" s="26"/>
      <c r="D231" s="623"/>
      <c r="E231" s="67"/>
      <c r="F231" s="67"/>
      <c r="G231" s="67"/>
      <c r="H231" s="67"/>
      <c r="I231" s="67"/>
      <c r="J231" s="67"/>
      <c r="K231" s="67"/>
      <c r="L231" s="67"/>
      <c r="M231" s="67"/>
      <c r="N231" s="43"/>
      <c r="O231" s="338" t="s">
        <v>305</v>
      </c>
      <c r="P231" s="338"/>
      <c r="Q231" s="338"/>
      <c r="R231" s="338"/>
      <c r="S231" s="337"/>
      <c r="T231" s="298"/>
      <c r="U231" s="298"/>
      <c r="V231" s="337"/>
      <c r="W231" s="298"/>
      <c r="X231" s="339"/>
      <c r="Y231" s="340"/>
      <c r="Z231" s="339"/>
      <c r="AA231" s="339"/>
      <c r="AB231" s="674" t="s">
        <v>137</v>
      </c>
      <c r="AC231" s="598"/>
      <c r="AD231" s="673">
        <v>0</v>
      </c>
      <c r="AE231" s="685" t="s">
        <v>55</v>
      </c>
      <c r="AF231" s="728"/>
      <c r="AG231" s="734"/>
    </row>
    <row r="232" spans="1:36" ht="21" customHeight="1">
      <c r="A232" s="25"/>
      <c r="B232" s="26"/>
      <c r="C232" s="26"/>
      <c r="D232" s="623"/>
      <c r="E232" s="67"/>
      <c r="F232" s="67"/>
      <c r="G232" s="67"/>
      <c r="H232" s="67"/>
      <c r="I232" s="67"/>
      <c r="J232" s="67"/>
      <c r="K232" s="67"/>
      <c r="L232" s="67"/>
      <c r="M232" s="67"/>
      <c r="N232" s="43"/>
      <c r="O232" s="338" t="s">
        <v>767</v>
      </c>
      <c r="P232" s="338"/>
      <c r="Q232" s="338"/>
      <c r="R232" s="338"/>
      <c r="S232" s="337"/>
      <c r="T232" s="298"/>
      <c r="U232" s="298"/>
      <c r="V232" s="337"/>
      <c r="W232" s="298"/>
      <c r="X232" s="339"/>
      <c r="Y232" s="340"/>
      <c r="Z232" s="339"/>
      <c r="AA232" s="339"/>
      <c r="AB232" s="674" t="s">
        <v>137</v>
      </c>
      <c r="AC232" s="598"/>
      <c r="AD232" s="673">
        <v>0</v>
      </c>
      <c r="AE232" s="685" t="s">
        <v>55</v>
      </c>
      <c r="AF232" s="728"/>
      <c r="AG232" s="734"/>
    </row>
    <row r="233" spans="1:36" ht="21" customHeight="1">
      <c r="A233" s="25"/>
      <c r="B233" s="26"/>
      <c r="C233" s="26"/>
      <c r="D233" s="623"/>
      <c r="E233" s="67"/>
      <c r="F233" s="67"/>
      <c r="G233" s="67"/>
      <c r="H233" s="67"/>
      <c r="I233" s="67"/>
      <c r="J233" s="67"/>
      <c r="K233" s="67"/>
      <c r="L233" s="67"/>
      <c r="M233" s="67"/>
      <c r="N233" s="43"/>
      <c r="O233" s="338" t="s">
        <v>306</v>
      </c>
      <c r="P233" s="338"/>
      <c r="Q233" s="338"/>
      <c r="R233" s="338"/>
      <c r="S233" s="337">
        <v>1793000</v>
      </c>
      <c r="T233" s="298" t="s">
        <v>55</v>
      </c>
      <c r="U233" s="298" t="s">
        <v>26</v>
      </c>
      <c r="V233" s="337">
        <v>1</v>
      </c>
      <c r="W233" s="298" t="s">
        <v>0</v>
      </c>
      <c r="X233" s="339" t="s">
        <v>27</v>
      </c>
      <c r="Y233" s="340"/>
      <c r="Z233" s="339"/>
      <c r="AA233" s="339"/>
      <c r="AB233" s="674" t="s">
        <v>70</v>
      </c>
      <c r="AC233" s="598"/>
      <c r="AD233" s="673">
        <f>S233*V233-66000</f>
        <v>1727000</v>
      </c>
      <c r="AE233" s="685" t="s">
        <v>25</v>
      </c>
      <c r="AF233" s="728"/>
      <c r="AG233" s="734"/>
    </row>
    <row r="234" spans="1:36" ht="21" customHeight="1">
      <c r="A234" s="25"/>
      <c r="B234" s="26"/>
      <c r="C234" s="26"/>
      <c r="D234" s="623"/>
      <c r="E234" s="67"/>
      <c r="F234" s="67"/>
      <c r="G234" s="67"/>
      <c r="H234" s="67"/>
      <c r="I234" s="67"/>
      <c r="J234" s="67"/>
      <c r="K234" s="67"/>
      <c r="L234" s="67"/>
      <c r="M234" s="67"/>
      <c r="N234" s="43"/>
      <c r="O234" s="338"/>
      <c r="P234" s="338"/>
      <c r="Q234" s="338"/>
      <c r="R234" s="338"/>
      <c r="S234" s="337">
        <v>1793000</v>
      </c>
      <c r="T234" s="298" t="s">
        <v>55</v>
      </c>
      <c r="U234" s="298" t="s">
        <v>26</v>
      </c>
      <c r="V234" s="337">
        <v>1</v>
      </c>
      <c r="W234" s="298" t="s">
        <v>0</v>
      </c>
      <c r="X234" s="339" t="s">
        <v>27</v>
      </c>
      <c r="Y234" s="340"/>
      <c r="Z234" s="339"/>
      <c r="AA234" s="339"/>
      <c r="AB234" s="674" t="s">
        <v>752</v>
      </c>
      <c r="AC234" s="598"/>
      <c r="AD234" s="673">
        <f>S234*V234</f>
        <v>1793000</v>
      </c>
      <c r="AE234" s="685" t="s">
        <v>25</v>
      </c>
      <c r="AF234" s="728"/>
      <c r="AG234" s="734"/>
    </row>
    <row r="235" spans="1:36" ht="21" customHeight="1">
      <c r="A235" s="25"/>
      <c r="B235" s="26"/>
      <c r="C235" s="26"/>
      <c r="D235" s="623"/>
      <c r="E235" s="67"/>
      <c r="F235" s="67"/>
      <c r="G235" s="67"/>
      <c r="H235" s="67"/>
      <c r="I235" s="67"/>
      <c r="J235" s="67"/>
      <c r="K235" s="67"/>
      <c r="L235" s="67"/>
      <c r="M235" s="67"/>
      <c r="N235" s="43"/>
      <c r="O235" s="338" t="s">
        <v>788</v>
      </c>
      <c r="P235" s="338"/>
      <c r="Q235" s="338"/>
      <c r="R235" s="338"/>
      <c r="S235" s="337"/>
      <c r="T235" s="298"/>
      <c r="U235" s="298"/>
      <c r="V235" s="337"/>
      <c r="W235" s="298"/>
      <c r="X235" s="339"/>
      <c r="Y235" s="340"/>
      <c r="Z235" s="339"/>
      <c r="AA235" s="339"/>
      <c r="AB235" s="674" t="s">
        <v>805</v>
      </c>
      <c r="AC235" s="598"/>
      <c r="AD235" s="673">
        <v>0</v>
      </c>
      <c r="AE235" s="685" t="s">
        <v>55</v>
      </c>
      <c r="AF235" s="728"/>
      <c r="AG235" s="734"/>
    </row>
    <row r="236" spans="1:36" ht="21" customHeight="1">
      <c r="A236" s="25"/>
      <c r="B236" s="26"/>
      <c r="C236" s="26"/>
      <c r="D236" s="623"/>
      <c r="E236" s="67"/>
      <c r="F236" s="67"/>
      <c r="G236" s="67"/>
      <c r="H236" s="67"/>
      <c r="I236" s="67"/>
      <c r="J236" s="67"/>
      <c r="K236" s="67"/>
      <c r="L236" s="67"/>
      <c r="M236" s="67"/>
      <c r="N236" s="43"/>
      <c r="O236" s="338"/>
      <c r="P236" s="338"/>
      <c r="Q236" s="338"/>
      <c r="R236" s="338"/>
      <c r="S236" s="337"/>
      <c r="T236" s="298"/>
      <c r="U236" s="298"/>
      <c r="V236" s="337"/>
      <c r="W236" s="339" t="s">
        <v>253</v>
      </c>
      <c r="X236" s="339"/>
      <c r="Y236" s="340"/>
      <c r="Z236" s="339"/>
      <c r="AA236" s="339"/>
      <c r="AB236" s="674" t="s">
        <v>137</v>
      </c>
      <c r="AC236" s="598"/>
      <c r="AD236" s="673">
        <v>0</v>
      </c>
      <c r="AE236" s="685" t="s">
        <v>55</v>
      </c>
      <c r="AF236" s="728"/>
      <c r="AG236" s="734"/>
    </row>
    <row r="237" spans="1:36" ht="21" customHeight="1">
      <c r="A237" s="25"/>
      <c r="B237" s="26"/>
      <c r="C237" s="26"/>
      <c r="D237" s="619"/>
      <c r="E237" s="526"/>
      <c r="F237" s="526"/>
      <c r="G237" s="526"/>
      <c r="H237" s="526"/>
      <c r="I237" s="526"/>
      <c r="J237" s="526"/>
      <c r="K237" s="67"/>
      <c r="L237" s="67"/>
      <c r="M237" s="67"/>
      <c r="N237" s="43"/>
      <c r="O237" s="338" t="s">
        <v>307</v>
      </c>
      <c r="P237" s="338"/>
      <c r="Q237" s="338"/>
      <c r="R237" s="338"/>
      <c r="S237" s="337"/>
      <c r="T237" s="298"/>
      <c r="U237" s="298"/>
      <c r="V237" s="337"/>
      <c r="W237" s="298"/>
      <c r="X237" s="339"/>
      <c r="Y237" s="340"/>
      <c r="Z237" s="339"/>
      <c r="AA237" s="339"/>
      <c r="AB237" s="674" t="s">
        <v>137</v>
      </c>
      <c r="AC237" s="598"/>
      <c r="AD237" s="673">
        <v>0</v>
      </c>
      <c r="AE237" s="685" t="s">
        <v>55</v>
      </c>
      <c r="AF237" s="728"/>
      <c r="AG237" s="734"/>
    </row>
    <row r="238" spans="1:36" ht="21" customHeight="1">
      <c r="A238" s="25"/>
      <c r="B238" s="26"/>
      <c r="C238" s="26"/>
      <c r="D238" s="619"/>
      <c r="E238" s="67"/>
      <c r="F238" s="67"/>
      <c r="G238" s="67"/>
      <c r="H238" s="67"/>
      <c r="I238" s="67"/>
      <c r="K238" s="67"/>
      <c r="L238" s="67"/>
      <c r="M238" s="67"/>
      <c r="N238" s="43"/>
      <c r="O238" s="338" t="s">
        <v>308</v>
      </c>
      <c r="P238" s="338"/>
      <c r="Q238" s="338"/>
      <c r="R238" s="338"/>
      <c r="S238" s="337"/>
      <c r="T238" s="298"/>
      <c r="U238" s="298"/>
      <c r="V238" s="337"/>
      <c r="W238" s="298"/>
      <c r="X238" s="339"/>
      <c r="Y238" s="340"/>
      <c r="Z238" s="339"/>
      <c r="AA238" s="339"/>
      <c r="AB238" s="674" t="s">
        <v>137</v>
      </c>
      <c r="AC238" s="598"/>
      <c r="AD238" s="673">
        <v>0</v>
      </c>
      <c r="AE238" s="685" t="s">
        <v>55</v>
      </c>
      <c r="AF238" s="728"/>
      <c r="AG238" s="734"/>
    </row>
    <row r="239" spans="1:36" ht="21" customHeight="1">
      <c r="A239" s="25"/>
      <c r="B239" s="26"/>
      <c r="C239" s="26"/>
      <c r="D239" s="619"/>
      <c r="E239" s="67"/>
      <c r="F239" s="67"/>
      <c r="G239" s="67"/>
      <c r="H239" s="67"/>
      <c r="I239" s="67"/>
      <c r="J239" s="67"/>
      <c r="K239" s="67"/>
      <c r="L239" s="67"/>
      <c r="M239" s="67"/>
      <c r="N239" s="43"/>
      <c r="O239" s="338" t="s">
        <v>309</v>
      </c>
      <c r="P239" s="338"/>
      <c r="Q239" s="338"/>
      <c r="R239" s="338"/>
      <c r="S239" s="337"/>
      <c r="T239" s="298"/>
      <c r="U239" s="298"/>
      <c r="V239" s="337"/>
      <c r="W239" s="298"/>
      <c r="X239" s="339"/>
      <c r="Y239" s="340"/>
      <c r="Z239" s="339"/>
      <c r="AA239" s="339"/>
      <c r="AB239" s="674" t="s">
        <v>137</v>
      </c>
      <c r="AC239" s="598"/>
      <c r="AD239" s="673">
        <v>0</v>
      </c>
      <c r="AE239" s="685" t="s">
        <v>55</v>
      </c>
      <c r="AF239" s="728"/>
      <c r="AG239" s="734"/>
    </row>
    <row r="240" spans="1:36" ht="21" customHeight="1">
      <c r="A240" s="25"/>
      <c r="B240" s="26"/>
      <c r="C240" s="26"/>
      <c r="D240" s="623"/>
      <c r="E240" s="67"/>
      <c r="F240" s="67"/>
      <c r="G240" s="67"/>
      <c r="H240" s="67"/>
      <c r="I240" s="67"/>
      <c r="J240" s="67"/>
      <c r="K240" s="67"/>
      <c r="L240" s="67"/>
      <c r="M240" s="67"/>
      <c r="N240" s="43"/>
      <c r="O240" s="338" t="s">
        <v>310</v>
      </c>
      <c r="P240" s="338"/>
      <c r="Q240" s="338"/>
      <c r="R240" s="338"/>
      <c r="S240" s="337"/>
      <c r="T240" s="298"/>
      <c r="U240" s="298"/>
      <c r="V240" s="337"/>
      <c r="W240" s="298"/>
      <c r="X240" s="339"/>
      <c r="Y240" s="340"/>
      <c r="Z240" s="339"/>
      <c r="AA240" s="339"/>
      <c r="AB240" s="674" t="s">
        <v>137</v>
      </c>
      <c r="AC240" s="598"/>
      <c r="AD240" s="673">
        <v>0</v>
      </c>
      <c r="AE240" s="685" t="s">
        <v>55</v>
      </c>
      <c r="AF240" s="728"/>
      <c r="AG240" s="734"/>
    </row>
    <row r="241" spans="1:36" ht="21" customHeight="1">
      <c r="A241" s="25"/>
      <c r="B241" s="26"/>
      <c r="C241" s="26"/>
      <c r="D241" s="623"/>
      <c r="E241" s="67"/>
      <c r="F241" s="67"/>
      <c r="G241" s="67"/>
      <c r="H241" s="67"/>
      <c r="I241" s="67"/>
      <c r="J241" s="67"/>
      <c r="K241" s="67"/>
      <c r="L241" s="67"/>
      <c r="M241" s="67"/>
      <c r="N241" s="43"/>
      <c r="O241" s="338" t="s">
        <v>311</v>
      </c>
      <c r="P241" s="338"/>
      <c r="Q241" s="338"/>
      <c r="R241" s="338"/>
      <c r="S241" s="337"/>
      <c r="T241" s="298"/>
      <c r="U241" s="298"/>
      <c r="V241" s="337"/>
      <c r="W241" s="298"/>
      <c r="X241" s="339"/>
      <c r="Y241" s="340"/>
      <c r="Z241" s="339"/>
      <c r="AA241" s="339"/>
      <c r="AB241" s="674" t="s">
        <v>137</v>
      </c>
      <c r="AC241" s="598"/>
      <c r="AD241" s="673">
        <v>1000000</v>
      </c>
      <c r="AE241" s="685" t="s">
        <v>55</v>
      </c>
      <c r="AF241" s="728"/>
      <c r="AG241" s="734"/>
    </row>
    <row r="242" spans="1:36" ht="21" customHeight="1">
      <c r="A242" s="25"/>
      <c r="B242" s="26"/>
      <c r="C242" s="26"/>
      <c r="D242" s="623"/>
      <c r="E242" s="67"/>
      <c r="F242" s="67"/>
      <c r="G242" s="67"/>
      <c r="H242" s="67"/>
      <c r="I242" s="67"/>
      <c r="J242" s="67"/>
      <c r="K242" s="67"/>
      <c r="L242" s="67"/>
      <c r="M242" s="67"/>
      <c r="N242" s="43"/>
      <c r="O242" s="338" t="s">
        <v>312</v>
      </c>
      <c r="P242" s="338"/>
      <c r="Q242" s="338"/>
      <c r="R242" s="338"/>
      <c r="S242" s="337"/>
      <c r="T242" s="298"/>
      <c r="U242" s="298"/>
      <c r="V242" s="337"/>
      <c r="W242" s="298"/>
      <c r="X242" s="339"/>
      <c r="Y242" s="340"/>
      <c r="Z242" s="339"/>
      <c r="AA242" s="339"/>
      <c r="AB242" s="674" t="s">
        <v>137</v>
      </c>
      <c r="AC242" s="598"/>
      <c r="AD242" s="673">
        <v>0</v>
      </c>
      <c r="AE242" s="685" t="s">
        <v>55</v>
      </c>
      <c r="AF242" s="728"/>
      <c r="AG242" s="734"/>
    </row>
    <row r="243" spans="1:36" s="7" customFormat="1" ht="21" customHeight="1">
      <c r="A243" s="106" t="s">
        <v>19</v>
      </c>
      <c r="B243" s="786" t="s">
        <v>20</v>
      </c>
      <c r="C243" s="787"/>
      <c r="D243" s="641">
        <v>376197</v>
      </c>
      <c r="E243" s="107">
        <f t="shared" ref="E243:M243" si="9">SUM(E244,E285)</f>
        <v>349877</v>
      </c>
      <c r="F243" s="107">
        <f t="shared" si="9"/>
        <v>129920</v>
      </c>
      <c r="G243" s="107">
        <f t="shared" si="9"/>
        <v>5839</v>
      </c>
      <c r="H243" s="107">
        <f t="shared" si="9"/>
        <v>20936</v>
      </c>
      <c r="I243" s="107">
        <f t="shared" si="9"/>
        <v>80089</v>
      </c>
      <c r="J243" s="107">
        <f t="shared" si="9"/>
        <v>106509</v>
      </c>
      <c r="K243" s="107">
        <f t="shared" si="9"/>
        <v>0</v>
      </c>
      <c r="L243" s="107">
        <f t="shared" si="9"/>
        <v>6584</v>
      </c>
      <c r="M243" s="107">
        <f t="shared" si="9"/>
        <v>-26320</v>
      </c>
      <c r="N243" s="108">
        <f>IF(D243=0,0,M243/D243)</f>
        <v>-6.9963343673660347E-2</v>
      </c>
      <c r="O243" s="188" t="s">
        <v>119</v>
      </c>
      <c r="P243" s="188"/>
      <c r="Q243" s="188"/>
      <c r="R243" s="188"/>
      <c r="S243" s="188"/>
      <c r="T243" s="444"/>
      <c r="U243" s="444"/>
      <c r="V243" s="189"/>
      <c r="W243" s="444"/>
      <c r="X243" s="444"/>
      <c r="Y243" s="336"/>
      <c r="Z243" s="444"/>
      <c r="AA243" s="444"/>
      <c r="AB243" s="709"/>
      <c r="AC243" s="540"/>
      <c r="AD243" s="655">
        <f>SUM(AD244,AD285)</f>
        <v>349877000</v>
      </c>
      <c r="AE243" s="689" t="s">
        <v>25</v>
      </c>
      <c r="AF243" s="728"/>
      <c r="AG243" s="734"/>
      <c r="AH243" s="724"/>
      <c r="AI243" s="647"/>
      <c r="AJ243" s="647"/>
    </row>
    <row r="244" spans="1:36" s="7" customFormat="1" ht="21" customHeight="1">
      <c r="A244" s="26"/>
      <c r="B244" s="18" t="s">
        <v>76</v>
      </c>
      <c r="C244" s="18" t="s">
        <v>130</v>
      </c>
      <c r="D244" s="639">
        <v>256486</v>
      </c>
      <c r="E244" s="70">
        <f t="shared" ref="E244:L244" si="10">SUM(E245,E265,E269,E272,E280)</f>
        <v>242817</v>
      </c>
      <c r="F244" s="70">
        <f t="shared" si="10"/>
        <v>129120</v>
      </c>
      <c r="G244" s="70">
        <f t="shared" si="10"/>
        <v>0</v>
      </c>
      <c r="H244" s="70">
        <f t="shared" si="10"/>
        <v>20936</v>
      </c>
      <c r="I244" s="70">
        <f t="shared" si="10"/>
        <v>15530</v>
      </c>
      <c r="J244" s="70">
        <f t="shared" si="10"/>
        <v>74528</v>
      </c>
      <c r="K244" s="70">
        <f t="shared" si="10"/>
        <v>0</v>
      </c>
      <c r="L244" s="70">
        <f t="shared" si="10"/>
        <v>2703</v>
      </c>
      <c r="M244" s="70">
        <f>E244-D244</f>
        <v>-13669</v>
      </c>
      <c r="N244" s="75">
        <f>IF(D244=0,0,M244/D244)</f>
        <v>-5.3293357142300164E-2</v>
      </c>
      <c r="O244" s="188"/>
      <c r="P244" s="188"/>
      <c r="Q244" s="188"/>
      <c r="R244" s="188"/>
      <c r="S244" s="188"/>
      <c r="T244" s="444"/>
      <c r="U244" s="444"/>
      <c r="V244" s="189"/>
      <c r="W244" s="444"/>
      <c r="X244" s="444"/>
      <c r="Y244" s="336" t="s">
        <v>28</v>
      </c>
      <c r="Z244" s="444"/>
      <c r="AA244" s="444"/>
      <c r="AB244" s="709"/>
      <c r="AC244" s="552"/>
      <c r="AD244" s="672">
        <f>SUM(AD245,AD265,AD269,AD272,AD280)</f>
        <v>242817000</v>
      </c>
      <c r="AE244" s="689" t="s">
        <v>25</v>
      </c>
      <c r="AF244" s="728"/>
      <c r="AG244" s="734"/>
      <c r="AH244" s="724"/>
      <c r="AI244" s="647"/>
      <c r="AJ244" s="647"/>
    </row>
    <row r="245" spans="1:36" s="7" customFormat="1" ht="21" customHeight="1">
      <c r="A245" s="26"/>
      <c r="B245" s="26"/>
      <c r="C245" s="18" t="s">
        <v>57</v>
      </c>
      <c r="D245" s="639">
        <v>199866</v>
      </c>
      <c r="E245" s="70">
        <f>AD245/1000</f>
        <v>196567</v>
      </c>
      <c r="F245" s="71">
        <f>SUMIF($AB$246:$AB$264,"보조",$AD$246:$AD$264)/1000</f>
        <v>103520</v>
      </c>
      <c r="G245" s="71">
        <f>SUMIF($AB$246:$AB$264,"6종",$AD$246:$AD$264)/1000</f>
        <v>0</v>
      </c>
      <c r="H245" s="71">
        <f>SUMIF($AB$246:$AB$264,"4종",$AD$246:$AD$264)/1000</f>
        <v>14816</v>
      </c>
      <c r="I245" s="71">
        <f>SUMIF($AB$246:$AB$264,"후원",$AD$246:$AD$264)/1000</f>
        <v>1000</v>
      </c>
      <c r="J245" s="71">
        <f>SUMIF($AB$246:$AB$264,"입소",$AD$246:$AD$264)/1000</f>
        <v>74528</v>
      </c>
      <c r="K245" s="71">
        <f>SUMIF($AB$246:$AB$264,"법인",$AD$246:$AD$264)/1000</f>
        <v>0</v>
      </c>
      <c r="L245" s="71">
        <f>SUMIF($AB$246:$AB$264,"잡수",$AD$246:$AD$264)/1000</f>
        <v>2703</v>
      </c>
      <c r="M245" s="77">
        <f>E245-D245</f>
        <v>-3299</v>
      </c>
      <c r="N245" s="75">
        <f>IF(D245=0,0,M245/D245)</f>
        <v>-1.6506059059569912E-2</v>
      </c>
      <c r="O245" s="187" t="s">
        <v>77</v>
      </c>
      <c r="P245" s="188"/>
      <c r="Q245" s="188"/>
      <c r="R245" s="188"/>
      <c r="S245" s="188"/>
      <c r="T245" s="444"/>
      <c r="U245" s="444"/>
      <c r="V245" s="189"/>
      <c r="W245" s="444"/>
      <c r="X245" s="444"/>
      <c r="Y245" s="190" t="s">
        <v>127</v>
      </c>
      <c r="Z245" s="448"/>
      <c r="AA245" s="448"/>
      <c r="AB245" s="711"/>
      <c r="AC245" s="541"/>
      <c r="AD245" s="656">
        <f>SUM(AD246:AD264)</f>
        <v>196567000</v>
      </c>
      <c r="AE245" s="686" t="s">
        <v>25</v>
      </c>
      <c r="AF245" s="728"/>
      <c r="AG245" s="734"/>
      <c r="AH245" s="724"/>
      <c r="AI245" s="647"/>
      <c r="AJ245" s="647"/>
    </row>
    <row r="246" spans="1:36" s="7" customFormat="1" ht="21" customHeight="1">
      <c r="A246" s="26"/>
      <c r="B246" s="26"/>
      <c r="C246" s="26"/>
      <c r="D246" s="642"/>
      <c r="E246" s="353"/>
      <c r="F246" s="353"/>
      <c r="G246" s="353"/>
      <c r="H246" s="353"/>
      <c r="I246" s="353"/>
      <c r="J246" s="353"/>
      <c r="K246" s="353"/>
      <c r="L246" s="353"/>
      <c r="M246" s="67"/>
      <c r="N246" s="43"/>
      <c r="O246" s="338" t="s">
        <v>178</v>
      </c>
      <c r="P246" s="338"/>
      <c r="Q246" s="337"/>
      <c r="R246" s="337"/>
      <c r="S246" s="337">
        <v>303266</v>
      </c>
      <c r="T246" s="339" t="s">
        <v>55</v>
      </c>
      <c r="U246" s="298" t="s">
        <v>56</v>
      </c>
      <c r="V246" s="337">
        <v>1</v>
      </c>
      <c r="W246" s="339" t="s">
        <v>0</v>
      </c>
      <c r="X246" s="298" t="s">
        <v>56</v>
      </c>
      <c r="Y246" s="340">
        <v>24</v>
      </c>
      <c r="Z246" s="339" t="s">
        <v>54</v>
      </c>
      <c r="AA246" s="339" t="s">
        <v>53</v>
      </c>
      <c r="AB246" s="674" t="s">
        <v>70</v>
      </c>
      <c r="AC246" s="599"/>
      <c r="AD246" s="675">
        <f>ROUND(S246*V246*Y246,-3)</f>
        <v>7278000</v>
      </c>
      <c r="AE246" s="685" t="s">
        <v>25</v>
      </c>
      <c r="AF246" s="728"/>
      <c r="AG246" s="734"/>
      <c r="AH246" s="724"/>
      <c r="AI246" s="647"/>
      <c r="AJ246" s="647"/>
    </row>
    <row r="247" spans="1:36" s="7" customFormat="1" ht="21" customHeight="1">
      <c r="A247" s="26"/>
      <c r="B247" s="26"/>
      <c r="C247" s="26"/>
      <c r="D247" s="642"/>
      <c r="E247" s="353"/>
      <c r="F247" s="353"/>
      <c r="G247" s="353"/>
      <c r="H247" s="353"/>
      <c r="I247" s="353"/>
      <c r="J247" s="353"/>
      <c r="K247" s="353"/>
      <c r="L247" s="353"/>
      <c r="M247" s="67"/>
      <c r="N247" s="43"/>
      <c r="O247" s="338"/>
      <c r="P247" s="338"/>
      <c r="Q247" s="337"/>
      <c r="R247" s="337"/>
      <c r="S247" s="337">
        <v>303266</v>
      </c>
      <c r="T247" s="339" t="s">
        <v>55</v>
      </c>
      <c r="U247" s="298" t="s">
        <v>56</v>
      </c>
      <c r="V247" s="337">
        <v>1</v>
      </c>
      <c r="W247" s="339" t="s">
        <v>0</v>
      </c>
      <c r="X247" s="298" t="s">
        <v>56</v>
      </c>
      <c r="Y247" s="340">
        <v>27</v>
      </c>
      <c r="Z247" s="339" t="s">
        <v>54</v>
      </c>
      <c r="AA247" s="339" t="s">
        <v>53</v>
      </c>
      <c r="AB247" s="674" t="s">
        <v>70</v>
      </c>
      <c r="AC247" s="599"/>
      <c r="AD247" s="675">
        <f t="shared" ref="AD247:AD249" si="11">ROUND(S247*V247*Y247,-3)</f>
        <v>8188000</v>
      </c>
      <c r="AE247" s="685" t="s">
        <v>25</v>
      </c>
      <c r="AF247" s="728"/>
      <c r="AG247" s="734"/>
      <c r="AH247" s="724"/>
      <c r="AI247" s="647"/>
      <c r="AJ247" s="647"/>
    </row>
    <row r="248" spans="1:36" s="7" customFormat="1" ht="21" customHeight="1">
      <c r="A248" s="26"/>
      <c r="B248" s="26"/>
      <c r="C248" s="26"/>
      <c r="D248" s="642"/>
      <c r="E248" s="353"/>
      <c r="F248" s="353"/>
      <c r="G248" s="353"/>
      <c r="H248" s="353"/>
      <c r="I248" s="353"/>
      <c r="J248" s="353"/>
      <c r="K248" s="353"/>
      <c r="L248" s="353"/>
      <c r="M248" s="67"/>
      <c r="N248" s="43"/>
      <c r="O248" s="338"/>
      <c r="P248" s="338"/>
      <c r="Q248" s="337"/>
      <c r="R248" s="337"/>
      <c r="S248" s="598">
        <v>272937</v>
      </c>
      <c r="T248" s="339" t="s">
        <v>55</v>
      </c>
      <c r="U248" s="298" t="s">
        <v>56</v>
      </c>
      <c r="V248" s="337">
        <v>8</v>
      </c>
      <c r="W248" s="339" t="s">
        <v>0</v>
      </c>
      <c r="X248" s="298" t="s">
        <v>56</v>
      </c>
      <c r="Y248" s="340">
        <v>31</v>
      </c>
      <c r="Z248" s="339" t="s">
        <v>54</v>
      </c>
      <c r="AA248" s="339" t="s">
        <v>53</v>
      </c>
      <c r="AB248" s="674" t="s">
        <v>70</v>
      </c>
      <c r="AC248" s="599"/>
      <c r="AD248" s="675">
        <f t="shared" si="11"/>
        <v>67688000</v>
      </c>
      <c r="AE248" s="685" t="s">
        <v>25</v>
      </c>
      <c r="AF248" s="728"/>
      <c r="AG248" s="734"/>
      <c r="AH248" s="724"/>
      <c r="AI248" s="647"/>
      <c r="AJ248" s="647"/>
    </row>
    <row r="249" spans="1:36" s="7" customFormat="1" ht="21" customHeight="1">
      <c r="A249" s="26"/>
      <c r="B249" s="26"/>
      <c r="C249" s="26"/>
      <c r="D249" s="642"/>
      <c r="E249" s="353"/>
      <c r="F249" s="353"/>
      <c r="G249" s="353"/>
      <c r="H249" s="353"/>
      <c r="I249" s="353"/>
      <c r="J249" s="353"/>
      <c r="K249" s="353"/>
      <c r="L249" s="353"/>
      <c r="M249" s="67"/>
      <c r="N249" s="43"/>
      <c r="O249" s="338"/>
      <c r="P249" s="338"/>
      <c r="Q249" s="337"/>
      <c r="R249" s="337"/>
      <c r="S249" s="337">
        <v>272937</v>
      </c>
      <c r="T249" s="339" t="s">
        <v>55</v>
      </c>
      <c r="U249" s="298" t="s">
        <v>56</v>
      </c>
      <c r="V249" s="337">
        <v>2</v>
      </c>
      <c r="W249" s="339" t="s">
        <v>0</v>
      </c>
      <c r="X249" s="298" t="s">
        <v>56</v>
      </c>
      <c r="Y249" s="340">
        <v>30</v>
      </c>
      <c r="Z249" s="339" t="s">
        <v>54</v>
      </c>
      <c r="AA249" s="339" t="s">
        <v>53</v>
      </c>
      <c r="AB249" s="674" t="s">
        <v>70</v>
      </c>
      <c r="AC249" s="599"/>
      <c r="AD249" s="675">
        <f t="shared" si="11"/>
        <v>16376000</v>
      </c>
      <c r="AE249" s="685" t="s">
        <v>25</v>
      </c>
      <c r="AF249" s="728"/>
      <c r="AG249" s="734"/>
      <c r="AH249" s="724"/>
      <c r="AI249" s="647"/>
      <c r="AJ249" s="647"/>
    </row>
    <row r="250" spans="1:36" s="7" customFormat="1" ht="21" customHeight="1">
      <c r="A250" s="26"/>
      <c r="B250" s="26"/>
      <c r="C250" s="26"/>
      <c r="D250" s="637"/>
      <c r="E250" s="67"/>
      <c r="F250" s="67"/>
      <c r="G250" s="67"/>
      <c r="H250" s="67"/>
      <c r="I250" s="67"/>
      <c r="J250" s="67"/>
      <c r="K250" s="67"/>
      <c r="L250" s="67"/>
      <c r="M250" s="67"/>
      <c r="N250" s="43"/>
      <c r="O250" s="338" t="s">
        <v>225</v>
      </c>
      <c r="P250" s="338"/>
      <c r="Q250" s="338"/>
      <c r="R250" s="338"/>
      <c r="S250" s="337">
        <v>303266</v>
      </c>
      <c r="T250" s="339" t="s">
        <v>55</v>
      </c>
      <c r="U250" s="298" t="s">
        <v>56</v>
      </c>
      <c r="V250" s="598">
        <v>1</v>
      </c>
      <c r="W250" s="339" t="s">
        <v>0</v>
      </c>
      <c r="X250" s="298" t="s">
        <v>56</v>
      </c>
      <c r="Y250" s="340">
        <v>27</v>
      </c>
      <c r="Z250" s="339" t="s">
        <v>54</v>
      </c>
      <c r="AA250" s="339" t="s">
        <v>53</v>
      </c>
      <c r="AB250" s="674" t="s">
        <v>753</v>
      </c>
      <c r="AC250" s="599"/>
      <c r="AD250" s="675">
        <f>ROUNDUP(S250*V250*Y250,-3)</f>
        <v>8189000</v>
      </c>
      <c r="AE250" s="685" t="s">
        <v>25</v>
      </c>
      <c r="AF250" s="728"/>
      <c r="AG250" s="734"/>
      <c r="AH250" s="724"/>
      <c r="AI250" s="647"/>
      <c r="AJ250" s="647"/>
    </row>
    <row r="251" spans="1:36" s="7" customFormat="1" ht="21" customHeight="1">
      <c r="A251" s="26"/>
      <c r="B251" s="26"/>
      <c r="C251" s="26"/>
      <c r="D251" s="637"/>
      <c r="E251" s="67"/>
      <c r="F251" s="67"/>
      <c r="G251" s="67"/>
      <c r="H251" s="67"/>
      <c r="I251" s="67"/>
      <c r="J251" s="67"/>
      <c r="K251" s="67"/>
      <c r="L251" s="67"/>
      <c r="M251" s="67"/>
      <c r="N251" s="43"/>
      <c r="O251" s="338"/>
      <c r="P251" s="338"/>
      <c r="Q251" s="338"/>
      <c r="R251" s="338"/>
      <c r="S251" s="337">
        <v>303266</v>
      </c>
      <c r="T251" s="339" t="s">
        <v>55</v>
      </c>
      <c r="U251" s="298" t="s">
        <v>56</v>
      </c>
      <c r="V251" s="598">
        <v>1</v>
      </c>
      <c r="W251" s="339" t="s">
        <v>0</v>
      </c>
      <c r="X251" s="298" t="s">
        <v>56</v>
      </c>
      <c r="Y251" s="340">
        <v>24</v>
      </c>
      <c r="Z251" s="339" t="s">
        <v>54</v>
      </c>
      <c r="AA251" s="339" t="s">
        <v>53</v>
      </c>
      <c r="AB251" s="674" t="s">
        <v>753</v>
      </c>
      <c r="AC251" s="599"/>
      <c r="AD251" s="675">
        <f>ROUNDUP(S251*V251*Y251,-3)</f>
        <v>7279000</v>
      </c>
      <c r="AE251" s="685" t="s">
        <v>25</v>
      </c>
      <c r="AF251" s="728"/>
      <c r="AG251" s="734"/>
      <c r="AH251" s="724"/>
      <c r="AI251" s="647"/>
      <c r="AJ251" s="647"/>
    </row>
    <row r="252" spans="1:36" s="7" customFormat="1" ht="21" customHeight="1">
      <c r="A252" s="26"/>
      <c r="B252" s="26"/>
      <c r="C252" s="26"/>
      <c r="D252" s="637"/>
      <c r="E252" s="67"/>
      <c r="F252" s="67"/>
      <c r="G252" s="67"/>
      <c r="H252" s="67"/>
      <c r="I252" s="67"/>
      <c r="J252" s="67"/>
      <c r="K252" s="67"/>
      <c r="L252" s="67"/>
      <c r="M252" s="67"/>
      <c r="N252" s="43"/>
      <c r="O252" s="338"/>
      <c r="P252" s="338"/>
      <c r="Q252" s="338"/>
      <c r="R252" s="338"/>
      <c r="S252" s="598">
        <v>272937</v>
      </c>
      <c r="T252" s="339" t="s">
        <v>55</v>
      </c>
      <c r="U252" s="298" t="s">
        <v>56</v>
      </c>
      <c r="V252" s="598">
        <v>8</v>
      </c>
      <c r="W252" s="339" t="s">
        <v>0</v>
      </c>
      <c r="X252" s="298" t="s">
        <v>56</v>
      </c>
      <c r="Y252" s="340">
        <v>20</v>
      </c>
      <c r="Z252" s="339" t="s">
        <v>54</v>
      </c>
      <c r="AA252" s="339" t="s">
        <v>53</v>
      </c>
      <c r="AB252" s="674" t="s">
        <v>753</v>
      </c>
      <c r="AC252" s="599"/>
      <c r="AD252" s="675">
        <f>ROUNDUP(S252*V252*Y252,-3)</f>
        <v>43670000</v>
      </c>
      <c r="AE252" s="685" t="s">
        <v>25</v>
      </c>
      <c r="AF252" s="728"/>
      <c r="AG252" s="734"/>
      <c r="AH252" s="724"/>
      <c r="AI252" s="647"/>
      <c r="AJ252" s="647"/>
    </row>
    <row r="253" spans="1:36" s="7" customFormat="1" ht="21" customHeight="1">
      <c r="A253" s="26"/>
      <c r="B253" s="26"/>
      <c r="C253" s="26"/>
      <c r="D253" s="637"/>
      <c r="E253" s="67"/>
      <c r="F253" s="67"/>
      <c r="G253" s="67"/>
      <c r="H253" s="67"/>
      <c r="I253" s="67"/>
      <c r="J253" s="67"/>
      <c r="K253" s="67"/>
      <c r="L253" s="67"/>
      <c r="M253" s="67"/>
      <c r="N253" s="43"/>
      <c r="O253" s="338"/>
      <c r="P253" s="338"/>
      <c r="Q253" s="338"/>
      <c r="R253" s="338"/>
      <c r="S253" s="337">
        <v>272937</v>
      </c>
      <c r="T253" s="339" t="s">
        <v>55</v>
      </c>
      <c r="U253" s="298" t="s">
        <v>56</v>
      </c>
      <c r="V253" s="598">
        <v>2</v>
      </c>
      <c r="W253" s="339" t="s">
        <v>0</v>
      </c>
      <c r="X253" s="298" t="s">
        <v>56</v>
      </c>
      <c r="Y253" s="340">
        <v>20</v>
      </c>
      <c r="Z253" s="339" t="s">
        <v>54</v>
      </c>
      <c r="AA253" s="339" t="s">
        <v>53</v>
      </c>
      <c r="AB253" s="674" t="s">
        <v>753</v>
      </c>
      <c r="AC253" s="599"/>
      <c r="AD253" s="675">
        <f t="shared" ref="AD253" si="12">ROUNDUP(S253*V253*Y253,-3)</f>
        <v>10918000</v>
      </c>
      <c r="AE253" s="685" t="s">
        <v>25</v>
      </c>
      <c r="AF253" s="728"/>
      <c r="AG253" s="734"/>
      <c r="AH253" s="724"/>
      <c r="AI253" s="647"/>
      <c r="AJ253" s="647"/>
    </row>
    <row r="254" spans="1:36" s="7" customFormat="1" ht="21" customHeight="1">
      <c r="A254" s="26"/>
      <c r="B254" s="26"/>
      <c r="C254" s="26"/>
      <c r="D254" s="637"/>
      <c r="E254" s="67"/>
      <c r="F254" s="67"/>
      <c r="G254" s="67"/>
      <c r="H254" s="67"/>
      <c r="I254" s="67"/>
      <c r="J254" s="67"/>
      <c r="K254" s="67"/>
      <c r="L254" s="67"/>
      <c r="M254" s="67"/>
      <c r="N254" s="43"/>
      <c r="O254" s="338" t="s">
        <v>179</v>
      </c>
      <c r="P254" s="338"/>
      <c r="Q254" s="337"/>
      <c r="R254" s="337"/>
      <c r="S254" s="337">
        <v>500</v>
      </c>
      <c r="T254" s="339" t="s">
        <v>55</v>
      </c>
      <c r="U254" s="298" t="s">
        <v>56</v>
      </c>
      <c r="V254" s="337">
        <v>365</v>
      </c>
      <c r="W254" s="339" t="s">
        <v>84</v>
      </c>
      <c r="X254" s="298" t="s">
        <v>56</v>
      </c>
      <c r="Y254" s="340">
        <v>51</v>
      </c>
      <c r="Z254" s="339" t="s">
        <v>54</v>
      </c>
      <c r="AA254" s="339" t="s">
        <v>53</v>
      </c>
      <c r="AB254" s="674" t="s">
        <v>158</v>
      </c>
      <c r="AC254" s="599"/>
      <c r="AD254" s="675">
        <f>ROUND(S254*V254*Y254,-3)</f>
        <v>9308000</v>
      </c>
      <c r="AE254" s="685" t="s">
        <v>25</v>
      </c>
      <c r="AF254" s="728"/>
      <c r="AG254" s="734"/>
      <c r="AH254" s="724"/>
      <c r="AI254" s="647"/>
      <c r="AJ254" s="647"/>
    </row>
    <row r="255" spans="1:36" s="7" customFormat="1" ht="21" customHeight="1">
      <c r="A255" s="26"/>
      <c r="B255" s="26"/>
      <c r="C255" s="26"/>
      <c r="D255" s="637"/>
      <c r="E255" s="67"/>
      <c r="F255" s="67"/>
      <c r="G255" s="67"/>
      <c r="H255" s="67"/>
      <c r="I255" s="67"/>
      <c r="J255" s="67"/>
      <c r="K255" s="67"/>
      <c r="L255" s="67"/>
      <c r="M255" s="67"/>
      <c r="N255" s="43"/>
      <c r="O255" s="338" t="s">
        <v>180</v>
      </c>
      <c r="P255" s="338"/>
      <c r="Q255" s="337"/>
      <c r="R255" s="337"/>
      <c r="S255" s="337">
        <v>5000</v>
      </c>
      <c r="T255" s="339" t="s">
        <v>55</v>
      </c>
      <c r="U255" s="298" t="s">
        <v>56</v>
      </c>
      <c r="V255" s="337">
        <v>12</v>
      </c>
      <c r="W255" s="339" t="s">
        <v>29</v>
      </c>
      <c r="X255" s="298" t="s">
        <v>56</v>
      </c>
      <c r="Y255" s="340">
        <v>51</v>
      </c>
      <c r="Z255" s="339" t="s">
        <v>54</v>
      </c>
      <c r="AA255" s="339" t="s">
        <v>53</v>
      </c>
      <c r="AB255" s="674" t="s">
        <v>158</v>
      </c>
      <c r="AC255" s="599"/>
      <c r="AD255" s="675">
        <f>S255*V255*Y255</f>
        <v>3060000</v>
      </c>
      <c r="AE255" s="685" t="s">
        <v>25</v>
      </c>
      <c r="AF255" s="728"/>
      <c r="AG255" s="734"/>
      <c r="AH255" s="724"/>
      <c r="AI255" s="647"/>
      <c r="AJ255" s="647"/>
    </row>
    <row r="256" spans="1:36" s="7" customFormat="1" ht="21" customHeight="1">
      <c r="A256" s="26"/>
      <c r="B256" s="26"/>
      <c r="C256" s="26"/>
      <c r="D256" s="637"/>
      <c r="E256" s="67"/>
      <c r="F256" s="67"/>
      <c r="G256" s="67"/>
      <c r="H256" s="67"/>
      <c r="I256" s="67"/>
      <c r="J256" s="67"/>
      <c r="K256" s="67"/>
      <c r="L256" s="67"/>
      <c r="M256" s="67"/>
      <c r="N256" s="43"/>
      <c r="O256" s="338" t="s">
        <v>181</v>
      </c>
      <c r="P256" s="338"/>
      <c r="Q256" s="337"/>
      <c r="R256" s="337"/>
      <c r="S256" s="337">
        <v>12000</v>
      </c>
      <c r="T256" s="339" t="s">
        <v>55</v>
      </c>
      <c r="U256" s="298" t="s">
        <v>56</v>
      </c>
      <c r="V256" s="337">
        <v>4</v>
      </c>
      <c r="W256" s="339" t="s">
        <v>61</v>
      </c>
      <c r="X256" s="298" t="s">
        <v>56</v>
      </c>
      <c r="Y256" s="340">
        <v>51</v>
      </c>
      <c r="Z256" s="339" t="s">
        <v>54</v>
      </c>
      <c r="AA256" s="339" t="s">
        <v>53</v>
      </c>
      <c r="AB256" s="674" t="s">
        <v>158</v>
      </c>
      <c r="AC256" s="599"/>
      <c r="AD256" s="675">
        <f>S256*V256*Y256</f>
        <v>2448000</v>
      </c>
      <c r="AE256" s="685" t="s">
        <v>25</v>
      </c>
      <c r="AF256" s="728"/>
      <c r="AG256" s="734"/>
      <c r="AH256" s="724"/>
      <c r="AI256" s="647"/>
      <c r="AJ256" s="647"/>
    </row>
    <row r="257" spans="1:36" s="7" customFormat="1" ht="21" customHeight="1">
      <c r="A257" s="26"/>
      <c r="B257" s="26"/>
      <c r="C257" s="26"/>
      <c r="D257" s="637"/>
      <c r="E257" s="67"/>
      <c r="F257" s="67"/>
      <c r="G257" s="67"/>
      <c r="H257" s="67"/>
      <c r="I257" s="67"/>
      <c r="J257" s="67"/>
      <c r="K257" s="67"/>
      <c r="L257" s="67"/>
      <c r="M257" s="67"/>
      <c r="N257" s="43"/>
      <c r="O257" s="338" t="s">
        <v>182</v>
      </c>
      <c r="P257" s="338"/>
      <c r="Q257" s="337"/>
      <c r="R257" s="337"/>
      <c r="S257" s="337">
        <v>50000</v>
      </c>
      <c r="T257" s="339" t="s">
        <v>55</v>
      </c>
      <c r="U257" s="298" t="s">
        <v>56</v>
      </c>
      <c r="V257" s="337">
        <v>1</v>
      </c>
      <c r="W257" s="339" t="s">
        <v>61</v>
      </c>
      <c r="X257" s="298" t="s">
        <v>56</v>
      </c>
      <c r="Y257" s="340">
        <v>24</v>
      </c>
      <c r="Z257" s="339" t="s">
        <v>54</v>
      </c>
      <c r="AA257" s="339" t="s">
        <v>53</v>
      </c>
      <c r="AB257" s="674" t="s">
        <v>70</v>
      </c>
      <c r="AC257" s="599"/>
      <c r="AD257" s="675">
        <f>ROUNDUP(S257*V257*Y257,-3)</f>
        <v>1200000</v>
      </c>
      <c r="AE257" s="685" t="s">
        <v>25</v>
      </c>
      <c r="AF257" s="728"/>
      <c r="AG257" s="734"/>
      <c r="AH257" s="724"/>
      <c r="AI257" s="647"/>
      <c r="AJ257" s="647"/>
    </row>
    <row r="258" spans="1:36" s="7" customFormat="1" ht="21" customHeight="1">
      <c r="A258" s="26"/>
      <c r="B258" s="26"/>
      <c r="C258" s="26"/>
      <c r="D258" s="637"/>
      <c r="E258" s="67"/>
      <c r="F258" s="67"/>
      <c r="G258" s="67"/>
      <c r="H258" s="67"/>
      <c r="I258" s="67"/>
      <c r="J258" s="67"/>
      <c r="K258" s="67"/>
      <c r="L258" s="67"/>
      <c r="M258" s="67"/>
      <c r="N258" s="43"/>
      <c r="O258" s="338"/>
      <c r="P258" s="338"/>
      <c r="Q258" s="337"/>
      <c r="R258" s="337"/>
      <c r="S258" s="337">
        <v>50000</v>
      </c>
      <c r="T258" s="339" t="s">
        <v>55</v>
      </c>
      <c r="U258" s="298" t="s">
        <v>56</v>
      </c>
      <c r="V258" s="337">
        <v>1</v>
      </c>
      <c r="W258" s="339" t="s">
        <v>61</v>
      </c>
      <c r="X258" s="298" t="s">
        <v>56</v>
      </c>
      <c r="Y258" s="340">
        <v>31</v>
      </c>
      <c r="Z258" s="339" t="s">
        <v>54</v>
      </c>
      <c r="AA258" s="339" t="s">
        <v>53</v>
      </c>
      <c r="AB258" s="674" t="s">
        <v>70</v>
      </c>
      <c r="AC258" s="599"/>
      <c r="AD258" s="675">
        <f>ROUNDUP(S258*V258*Y258,-3)</f>
        <v>1550000</v>
      </c>
      <c r="AE258" s="685" t="s">
        <v>25</v>
      </c>
      <c r="AF258" s="728"/>
      <c r="AG258" s="734"/>
      <c r="AH258" s="724"/>
      <c r="AI258" s="647"/>
      <c r="AJ258" s="647"/>
    </row>
    <row r="259" spans="1:36" s="7" customFormat="1" ht="21" customHeight="1">
      <c r="A259" s="26"/>
      <c r="B259" s="26"/>
      <c r="C259" s="26"/>
      <c r="D259" s="637"/>
      <c r="E259" s="67"/>
      <c r="F259" s="67"/>
      <c r="G259" s="67"/>
      <c r="H259" s="67"/>
      <c r="I259" s="67"/>
      <c r="J259" s="67"/>
      <c r="K259" s="67"/>
      <c r="L259" s="67"/>
      <c r="M259" s="67"/>
      <c r="N259" s="43"/>
      <c r="O259" s="338" t="s">
        <v>183</v>
      </c>
      <c r="P259" s="338"/>
      <c r="Q259" s="337"/>
      <c r="R259" s="337"/>
      <c r="S259" s="337">
        <v>40000</v>
      </c>
      <c r="T259" s="339" t="s">
        <v>55</v>
      </c>
      <c r="U259" s="298" t="s">
        <v>56</v>
      </c>
      <c r="V259" s="337">
        <v>1</v>
      </c>
      <c r="W259" s="339" t="s">
        <v>61</v>
      </c>
      <c r="X259" s="298" t="s">
        <v>56</v>
      </c>
      <c r="Y259" s="599">
        <v>31</v>
      </c>
      <c r="Z259" s="339" t="s">
        <v>54</v>
      </c>
      <c r="AA259" s="339" t="s">
        <v>53</v>
      </c>
      <c r="AB259" s="674" t="s">
        <v>70</v>
      </c>
      <c r="AC259" s="599"/>
      <c r="AD259" s="675">
        <f>ROUNDUP(S259*V259*Y259,-3)</f>
        <v>1240000</v>
      </c>
      <c r="AE259" s="685" t="s">
        <v>25</v>
      </c>
      <c r="AF259" s="728"/>
      <c r="AG259" s="734"/>
      <c r="AH259" s="724"/>
      <c r="AI259" s="647"/>
      <c r="AJ259" s="647"/>
    </row>
    <row r="260" spans="1:36" s="7" customFormat="1" ht="21" customHeight="1">
      <c r="A260" s="26"/>
      <c r="B260" s="26"/>
      <c r="C260" s="26"/>
      <c r="D260" s="637"/>
      <c r="E260" s="67"/>
      <c r="F260" s="67"/>
      <c r="G260" s="67"/>
      <c r="H260" s="67"/>
      <c r="I260" s="67"/>
      <c r="J260" s="67"/>
      <c r="K260" s="67"/>
      <c r="L260" s="67"/>
      <c r="M260" s="67"/>
      <c r="N260" s="43"/>
      <c r="O260" s="338"/>
      <c r="P260" s="554" t="s">
        <v>868</v>
      </c>
      <c r="Q260" s="337"/>
      <c r="R260" s="337"/>
      <c r="S260" s="337">
        <v>40000</v>
      </c>
      <c r="T260" s="339" t="s">
        <v>55</v>
      </c>
      <c r="U260" s="298" t="s">
        <v>56</v>
      </c>
      <c r="V260" s="337">
        <v>1</v>
      </c>
      <c r="W260" s="339" t="s">
        <v>61</v>
      </c>
      <c r="X260" s="298" t="s">
        <v>56</v>
      </c>
      <c r="Y260" s="340">
        <v>20</v>
      </c>
      <c r="Z260" s="339" t="s">
        <v>54</v>
      </c>
      <c r="AA260" s="339" t="s">
        <v>53</v>
      </c>
      <c r="AB260" s="674" t="s">
        <v>646</v>
      </c>
      <c r="AC260" s="599"/>
      <c r="AD260" s="675">
        <v>0</v>
      </c>
      <c r="AE260" s="685" t="s">
        <v>55</v>
      </c>
      <c r="AF260" s="728"/>
      <c r="AG260" s="734"/>
      <c r="AH260" s="724"/>
      <c r="AI260" s="647"/>
      <c r="AJ260" s="647"/>
    </row>
    <row r="261" spans="1:36" s="7" customFormat="1" ht="21" customHeight="1">
      <c r="A261" s="26"/>
      <c r="B261" s="26"/>
      <c r="C261" s="26"/>
      <c r="D261" s="637"/>
      <c r="E261" s="67"/>
      <c r="F261" s="67"/>
      <c r="G261" s="67"/>
      <c r="H261" s="67"/>
      <c r="I261" s="67"/>
      <c r="J261" s="67"/>
      <c r="K261" s="67"/>
      <c r="L261" s="67"/>
      <c r="M261" s="67"/>
      <c r="N261" s="43"/>
      <c r="O261" s="338"/>
      <c r="P261" s="338" t="s">
        <v>281</v>
      </c>
      <c r="Q261" s="337"/>
      <c r="R261" s="337"/>
      <c r="S261" s="337"/>
      <c r="T261" s="339"/>
      <c r="U261" s="298"/>
      <c r="V261" s="337"/>
      <c r="W261" s="339"/>
      <c r="X261" s="298"/>
      <c r="Y261" s="340"/>
      <c r="Z261" s="339"/>
      <c r="AA261" s="339"/>
      <c r="AB261" s="674" t="s">
        <v>217</v>
      </c>
      <c r="AC261" s="599"/>
      <c r="AD261" s="675">
        <v>4472000</v>
      </c>
      <c r="AE261" s="685" t="s">
        <v>55</v>
      </c>
      <c r="AF261" s="728"/>
      <c r="AG261" s="734"/>
      <c r="AH261" s="724"/>
      <c r="AI261" s="647"/>
      <c r="AJ261" s="647"/>
    </row>
    <row r="262" spans="1:36" s="7" customFormat="1" ht="21" customHeight="1">
      <c r="A262" s="26"/>
      <c r="B262" s="26"/>
      <c r="C262" s="26"/>
      <c r="D262" s="637"/>
      <c r="E262" s="67"/>
      <c r="F262" s="67"/>
      <c r="G262" s="67"/>
      <c r="H262" s="67"/>
      <c r="I262" s="67"/>
      <c r="J262" s="67"/>
      <c r="K262" s="67"/>
      <c r="L262" s="67"/>
      <c r="M262" s="67"/>
      <c r="N262" s="43"/>
      <c r="O262" s="338"/>
      <c r="P262" s="338"/>
      <c r="Q262" s="337"/>
      <c r="R262" s="337"/>
      <c r="S262" s="337"/>
      <c r="T262" s="339"/>
      <c r="U262" s="298"/>
      <c r="V262" s="337"/>
      <c r="W262" s="339"/>
      <c r="X262" s="298"/>
      <c r="Y262" s="340"/>
      <c r="Z262" s="339"/>
      <c r="AA262" s="339"/>
      <c r="AB262" s="674" t="s">
        <v>85</v>
      </c>
      <c r="AC262" s="599"/>
      <c r="AD262" s="675">
        <f>2224000+479000</f>
        <v>2703000</v>
      </c>
      <c r="AE262" s="685" t="s">
        <v>55</v>
      </c>
      <c r="AF262" s="728"/>
      <c r="AG262" s="734"/>
      <c r="AH262" s="724"/>
      <c r="AI262" s="647"/>
      <c r="AJ262" s="647"/>
    </row>
    <row r="263" spans="1:36" s="7" customFormat="1" ht="21" customHeight="1">
      <c r="A263" s="26"/>
      <c r="B263" s="26"/>
      <c r="C263" s="26"/>
      <c r="D263" s="637"/>
      <c r="E263" s="67"/>
      <c r="F263" s="67"/>
      <c r="G263" s="67"/>
      <c r="H263" s="67"/>
      <c r="I263" s="67"/>
      <c r="J263" s="67"/>
      <c r="K263" s="67"/>
      <c r="L263" s="67"/>
      <c r="M263" s="67"/>
      <c r="N263" s="43"/>
      <c r="O263" s="338" t="s">
        <v>650</v>
      </c>
      <c r="P263" s="338"/>
      <c r="Q263" s="338"/>
      <c r="R263" s="338"/>
      <c r="S263" s="337"/>
      <c r="T263" s="298" t="s">
        <v>55</v>
      </c>
      <c r="U263" s="298" t="s">
        <v>26</v>
      </c>
      <c r="V263" s="337"/>
      <c r="W263" s="339" t="s">
        <v>54</v>
      </c>
      <c r="X263" s="298" t="s">
        <v>26</v>
      </c>
      <c r="Y263" s="340"/>
      <c r="Z263" s="339" t="s">
        <v>0</v>
      </c>
      <c r="AA263" s="339" t="s">
        <v>27</v>
      </c>
      <c r="AB263" s="674" t="s">
        <v>137</v>
      </c>
      <c r="AC263" s="598"/>
      <c r="AD263" s="673">
        <v>1000000</v>
      </c>
      <c r="AE263" s="716" t="s">
        <v>55</v>
      </c>
      <c r="AF263" s="728"/>
      <c r="AG263" s="734"/>
      <c r="AH263" s="724"/>
      <c r="AI263" s="647"/>
      <c r="AJ263" s="647"/>
    </row>
    <row r="264" spans="1:36" s="7" customFormat="1" ht="21" customHeight="1">
      <c r="A264" s="26"/>
      <c r="B264" s="26"/>
      <c r="C264" s="34"/>
      <c r="D264" s="638"/>
      <c r="E264" s="68"/>
      <c r="F264" s="68"/>
      <c r="G264" s="68"/>
      <c r="H264" s="68"/>
      <c r="I264" s="68"/>
      <c r="J264" s="68"/>
      <c r="K264" s="68"/>
      <c r="L264" s="68"/>
      <c r="M264" s="68"/>
      <c r="N264" s="54"/>
      <c r="O264" s="227"/>
      <c r="P264" s="227"/>
      <c r="Q264" s="227"/>
      <c r="R264" s="227"/>
      <c r="S264" s="227"/>
      <c r="T264" s="230"/>
      <c r="U264" s="230"/>
      <c r="V264" s="227"/>
      <c r="W264" s="230"/>
      <c r="X264" s="230"/>
      <c r="Y264" s="232"/>
      <c r="Z264" s="230"/>
      <c r="AA264" s="230"/>
      <c r="AB264" s="661"/>
      <c r="AC264" s="546"/>
      <c r="AD264" s="670"/>
      <c r="AE264" s="718"/>
      <c r="AF264" s="728"/>
      <c r="AG264" s="734"/>
      <c r="AH264" s="724"/>
      <c r="AI264" s="647"/>
      <c r="AJ264" s="647"/>
    </row>
    <row r="265" spans="1:36" s="7" customFormat="1" ht="21" customHeight="1">
      <c r="A265" s="26"/>
      <c r="B265" s="26"/>
      <c r="C265" s="26" t="s">
        <v>78</v>
      </c>
      <c r="D265" s="637">
        <v>6600</v>
      </c>
      <c r="E265" s="67">
        <f>ROUND(AD265/1000,0)</f>
        <v>6530</v>
      </c>
      <c r="F265" s="71">
        <f>SUMIF($AB$266:$AB$268,"보조",$AD$266:$AD$268)/1000</f>
        <v>3600</v>
      </c>
      <c r="G265" s="71">
        <f>SUMIF($AB$266:$AB$268,"6종",$AD$266:$AD$268)/1000</f>
        <v>0</v>
      </c>
      <c r="H265" s="71">
        <f>SUMIF($AB$266:$AB$268,"4종",$AD$266:$AD$268)/1000</f>
        <v>0</v>
      </c>
      <c r="I265" s="71">
        <f>SUMIF($AB$266:$AB$268,"후원",$AD$266:$AD$268)/1000</f>
        <v>2930</v>
      </c>
      <c r="J265" s="71">
        <f>SUMIF($AB$266:$AB$268,"입소",$AD$266:$AD$268)/1000</f>
        <v>0</v>
      </c>
      <c r="K265" s="71">
        <f>SUMIF($AB$266:$AB$268,"법인",$AD$266:$AD$268)/1000</f>
        <v>0</v>
      </c>
      <c r="L265" s="71">
        <f>SUMIF($AB$266:$AB$268,"잡수",$AD$266:$AD$268)/1000</f>
        <v>0</v>
      </c>
      <c r="M265" s="67">
        <f>E265-D265</f>
        <v>-70</v>
      </c>
      <c r="N265" s="43">
        <f>IF(D265=0,0,M265/D265)</f>
        <v>-1.0606060606060607E-2</v>
      </c>
      <c r="O265" s="187" t="s">
        <v>79</v>
      </c>
      <c r="P265" s="188"/>
      <c r="Q265" s="188"/>
      <c r="R265" s="188"/>
      <c r="S265" s="188"/>
      <c r="T265" s="444"/>
      <c r="U265" s="444"/>
      <c r="V265" s="189"/>
      <c r="W265" s="444"/>
      <c r="X265" s="444"/>
      <c r="Y265" s="190" t="s">
        <v>127</v>
      </c>
      <c r="Z265" s="448"/>
      <c r="AA265" s="448"/>
      <c r="AB265" s="711"/>
      <c r="AC265" s="541"/>
      <c r="AD265" s="656">
        <f>SUM(AD266:AD268)</f>
        <v>6530000</v>
      </c>
      <c r="AE265" s="686" t="s">
        <v>25</v>
      </c>
      <c r="AF265" s="728"/>
      <c r="AG265" s="734"/>
      <c r="AH265" s="724"/>
      <c r="AI265" s="647"/>
      <c r="AJ265" s="647"/>
    </row>
    <row r="266" spans="1:36" s="7" customFormat="1" ht="21" customHeight="1">
      <c r="A266" s="26"/>
      <c r="B266" s="26"/>
      <c r="C266" s="26" t="s">
        <v>133</v>
      </c>
      <c r="D266" s="642"/>
      <c r="E266" s="353"/>
      <c r="F266" s="353"/>
      <c r="G266" s="353"/>
      <c r="H266" s="353"/>
      <c r="I266" s="353"/>
      <c r="J266" s="353"/>
      <c r="K266" s="353"/>
      <c r="L266" s="353"/>
      <c r="M266" s="67"/>
      <c r="N266" s="43"/>
      <c r="O266" s="338" t="s">
        <v>184</v>
      </c>
      <c r="P266" s="338"/>
      <c r="Q266" s="338"/>
      <c r="R266" s="338"/>
      <c r="S266" s="337"/>
      <c r="T266" s="298"/>
      <c r="U266" s="298"/>
      <c r="V266" s="337"/>
      <c r="W266" s="339"/>
      <c r="X266" s="339"/>
      <c r="Y266" s="340"/>
      <c r="Z266" s="339"/>
      <c r="AA266" s="339"/>
      <c r="AB266" s="674" t="s">
        <v>70</v>
      </c>
      <c r="AC266" s="598"/>
      <c r="AD266" s="673">
        <v>3600000</v>
      </c>
      <c r="AE266" s="685" t="s">
        <v>55</v>
      </c>
      <c r="AF266" s="728"/>
      <c r="AG266" s="734"/>
      <c r="AH266" s="724"/>
      <c r="AI266" s="647"/>
      <c r="AJ266" s="647"/>
    </row>
    <row r="267" spans="1:36" s="7" customFormat="1" ht="21" customHeight="1">
      <c r="A267" s="26"/>
      <c r="B267" s="26"/>
      <c r="C267" s="26"/>
      <c r="D267" s="643"/>
      <c r="E267" s="354"/>
      <c r="F267" s="354"/>
      <c r="G267" s="354"/>
      <c r="H267" s="354"/>
      <c r="I267" s="354"/>
      <c r="J267" s="354"/>
      <c r="K267" s="354"/>
      <c r="L267" s="354"/>
      <c r="M267" s="67"/>
      <c r="N267" s="43"/>
      <c r="O267" s="338" t="s">
        <v>236</v>
      </c>
      <c r="P267" s="338"/>
      <c r="Q267" s="338"/>
      <c r="R267" s="338"/>
      <c r="S267" s="337"/>
      <c r="T267" s="298"/>
      <c r="U267" s="298"/>
      <c r="V267" s="337"/>
      <c r="W267" s="339"/>
      <c r="X267" s="339"/>
      <c r="Y267" s="340"/>
      <c r="Z267" s="339"/>
      <c r="AA267" s="339"/>
      <c r="AB267" s="674" t="s">
        <v>137</v>
      </c>
      <c r="AC267" s="598"/>
      <c r="AD267" s="673">
        <v>2930000</v>
      </c>
      <c r="AE267" s="685" t="s">
        <v>55</v>
      </c>
      <c r="AF267" s="728"/>
      <c r="AG267" s="734"/>
      <c r="AH267" s="724"/>
      <c r="AI267" s="647"/>
      <c r="AJ267" s="647"/>
    </row>
    <row r="268" spans="1:36" s="7" customFormat="1" ht="21" customHeight="1">
      <c r="A268" s="26"/>
      <c r="B268" s="26"/>
      <c r="C268" s="26"/>
      <c r="D268" s="637"/>
      <c r="E268" s="67"/>
      <c r="F268" s="67"/>
      <c r="G268" s="67"/>
      <c r="H268" s="67"/>
      <c r="I268" s="67"/>
      <c r="J268" s="67"/>
      <c r="K268" s="67"/>
      <c r="L268" s="67"/>
      <c r="M268" s="67"/>
      <c r="N268" s="43"/>
      <c r="O268" s="513"/>
      <c r="P268" s="513"/>
      <c r="Q268" s="513"/>
      <c r="R268" s="513"/>
      <c r="S268" s="512"/>
      <c r="T268" s="233"/>
      <c r="U268" s="298"/>
      <c r="V268" s="236"/>
      <c r="W268" s="428"/>
      <c r="X268" s="428"/>
      <c r="Y268" s="236"/>
      <c r="Z268" s="428"/>
      <c r="AA268" s="428"/>
      <c r="AB268" s="698"/>
      <c r="AC268" s="606"/>
      <c r="AD268" s="737"/>
      <c r="AE268" s="701"/>
      <c r="AF268" s="728"/>
      <c r="AG268" s="734"/>
      <c r="AH268" s="724"/>
      <c r="AI268" s="647"/>
      <c r="AJ268" s="647"/>
    </row>
    <row r="269" spans="1:36" s="7" customFormat="1" ht="21" customHeight="1">
      <c r="A269" s="26"/>
      <c r="B269" s="26"/>
      <c r="C269" s="18" t="s">
        <v>73</v>
      </c>
      <c r="D269" s="639">
        <v>4080</v>
      </c>
      <c r="E269" s="70">
        <f>ROUND(AD269/1000,0)</f>
        <v>4080</v>
      </c>
      <c r="F269" s="71">
        <f>SUMIF($AB$270:$AB$271,"보조",$AD$270:$AD$271)/1000</f>
        <v>0</v>
      </c>
      <c r="G269" s="71">
        <f>SUMIF($AB$270:$AB$271,"6종",$AD$270:$AD$271)/1000</f>
        <v>0</v>
      </c>
      <c r="H269" s="71">
        <f>SUMIF($AB$270:$AB$271,"4종",$AD$270:$AD$271)/1000</f>
        <v>4080</v>
      </c>
      <c r="I269" s="71">
        <f>SUMIF($AB$270:$AB$271,"후원",$AD$270:$AD$271)/1000</f>
        <v>0</v>
      </c>
      <c r="J269" s="71">
        <f>SUMIF($AB$270:$AB$271,"입소",$AD$270:$AD$271)/1000</f>
        <v>0</v>
      </c>
      <c r="K269" s="71">
        <f>SUMIF($AB$270:$AB$271,"법인",$AD$270:$AD$271)/1000</f>
        <v>0</v>
      </c>
      <c r="L269" s="71">
        <f>SUMIF($AB$270:$AB$271,"잡수",$AD$270:$AD$271)/1000</f>
        <v>0</v>
      </c>
      <c r="M269" s="70">
        <f>E269-D269</f>
        <v>0</v>
      </c>
      <c r="N269" s="75">
        <f>IF(D269=0,0,M269/D269)</f>
        <v>0</v>
      </c>
      <c r="O269" s="187" t="s">
        <v>121</v>
      </c>
      <c r="P269" s="511"/>
      <c r="Q269" s="188"/>
      <c r="R269" s="188"/>
      <c r="S269" s="188"/>
      <c r="T269" s="444"/>
      <c r="U269" s="444"/>
      <c r="V269" s="189"/>
      <c r="W269" s="444"/>
      <c r="X269" s="444"/>
      <c r="Y269" s="190" t="s">
        <v>127</v>
      </c>
      <c r="Z269" s="448"/>
      <c r="AA269" s="448"/>
      <c r="AB269" s="711"/>
      <c r="AC269" s="541"/>
      <c r="AD269" s="656">
        <f>SUM(AD270:AD271)</f>
        <v>4080000</v>
      </c>
      <c r="AE269" s="686" t="s">
        <v>25</v>
      </c>
      <c r="AF269" s="728"/>
      <c r="AG269" s="734"/>
      <c r="AH269" s="724"/>
      <c r="AI269" s="647"/>
      <c r="AJ269" s="647"/>
    </row>
    <row r="270" spans="1:36" s="7" customFormat="1" ht="21" customHeight="1">
      <c r="A270" s="26"/>
      <c r="B270" s="26"/>
      <c r="C270" s="26"/>
      <c r="D270" s="637"/>
      <c r="E270" s="67"/>
      <c r="F270" s="67"/>
      <c r="G270" s="67"/>
      <c r="H270" s="67"/>
      <c r="I270" s="67"/>
      <c r="J270" s="67"/>
      <c r="K270" s="67"/>
      <c r="L270" s="67"/>
      <c r="M270" s="67"/>
      <c r="N270" s="43"/>
      <c r="O270" s="338" t="s">
        <v>276</v>
      </c>
      <c r="P270" s="338"/>
      <c r="Q270" s="337"/>
      <c r="R270" s="337"/>
      <c r="S270" s="337">
        <v>20000</v>
      </c>
      <c r="T270" s="339" t="s">
        <v>55</v>
      </c>
      <c r="U270" s="298" t="s">
        <v>56</v>
      </c>
      <c r="V270" s="337">
        <v>4</v>
      </c>
      <c r="W270" s="339" t="s">
        <v>61</v>
      </c>
      <c r="X270" s="298" t="s">
        <v>56</v>
      </c>
      <c r="Y270" s="340">
        <v>51</v>
      </c>
      <c r="Z270" s="339" t="s">
        <v>54</v>
      </c>
      <c r="AA270" s="339" t="s">
        <v>53</v>
      </c>
      <c r="AB270" s="674" t="s">
        <v>158</v>
      </c>
      <c r="AC270" s="599"/>
      <c r="AD270" s="675">
        <f>ROUND(S270*V270*Y270,-1)</f>
        <v>4080000</v>
      </c>
      <c r="AE270" s="685" t="s">
        <v>25</v>
      </c>
      <c r="AF270" s="728"/>
      <c r="AG270" s="734"/>
      <c r="AH270" s="724"/>
      <c r="AI270" s="647"/>
      <c r="AJ270" s="647"/>
    </row>
    <row r="271" spans="1:36" s="7" customFormat="1" ht="21" customHeight="1">
      <c r="A271" s="26"/>
      <c r="B271" s="26"/>
      <c r="C271" s="26"/>
      <c r="D271" s="637"/>
      <c r="E271" s="67"/>
      <c r="F271" s="67"/>
      <c r="G271" s="67"/>
      <c r="H271" s="67"/>
      <c r="I271" s="67"/>
      <c r="J271" s="67"/>
      <c r="K271" s="67"/>
      <c r="L271" s="67"/>
      <c r="M271" s="67"/>
      <c r="N271" s="43"/>
      <c r="O271" s="338"/>
      <c r="P271" s="338"/>
      <c r="Q271" s="337"/>
      <c r="R271" s="337"/>
      <c r="S271" s="337"/>
      <c r="T271" s="339"/>
      <c r="U271" s="298"/>
      <c r="V271" s="337"/>
      <c r="W271" s="339"/>
      <c r="X271" s="298"/>
      <c r="Y271" s="340"/>
      <c r="Z271" s="339"/>
      <c r="AA271" s="339"/>
      <c r="AB271" s="674"/>
      <c r="AC271" s="599"/>
      <c r="AD271" s="675"/>
      <c r="AE271" s="685"/>
      <c r="AF271" s="728"/>
      <c r="AG271" s="734"/>
      <c r="AH271" s="724"/>
      <c r="AI271" s="647"/>
      <c r="AJ271" s="647"/>
    </row>
    <row r="272" spans="1:36" s="7" customFormat="1" ht="21" customHeight="1">
      <c r="A272" s="26"/>
      <c r="B272" s="26"/>
      <c r="C272" s="18" t="s">
        <v>74</v>
      </c>
      <c r="D272" s="639">
        <v>12140</v>
      </c>
      <c r="E272" s="70">
        <f>ROUND(AD272/1000,0)</f>
        <v>5840</v>
      </c>
      <c r="F272" s="71">
        <f>SUMIF($AB$273:$AB$279,"보조",$AD$273:$AD$279)/1000</f>
        <v>200</v>
      </c>
      <c r="G272" s="71">
        <f>SUMIF($AB$273:$AB$279,"6종",$AD$273:$AD$279)/1000</f>
        <v>0</v>
      </c>
      <c r="H272" s="71">
        <f>SUMIF($AB$273:$AB$279,"4종",$AD$273:$AD$279)/1000</f>
        <v>2040</v>
      </c>
      <c r="I272" s="71">
        <f>SUMIF($AB$273:$AB$279,"후원",$AD$273:$AD$279)/1000</f>
        <v>3600</v>
      </c>
      <c r="J272" s="71">
        <f>SUMIF($AB$273:$AB$279,"입소",$AD$273:$AD$279)/1000</f>
        <v>0</v>
      </c>
      <c r="K272" s="71">
        <f>SUMIF($AB$273:$AB$279,"법인",$AD$273:$AD$279)/1000</f>
        <v>0</v>
      </c>
      <c r="L272" s="71">
        <f>SUMIF($AB$273:$AB$279,"잡수",$AD$273:$AD$279)/1000</f>
        <v>0</v>
      </c>
      <c r="M272" s="70">
        <f>E272-D272</f>
        <v>-6300</v>
      </c>
      <c r="N272" s="75">
        <f>IF(D272=0,0,M272/D272)</f>
        <v>-0.51894563426688634</v>
      </c>
      <c r="O272" s="187" t="s">
        <v>122</v>
      </c>
      <c r="P272" s="511"/>
      <c r="Q272" s="188"/>
      <c r="R272" s="188"/>
      <c r="S272" s="188"/>
      <c r="T272" s="444"/>
      <c r="U272" s="444"/>
      <c r="V272" s="189"/>
      <c r="W272" s="444"/>
      <c r="X272" s="444"/>
      <c r="Y272" s="190" t="s">
        <v>127</v>
      </c>
      <c r="Z272" s="448"/>
      <c r="AA272" s="448"/>
      <c r="AB272" s="711"/>
      <c r="AC272" s="541"/>
      <c r="AD272" s="656">
        <f>SUM(AD273:AD278)</f>
        <v>5840000</v>
      </c>
      <c r="AE272" s="686" t="s">
        <v>25</v>
      </c>
      <c r="AF272" s="728"/>
      <c r="AG272" s="734"/>
      <c r="AH272" s="724"/>
      <c r="AI272" s="647"/>
      <c r="AJ272" s="647"/>
    </row>
    <row r="273" spans="1:36" s="7" customFormat="1" ht="21" customHeight="1">
      <c r="A273" s="26"/>
      <c r="B273" s="26"/>
      <c r="C273" s="26"/>
      <c r="D273" s="642"/>
      <c r="E273" s="353"/>
      <c r="F273" s="353"/>
      <c r="G273" s="353"/>
      <c r="H273" s="353"/>
      <c r="I273" s="353"/>
      <c r="J273" s="353"/>
      <c r="K273" s="353"/>
      <c r="L273" s="353"/>
      <c r="M273" s="67"/>
      <c r="N273" s="43"/>
      <c r="O273" s="338" t="s">
        <v>185</v>
      </c>
      <c r="P273" s="338"/>
      <c r="Q273" s="337"/>
      <c r="R273" s="337"/>
      <c r="S273" s="337">
        <v>40000</v>
      </c>
      <c r="T273" s="339" t="s">
        <v>55</v>
      </c>
      <c r="U273" s="298" t="s">
        <v>56</v>
      </c>
      <c r="V273" s="337">
        <v>1</v>
      </c>
      <c r="W273" s="339" t="s">
        <v>61</v>
      </c>
      <c r="X273" s="298" t="s">
        <v>56</v>
      </c>
      <c r="Y273" s="340">
        <v>51</v>
      </c>
      <c r="Z273" s="339" t="s">
        <v>54</v>
      </c>
      <c r="AA273" s="339" t="s">
        <v>53</v>
      </c>
      <c r="AB273" s="674" t="s">
        <v>158</v>
      </c>
      <c r="AC273" s="599"/>
      <c r="AD273" s="675">
        <f>S273*V273*Y273</f>
        <v>2040000</v>
      </c>
      <c r="AE273" s="685" t="s">
        <v>25</v>
      </c>
      <c r="AF273" s="728"/>
      <c r="AG273" s="734"/>
      <c r="AH273" s="724"/>
      <c r="AI273" s="647"/>
      <c r="AJ273" s="647"/>
    </row>
    <row r="274" spans="1:36" s="7" customFormat="1" ht="21" customHeight="1">
      <c r="A274" s="26"/>
      <c r="B274" s="26"/>
      <c r="C274" s="26"/>
      <c r="D274" s="643"/>
      <c r="E274" s="354"/>
      <c r="F274" s="354"/>
      <c r="G274" s="354"/>
      <c r="H274" s="354"/>
      <c r="I274" s="354"/>
      <c r="J274" s="354"/>
      <c r="K274" s="354"/>
      <c r="L274" s="354"/>
      <c r="M274" s="67"/>
      <c r="N274" s="172"/>
      <c r="O274" s="177" t="s">
        <v>820</v>
      </c>
      <c r="P274" s="338"/>
      <c r="Q274" s="338"/>
      <c r="R274" s="338"/>
      <c r="S274" s="337">
        <v>70000</v>
      </c>
      <c r="T274" s="339" t="s">
        <v>55</v>
      </c>
      <c r="U274" s="298" t="s">
        <v>56</v>
      </c>
      <c r="V274" s="337">
        <v>0</v>
      </c>
      <c r="W274" s="339" t="s">
        <v>84</v>
      </c>
      <c r="X274" s="298" t="s">
        <v>56</v>
      </c>
      <c r="Y274" s="506">
        <v>1</v>
      </c>
      <c r="Z274" s="339" t="s">
        <v>54</v>
      </c>
      <c r="AA274" s="339" t="s">
        <v>53</v>
      </c>
      <c r="AB274" s="674" t="s">
        <v>805</v>
      </c>
      <c r="AC274" s="599"/>
      <c r="AD274" s="673">
        <f>S274*V274*Y274</f>
        <v>0</v>
      </c>
      <c r="AE274" s="685" t="s">
        <v>55</v>
      </c>
      <c r="AF274" s="728"/>
      <c r="AG274" s="734"/>
      <c r="AH274" s="724"/>
      <c r="AI274" s="647"/>
      <c r="AJ274" s="647"/>
    </row>
    <row r="275" spans="1:36" s="7" customFormat="1" ht="21" customHeight="1">
      <c r="A275" s="26"/>
      <c r="B275" s="26"/>
      <c r="C275" s="26"/>
      <c r="D275" s="637"/>
      <c r="E275" s="67"/>
      <c r="F275" s="67"/>
      <c r="G275" s="67"/>
      <c r="H275" s="67"/>
      <c r="I275" s="67"/>
      <c r="J275" s="67"/>
      <c r="K275" s="67"/>
      <c r="L275" s="67"/>
      <c r="M275" s="67"/>
      <c r="N275" s="43"/>
      <c r="O275" s="338" t="s">
        <v>186</v>
      </c>
      <c r="P275" s="338"/>
      <c r="Q275" s="338"/>
      <c r="R275" s="338"/>
      <c r="S275" s="337">
        <v>100000</v>
      </c>
      <c r="T275" s="298" t="s">
        <v>55</v>
      </c>
      <c r="U275" s="298" t="s">
        <v>26</v>
      </c>
      <c r="V275" s="337">
        <v>12</v>
      </c>
      <c r="W275" s="339" t="s">
        <v>0</v>
      </c>
      <c r="X275" s="339"/>
      <c r="Y275" s="504"/>
      <c r="Z275" s="230"/>
      <c r="AA275" s="454" t="s">
        <v>53</v>
      </c>
      <c r="AB275" s="674" t="s">
        <v>137</v>
      </c>
      <c r="AC275" s="598"/>
      <c r="AD275" s="673">
        <f>S275*V275</f>
        <v>1200000</v>
      </c>
      <c r="AE275" s="685" t="s">
        <v>25</v>
      </c>
      <c r="AF275" s="728"/>
      <c r="AG275" s="734"/>
      <c r="AH275" s="724"/>
      <c r="AI275" s="647"/>
      <c r="AJ275" s="647"/>
    </row>
    <row r="276" spans="1:36" s="7" customFormat="1" ht="21" customHeight="1">
      <c r="A276" s="26"/>
      <c r="B276" s="26"/>
      <c r="C276" s="26"/>
      <c r="D276" s="637"/>
      <c r="E276" s="67"/>
      <c r="F276" s="67"/>
      <c r="G276" s="67"/>
      <c r="H276" s="67"/>
      <c r="I276" s="67"/>
      <c r="J276" s="67"/>
      <c r="K276" s="67"/>
      <c r="L276" s="67"/>
      <c r="M276" s="67"/>
      <c r="N276" s="43"/>
      <c r="O276" s="338" t="s">
        <v>187</v>
      </c>
      <c r="P276" s="338"/>
      <c r="Q276" s="338"/>
      <c r="R276" s="338"/>
      <c r="S276" s="337">
        <v>200000</v>
      </c>
      <c r="T276" s="298" t="s">
        <v>55</v>
      </c>
      <c r="U276" s="298" t="s">
        <v>26</v>
      </c>
      <c r="V276" s="337">
        <v>11</v>
      </c>
      <c r="W276" s="339" t="s">
        <v>0</v>
      </c>
      <c r="X276" s="339"/>
      <c r="Y276" s="504"/>
      <c r="Z276" s="230"/>
      <c r="AA276" s="454" t="s">
        <v>53</v>
      </c>
      <c r="AB276" s="674" t="s">
        <v>137</v>
      </c>
      <c r="AC276" s="598"/>
      <c r="AD276" s="673">
        <f>S276*V276</f>
        <v>2200000</v>
      </c>
      <c r="AE276" s="685" t="s">
        <v>25</v>
      </c>
      <c r="AF276" s="728"/>
      <c r="AG276" s="734"/>
      <c r="AH276" s="724"/>
      <c r="AI276" s="647"/>
      <c r="AJ276" s="647"/>
    </row>
    <row r="277" spans="1:36" s="7" customFormat="1" ht="21" customHeight="1">
      <c r="A277" s="26"/>
      <c r="B277" s="26"/>
      <c r="C277" s="26"/>
      <c r="D277" s="637"/>
      <c r="E277" s="67"/>
      <c r="F277" s="67"/>
      <c r="G277" s="67"/>
      <c r="H277" s="67"/>
      <c r="I277" s="67"/>
      <c r="J277" s="67"/>
      <c r="K277" s="67"/>
      <c r="L277" s="67"/>
      <c r="M277" s="67"/>
      <c r="N277" s="43"/>
      <c r="O277" s="338"/>
      <c r="P277" s="338"/>
      <c r="Q277" s="338"/>
      <c r="R277" s="338"/>
      <c r="S277" s="337">
        <v>200000</v>
      </c>
      <c r="T277" s="298" t="s">
        <v>55</v>
      </c>
      <c r="U277" s="298" t="s">
        <v>26</v>
      </c>
      <c r="V277" s="337">
        <v>1</v>
      </c>
      <c r="W277" s="339" t="s">
        <v>0</v>
      </c>
      <c r="X277" s="339"/>
      <c r="Y277" s="504"/>
      <c r="Z277" s="230"/>
      <c r="AA277" s="454" t="s">
        <v>53</v>
      </c>
      <c r="AB277" s="674" t="s">
        <v>750</v>
      </c>
      <c r="AC277" s="598"/>
      <c r="AD277" s="673">
        <f>S277*V277</f>
        <v>200000</v>
      </c>
      <c r="AE277" s="685" t="s">
        <v>25</v>
      </c>
      <c r="AF277" s="728"/>
      <c r="AG277" s="734"/>
      <c r="AH277" s="724"/>
      <c r="AI277" s="647"/>
      <c r="AJ277" s="647"/>
    </row>
    <row r="278" spans="1:36" s="7" customFormat="1" ht="21" customHeight="1">
      <c r="A278" s="26"/>
      <c r="B278" s="26"/>
      <c r="C278" s="26"/>
      <c r="D278" s="637"/>
      <c r="E278" s="67"/>
      <c r="F278" s="67"/>
      <c r="G278" s="67"/>
      <c r="H278" s="67"/>
      <c r="I278" s="67"/>
      <c r="J278" s="67"/>
      <c r="K278" s="67"/>
      <c r="L278" s="67"/>
      <c r="M278" s="67"/>
      <c r="N278" s="43"/>
      <c r="O278" s="338" t="s">
        <v>237</v>
      </c>
      <c r="P278" s="338"/>
      <c r="Q278" s="338"/>
      <c r="R278" s="338"/>
      <c r="S278" s="337">
        <v>1000</v>
      </c>
      <c r="T278" s="339" t="s">
        <v>55</v>
      </c>
      <c r="U278" s="298" t="s">
        <v>56</v>
      </c>
      <c r="V278" s="337">
        <v>100</v>
      </c>
      <c r="W278" s="339" t="s">
        <v>54</v>
      </c>
      <c r="X278" s="298" t="s">
        <v>56</v>
      </c>
      <c r="Y278" s="506">
        <v>2</v>
      </c>
      <c r="Z278" s="339" t="s">
        <v>61</v>
      </c>
      <c r="AA278" s="339" t="s">
        <v>53</v>
      </c>
      <c r="AB278" s="674" t="s">
        <v>137</v>
      </c>
      <c r="AC278" s="599"/>
      <c r="AD278" s="673">
        <f>S278*V278*Y278</f>
        <v>200000</v>
      </c>
      <c r="AE278" s="685" t="s">
        <v>55</v>
      </c>
      <c r="AF278" s="728"/>
      <c r="AG278" s="734"/>
      <c r="AH278" s="724"/>
      <c r="AI278" s="647"/>
      <c r="AJ278" s="647"/>
    </row>
    <row r="279" spans="1:36" s="7" customFormat="1" ht="21" customHeight="1">
      <c r="A279" s="26"/>
      <c r="B279" s="26"/>
      <c r="C279" s="34"/>
      <c r="D279" s="640"/>
      <c r="E279" s="93"/>
      <c r="F279" s="93"/>
      <c r="G279" s="93"/>
      <c r="H279" s="93"/>
      <c r="I279" s="93"/>
      <c r="J279" s="93"/>
      <c r="K279" s="93"/>
      <c r="L279" s="93"/>
      <c r="M279" s="79"/>
      <c r="N279" s="54"/>
      <c r="O279" s="235"/>
      <c r="P279" s="235"/>
      <c r="Q279" s="235"/>
      <c r="R279" s="235"/>
      <c r="S279" s="235"/>
      <c r="T279" s="80"/>
      <c r="U279" s="339"/>
      <c r="V279" s="339"/>
      <c r="W279" s="339"/>
      <c r="X279" s="339"/>
      <c r="Y279" s="340"/>
      <c r="Z279" s="339"/>
      <c r="AA279" s="339"/>
      <c r="AB279" s="674"/>
      <c r="AC279" s="598"/>
      <c r="AD279" s="673"/>
      <c r="AE279" s="685"/>
      <c r="AF279" s="728"/>
      <c r="AG279" s="734"/>
      <c r="AH279" s="724"/>
      <c r="AI279" s="647"/>
      <c r="AJ279" s="647"/>
    </row>
    <row r="280" spans="1:36" s="7" customFormat="1" ht="21" customHeight="1">
      <c r="A280" s="26"/>
      <c r="B280" s="26"/>
      <c r="C280" s="26" t="s">
        <v>75</v>
      </c>
      <c r="D280" s="637">
        <v>33800</v>
      </c>
      <c r="E280" s="67">
        <f>ROUND(AD280/1000,0)</f>
        <v>29800</v>
      </c>
      <c r="F280" s="71">
        <f>SUMIF($AB$281:$AB$284,"보조",$AD$281:$AD$284)/1000</f>
        <v>21800</v>
      </c>
      <c r="G280" s="71">
        <f>SUMIF($AB$281:$AB$284,"6종",$AD$281:$AD$284)/1000</f>
        <v>0</v>
      </c>
      <c r="H280" s="71">
        <f>SUMIF($AB$281:$AB$284,"4종",$AD$281:$AD$284)/1000</f>
        <v>0</v>
      </c>
      <c r="I280" s="71">
        <f>SUMIF($AB$281:$AB$284,"후원",$AD$281:$AD$284)/1000</f>
        <v>8000</v>
      </c>
      <c r="J280" s="71">
        <f>SUMIF($AB$281:$AB$284,"입소",$AD$281:$AD$284)/1000</f>
        <v>0</v>
      </c>
      <c r="K280" s="71">
        <f>SUMIF($AB$281:$AB$284,"법인",$AD$281:$AD$284)/1000</f>
        <v>0</v>
      </c>
      <c r="L280" s="71">
        <f>SUMIF($AB$281:$AB$284,"잡수",$AD$281:$AD$284)/1000</f>
        <v>0</v>
      </c>
      <c r="M280" s="67">
        <f>E280-D280</f>
        <v>-4000</v>
      </c>
      <c r="N280" s="43">
        <f>IF(D280=0,0,M280/D280)</f>
        <v>-0.11834319526627218</v>
      </c>
      <c r="O280" s="187" t="s">
        <v>80</v>
      </c>
      <c r="P280" s="188"/>
      <c r="Q280" s="188"/>
      <c r="R280" s="188"/>
      <c r="S280" s="188"/>
      <c r="T280" s="444"/>
      <c r="U280" s="444"/>
      <c r="V280" s="189"/>
      <c r="W280" s="444"/>
      <c r="X280" s="444"/>
      <c r="Y280" s="190" t="s">
        <v>127</v>
      </c>
      <c r="Z280" s="448"/>
      <c r="AA280" s="448"/>
      <c r="AB280" s="711"/>
      <c r="AC280" s="541"/>
      <c r="AD280" s="656">
        <f>SUM(AD281:AD284)</f>
        <v>29800000</v>
      </c>
      <c r="AE280" s="686" t="s">
        <v>25</v>
      </c>
      <c r="AF280" s="728"/>
      <c r="AG280" s="734"/>
      <c r="AH280" s="724"/>
      <c r="AI280" s="647"/>
      <c r="AJ280" s="647"/>
    </row>
    <row r="281" spans="1:36" s="7" customFormat="1" ht="21" customHeight="1">
      <c r="A281" s="26"/>
      <c r="B281" s="26"/>
      <c r="C281" s="26"/>
      <c r="D281" s="353"/>
      <c r="E281" s="353"/>
      <c r="F281" s="353"/>
      <c r="G281" s="353"/>
      <c r="H281" s="353"/>
      <c r="I281" s="353"/>
      <c r="J281" s="353"/>
      <c r="K281" s="353"/>
      <c r="L281" s="353"/>
      <c r="M281" s="67"/>
      <c r="N281" s="43"/>
      <c r="O281" s="338" t="s">
        <v>188</v>
      </c>
      <c r="P281" s="338"/>
      <c r="Q281" s="338"/>
      <c r="R281" s="338"/>
      <c r="S281" s="337">
        <v>1100000</v>
      </c>
      <c r="T281" s="298" t="s">
        <v>55</v>
      </c>
      <c r="U281" s="298" t="s">
        <v>26</v>
      </c>
      <c r="V281" s="337">
        <v>12</v>
      </c>
      <c r="W281" s="339" t="s">
        <v>0</v>
      </c>
      <c r="X281" s="339"/>
      <c r="Y281" s="504"/>
      <c r="Z281" s="230"/>
      <c r="AA281" s="454" t="s">
        <v>53</v>
      </c>
      <c r="AB281" s="674" t="s">
        <v>70</v>
      </c>
      <c r="AC281" s="598"/>
      <c r="AD281" s="673">
        <f>S281*V281</f>
        <v>13200000</v>
      </c>
      <c r="AE281" s="685" t="s">
        <v>25</v>
      </c>
      <c r="AF281" s="728"/>
      <c r="AG281" s="734"/>
      <c r="AH281" s="724"/>
      <c r="AI281" s="647"/>
      <c r="AJ281" s="647"/>
    </row>
    <row r="282" spans="1:36" s="7" customFormat="1" ht="21" customHeight="1">
      <c r="A282" s="26"/>
      <c r="B282" s="26"/>
      <c r="C282" s="26"/>
      <c r="D282" s="557"/>
      <c r="E282" s="354"/>
      <c r="F282" s="354"/>
      <c r="G282" s="354"/>
      <c r="H282" s="354"/>
      <c r="I282" s="354"/>
      <c r="J282" s="354"/>
      <c r="K282" s="354"/>
      <c r="L282" s="354"/>
      <c r="M282" s="67"/>
      <c r="N282" s="43"/>
      <c r="O282" s="338" t="s">
        <v>239</v>
      </c>
      <c r="P282" s="338"/>
      <c r="Q282" s="338"/>
      <c r="R282" s="338"/>
      <c r="S282" s="337">
        <v>860000</v>
      </c>
      <c r="T282" s="298" t="s">
        <v>25</v>
      </c>
      <c r="U282" s="298" t="s">
        <v>26</v>
      </c>
      <c r="V282" s="337">
        <v>10</v>
      </c>
      <c r="W282" s="298" t="s">
        <v>29</v>
      </c>
      <c r="X282" s="298"/>
      <c r="Y282" s="340"/>
      <c r="Z282" s="339"/>
      <c r="AA282" s="339" t="s">
        <v>53</v>
      </c>
      <c r="AB282" s="674" t="s">
        <v>70</v>
      </c>
      <c r="AC282" s="598"/>
      <c r="AD282" s="673">
        <f>S282*V282</f>
        <v>8600000</v>
      </c>
      <c r="AE282" s="685" t="s">
        <v>55</v>
      </c>
      <c r="AF282" s="728"/>
      <c r="AG282" s="734"/>
      <c r="AH282" s="724"/>
      <c r="AI282" s="647"/>
      <c r="AJ282" s="647"/>
    </row>
    <row r="283" spans="1:36" s="7" customFormat="1" ht="21" customHeight="1">
      <c r="A283" s="26"/>
      <c r="B283" s="26"/>
      <c r="C283" s="26"/>
      <c r="D283" s="536"/>
      <c r="E283" s="67"/>
      <c r="F283" s="67"/>
      <c r="G283" s="67"/>
      <c r="H283" s="67"/>
      <c r="I283" s="67"/>
      <c r="J283" s="67"/>
      <c r="K283" s="67"/>
      <c r="L283" s="67"/>
      <c r="M283" s="67"/>
      <c r="N283" s="43"/>
      <c r="O283" s="338" t="s">
        <v>751</v>
      </c>
      <c r="P283" s="338"/>
      <c r="Q283" s="338"/>
      <c r="R283" s="338"/>
      <c r="S283" s="337"/>
      <c r="T283" s="298"/>
      <c r="U283" s="298"/>
      <c r="V283" s="337"/>
      <c r="W283" s="298"/>
      <c r="X283" s="339"/>
      <c r="Y283" s="340"/>
      <c r="Z283" s="339"/>
      <c r="AA283" s="339"/>
      <c r="AB283" s="674" t="s">
        <v>137</v>
      </c>
      <c r="AC283" s="598"/>
      <c r="AD283" s="673">
        <v>8000000</v>
      </c>
      <c r="AE283" s="685" t="s">
        <v>55</v>
      </c>
      <c r="AF283" s="728"/>
      <c r="AG283" s="734"/>
      <c r="AH283" s="724"/>
      <c r="AI283" s="647"/>
      <c r="AJ283" s="647"/>
    </row>
    <row r="284" spans="1:36" s="7" customFormat="1" ht="21" customHeight="1">
      <c r="A284" s="26"/>
      <c r="B284" s="26"/>
      <c r="C284" s="26"/>
      <c r="D284" s="536"/>
      <c r="E284" s="67"/>
      <c r="F284" s="67"/>
      <c r="G284" s="67"/>
      <c r="H284" s="67"/>
      <c r="I284" s="67"/>
      <c r="J284" s="67"/>
      <c r="K284" s="67"/>
      <c r="L284" s="67"/>
      <c r="M284" s="67"/>
      <c r="N284" s="43"/>
      <c r="O284" s="338"/>
      <c r="P284" s="338"/>
      <c r="Q284" s="338"/>
      <c r="R284" s="338"/>
      <c r="S284" s="337"/>
      <c r="T284" s="298"/>
      <c r="U284" s="298"/>
      <c r="V284" s="337"/>
      <c r="W284" s="298"/>
      <c r="X284" s="339"/>
      <c r="Y284" s="340"/>
      <c r="Z284" s="339"/>
      <c r="AA284" s="339"/>
      <c r="AB284" s="674"/>
      <c r="AC284" s="598"/>
      <c r="AD284" s="673"/>
      <c r="AE284" s="685"/>
      <c r="AF284" s="728"/>
      <c r="AG284" s="734"/>
      <c r="AH284" s="724"/>
      <c r="AI284" s="647"/>
      <c r="AJ284" s="647"/>
    </row>
    <row r="285" spans="1:36" s="7" customFormat="1" ht="21" customHeight="1">
      <c r="A285" s="26"/>
      <c r="B285" s="18" t="s">
        <v>81</v>
      </c>
      <c r="C285" s="96" t="s">
        <v>130</v>
      </c>
      <c r="D285" s="654">
        <v>119711</v>
      </c>
      <c r="E285" s="97">
        <f t="shared" ref="E285:N285" si="13">SUM(E286,E300,E315,E318,E340,E354,E365,E373,E380,E387)</f>
        <v>107060</v>
      </c>
      <c r="F285" s="97">
        <f t="shared" si="13"/>
        <v>800</v>
      </c>
      <c r="G285" s="97">
        <f t="shared" si="13"/>
        <v>5839</v>
      </c>
      <c r="H285" s="97">
        <f t="shared" si="13"/>
        <v>0</v>
      </c>
      <c r="I285" s="97">
        <f t="shared" si="13"/>
        <v>64559</v>
      </c>
      <c r="J285" s="97">
        <f t="shared" si="13"/>
        <v>31981</v>
      </c>
      <c r="K285" s="97">
        <f t="shared" si="13"/>
        <v>0</v>
      </c>
      <c r="L285" s="97">
        <f t="shared" si="13"/>
        <v>3881</v>
      </c>
      <c r="M285" s="97">
        <f>SUM(M286,M300,M315,M318,M340,M354,M365,M373,M380,M387)</f>
        <v>-12651</v>
      </c>
      <c r="N285" s="97">
        <f t="shared" si="13"/>
        <v>-0.56098067204561597</v>
      </c>
      <c r="O285" s="511"/>
      <c r="P285" s="511"/>
      <c r="Q285" s="511"/>
      <c r="R285" s="511"/>
      <c r="S285" s="511"/>
      <c r="T285" s="448"/>
      <c r="U285" s="448"/>
      <c r="V285" s="510"/>
      <c r="W285" s="448"/>
      <c r="X285" s="448"/>
      <c r="Y285" s="190" t="s">
        <v>28</v>
      </c>
      <c r="Z285" s="448"/>
      <c r="AA285" s="448"/>
      <c r="AB285" s="711"/>
      <c r="AC285" s="541"/>
      <c r="AD285" s="656">
        <f>SUM(AD286,AD300,AD315,AD318,AD340,AD354,AD365,AD373,AD380,AD387)</f>
        <v>107060000</v>
      </c>
      <c r="AE285" s="686" t="s">
        <v>25</v>
      </c>
      <c r="AF285" s="728"/>
      <c r="AG285" s="734"/>
      <c r="AH285" s="724"/>
      <c r="AI285" s="647"/>
      <c r="AJ285" s="647"/>
    </row>
    <row r="286" spans="1:36" s="7" customFormat="1" ht="21" customHeight="1">
      <c r="A286" s="26"/>
      <c r="B286" s="26" t="s">
        <v>119</v>
      </c>
      <c r="C286" s="18" t="s">
        <v>247</v>
      </c>
      <c r="D286" s="650">
        <v>3310</v>
      </c>
      <c r="E286" s="67">
        <f>ROUND(AD286/1000,0)</f>
        <v>2275</v>
      </c>
      <c r="F286" s="71">
        <f>SUMIF($AB$287:$AB$299,"보조",$AD$287:$AD$299)/1000</f>
        <v>0</v>
      </c>
      <c r="G286" s="71">
        <f>SUMIF($AB$287:$AB$299,"6종",$AD$287:$AD$299)/1000</f>
        <v>0</v>
      </c>
      <c r="H286" s="71">
        <f>SUMIF($AB$287:$AB$299,"4종",$AD$287:$AD$299)/1000</f>
        <v>0</v>
      </c>
      <c r="I286" s="71">
        <f>SUMIF($AB$287:$AB$299,"후원",$AD$287:$AD$299)/1000</f>
        <v>2275</v>
      </c>
      <c r="J286" s="71">
        <f>SUMIF($AB$287:$AB$299,"입소",$AD$287:$AD$299)/1000</f>
        <v>0</v>
      </c>
      <c r="K286" s="71">
        <f>SUMIF($AB$287:$AB$299,"법인",$AD$287:$AD$299)/1000</f>
        <v>0</v>
      </c>
      <c r="L286" s="71">
        <f>SUMIF($AB$287:$AB$299,"잡수",$AD$287:$AD$299)/1000</f>
        <v>0</v>
      </c>
      <c r="M286" s="67">
        <f>E286-D286</f>
        <v>-1035</v>
      </c>
      <c r="N286" s="43">
        <f>IF(D286=0,0,M286/D286)</f>
        <v>-0.31268882175226587</v>
      </c>
      <c r="O286" s="187" t="s">
        <v>821</v>
      </c>
      <c r="P286" s="188"/>
      <c r="Q286" s="188"/>
      <c r="R286" s="188"/>
      <c r="S286" s="188"/>
      <c r="T286" s="444"/>
      <c r="U286" s="444"/>
      <c r="V286" s="189"/>
      <c r="W286" s="444"/>
      <c r="X286" s="444"/>
      <c r="Y286" s="190" t="s">
        <v>127</v>
      </c>
      <c r="Z286" s="448"/>
      <c r="AA286" s="448"/>
      <c r="AB286" s="711"/>
      <c r="AC286" s="541"/>
      <c r="AD286" s="656">
        <f>SUM(AD287:AD299)</f>
        <v>2275000</v>
      </c>
      <c r="AE286" s="686" t="s">
        <v>25</v>
      </c>
      <c r="AF286" s="728"/>
      <c r="AG286" s="734"/>
      <c r="AH286" s="724"/>
      <c r="AI286" s="647"/>
      <c r="AJ286" s="647"/>
    </row>
    <row r="287" spans="1:36" s="7" customFormat="1" ht="21" customHeight="1">
      <c r="A287" s="26"/>
      <c r="B287" s="26"/>
      <c r="C287" s="26" t="s">
        <v>119</v>
      </c>
      <c r="D287" s="676"/>
      <c r="E287" s="353"/>
      <c r="F287" s="353"/>
      <c r="G287" s="353"/>
      <c r="H287" s="353"/>
      <c r="I287" s="353"/>
      <c r="J287" s="353"/>
      <c r="K287" s="353"/>
      <c r="L287" s="353"/>
      <c r="M287" s="67"/>
      <c r="N287" s="43"/>
      <c r="O287" s="333" t="s">
        <v>254</v>
      </c>
      <c r="P287" s="235"/>
      <c r="Q287" s="235"/>
      <c r="R287" s="235"/>
      <c r="S287" s="235"/>
      <c r="T287" s="230"/>
      <c r="U287" s="230"/>
      <c r="V287" s="235"/>
      <c r="W287" s="230"/>
      <c r="X287" s="230"/>
      <c r="Y287" s="232"/>
      <c r="Z287" s="230"/>
      <c r="AA287" s="230"/>
      <c r="AB287" s="661"/>
      <c r="AC287" s="235"/>
      <c r="AD287" s="665"/>
      <c r="AE287" s="693"/>
      <c r="AF287" s="728"/>
      <c r="AG287" s="734"/>
      <c r="AH287" s="724"/>
      <c r="AI287" s="647"/>
      <c r="AJ287" s="647"/>
    </row>
    <row r="288" spans="1:36" s="7" customFormat="1" ht="21" customHeight="1">
      <c r="A288" s="26"/>
      <c r="B288" s="26"/>
      <c r="C288" s="26"/>
      <c r="D288" s="677"/>
      <c r="E288" s="354"/>
      <c r="F288" s="354"/>
      <c r="G288" s="354"/>
      <c r="H288" s="354"/>
      <c r="I288" s="354"/>
      <c r="J288" s="354"/>
      <c r="K288" s="354"/>
      <c r="L288" s="354"/>
      <c r="M288" s="67"/>
      <c r="N288" s="43"/>
      <c r="O288" s="338" t="s">
        <v>621</v>
      </c>
      <c r="P288" s="235"/>
      <c r="Q288" s="235"/>
      <c r="R288" s="235"/>
      <c r="S288" s="235"/>
      <c r="T288" s="230"/>
      <c r="U288" s="230"/>
      <c r="V288" s="235"/>
      <c r="W288" s="230"/>
      <c r="X288" s="230"/>
      <c r="Y288" s="232"/>
      <c r="Z288" s="230"/>
      <c r="AA288" s="230"/>
      <c r="AB288" s="661" t="s">
        <v>137</v>
      </c>
      <c r="AC288" s="235"/>
      <c r="AD288" s="673">
        <v>330000</v>
      </c>
      <c r="AE288" s="693" t="s">
        <v>55</v>
      </c>
      <c r="AF288" s="728"/>
      <c r="AG288" s="734"/>
      <c r="AH288" s="724"/>
      <c r="AI288" s="647"/>
      <c r="AJ288" s="647"/>
    </row>
    <row r="289" spans="1:36" s="7" customFormat="1" ht="21" customHeight="1">
      <c r="A289" s="26"/>
      <c r="B289" s="26"/>
      <c r="C289" s="26"/>
      <c r="D289" s="650"/>
      <c r="E289" s="67"/>
      <c r="F289" s="67"/>
      <c r="G289" s="67"/>
      <c r="H289" s="67"/>
      <c r="I289" s="67"/>
      <c r="J289" s="67"/>
      <c r="K289" s="67"/>
      <c r="L289" s="67"/>
      <c r="M289" s="67"/>
      <c r="N289" s="43"/>
      <c r="O289" s="338" t="s">
        <v>745</v>
      </c>
      <c r="P289" s="235"/>
      <c r="Q289" s="235"/>
      <c r="R289" s="235"/>
      <c r="S289" s="337">
        <v>19000</v>
      </c>
      <c r="T289" s="298" t="s">
        <v>25</v>
      </c>
      <c r="U289" s="298" t="s">
        <v>26</v>
      </c>
      <c r="V289" s="337">
        <v>30</v>
      </c>
      <c r="W289" s="298" t="s">
        <v>54</v>
      </c>
      <c r="X289" s="298"/>
      <c r="Y289" s="340"/>
      <c r="Z289" s="339"/>
      <c r="AA289" s="339" t="s">
        <v>53</v>
      </c>
      <c r="AB289" s="674" t="s">
        <v>137</v>
      </c>
      <c r="AC289" s="598"/>
      <c r="AD289" s="673">
        <f t="shared" ref="AD289" si="14">S289*V289</f>
        <v>570000</v>
      </c>
      <c r="AE289" s="685" t="s">
        <v>55</v>
      </c>
      <c r="AF289" s="728"/>
      <c r="AG289" s="734"/>
      <c r="AH289" s="724"/>
      <c r="AI289" s="647"/>
      <c r="AJ289" s="647"/>
    </row>
    <row r="290" spans="1:36" s="7" customFormat="1" ht="21" customHeight="1">
      <c r="A290" s="26"/>
      <c r="B290" s="26"/>
      <c r="C290" s="26"/>
      <c r="D290" s="650"/>
      <c r="E290" s="67"/>
      <c r="F290" s="67"/>
      <c r="G290" s="67"/>
      <c r="H290" s="67"/>
      <c r="I290" s="67"/>
      <c r="J290" s="67"/>
      <c r="K290" s="67"/>
      <c r="L290" s="67"/>
      <c r="M290" s="67"/>
      <c r="N290" s="43"/>
      <c r="O290" s="338" t="s">
        <v>559</v>
      </c>
      <c r="P290" s="235"/>
      <c r="Q290" s="235"/>
      <c r="R290" s="235"/>
      <c r="S290" s="337">
        <v>18000</v>
      </c>
      <c r="T290" s="298" t="s">
        <v>25</v>
      </c>
      <c r="U290" s="298" t="s">
        <v>26</v>
      </c>
      <c r="V290" s="337">
        <v>35</v>
      </c>
      <c r="W290" s="298" t="s">
        <v>54</v>
      </c>
      <c r="X290" s="298"/>
      <c r="Y290" s="340"/>
      <c r="Z290" s="339"/>
      <c r="AA290" s="339" t="s">
        <v>53</v>
      </c>
      <c r="AB290" s="674" t="s">
        <v>137</v>
      </c>
      <c r="AC290" s="598"/>
      <c r="AD290" s="673">
        <f t="shared" ref="AD290" si="15">S290*V290</f>
        <v>630000</v>
      </c>
      <c r="AE290" s="685" t="s">
        <v>55</v>
      </c>
      <c r="AF290" s="728"/>
      <c r="AG290" s="734"/>
      <c r="AH290" s="724"/>
      <c r="AI290" s="647"/>
      <c r="AJ290" s="647"/>
    </row>
    <row r="291" spans="1:36" s="7" customFormat="1" ht="21" customHeight="1">
      <c r="A291" s="26"/>
      <c r="B291" s="26"/>
      <c r="C291" s="26"/>
      <c r="D291" s="650"/>
      <c r="E291" s="67"/>
      <c r="F291" s="67"/>
      <c r="G291" s="67"/>
      <c r="H291" s="67"/>
      <c r="I291" s="67"/>
      <c r="J291" s="67"/>
      <c r="K291" s="67"/>
      <c r="L291" s="67"/>
      <c r="M291" s="67"/>
      <c r="N291" s="43"/>
      <c r="O291" s="338" t="s">
        <v>622</v>
      </c>
      <c r="P291" s="235"/>
      <c r="Q291" s="235"/>
      <c r="R291" s="235"/>
      <c r="S291" s="235"/>
      <c r="T291" s="230"/>
      <c r="U291" s="230"/>
      <c r="V291" s="235"/>
      <c r="W291" s="230"/>
      <c r="X291" s="230"/>
      <c r="Y291" s="232"/>
      <c r="Z291" s="230"/>
      <c r="AA291" s="230"/>
      <c r="AB291" s="661" t="s">
        <v>137</v>
      </c>
      <c r="AC291" s="235"/>
      <c r="AD291" s="673">
        <v>0</v>
      </c>
      <c r="AE291" s="693" t="s">
        <v>55</v>
      </c>
      <c r="AF291" s="728"/>
      <c r="AG291" s="734"/>
      <c r="AH291" s="724"/>
      <c r="AI291" s="647"/>
      <c r="AJ291" s="647"/>
    </row>
    <row r="292" spans="1:36" s="7" customFormat="1" ht="21" customHeight="1">
      <c r="A292" s="26"/>
      <c r="B292" s="26"/>
      <c r="C292" s="26"/>
      <c r="D292" s="650"/>
      <c r="E292" s="67"/>
      <c r="F292" s="67"/>
      <c r="G292" s="67"/>
      <c r="H292" s="67"/>
      <c r="I292" s="67"/>
      <c r="J292" s="67"/>
      <c r="K292" s="67"/>
      <c r="L292" s="67"/>
      <c r="M292" s="67"/>
      <c r="N292" s="43"/>
      <c r="O292" s="338" t="s">
        <v>624</v>
      </c>
      <c r="P292" s="338"/>
      <c r="Q292" s="338"/>
      <c r="R292" s="338"/>
      <c r="S292" s="338"/>
      <c r="T292" s="339"/>
      <c r="U292" s="339"/>
      <c r="V292" s="337"/>
      <c r="W292" s="339"/>
      <c r="X292" s="339"/>
      <c r="Y292" s="340"/>
      <c r="Z292" s="339"/>
      <c r="AA292" s="339"/>
      <c r="AB292" s="674" t="s">
        <v>137</v>
      </c>
      <c r="AC292" s="599"/>
      <c r="AD292" s="673">
        <v>345000</v>
      </c>
      <c r="AE292" s="685" t="s">
        <v>55</v>
      </c>
      <c r="AF292" s="728"/>
      <c r="AG292" s="734"/>
      <c r="AH292" s="724"/>
      <c r="AI292" s="647"/>
      <c r="AJ292" s="647"/>
    </row>
    <row r="293" spans="1:36" s="7" customFormat="1" ht="21" customHeight="1">
      <c r="A293" s="26"/>
      <c r="B293" s="26"/>
      <c r="C293" s="26"/>
      <c r="D293" s="650"/>
      <c r="E293" s="67"/>
      <c r="F293" s="67"/>
      <c r="G293" s="67"/>
      <c r="H293" s="67"/>
      <c r="I293" s="67"/>
      <c r="J293" s="67"/>
      <c r="K293" s="67"/>
      <c r="L293" s="67"/>
      <c r="M293" s="67"/>
      <c r="N293" s="43"/>
      <c r="O293" s="177" t="s">
        <v>623</v>
      </c>
      <c r="P293" s="338"/>
      <c r="Q293" s="338"/>
      <c r="R293" s="338"/>
      <c r="S293" s="338"/>
      <c r="T293" s="339"/>
      <c r="U293" s="339"/>
      <c r="V293" s="337"/>
      <c r="W293" s="339"/>
      <c r="X293" s="339"/>
      <c r="Y293" s="340"/>
      <c r="Z293" s="339"/>
      <c r="AA293" s="339"/>
      <c r="AB293" s="674" t="s">
        <v>137</v>
      </c>
      <c r="AC293" s="599"/>
      <c r="AD293" s="673">
        <v>400000</v>
      </c>
      <c r="AE293" s="685" t="s">
        <v>55</v>
      </c>
      <c r="AF293" s="728"/>
      <c r="AG293" s="734"/>
      <c r="AH293" s="724"/>
      <c r="AI293" s="647"/>
      <c r="AJ293" s="647"/>
    </row>
    <row r="294" spans="1:36" s="7" customFormat="1" ht="21" customHeight="1">
      <c r="A294" s="26"/>
      <c r="B294" s="26"/>
      <c r="C294" s="26"/>
      <c r="D294" s="650"/>
      <c r="E294" s="67"/>
      <c r="F294" s="67"/>
      <c r="G294" s="67"/>
      <c r="H294" s="67"/>
      <c r="I294" s="67"/>
      <c r="J294" s="67"/>
      <c r="K294" s="67"/>
      <c r="L294" s="67"/>
      <c r="M294" s="67"/>
      <c r="N294" s="43"/>
      <c r="O294" s="177" t="s">
        <v>255</v>
      </c>
      <c r="P294" s="338"/>
      <c r="Q294" s="338"/>
      <c r="R294" s="338"/>
      <c r="S294" s="338"/>
      <c r="T294" s="339"/>
      <c r="U294" s="339"/>
      <c r="V294" s="337"/>
      <c r="W294" s="339"/>
      <c r="X294" s="339"/>
      <c r="Y294" s="340"/>
      <c r="Z294" s="339"/>
      <c r="AA294" s="339"/>
      <c r="AB294" s="661"/>
      <c r="AC294" s="599"/>
      <c r="AD294" s="669"/>
      <c r="AE294" s="685"/>
      <c r="AF294" s="728"/>
      <c r="AG294" s="734"/>
      <c r="AH294" s="724"/>
      <c r="AI294" s="647"/>
      <c r="AJ294" s="647"/>
    </row>
    <row r="295" spans="1:36" s="7" customFormat="1" ht="21" customHeight="1">
      <c r="A295" s="26"/>
      <c r="B295" s="26"/>
      <c r="C295" s="26"/>
      <c r="D295" s="650"/>
      <c r="E295" s="67"/>
      <c r="F295" s="67"/>
      <c r="G295" s="67"/>
      <c r="H295" s="67"/>
      <c r="I295" s="67"/>
      <c r="J295" s="67"/>
      <c r="K295" s="67"/>
      <c r="L295" s="67"/>
      <c r="M295" s="67"/>
      <c r="N295" s="43"/>
      <c r="O295" s="177" t="s">
        <v>560</v>
      </c>
      <c r="P295" s="338"/>
      <c r="Q295" s="338"/>
      <c r="R295" s="338"/>
      <c r="S295" s="338"/>
      <c r="T295" s="339"/>
      <c r="U295" s="339"/>
      <c r="V295" s="337"/>
      <c r="W295" s="339"/>
      <c r="X295" s="339"/>
      <c r="Y295" s="340"/>
      <c r="Z295" s="339"/>
      <c r="AA295" s="339"/>
      <c r="AB295" s="661" t="s">
        <v>137</v>
      </c>
      <c r="AC295" s="599"/>
      <c r="AD295" s="669">
        <v>0</v>
      </c>
      <c r="AE295" s="685" t="s">
        <v>55</v>
      </c>
      <c r="AF295" s="728"/>
      <c r="AG295" s="734"/>
      <c r="AH295" s="724"/>
      <c r="AI295" s="647"/>
      <c r="AJ295" s="647"/>
    </row>
    <row r="296" spans="1:36" s="7" customFormat="1" ht="21" customHeight="1">
      <c r="A296" s="26"/>
      <c r="B296" s="26"/>
      <c r="C296" s="26"/>
      <c r="D296" s="650"/>
      <c r="E296" s="67"/>
      <c r="F296" s="67"/>
      <c r="G296" s="67"/>
      <c r="H296" s="67"/>
      <c r="I296" s="67"/>
      <c r="J296" s="67"/>
      <c r="K296" s="67"/>
      <c r="L296" s="67"/>
      <c r="M296" s="67"/>
      <c r="N296" s="43"/>
      <c r="O296" s="177" t="s">
        <v>565</v>
      </c>
      <c r="P296" s="338"/>
      <c r="Q296" s="338"/>
      <c r="R296" s="338"/>
      <c r="S296" s="338"/>
      <c r="T296" s="339"/>
      <c r="U296" s="339"/>
      <c r="V296" s="337"/>
      <c r="W296" s="339"/>
      <c r="X296" s="339"/>
      <c r="Y296" s="340"/>
      <c r="Z296" s="339"/>
      <c r="AA296" s="339"/>
      <c r="AB296" s="661" t="s">
        <v>137</v>
      </c>
      <c r="AC296" s="599"/>
      <c r="AD296" s="669">
        <v>0</v>
      </c>
      <c r="AE296" s="685" t="s">
        <v>55</v>
      </c>
      <c r="AF296" s="728"/>
      <c r="AG296" s="734"/>
      <c r="AH296" s="724"/>
      <c r="AI296" s="647"/>
      <c r="AJ296" s="647"/>
    </row>
    <row r="297" spans="1:36" s="7" customFormat="1" ht="21" customHeight="1">
      <c r="A297" s="26"/>
      <c r="B297" s="26"/>
      <c r="C297" s="26"/>
      <c r="D297" s="650"/>
      <c r="E297" s="67"/>
      <c r="F297" s="67"/>
      <c r="G297" s="67"/>
      <c r="H297" s="67"/>
      <c r="I297" s="67"/>
      <c r="J297" s="67"/>
      <c r="K297" s="67"/>
      <c r="L297" s="67"/>
      <c r="M297" s="67"/>
      <c r="N297" s="43"/>
      <c r="O297" s="177" t="s">
        <v>561</v>
      </c>
      <c r="P297" s="338"/>
      <c r="Q297" s="338"/>
      <c r="R297" s="338"/>
      <c r="S297" s="338"/>
      <c r="T297" s="339"/>
      <c r="U297" s="339"/>
      <c r="V297" s="337"/>
      <c r="W297" s="339"/>
      <c r="X297" s="339"/>
      <c r="Y297" s="340"/>
      <c r="Z297" s="339"/>
      <c r="AA297" s="339"/>
      <c r="AB297" s="661" t="s">
        <v>137</v>
      </c>
      <c r="AC297" s="599"/>
      <c r="AD297" s="669">
        <v>0</v>
      </c>
      <c r="AE297" s="685" t="s">
        <v>55</v>
      </c>
      <c r="AF297" s="728"/>
      <c r="AG297" s="734"/>
      <c r="AH297" s="724"/>
      <c r="AI297" s="647"/>
      <c r="AJ297" s="647"/>
    </row>
    <row r="298" spans="1:36" s="7" customFormat="1" ht="21" customHeight="1">
      <c r="A298" s="26"/>
      <c r="B298" s="26"/>
      <c r="C298" s="26"/>
      <c r="D298" s="650"/>
      <c r="E298" s="67"/>
      <c r="F298" s="67"/>
      <c r="G298" s="67"/>
      <c r="H298" s="67"/>
      <c r="I298" s="67"/>
      <c r="J298" s="67"/>
      <c r="K298" s="67"/>
      <c r="L298" s="67"/>
      <c r="M298" s="67"/>
      <c r="N298" s="43"/>
      <c r="O298" s="177" t="s">
        <v>562</v>
      </c>
      <c r="P298" s="338"/>
      <c r="Q298" s="338"/>
      <c r="R298" s="338"/>
      <c r="S298" s="338"/>
      <c r="T298" s="339"/>
      <c r="U298" s="339"/>
      <c r="V298" s="337"/>
      <c r="W298" s="339"/>
      <c r="X298" s="339"/>
      <c r="Y298" s="340"/>
      <c r="Z298" s="339"/>
      <c r="AA298" s="339"/>
      <c r="AB298" s="661" t="s">
        <v>137</v>
      </c>
      <c r="AC298" s="599"/>
      <c r="AD298" s="669">
        <v>0</v>
      </c>
      <c r="AE298" s="685" t="s">
        <v>55</v>
      </c>
      <c r="AF298" s="728"/>
      <c r="AG298" s="734"/>
      <c r="AH298" s="724"/>
      <c r="AI298" s="647"/>
      <c r="AJ298" s="647"/>
    </row>
    <row r="299" spans="1:36" s="7" customFormat="1" ht="21" customHeight="1">
      <c r="A299" s="26"/>
      <c r="B299" s="26"/>
      <c r="C299" s="34"/>
      <c r="D299" s="651"/>
      <c r="E299" s="68"/>
      <c r="F299" s="68"/>
      <c r="G299" s="68"/>
      <c r="H299" s="68"/>
      <c r="I299" s="68"/>
      <c r="J299" s="68"/>
      <c r="K299" s="68"/>
      <c r="L299" s="68"/>
      <c r="M299" s="68"/>
      <c r="N299" s="54"/>
      <c r="O299" s="178" t="s">
        <v>563</v>
      </c>
      <c r="P299" s="513"/>
      <c r="Q299" s="513"/>
      <c r="R299" s="513"/>
      <c r="S299" s="513"/>
      <c r="T299" s="428"/>
      <c r="U299" s="428"/>
      <c r="V299" s="512"/>
      <c r="W299" s="428"/>
      <c r="X299" s="428"/>
      <c r="Y299" s="236"/>
      <c r="Z299" s="428"/>
      <c r="AA299" s="428"/>
      <c r="AB299" s="661" t="s">
        <v>137</v>
      </c>
      <c r="AC299" s="588"/>
      <c r="AD299" s="680">
        <v>0</v>
      </c>
      <c r="AE299" s="694" t="s">
        <v>55</v>
      </c>
      <c r="AF299" s="728"/>
      <c r="AG299" s="734"/>
      <c r="AH299" s="724"/>
      <c r="AI299" s="647"/>
      <c r="AJ299" s="647"/>
    </row>
    <row r="300" spans="1:36" s="7" customFormat="1" ht="21" customHeight="1">
      <c r="A300" s="26"/>
      <c r="B300" s="26"/>
      <c r="C300" s="18" t="s">
        <v>248</v>
      </c>
      <c r="D300" s="650">
        <v>18471</v>
      </c>
      <c r="E300" s="67">
        <f>ROUND(AD300/1000,0)</f>
        <v>16368</v>
      </c>
      <c r="F300" s="71">
        <f>SUMIF($AB$301:$AB$314,"보조",$AD$301:$AD$314)/1000</f>
        <v>0</v>
      </c>
      <c r="G300" s="71">
        <f>SUMIF($AB$301:$AB$314,"6종",$AD$301:$AD$314)/1000</f>
        <v>0</v>
      </c>
      <c r="H300" s="71">
        <f>SUMIF($AB$301:$AB$314,"4종",$AD$301:$AD$314)/1000</f>
        <v>0</v>
      </c>
      <c r="I300" s="71">
        <f>SUMIF($AB$301:$AB$314,"후원",$AD$301:$AD$314)/1000</f>
        <v>8613</v>
      </c>
      <c r="J300" s="71">
        <f>SUMIF($AB$301:$AB$314,"입소",$AD$301:$AD$314)/1000</f>
        <v>7755</v>
      </c>
      <c r="K300" s="71">
        <f>SUMIF($AB$301:$AB$314,"법인",$AD$301:$AD$314)/1000</f>
        <v>0</v>
      </c>
      <c r="L300" s="71">
        <f>SUMIF($AB$301:$AB$314,"잡수",$AD$301:$AD$314)/1000</f>
        <v>0</v>
      </c>
      <c r="M300" s="326">
        <f>E300-D300</f>
        <v>-2103</v>
      </c>
      <c r="N300" s="75">
        <f>IF(D300=0,0,M300/D300)</f>
        <v>-0.11385414974825402</v>
      </c>
      <c r="O300" s="180"/>
      <c r="P300" s="188"/>
      <c r="Q300" s="188"/>
      <c r="R300" s="248"/>
      <c r="S300" s="248"/>
      <c r="T300" s="456"/>
      <c r="U300" s="456"/>
      <c r="V300" s="248"/>
      <c r="W300" s="509" t="s">
        <v>120</v>
      </c>
      <c r="X300" s="509"/>
      <c r="Y300" s="249"/>
      <c r="Z300" s="509"/>
      <c r="AA300" s="509"/>
      <c r="AB300" s="702"/>
      <c r="AC300" s="590"/>
      <c r="AD300" s="666">
        <f>SUM(AD301:AD314)</f>
        <v>16368000</v>
      </c>
      <c r="AE300" s="696" t="s">
        <v>25</v>
      </c>
      <c r="AF300" s="728"/>
      <c r="AG300" s="734"/>
      <c r="AH300" s="724"/>
      <c r="AI300" s="647"/>
      <c r="AJ300" s="647"/>
    </row>
    <row r="301" spans="1:36" s="7" customFormat="1" ht="21" customHeight="1">
      <c r="A301" s="26"/>
      <c r="B301" s="26"/>
      <c r="C301" s="26" t="s">
        <v>249</v>
      </c>
      <c r="D301" s="676"/>
      <c r="E301" s="353"/>
      <c r="F301" s="353"/>
      <c r="G301" s="353"/>
      <c r="H301" s="353"/>
      <c r="I301" s="353"/>
      <c r="J301" s="353"/>
      <c r="K301" s="353"/>
      <c r="L301" s="353"/>
      <c r="M301" s="67"/>
      <c r="N301" s="43"/>
      <c r="O301" s="338" t="s">
        <v>256</v>
      </c>
      <c r="P301" s="235"/>
      <c r="Q301" s="235"/>
      <c r="R301" s="235"/>
      <c r="S301" s="235" t="s">
        <v>628</v>
      </c>
      <c r="T301" s="230"/>
      <c r="U301" s="230"/>
      <c r="V301" s="235"/>
      <c r="W301" s="230"/>
      <c r="X301" s="230"/>
      <c r="Y301" s="232"/>
      <c r="Z301" s="230"/>
      <c r="AA301" s="230"/>
      <c r="AB301" s="661" t="s">
        <v>217</v>
      </c>
      <c r="AC301" s="235"/>
      <c r="AD301" s="665">
        <v>2500000</v>
      </c>
      <c r="AE301" s="693" t="s">
        <v>55</v>
      </c>
      <c r="AF301" s="728"/>
      <c r="AG301" s="734"/>
      <c r="AH301" s="724"/>
      <c r="AI301" s="647"/>
      <c r="AJ301" s="647"/>
    </row>
    <row r="302" spans="1:36" s="7" customFormat="1" ht="21" customHeight="1">
      <c r="A302" s="26"/>
      <c r="B302" s="26"/>
      <c r="C302" s="26"/>
      <c r="D302" s="676"/>
      <c r="E302" s="353"/>
      <c r="F302" s="353"/>
      <c r="G302" s="353"/>
      <c r="H302" s="353"/>
      <c r="I302" s="353"/>
      <c r="J302" s="353"/>
      <c r="K302" s="353"/>
      <c r="L302" s="353"/>
      <c r="M302" s="67"/>
      <c r="N302" s="43"/>
      <c r="O302" s="338"/>
      <c r="P302" s="235"/>
      <c r="Q302" s="235"/>
      <c r="R302" s="235"/>
      <c r="S302" s="235" t="s">
        <v>625</v>
      </c>
      <c r="T302" s="230"/>
      <c r="U302" s="230"/>
      <c r="V302" s="235"/>
      <c r="W302" s="230"/>
      <c r="X302" s="230"/>
      <c r="Y302" s="232"/>
      <c r="Z302" s="230"/>
      <c r="AA302" s="230"/>
      <c r="AB302" s="661" t="s">
        <v>217</v>
      </c>
      <c r="AC302" s="235"/>
      <c r="AD302" s="665">
        <v>1300000</v>
      </c>
      <c r="AE302" s="693" t="s">
        <v>55</v>
      </c>
      <c r="AF302" s="728"/>
      <c r="AG302" s="734"/>
      <c r="AH302" s="724"/>
      <c r="AI302" s="647"/>
      <c r="AJ302" s="647"/>
    </row>
    <row r="303" spans="1:36" s="7" customFormat="1" ht="21" customHeight="1">
      <c r="A303" s="26"/>
      <c r="B303" s="26"/>
      <c r="C303" s="26"/>
      <c r="D303" s="677"/>
      <c r="E303" s="354"/>
      <c r="F303" s="354"/>
      <c r="G303" s="354"/>
      <c r="H303" s="354"/>
      <c r="I303" s="354"/>
      <c r="J303" s="354"/>
      <c r="K303" s="354"/>
      <c r="L303" s="354"/>
      <c r="M303" s="67"/>
      <c r="N303" s="43"/>
      <c r="O303" s="338"/>
      <c r="P303" s="235"/>
      <c r="Q303" s="235"/>
      <c r="R303" s="235"/>
      <c r="S303" s="235" t="s">
        <v>627</v>
      </c>
      <c r="T303" s="230"/>
      <c r="U303" s="230"/>
      <c r="V303" s="235"/>
      <c r="W303" s="230"/>
      <c r="X303" s="230"/>
      <c r="Y303" s="232"/>
      <c r="Z303" s="230"/>
      <c r="AA303" s="230"/>
      <c r="AB303" s="661" t="s">
        <v>217</v>
      </c>
      <c r="AC303" s="235"/>
      <c r="AD303" s="740">
        <v>1780000</v>
      </c>
      <c r="AE303" s="693" t="s">
        <v>55</v>
      </c>
      <c r="AF303" s="728"/>
      <c r="AG303" s="734"/>
      <c r="AH303" s="724"/>
      <c r="AI303" s="647"/>
      <c r="AJ303" s="647"/>
    </row>
    <row r="304" spans="1:36" s="7" customFormat="1" ht="21" customHeight="1">
      <c r="A304" s="26"/>
      <c r="B304" s="26"/>
      <c r="C304" s="26"/>
      <c r="D304" s="677"/>
      <c r="E304" s="354"/>
      <c r="F304" s="354"/>
      <c r="G304" s="354"/>
      <c r="H304" s="354"/>
      <c r="I304" s="354"/>
      <c r="J304" s="354"/>
      <c r="K304" s="354"/>
      <c r="L304" s="354"/>
      <c r="M304" s="67"/>
      <c r="N304" s="43"/>
      <c r="O304" s="338"/>
      <c r="P304" s="235"/>
      <c r="Q304" s="235"/>
      <c r="R304" s="235"/>
      <c r="S304" s="235" t="s">
        <v>627</v>
      </c>
      <c r="T304" s="230"/>
      <c r="U304" s="230"/>
      <c r="V304" s="235"/>
      <c r="W304" s="230"/>
      <c r="X304" s="230"/>
      <c r="Y304" s="232"/>
      <c r="Z304" s="230"/>
      <c r="AA304" s="230"/>
      <c r="AB304" s="661" t="s">
        <v>137</v>
      </c>
      <c r="AC304" s="235"/>
      <c r="AD304" s="665">
        <v>903000</v>
      </c>
      <c r="AE304" s="693" t="s">
        <v>55</v>
      </c>
      <c r="AF304" s="728"/>
      <c r="AG304" s="734"/>
      <c r="AH304" s="724"/>
      <c r="AI304" s="647"/>
      <c r="AJ304" s="647"/>
    </row>
    <row r="305" spans="1:36" s="7" customFormat="1" ht="21" customHeight="1">
      <c r="A305" s="26"/>
      <c r="B305" s="26"/>
      <c r="C305" s="26"/>
      <c r="D305" s="677"/>
      <c r="E305" s="354"/>
      <c r="F305" s="354"/>
      <c r="G305" s="354"/>
      <c r="H305" s="354"/>
      <c r="I305" s="354"/>
      <c r="J305" s="354"/>
      <c r="K305" s="354"/>
      <c r="L305" s="354"/>
      <c r="M305" s="67"/>
      <c r="N305" s="43"/>
      <c r="O305" s="338" t="s">
        <v>626</v>
      </c>
      <c r="P305" s="235"/>
      <c r="Q305" s="235"/>
      <c r="R305" s="235"/>
      <c r="S305" s="235" t="s">
        <v>628</v>
      </c>
      <c r="T305" s="230"/>
      <c r="U305" s="230"/>
      <c r="V305" s="235"/>
      <c r="W305" s="230"/>
      <c r="X305" s="230"/>
      <c r="Y305" s="232"/>
      <c r="Z305" s="230"/>
      <c r="AA305" s="230"/>
      <c r="AB305" s="661" t="s">
        <v>137</v>
      </c>
      <c r="AC305" s="235"/>
      <c r="AD305" s="665">
        <v>0</v>
      </c>
      <c r="AE305" s="693" t="s">
        <v>55</v>
      </c>
      <c r="AF305" s="728"/>
      <c r="AG305" s="734"/>
      <c r="AH305" s="724"/>
      <c r="AI305" s="647"/>
      <c r="AJ305" s="647"/>
    </row>
    <row r="306" spans="1:36" s="7" customFormat="1" ht="21" customHeight="1">
      <c r="A306" s="26"/>
      <c r="B306" s="26"/>
      <c r="C306" s="26"/>
      <c r="D306" s="677"/>
      <c r="E306" s="354"/>
      <c r="F306" s="354"/>
      <c r="G306" s="354"/>
      <c r="H306" s="354"/>
      <c r="I306" s="354"/>
      <c r="J306" s="354"/>
      <c r="K306" s="354"/>
      <c r="L306" s="354"/>
      <c r="M306" s="67"/>
      <c r="N306" s="43"/>
      <c r="O306" s="338"/>
      <c r="P306" s="235"/>
      <c r="Q306" s="235"/>
      <c r="R306" s="235"/>
      <c r="S306" s="235" t="s">
        <v>625</v>
      </c>
      <c r="T306" s="230"/>
      <c r="U306" s="230"/>
      <c r="V306" s="235"/>
      <c r="W306" s="230"/>
      <c r="X306" s="230"/>
      <c r="Y306" s="232"/>
      <c r="Z306" s="230"/>
      <c r="AA306" s="230"/>
      <c r="AB306" s="661" t="s">
        <v>217</v>
      </c>
      <c r="AC306" s="235"/>
      <c r="AD306" s="665">
        <v>2150000</v>
      </c>
      <c r="AE306" s="693" t="s">
        <v>55</v>
      </c>
      <c r="AF306" s="728"/>
      <c r="AG306" s="734"/>
      <c r="AH306" s="724"/>
      <c r="AI306" s="647"/>
      <c r="AJ306" s="647"/>
    </row>
    <row r="307" spans="1:36" s="7" customFormat="1" ht="21" customHeight="1">
      <c r="A307" s="26"/>
      <c r="B307" s="26"/>
      <c r="C307" s="26"/>
      <c r="D307" s="650"/>
      <c r="E307" s="67"/>
      <c r="F307" s="67"/>
      <c r="G307" s="67"/>
      <c r="H307" s="67"/>
      <c r="I307" s="67"/>
      <c r="J307" s="67"/>
      <c r="K307" s="67"/>
      <c r="L307" s="67"/>
      <c r="M307" s="67"/>
      <c r="N307" s="43"/>
      <c r="O307" s="338"/>
      <c r="P307" s="235"/>
      <c r="Q307" s="235"/>
      <c r="R307" s="235"/>
      <c r="S307" s="235" t="s">
        <v>627</v>
      </c>
      <c r="T307" s="230"/>
      <c r="U307" s="230"/>
      <c r="V307" s="235"/>
      <c r="W307" s="230"/>
      <c r="X307" s="230"/>
      <c r="Y307" s="232"/>
      <c r="Z307" s="230"/>
      <c r="AA307" s="230"/>
      <c r="AB307" s="661" t="s">
        <v>137</v>
      </c>
      <c r="AC307" s="235"/>
      <c r="AD307" s="665">
        <v>1710000</v>
      </c>
      <c r="AE307" s="693" t="s">
        <v>55</v>
      </c>
      <c r="AF307" s="728"/>
      <c r="AG307" s="734"/>
      <c r="AH307" s="724"/>
      <c r="AI307" s="647"/>
      <c r="AJ307" s="647"/>
    </row>
    <row r="308" spans="1:36" s="7" customFormat="1" ht="21" customHeight="1">
      <c r="A308" s="26"/>
      <c r="B308" s="26"/>
      <c r="C308" s="26"/>
      <c r="D308" s="650"/>
      <c r="E308" s="67"/>
      <c r="F308" s="67"/>
      <c r="G308" s="67"/>
      <c r="H308" s="67"/>
      <c r="I308" s="67"/>
      <c r="J308" s="67"/>
      <c r="K308" s="67"/>
      <c r="L308" s="67"/>
      <c r="M308" s="67"/>
      <c r="N308" s="43"/>
      <c r="O308" s="338"/>
      <c r="P308" s="235"/>
      <c r="Q308" s="235"/>
      <c r="R308" s="235"/>
      <c r="S308" s="235" t="s">
        <v>627</v>
      </c>
      <c r="T308" s="230"/>
      <c r="U308" s="230"/>
      <c r="V308" s="235"/>
      <c r="W308" s="230"/>
      <c r="X308" s="230"/>
      <c r="Y308" s="232"/>
      <c r="Z308" s="230"/>
      <c r="AA308" s="230"/>
      <c r="AB308" s="661" t="s">
        <v>829</v>
      </c>
      <c r="AC308" s="235"/>
      <c r="AD308" s="665">
        <v>25000</v>
      </c>
      <c r="AE308" s="693" t="s">
        <v>55</v>
      </c>
      <c r="AF308" s="728"/>
      <c r="AG308" s="734"/>
      <c r="AH308" s="724"/>
      <c r="AI308" s="647"/>
      <c r="AJ308" s="647"/>
    </row>
    <row r="309" spans="1:36" s="7" customFormat="1" ht="21" customHeight="1">
      <c r="A309" s="26"/>
      <c r="B309" s="26"/>
      <c r="C309" s="26"/>
      <c r="D309" s="650"/>
      <c r="E309" s="67"/>
      <c r="F309" s="67"/>
      <c r="G309" s="67"/>
      <c r="H309" s="67"/>
      <c r="I309" s="67"/>
      <c r="J309" s="67"/>
      <c r="K309" s="67"/>
      <c r="L309" s="67"/>
      <c r="M309" s="67"/>
      <c r="N309" s="43"/>
      <c r="O309" s="338" t="s">
        <v>257</v>
      </c>
      <c r="P309" s="235"/>
      <c r="Q309" s="235"/>
      <c r="R309" s="235"/>
      <c r="S309" s="235"/>
      <c r="T309" s="230"/>
      <c r="U309" s="230"/>
      <c r="V309" s="235"/>
      <c r="W309" s="230"/>
      <c r="X309" s="230"/>
      <c r="Y309" s="232"/>
      <c r="Z309" s="230"/>
      <c r="AA309" s="230"/>
      <c r="AB309" s="661" t="s">
        <v>217</v>
      </c>
      <c r="AC309" s="235"/>
      <c r="AD309" s="665">
        <v>0</v>
      </c>
      <c r="AE309" s="693" t="s">
        <v>55</v>
      </c>
      <c r="AF309" s="728"/>
      <c r="AG309" s="734"/>
      <c r="AH309" s="724"/>
      <c r="AI309" s="647"/>
      <c r="AJ309" s="647"/>
    </row>
    <row r="310" spans="1:36" s="7" customFormat="1" ht="21" customHeight="1">
      <c r="A310" s="26"/>
      <c r="B310" s="26"/>
      <c r="C310" s="26"/>
      <c r="D310" s="650"/>
      <c r="E310" s="67"/>
      <c r="F310" s="67"/>
      <c r="G310" s="67"/>
      <c r="H310" s="67"/>
      <c r="I310" s="67"/>
      <c r="J310" s="67"/>
      <c r="K310" s="67"/>
      <c r="L310" s="67"/>
      <c r="M310" s="67"/>
      <c r="N310" s="43"/>
      <c r="O310" s="338"/>
      <c r="P310" s="235"/>
      <c r="Q310" s="235"/>
      <c r="R310" s="235"/>
      <c r="S310" s="235"/>
      <c r="T310" s="230"/>
      <c r="U310" s="230"/>
      <c r="V310" s="235"/>
      <c r="W310" s="230"/>
      <c r="X310" s="230"/>
      <c r="Y310" s="232"/>
      <c r="Z310" s="230"/>
      <c r="AA310" s="230"/>
      <c r="AB310" s="661" t="s">
        <v>137</v>
      </c>
      <c r="AC310" s="235"/>
      <c r="AD310" s="665">
        <v>0</v>
      </c>
      <c r="AE310" s="693" t="s">
        <v>55</v>
      </c>
      <c r="AF310" s="728"/>
      <c r="AG310" s="734"/>
      <c r="AH310" s="724"/>
      <c r="AI310" s="647"/>
      <c r="AJ310" s="647"/>
    </row>
    <row r="311" spans="1:36" s="7" customFormat="1" ht="21" customHeight="1">
      <c r="A311" s="26"/>
      <c r="B311" s="26"/>
      <c r="C311" s="26"/>
      <c r="D311" s="650"/>
      <c r="E311" s="67"/>
      <c r="F311" s="67"/>
      <c r="G311" s="67"/>
      <c r="H311" s="67"/>
      <c r="I311" s="67"/>
      <c r="J311" s="67"/>
      <c r="K311" s="67"/>
      <c r="L311" s="67"/>
      <c r="M311" s="67"/>
      <c r="N311" s="43"/>
      <c r="O311" s="338" t="s">
        <v>258</v>
      </c>
      <c r="P311" s="235"/>
      <c r="Q311" s="235"/>
      <c r="R311" s="235"/>
      <c r="S311" s="235"/>
      <c r="T311" s="230"/>
      <c r="U311" s="230"/>
      <c r="V311" s="235"/>
      <c r="W311" s="230"/>
      <c r="X311" s="230"/>
      <c r="Y311" s="232"/>
      <c r="Z311" s="230"/>
      <c r="AA311" s="230"/>
      <c r="AB311" s="661" t="s">
        <v>137</v>
      </c>
      <c r="AC311" s="235"/>
      <c r="AD311" s="665">
        <v>0</v>
      </c>
      <c r="AE311" s="693" t="s">
        <v>55</v>
      </c>
      <c r="AF311" s="728"/>
      <c r="AG311" s="734"/>
      <c r="AH311" s="724"/>
      <c r="AI311" s="647"/>
      <c r="AJ311" s="647"/>
    </row>
    <row r="312" spans="1:36" s="7" customFormat="1" ht="21" customHeight="1">
      <c r="A312" s="26"/>
      <c r="B312" s="26"/>
      <c r="C312" s="26"/>
      <c r="D312" s="650"/>
      <c r="E312" s="67"/>
      <c r="F312" s="67"/>
      <c r="G312" s="67"/>
      <c r="H312" s="67"/>
      <c r="I312" s="67"/>
      <c r="J312" s="67"/>
      <c r="K312" s="67"/>
      <c r="L312" s="67"/>
      <c r="M312" s="67"/>
      <c r="N312" s="43"/>
      <c r="O312" s="338"/>
      <c r="P312" s="235"/>
      <c r="Q312" s="235"/>
      <c r="R312" s="235"/>
      <c r="S312" s="235"/>
      <c r="T312" s="230"/>
      <c r="U312" s="230"/>
      <c r="V312" s="235"/>
      <c r="W312" s="230"/>
      <c r="X312" s="230"/>
      <c r="Y312" s="232"/>
      <c r="Z312" s="230"/>
      <c r="AA312" s="230"/>
      <c r="AB312" s="661"/>
      <c r="AC312" s="235"/>
      <c r="AD312" s="665"/>
      <c r="AE312" s="693"/>
      <c r="AF312" s="728"/>
      <c r="AG312" s="734"/>
      <c r="AH312" s="724"/>
      <c r="AI312" s="647"/>
      <c r="AJ312" s="647"/>
    </row>
    <row r="313" spans="1:36" s="7" customFormat="1" ht="21" customHeight="1">
      <c r="A313" s="26"/>
      <c r="B313" s="26"/>
      <c r="C313" s="26"/>
      <c r="D313" s="650"/>
      <c r="E313" s="67"/>
      <c r="F313" s="67"/>
      <c r="G313" s="67"/>
      <c r="H313" s="67"/>
      <c r="I313" s="67"/>
      <c r="J313" s="67"/>
      <c r="K313" s="67"/>
      <c r="L313" s="67"/>
      <c r="M313" s="67"/>
      <c r="N313" s="43"/>
      <c r="O313" s="338" t="s">
        <v>259</v>
      </c>
      <c r="P313" s="235"/>
      <c r="Q313" s="235"/>
      <c r="R313" s="235"/>
      <c r="S313" s="235"/>
      <c r="T313" s="230"/>
      <c r="U313" s="230"/>
      <c r="V313" s="235"/>
      <c r="W313" s="230"/>
      <c r="X313" s="230"/>
      <c r="Y313" s="232"/>
      <c r="Z313" s="230"/>
      <c r="AA313" s="230"/>
      <c r="AB313" s="661" t="s">
        <v>137</v>
      </c>
      <c r="AC313" s="235"/>
      <c r="AD313" s="665">
        <v>6000000</v>
      </c>
      <c r="AE313" s="693" t="s">
        <v>55</v>
      </c>
      <c r="AF313" s="728"/>
      <c r="AG313" s="734"/>
      <c r="AH313" s="724"/>
      <c r="AI313" s="647"/>
      <c r="AJ313" s="647"/>
    </row>
    <row r="314" spans="1:36" s="7" customFormat="1" ht="21" customHeight="1">
      <c r="A314" s="26"/>
      <c r="B314" s="26"/>
      <c r="C314" s="26"/>
      <c r="D314" s="651"/>
      <c r="E314" s="68"/>
      <c r="F314" s="67"/>
      <c r="G314" s="67"/>
      <c r="H314" s="67"/>
      <c r="I314" s="67"/>
      <c r="J314" s="67"/>
      <c r="K314" s="67"/>
      <c r="L314" s="67"/>
      <c r="M314" s="67"/>
      <c r="N314" s="43"/>
      <c r="O314" s="338"/>
      <c r="P314" s="338"/>
      <c r="Q314" s="338"/>
      <c r="R314" s="338"/>
      <c r="S314" s="338"/>
      <c r="T314" s="339"/>
      <c r="U314" s="339"/>
      <c r="V314" s="337"/>
      <c r="W314" s="339"/>
      <c r="X314" s="339"/>
      <c r="Y314" s="340"/>
      <c r="Z314" s="339"/>
      <c r="AA314" s="339"/>
      <c r="AB314" s="674" t="s">
        <v>217</v>
      </c>
      <c r="AC314" s="599"/>
      <c r="AD314" s="669">
        <v>0</v>
      </c>
      <c r="AE314" s="693" t="s">
        <v>55</v>
      </c>
      <c r="AF314" s="728"/>
      <c r="AG314" s="734"/>
      <c r="AH314" s="724"/>
      <c r="AI314" s="647"/>
      <c r="AJ314" s="647"/>
    </row>
    <row r="315" spans="1:36" s="7" customFormat="1" ht="21" customHeight="1">
      <c r="A315" s="26"/>
      <c r="B315" s="26"/>
      <c r="C315" s="18" t="s">
        <v>250</v>
      </c>
      <c r="D315" s="652">
        <v>600</v>
      </c>
      <c r="E315" s="70">
        <f>ROUND(AD315/1000,0)</f>
        <v>600</v>
      </c>
      <c r="F315" s="71">
        <f>SUMIF($AB$316:$AB$316,"보조",$AD$316:$AD$316)/1000</f>
        <v>0</v>
      </c>
      <c r="G315" s="71">
        <f>SUMIF($AB$316:$AB$316,"6종",$AD$316:$AD$316)/1000</f>
        <v>0</v>
      </c>
      <c r="H315" s="71">
        <f>SUMIF($AB$316:$AB$316,"4종",$AD$316:$AD$316)/1000</f>
        <v>0</v>
      </c>
      <c r="I315" s="71">
        <f>SUMIF($AB$316:$AB$316,"후원",$AD$316:$AD$316)/1000</f>
        <v>0</v>
      </c>
      <c r="J315" s="71">
        <f>SUMIF($AB$316:$AB$316,"입소",$AD$316:$AD$316)/1000</f>
        <v>600</v>
      </c>
      <c r="K315" s="71">
        <f>SUMIF($AB$316:$AB$316,"법인",$AD$316:$AD$316)/1000</f>
        <v>0</v>
      </c>
      <c r="L315" s="71">
        <f>SUMIF($AB$316:$AB$316,"잡수",$AD$316:$AD$316)/1000</f>
        <v>0</v>
      </c>
      <c r="M315" s="77">
        <f>E315-D315</f>
        <v>0</v>
      </c>
      <c r="N315" s="75">
        <f>IF(D315=0,0,M315/D315)</f>
        <v>0</v>
      </c>
      <c r="O315" s="180"/>
      <c r="P315" s="188"/>
      <c r="Q315" s="188"/>
      <c r="R315" s="248"/>
      <c r="S315" s="248"/>
      <c r="T315" s="456"/>
      <c r="U315" s="456"/>
      <c r="V315" s="248"/>
      <c r="W315" s="509" t="s">
        <v>120</v>
      </c>
      <c r="X315" s="509"/>
      <c r="Y315" s="249"/>
      <c r="Z315" s="509"/>
      <c r="AA315" s="509"/>
      <c r="AB315" s="702"/>
      <c r="AC315" s="590"/>
      <c r="AD315" s="666">
        <f>SUM(AD316:AD317)</f>
        <v>600000</v>
      </c>
      <c r="AE315" s="696" t="s">
        <v>25</v>
      </c>
      <c r="AF315" s="728"/>
      <c r="AG315" s="734"/>
      <c r="AH315" s="724"/>
      <c r="AI315" s="647"/>
      <c r="AJ315" s="647"/>
    </row>
    <row r="316" spans="1:36" s="7" customFormat="1" ht="24" customHeight="1">
      <c r="A316" s="26"/>
      <c r="B316" s="26"/>
      <c r="C316" s="26" t="s">
        <v>119</v>
      </c>
      <c r="D316" s="650"/>
      <c r="E316" s="67"/>
      <c r="F316" s="67"/>
      <c r="G316" s="67"/>
      <c r="H316" s="67"/>
      <c r="I316" s="67"/>
      <c r="J316" s="67"/>
      <c r="K316" s="67"/>
      <c r="L316" s="67"/>
      <c r="M316" s="67"/>
      <c r="N316" s="43"/>
      <c r="O316" s="338" t="s">
        <v>260</v>
      </c>
      <c r="P316" s="235"/>
      <c r="Q316" s="235"/>
      <c r="R316" s="235"/>
      <c r="S316" s="235"/>
      <c r="T316" s="230"/>
      <c r="U316" s="230"/>
      <c r="V316" s="235"/>
      <c r="W316" s="230"/>
      <c r="X316" s="230"/>
      <c r="Y316" s="232"/>
      <c r="Z316" s="230"/>
      <c r="AA316" s="230"/>
      <c r="AB316" s="661" t="s">
        <v>217</v>
      </c>
      <c r="AC316" s="235"/>
      <c r="AD316" s="665">
        <v>600000</v>
      </c>
      <c r="AE316" s="693" t="s">
        <v>55</v>
      </c>
      <c r="AF316" s="728"/>
      <c r="AG316" s="734"/>
      <c r="AH316" s="724"/>
      <c r="AI316" s="647"/>
      <c r="AJ316" s="647"/>
    </row>
    <row r="317" spans="1:36" s="7" customFormat="1" ht="24" customHeight="1">
      <c r="A317" s="26"/>
      <c r="B317" s="26"/>
      <c r="C317" s="26"/>
      <c r="D317" s="650"/>
      <c r="E317" s="67"/>
      <c r="F317" s="67"/>
      <c r="G317" s="67"/>
      <c r="H317" s="67"/>
      <c r="I317" s="67"/>
      <c r="J317" s="67"/>
      <c r="K317" s="67"/>
      <c r="L317" s="67"/>
      <c r="M317" s="67"/>
      <c r="N317" s="43"/>
      <c r="O317" s="338"/>
      <c r="P317" s="235"/>
      <c r="Q317" s="235"/>
      <c r="R317" s="235"/>
      <c r="S317" s="235"/>
      <c r="T317" s="230"/>
      <c r="U317" s="230"/>
      <c r="V317" s="235"/>
      <c r="W317" s="230"/>
      <c r="X317" s="230"/>
      <c r="Y317" s="232"/>
      <c r="Z317" s="230"/>
      <c r="AA317" s="230"/>
      <c r="AB317" s="661"/>
      <c r="AC317" s="235"/>
      <c r="AD317" s="665"/>
      <c r="AE317" s="693"/>
      <c r="AF317" s="728"/>
      <c r="AG317" s="734"/>
      <c r="AH317" s="724"/>
      <c r="AI317" s="647"/>
      <c r="AJ317" s="647"/>
    </row>
    <row r="318" spans="1:36" s="9" customFormat="1" ht="24" customHeight="1">
      <c r="A318" s="26"/>
      <c r="B318" s="26"/>
      <c r="C318" s="18" t="s">
        <v>251</v>
      </c>
      <c r="D318" s="652">
        <v>51734</v>
      </c>
      <c r="E318" s="70">
        <f>ROUND(AD318/1000,0)</f>
        <v>44779</v>
      </c>
      <c r="F318" s="71">
        <f>SUMIF($AB$319:$AB$339,"보조",$AD$319:$AD$339)/1000</f>
        <v>0</v>
      </c>
      <c r="G318" s="71">
        <f>SUMIF($AB$319:$AB$339,"6종",$AD$319:$AD$339)/1000</f>
        <v>0</v>
      </c>
      <c r="H318" s="71">
        <f>SUMIF($AB$319:$AB$339,"4종",$AD$319:$AD$339)/1000</f>
        <v>0</v>
      </c>
      <c r="I318" s="71">
        <f>SUMIF($AB$319:$AB$339,"후원",$AD$319:$AD$339)/1000</f>
        <v>30217</v>
      </c>
      <c r="J318" s="71">
        <f>SUMIF($AB$319:$AB$339,"입소",$AD$319:$AD$339)/1000</f>
        <v>13610</v>
      </c>
      <c r="K318" s="71">
        <f>SUMIF($AB$319:$AB$339,"법인",$AD$319:$AD$339)/1000</f>
        <v>0</v>
      </c>
      <c r="L318" s="71">
        <f>SUMIF($AB$319:$AB$339,"잡수",$AD$319:$AD$339)/1000</f>
        <v>952</v>
      </c>
      <c r="M318" s="70">
        <f>E318-D318</f>
        <v>-6955</v>
      </c>
      <c r="N318" s="75">
        <f>IF(D318=0,0,M318/D318)</f>
        <v>-0.13443770054509607</v>
      </c>
      <c r="O318" s="180"/>
      <c r="P318" s="191"/>
      <c r="Q318" s="191"/>
      <c r="R318" s="191"/>
      <c r="S318" s="191"/>
      <c r="T318" s="429"/>
      <c r="U318" s="429"/>
      <c r="V318" s="183"/>
      <c r="W318" s="509" t="s">
        <v>120</v>
      </c>
      <c r="X318" s="509"/>
      <c r="Y318" s="249"/>
      <c r="Z318" s="509"/>
      <c r="AA318" s="509"/>
      <c r="AB318" s="702"/>
      <c r="AC318" s="590"/>
      <c r="AD318" s="666">
        <f>SUM(AD319:AD339)</f>
        <v>44779000</v>
      </c>
      <c r="AE318" s="696" t="s">
        <v>25</v>
      </c>
      <c r="AF318" s="729"/>
      <c r="AG318" s="730"/>
      <c r="AH318" s="726"/>
      <c r="AI318" s="648"/>
      <c r="AJ318" s="648"/>
    </row>
    <row r="319" spans="1:36" s="9" customFormat="1" ht="24" customHeight="1">
      <c r="A319" s="26"/>
      <c r="B319" s="26"/>
      <c r="C319" s="26" t="s">
        <v>81</v>
      </c>
      <c r="D319" s="676"/>
      <c r="E319" s="353"/>
      <c r="F319" s="353"/>
      <c r="G319" s="353"/>
      <c r="H319" s="353"/>
      <c r="I319" s="353"/>
      <c r="J319" s="353"/>
      <c r="K319" s="353"/>
      <c r="L319" s="353"/>
      <c r="M319" s="67"/>
      <c r="N319" s="43"/>
      <c r="O319" s="338" t="s">
        <v>642</v>
      </c>
      <c r="P319" s="338"/>
      <c r="Q319" s="338"/>
      <c r="R319" s="338"/>
      <c r="S319" s="235" t="s">
        <v>628</v>
      </c>
      <c r="T319" s="298"/>
      <c r="U319" s="298"/>
      <c r="V319" s="337"/>
      <c r="W319" s="339"/>
      <c r="X319" s="298"/>
      <c r="Y319" s="506"/>
      <c r="Z319" s="339"/>
      <c r="AA319" s="339"/>
      <c r="AB319" s="674" t="s">
        <v>137</v>
      </c>
      <c r="AC319" s="598"/>
      <c r="AD319" s="673">
        <v>3000000</v>
      </c>
      <c r="AE319" s="685" t="s">
        <v>25</v>
      </c>
      <c r="AF319" s="729"/>
      <c r="AG319" s="730"/>
      <c r="AH319" s="727"/>
      <c r="AI319" s="721"/>
      <c r="AJ319" s="648"/>
    </row>
    <row r="320" spans="1:36" s="9" customFormat="1" ht="24" customHeight="1">
      <c r="A320" s="26"/>
      <c r="B320" s="26"/>
      <c r="C320" s="26"/>
      <c r="D320" s="676"/>
      <c r="E320" s="353"/>
      <c r="F320" s="353"/>
      <c r="G320" s="353"/>
      <c r="H320" s="353"/>
      <c r="I320" s="353"/>
      <c r="J320" s="353"/>
      <c r="K320" s="353"/>
      <c r="L320" s="353"/>
      <c r="M320" s="67"/>
      <c r="N320" s="43"/>
      <c r="O320" s="338"/>
      <c r="P320" s="338"/>
      <c r="Q320" s="338"/>
      <c r="R320" s="338"/>
      <c r="S320" s="235" t="s">
        <v>625</v>
      </c>
      <c r="T320" s="298"/>
      <c r="U320" s="298"/>
      <c r="V320" s="337"/>
      <c r="W320" s="339"/>
      <c r="X320" s="298"/>
      <c r="Y320" s="506"/>
      <c r="Z320" s="339"/>
      <c r="AA320" s="339"/>
      <c r="AB320" s="674" t="s">
        <v>137</v>
      </c>
      <c r="AC320" s="598"/>
      <c r="AD320" s="673">
        <v>4233000</v>
      </c>
      <c r="AE320" s="685" t="s">
        <v>25</v>
      </c>
      <c r="AF320" s="729"/>
      <c r="AG320" s="730"/>
      <c r="AH320" s="727"/>
      <c r="AI320" s="721"/>
      <c r="AJ320" s="648"/>
    </row>
    <row r="321" spans="1:36" s="9" customFormat="1" ht="24" customHeight="1">
      <c r="A321" s="26"/>
      <c r="B321" s="26"/>
      <c r="C321" s="26"/>
      <c r="D321" s="676"/>
      <c r="E321" s="353"/>
      <c r="F321" s="353"/>
      <c r="G321" s="353"/>
      <c r="H321" s="353"/>
      <c r="I321" s="353"/>
      <c r="J321" s="353"/>
      <c r="K321" s="353"/>
      <c r="L321" s="353"/>
      <c r="M321" s="67"/>
      <c r="N321" s="43"/>
      <c r="O321" s="338"/>
      <c r="P321" s="338"/>
      <c r="Q321" s="338"/>
      <c r="R321" s="338"/>
      <c r="S321" s="235" t="s">
        <v>627</v>
      </c>
      <c r="T321" s="298"/>
      <c r="U321" s="298"/>
      <c r="V321" s="337"/>
      <c r="W321" s="339"/>
      <c r="X321" s="298"/>
      <c r="Y321" s="506"/>
      <c r="Z321" s="339"/>
      <c r="AA321" s="339"/>
      <c r="AB321" s="674" t="s">
        <v>137</v>
      </c>
      <c r="AC321" s="598"/>
      <c r="AD321" s="673">
        <v>3500000</v>
      </c>
      <c r="AE321" s="685" t="s">
        <v>25</v>
      </c>
      <c r="AF321" s="729"/>
      <c r="AG321" s="730"/>
      <c r="AH321" s="727"/>
      <c r="AI321" s="721"/>
      <c r="AJ321" s="648"/>
    </row>
    <row r="322" spans="1:36" s="9" customFormat="1" ht="24" customHeight="1">
      <c r="A322" s="26"/>
      <c r="B322" s="26"/>
      <c r="C322" s="26"/>
      <c r="D322" s="677"/>
      <c r="E322" s="354"/>
      <c r="F322" s="354"/>
      <c r="G322" s="354"/>
      <c r="H322" s="354"/>
      <c r="I322" s="354"/>
      <c r="J322" s="354"/>
      <c r="K322" s="354"/>
      <c r="L322" s="354"/>
      <c r="M322" s="67"/>
      <c r="N322" s="43"/>
      <c r="O322" s="338" t="s">
        <v>643</v>
      </c>
      <c r="P322" s="338"/>
      <c r="Q322" s="338"/>
      <c r="R322" s="338"/>
      <c r="S322" s="338"/>
      <c r="T322" s="339"/>
      <c r="U322" s="339"/>
      <c r="V322" s="337"/>
      <c r="W322" s="339"/>
      <c r="X322" s="339"/>
      <c r="Y322" s="340"/>
      <c r="Z322" s="339"/>
      <c r="AA322" s="339"/>
      <c r="AB322" s="674" t="s">
        <v>217</v>
      </c>
      <c r="AC322" s="599"/>
      <c r="AD322" s="675">
        <v>10600000</v>
      </c>
      <c r="AE322" s="685" t="s">
        <v>55</v>
      </c>
      <c r="AF322" s="729"/>
      <c r="AG322" s="730"/>
      <c r="AH322" s="726"/>
      <c r="AI322" s="648"/>
      <c r="AJ322" s="648"/>
    </row>
    <row r="323" spans="1:36" s="9" customFormat="1" ht="24" customHeight="1">
      <c r="A323" s="26"/>
      <c r="B323" s="26"/>
      <c r="C323" s="26"/>
      <c r="D323" s="650"/>
      <c r="E323" s="67"/>
      <c r="F323" s="67"/>
      <c r="G323" s="67"/>
      <c r="H323" s="67"/>
      <c r="I323" s="67"/>
      <c r="J323" s="67"/>
      <c r="K323" s="67"/>
      <c r="L323" s="67"/>
      <c r="M323" s="67"/>
      <c r="N323" s="43"/>
      <c r="O323" s="338" t="s">
        <v>640</v>
      </c>
      <c r="P323" s="338"/>
      <c r="Q323" s="338"/>
      <c r="R323" s="338"/>
      <c r="S323" s="337"/>
      <c r="T323" s="339"/>
      <c r="U323" s="298"/>
      <c r="V323" s="337"/>
      <c r="W323" s="339"/>
      <c r="X323" s="339"/>
      <c r="Y323" s="340"/>
      <c r="Z323" s="339"/>
      <c r="AA323" s="339"/>
      <c r="AB323" s="674" t="s">
        <v>137</v>
      </c>
      <c r="AC323" s="598"/>
      <c r="AD323" s="673">
        <v>860000</v>
      </c>
      <c r="AE323" s="685" t="s">
        <v>25</v>
      </c>
      <c r="AF323" s="729"/>
      <c r="AG323" s="730"/>
      <c r="AH323" s="726"/>
      <c r="AI323" s="648"/>
      <c r="AJ323" s="648"/>
    </row>
    <row r="324" spans="1:36" s="9" customFormat="1" ht="24" customHeight="1">
      <c r="A324" s="26"/>
      <c r="B324" s="26"/>
      <c r="C324" s="26"/>
      <c r="D324" s="650"/>
      <c r="E324" s="67"/>
      <c r="F324" s="67"/>
      <c r="G324" s="67"/>
      <c r="H324" s="67"/>
      <c r="I324" s="67"/>
      <c r="J324" s="67"/>
      <c r="K324" s="67"/>
      <c r="L324" s="67"/>
      <c r="M324" s="67"/>
      <c r="N324" s="43"/>
      <c r="O324" s="338" t="s">
        <v>629</v>
      </c>
      <c r="P324" s="338"/>
      <c r="Q324" s="338"/>
      <c r="R324" s="338"/>
      <c r="S324" s="235" t="s">
        <v>628</v>
      </c>
      <c r="T324" s="298"/>
      <c r="U324" s="298"/>
      <c r="V324" s="337"/>
      <c r="W324" s="298"/>
      <c r="X324" s="339"/>
      <c r="Y324" s="232"/>
      <c r="Z324" s="230"/>
      <c r="AA324" s="230"/>
      <c r="AB324" s="674" t="s">
        <v>137</v>
      </c>
      <c r="AC324" s="235"/>
      <c r="AD324" s="665">
        <v>1800000</v>
      </c>
      <c r="AE324" s="693" t="s">
        <v>55</v>
      </c>
      <c r="AF324" s="729"/>
      <c r="AG324" s="730"/>
      <c r="AH324" s="726"/>
      <c r="AI324" s="648"/>
      <c r="AJ324" s="648"/>
    </row>
    <row r="325" spans="1:36" s="9" customFormat="1" ht="24" customHeight="1">
      <c r="A325" s="26"/>
      <c r="B325" s="26"/>
      <c r="C325" s="26"/>
      <c r="D325" s="650"/>
      <c r="E325" s="67"/>
      <c r="F325" s="67"/>
      <c r="G325" s="67"/>
      <c r="H325" s="67"/>
      <c r="I325" s="67"/>
      <c r="J325" s="67"/>
      <c r="K325" s="67"/>
      <c r="L325" s="67"/>
      <c r="M325" s="67"/>
      <c r="N325" s="43"/>
      <c r="O325" s="338"/>
      <c r="P325" s="338"/>
      <c r="Q325" s="338"/>
      <c r="R325" s="338"/>
      <c r="S325" s="235" t="s">
        <v>625</v>
      </c>
      <c r="T325" s="298"/>
      <c r="U325" s="298"/>
      <c r="V325" s="337"/>
      <c r="W325" s="298"/>
      <c r="X325" s="339"/>
      <c r="Y325" s="232"/>
      <c r="Z325" s="230"/>
      <c r="AA325" s="230"/>
      <c r="AB325" s="674" t="s">
        <v>137</v>
      </c>
      <c r="AC325" s="235"/>
      <c r="AD325" s="665">
        <v>1000000</v>
      </c>
      <c r="AE325" s="693" t="s">
        <v>55</v>
      </c>
      <c r="AF325" s="728"/>
      <c r="AG325" s="730"/>
      <c r="AH325" s="726"/>
      <c r="AI325" s="648"/>
      <c r="AJ325" s="648"/>
    </row>
    <row r="326" spans="1:36" s="9" customFormat="1" ht="24" customHeight="1">
      <c r="A326" s="26"/>
      <c r="B326" s="26"/>
      <c r="C326" s="26"/>
      <c r="D326" s="650"/>
      <c r="E326" s="67"/>
      <c r="F326" s="67"/>
      <c r="G326" s="67"/>
      <c r="H326" s="67"/>
      <c r="I326" s="67"/>
      <c r="J326" s="67"/>
      <c r="K326" s="67"/>
      <c r="L326" s="67"/>
      <c r="M326" s="67"/>
      <c r="N326" s="43"/>
      <c r="O326" s="338"/>
      <c r="P326" s="338"/>
      <c r="Q326" s="338"/>
      <c r="R326" s="338"/>
      <c r="S326" s="235" t="s">
        <v>664</v>
      </c>
      <c r="T326" s="298"/>
      <c r="U326" s="298"/>
      <c r="V326" s="337"/>
      <c r="W326" s="298"/>
      <c r="X326" s="339"/>
      <c r="Y326" s="232"/>
      <c r="Z326" s="230"/>
      <c r="AA326" s="230"/>
      <c r="AB326" s="674" t="s">
        <v>137</v>
      </c>
      <c r="AC326" s="235"/>
      <c r="AD326" s="665">
        <v>4600000</v>
      </c>
      <c r="AE326" s="693" t="s">
        <v>55</v>
      </c>
      <c r="AF326" s="728"/>
      <c r="AG326" s="730"/>
      <c r="AH326" s="726"/>
      <c r="AI326" s="648"/>
      <c r="AJ326" s="648"/>
    </row>
    <row r="327" spans="1:36" s="9" customFormat="1" ht="24" customHeight="1">
      <c r="A327" s="26"/>
      <c r="B327" s="26"/>
      <c r="C327" s="26"/>
      <c r="D327" s="650"/>
      <c r="E327" s="67"/>
      <c r="F327" s="67"/>
      <c r="G327" s="67"/>
      <c r="H327" s="67"/>
      <c r="I327" s="67"/>
      <c r="J327" s="67"/>
      <c r="K327" s="67"/>
      <c r="L327" s="67"/>
      <c r="M327" s="67"/>
      <c r="N327" s="43"/>
      <c r="O327" s="338" t="s">
        <v>633</v>
      </c>
      <c r="P327" s="338"/>
      <c r="Q327" s="338"/>
      <c r="R327" s="338"/>
      <c r="S327" s="337"/>
      <c r="T327" s="298"/>
      <c r="U327" s="298"/>
      <c r="V327" s="337"/>
      <c r="W327" s="298"/>
      <c r="X327" s="339"/>
      <c r="Y327" s="232"/>
      <c r="Z327" s="230"/>
      <c r="AA327" s="230"/>
      <c r="AB327" s="674" t="s">
        <v>137</v>
      </c>
      <c r="AC327" s="235"/>
      <c r="AD327" s="665">
        <v>100000</v>
      </c>
      <c r="AE327" s="693" t="s">
        <v>55</v>
      </c>
      <c r="AF327" s="728"/>
      <c r="AG327" s="730"/>
      <c r="AH327" s="726"/>
      <c r="AI327" s="648"/>
      <c r="AJ327" s="648"/>
    </row>
    <row r="328" spans="1:36" s="9" customFormat="1" ht="24" customHeight="1">
      <c r="A328" s="26"/>
      <c r="B328" s="26"/>
      <c r="C328" s="26"/>
      <c r="D328" s="650"/>
      <c r="E328" s="67"/>
      <c r="F328" s="67"/>
      <c r="G328" s="67"/>
      <c r="H328" s="67"/>
      <c r="I328" s="67"/>
      <c r="J328" s="67"/>
      <c r="K328" s="67"/>
      <c r="L328" s="67"/>
      <c r="M328" s="67"/>
      <c r="N328" s="43"/>
      <c r="O328" s="338" t="s">
        <v>634</v>
      </c>
      <c r="P328" s="338"/>
      <c r="Q328" s="338"/>
      <c r="R328" s="338"/>
      <c r="S328" s="337"/>
      <c r="T328" s="298"/>
      <c r="U328" s="298"/>
      <c r="V328" s="337"/>
      <c r="W328" s="298"/>
      <c r="X328" s="339"/>
      <c r="Y328" s="232" t="s">
        <v>663</v>
      </c>
      <c r="Z328" s="230"/>
      <c r="AA328" s="230"/>
      <c r="AB328" s="674" t="s">
        <v>137</v>
      </c>
      <c r="AC328" s="235"/>
      <c r="AD328" s="665">
        <v>3055000</v>
      </c>
      <c r="AE328" s="693" t="s">
        <v>55</v>
      </c>
      <c r="AF328" s="728"/>
      <c r="AG328" s="730"/>
      <c r="AH328" s="726"/>
      <c r="AI328" s="648"/>
      <c r="AJ328" s="648"/>
    </row>
    <row r="329" spans="1:36" s="9" customFormat="1" ht="24" customHeight="1">
      <c r="A329" s="26"/>
      <c r="B329" s="26"/>
      <c r="C329" s="26"/>
      <c r="D329" s="650"/>
      <c r="E329" s="67"/>
      <c r="F329" s="67"/>
      <c r="G329" s="67"/>
      <c r="H329" s="67"/>
      <c r="I329" s="67"/>
      <c r="J329" s="67"/>
      <c r="K329" s="67"/>
      <c r="L329" s="67"/>
      <c r="M329" s="67"/>
      <c r="N329" s="43"/>
      <c r="O329" s="338"/>
      <c r="P329" s="338"/>
      <c r="Q329" s="338"/>
      <c r="R329" s="338"/>
      <c r="S329" s="337"/>
      <c r="T329" s="298"/>
      <c r="U329" s="298"/>
      <c r="V329" s="337"/>
      <c r="W329" s="298"/>
      <c r="X329" s="339"/>
      <c r="Y329" s="232" t="s">
        <v>748</v>
      </c>
      <c r="Z329" s="230"/>
      <c r="AA329" s="230"/>
      <c r="AB329" s="674" t="s">
        <v>137</v>
      </c>
      <c r="AC329" s="235"/>
      <c r="AD329" s="665">
        <v>1155000</v>
      </c>
      <c r="AE329" s="693" t="s">
        <v>55</v>
      </c>
      <c r="AF329" s="728"/>
      <c r="AG329" s="730"/>
      <c r="AH329" s="726"/>
      <c r="AI329" s="648"/>
      <c r="AJ329" s="648"/>
    </row>
    <row r="330" spans="1:36" s="9" customFormat="1" ht="24" customHeight="1">
      <c r="A330" s="26"/>
      <c r="B330" s="26"/>
      <c r="C330" s="26"/>
      <c r="D330" s="650"/>
      <c r="E330" s="67"/>
      <c r="F330" s="67"/>
      <c r="G330" s="67"/>
      <c r="H330" s="67"/>
      <c r="I330" s="67"/>
      <c r="J330" s="67"/>
      <c r="K330" s="67"/>
      <c r="L330" s="67"/>
      <c r="M330" s="67"/>
      <c r="N330" s="43"/>
      <c r="O330" s="338" t="s">
        <v>635</v>
      </c>
      <c r="P330" s="338"/>
      <c r="Q330" s="338"/>
      <c r="R330" s="338"/>
      <c r="S330" s="337"/>
      <c r="T330" s="298"/>
      <c r="U330" s="298"/>
      <c r="V330" s="337"/>
      <c r="W330" s="298"/>
      <c r="X330" s="339"/>
      <c r="Y330" s="232"/>
      <c r="Z330" s="230"/>
      <c r="AA330" s="230"/>
      <c r="AB330" s="674" t="s">
        <v>85</v>
      </c>
      <c r="AC330" s="235"/>
      <c r="AD330" s="665">
        <v>952000</v>
      </c>
      <c r="AE330" s="693" t="s">
        <v>55</v>
      </c>
      <c r="AF330" s="728"/>
      <c r="AG330" s="730"/>
      <c r="AH330" s="726"/>
      <c r="AI330" s="648"/>
      <c r="AJ330" s="648"/>
    </row>
    <row r="331" spans="1:36" s="9" customFormat="1" ht="24" customHeight="1">
      <c r="A331" s="533"/>
      <c r="B331" s="533"/>
      <c r="C331" s="533"/>
      <c r="D331" s="650"/>
      <c r="E331" s="536"/>
      <c r="F331" s="536"/>
      <c r="G331" s="536"/>
      <c r="H331" s="536"/>
      <c r="I331" s="536"/>
      <c r="J331" s="536"/>
      <c r="K331" s="536"/>
      <c r="L331" s="536"/>
      <c r="M331" s="536"/>
      <c r="N331" s="535"/>
      <c r="O331" s="554"/>
      <c r="P331" s="554"/>
      <c r="Q331" s="554"/>
      <c r="R331" s="554"/>
      <c r="S331" s="598"/>
      <c r="T331" s="549"/>
      <c r="U331" s="549"/>
      <c r="V331" s="598"/>
      <c r="W331" s="549"/>
      <c r="X331" s="555"/>
      <c r="Y331" s="232"/>
      <c r="Z331" s="548"/>
      <c r="AA331" s="548"/>
      <c r="AB331" s="674" t="s">
        <v>861</v>
      </c>
      <c r="AC331" s="235"/>
      <c r="AD331" s="665">
        <v>2000000</v>
      </c>
      <c r="AE331" s="693" t="s">
        <v>55</v>
      </c>
      <c r="AF331" s="728"/>
      <c r="AG331" s="730"/>
      <c r="AH331" s="726"/>
      <c r="AI331" s="648"/>
      <c r="AJ331" s="648"/>
    </row>
    <row r="332" spans="1:36" s="9" customFormat="1" ht="24" customHeight="1">
      <c r="A332" s="26"/>
      <c r="B332" s="26"/>
      <c r="C332" s="26"/>
      <c r="D332" s="650"/>
      <c r="E332" s="67"/>
      <c r="F332" s="67"/>
      <c r="G332" s="67"/>
      <c r="H332" s="67"/>
      <c r="I332" s="67"/>
      <c r="J332" s="67"/>
      <c r="K332" s="67"/>
      <c r="L332" s="67"/>
      <c r="M332" s="67"/>
      <c r="N332" s="43"/>
      <c r="O332" s="338" t="s">
        <v>636</v>
      </c>
      <c r="P332" s="338"/>
      <c r="Q332" s="338"/>
      <c r="R332" s="338"/>
      <c r="S332" s="337"/>
      <c r="T332" s="298"/>
      <c r="U332" s="298"/>
      <c r="V332" s="337"/>
      <c r="W332" s="298"/>
      <c r="X332" s="339"/>
      <c r="Y332" s="232"/>
      <c r="Z332" s="230"/>
      <c r="AA332" s="230"/>
      <c r="AB332" s="674" t="s">
        <v>217</v>
      </c>
      <c r="AC332" s="235"/>
      <c r="AD332" s="665">
        <v>710000</v>
      </c>
      <c r="AE332" s="693" t="s">
        <v>55</v>
      </c>
      <c r="AF332" s="728"/>
      <c r="AG332" s="730"/>
      <c r="AH332" s="726"/>
      <c r="AI332" s="648"/>
      <c r="AJ332" s="648"/>
    </row>
    <row r="333" spans="1:36" s="9" customFormat="1" ht="24" customHeight="1">
      <c r="A333" s="26"/>
      <c r="B333" s="26"/>
      <c r="C333" s="26"/>
      <c r="D333" s="650"/>
      <c r="E333" s="67"/>
      <c r="F333" s="67"/>
      <c r="G333" s="67"/>
      <c r="H333" s="67"/>
      <c r="I333" s="67"/>
      <c r="J333" s="67"/>
      <c r="K333" s="67"/>
      <c r="L333" s="67"/>
      <c r="M333" s="67"/>
      <c r="N333" s="43"/>
      <c r="O333" s="338" t="s">
        <v>637</v>
      </c>
      <c r="P333" s="338"/>
      <c r="Q333" s="338"/>
      <c r="R333" s="338"/>
      <c r="S333" s="337"/>
      <c r="T333" s="298"/>
      <c r="U333" s="298"/>
      <c r="V333" s="337"/>
      <c r="W333" s="298"/>
      <c r="X333" s="339"/>
      <c r="Y333" s="232"/>
      <c r="Z333" s="230"/>
      <c r="AA333" s="230"/>
      <c r="AB333" s="674" t="s">
        <v>217</v>
      </c>
      <c r="AC333" s="235"/>
      <c r="AD333" s="665">
        <v>300000</v>
      </c>
      <c r="AE333" s="693" t="s">
        <v>55</v>
      </c>
      <c r="AF333" s="728"/>
      <c r="AG333" s="730"/>
      <c r="AH333" s="726"/>
      <c r="AI333" s="648"/>
      <c r="AJ333" s="648"/>
    </row>
    <row r="334" spans="1:36" s="9" customFormat="1" ht="24" customHeight="1">
      <c r="A334" s="26"/>
      <c r="B334" s="26"/>
      <c r="C334" s="26"/>
      <c r="D334" s="650"/>
      <c r="E334" s="67"/>
      <c r="F334" s="67"/>
      <c r="G334" s="67"/>
      <c r="H334" s="67"/>
      <c r="I334" s="67"/>
      <c r="J334" s="67"/>
      <c r="K334" s="67"/>
      <c r="L334" s="67"/>
      <c r="M334" s="67"/>
      <c r="N334" s="43"/>
      <c r="O334" s="338" t="s">
        <v>638</v>
      </c>
      <c r="P334" s="338"/>
      <c r="Q334" s="338"/>
      <c r="R334" s="338"/>
      <c r="S334" s="337"/>
      <c r="T334" s="298"/>
      <c r="U334" s="298"/>
      <c r="V334" s="337"/>
      <c r="W334" s="298"/>
      <c r="X334" s="339"/>
      <c r="Y334" s="232"/>
      <c r="Z334" s="230"/>
      <c r="AA334" s="230"/>
      <c r="AB334" s="674" t="s">
        <v>217</v>
      </c>
      <c r="AC334" s="235"/>
      <c r="AD334" s="665">
        <v>2000000</v>
      </c>
      <c r="AE334" s="693" t="s">
        <v>55</v>
      </c>
      <c r="AF334" s="728"/>
      <c r="AG334" s="730"/>
      <c r="AH334" s="726"/>
      <c r="AI334" s="648"/>
      <c r="AJ334" s="648"/>
    </row>
    <row r="335" spans="1:36" s="9" customFormat="1" ht="24" customHeight="1">
      <c r="A335" s="26"/>
      <c r="B335" s="26"/>
      <c r="C335" s="26"/>
      <c r="D335" s="650"/>
      <c r="E335" s="67"/>
      <c r="F335" s="67"/>
      <c r="G335" s="67"/>
      <c r="H335" s="67"/>
      <c r="I335" s="67"/>
      <c r="J335" s="67"/>
      <c r="K335" s="67"/>
      <c r="L335" s="67"/>
      <c r="M335" s="67"/>
      <c r="N335" s="43"/>
      <c r="O335" s="338"/>
      <c r="P335" s="338"/>
      <c r="Q335" s="338"/>
      <c r="R335" s="338"/>
      <c r="S335" s="337"/>
      <c r="T335" s="298"/>
      <c r="U335" s="298"/>
      <c r="V335" s="337"/>
      <c r="W335" s="298"/>
      <c r="X335" s="339"/>
      <c r="Y335" s="232"/>
      <c r="Z335" s="230"/>
      <c r="AA335" s="230"/>
      <c r="AB335" s="674" t="s">
        <v>752</v>
      </c>
      <c r="AC335" s="235"/>
      <c r="AD335" s="665">
        <v>1466000</v>
      </c>
      <c r="AE335" s="693" t="s">
        <v>55</v>
      </c>
      <c r="AF335" s="728"/>
      <c r="AG335" s="730"/>
      <c r="AH335" s="726"/>
      <c r="AI335" s="648"/>
      <c r="AJ335" s="648"/>
    </row>
    <row r="336" spans="1:36" s="9" customFormat="1" ht="24" customHeight="1">
      <c r="A336" s="26"/>
      <c r="B336" s="26"/>
      <c r="C336" s="26"/>
      <c r="D336" s="650"/>
      <c r="E336" s="67"/>
      <c r="F336" s="67"/>
      <c r="G336" s="67"/>
      <c r="H336" s="67"/>
      <c r="I336" s="67"/>
      <c r="J336" s="67"/>
      <c r="K336" s="67"/>
      <c r="L336" s="67"/>
      <c r="M336" s="67"/>
      <c r="N336" s="43"/>
      <c r="O336" s="338" t="s">
        <v>822</v>
      </c>
      <c r="P336" s="338"/>
      <c r="Q336" s="338"/>
      <c r="R336" s="338"/>
      <c r="S336" s="337"/>
      <c r="T336" s="298"/>
      <c r="U336" s="298"/>
      <c r="V336" s="337"/>
      <c r="W336" s="298"/>
      <c r="X336" s="230"/>
      <c r="Y336" s="232"/>
      <c r="Z336" s="230"/>
      <c r="AA336" s="230"/>
      <c r="AB336" s="674" t="s">
        <v>765</v>
      </c>
      <c r="AC336" s="235"/>
      <c r="AD336" s="665">
        <v>1448000</v>
      </c>
      <c r="AE336" s="693" t="s">
        <v>55</v>
      </c>
      <c r="AF336" s="728"/>
      <c r="AG336" s="730"/>
      <c r="AH336" s="726"/>
      <c r="AI336" s="648"/>
      <c r="AJ336" s="648"/>
    </row>
    <row r="337" spans="1:36" s="9" customFormat="1" ht="24" customHeight="1">
      <c r="A337" s="26"/>
      <c r="B337" s="26"/>
      <c r="C337" s="26"/>
      <c r="D337" s="650"/>
      <c r="E337" s="67"/>
      <c r="F337" s="67"/>
      <c r="G337" s="67"/>
      <c r="H337" s="67"/>
      <c r="I337" s="67"/>
      <c r="J337" s="67"/>
      <c r="K337" s="67"/>
      <c r="L337" s="67"/>
      <c r="M337" s="67"/>
      <c r="N337" s="43"/>
      <c r="O337" s="338" t="s">
        <v>261</v>
      </c>
      <c r="P337" s="338"/>
      <c r="Q337" s="338"/>
      <c r="R337" s="338"/>
      <c r="S337" s="337"/>
      <c r="T337" s="298"/>
      <c r="U337" s="298"/>
      <c r="V337" s="337"/>
      <c r="W337" s="298"/>
      <c r="X337" s="339"/>
      <c r="Y337" s="232"/>
      <c r="Z337" s="230"/>
      <c r="AA337" s="230"/>
      <c r="AB337" s="674" t="s">
        <v>752</v>
      </c>
      <c r="AC337" s="235"/>
      <c r="AD337" s="665">
        <v>2000000</v>
      </c>
      <c r="AE337" s="693" t="s">
        <v>55</v>
      </c>
      <c r="AF337" s="728"/>
      <c r="AG337" s="730"/>
      <c r="AH337" s="726"/>
      <c r="AI337" s="648"/>
      <c r="AJ337" s="648"/>
    </row>
    <row r="338" spans="1:36" s="9" customFormat="1" ht="24" customHeight="1">
      <c r="A338" s="26"/>
      <c r="B338" s="26"/>
      <c r="C338" s="26"/>
      <c r="D338" s="650"/>
      <c r="E338" s="67"/>
      <c r="F338" s="67"/>
      <c r="G338" s="67"/>
      <c r="H338" s="67"/>
      <c r="I338" s="67"/>
      <c r="J338" s="67"/>
      <c r="K338" s="67"/>
      <c r="L338" s="67"/>
      <c r="M338" s="67"/>
      <c r="N338" s="43"/>
      <c r="O338" s="177" t="s">
        <v>278</v>
      </c>
      <c r="P338" s="338"/>
      <c r="Q338" s="338"/>
      <c r="R338" s="338"/>
      <c r="S338" s="337"/>
      <c r="T338" s="339"/>
      <c r="U338" s="298"/>
      <c r="V338" s="337"/>
      <c r="W338" s="339"/>
      <c r="X338" s="339"/>
      <c r="Y338" s="340"/>
      <c r="Z338" s="339"/>
      <c r="AA338" s="339"/>
      <c r="AB338" s="674" t="s">
        <v>137</v>
      </c>
      <c r="AC338" s="598"/>
      <c r="AD338" s="673">
        <v>0</v>
      </c>
      <c r="AE338" s="693" t="s">
        <v>55</v>
      </c>
      <c r="AF338" s="728"/>
      <c r="AG338" s="730"/>
      <c r="AH338" s="726"/>
      <c r="AI338" s="648"/>
      <c r="AJ338" s="648"/>
    </row>
    <row r="339" spans="1:36" s="9" customFormat="1" ht="24" customHeight="1">
      <c r="A339" s="26"/>
      <c r="B339" s="26"/>
      <c r="C339" s="34"/>
      <c r="D339" s="651"/>
      <c r="E339" s="68"/>
      <c r="F339" s="68"/>
      <c r="G339" s="68"/>
      <c r="H339" s="68"/>
      <c r="I339" s="68"/>
      <c r="J339" s="68"/>
      <c r="K339" s="68"/>
      <c r="L339" s="68"/>
      <c r="M339" s="68"/>
      <c r="N339" s="54"/>
      <c r="O339" s="178"/>
      <c r="P339" s="513"/>
      <c r="Q339" s="513"/>
      <c r="R339" s="513"/>
      <c r="S339" s="512"/>
      <c r="T339" s="428"/>
      <c r="U339" s="233"/>
      <c r="V339" s="512"/>
      <c r="W339" s="428"/>
      <c r="X339" s="428"/>
      <c r="Y339" s="236"/>
      <c r="Z339" s="428"/>
      <c r="AA339" s="428"/>
      <c r="AB339" s="698" t="s">
        <v>217</v>
      </c>
      <c r="AC339" s="606"/>
      <c r="AD339" s="737">
        <v>0</v>
      </c>
      <c r="AE339" s="693" t="s">
        <v>55</v>
      </c>
      <c r="AF339" s="728"/>
      <c r="AG339" s="730"/>
      <c r="AH339" s="726"/>
      <c r="AI339" s="648"/>
      <c r="AJ339" s="648"/>
    </row>
    <row r="340" spans="1:36" s="9" customFormat="1" ht="24" customHeight="1">
      <c r="A340" s="26"/>
      <c r="B340" s="26"/>
      <c r="C340" s="18" t="s">
        <v>197</v>
      </c>
      <c r="D340" s="650">
        <v>13940</v>
      </c>
      <c r="E340" s="67">
        <f>ROUND(AD340/1000,0)</f>
        <v>13280</v>
      </c>
      <c r="F340" s="71">
        <f>SUMIF($AB$341:$AB$353,"보조",$AD$341:$AD$353)/1000</f>
        <v>800</v>
      </c>
      <c r="G340" s="71">
        <f>SUMIF($AB$341:$AB$353,"6종",$AD$341:$AD$353)/1000</f>
        <v>0</v>
      </c>
      <c r="H340" s="71">
        <f>SUMIF($AB$341:$AB$353,"4종",$AD$341:$AD$353)/1000</f>
        <v>0</v>
      </c>
      <c r="I340" s="71">
        <f>SUMIF($AB$341:$AB$353,"후원",$AD$341:$AD$353)/1000</f>
        <v>6187</v>
      </c>
      <c r="J340" s="71">
        <f>SUMIF($AB$341:$AB$353,"입소",$AD$341:$AD$353)/1000</f>
        <v>6293</v>
      </c>
      <c r="K340" s="71">
        <f>SUMIF($AB$341:$AB$353,"법인",$AD$341:$AD$353)/1000</f>
        <v>0</v>
      </c>
      <c r="L340" s="71">
        <f>SUMIF($AB$341:$AB$353,"잡수",$AD$341:$AD$353)/1000</f>
        <v>0</v>
      </c>
      <c r="M340" s="650">
        <f>E340-D340</f>
        <v>-660</v>
      </c>
      <c r="N340" s="43">
        <f>IF(D341=0,0,M340/D341)</f>
        <v>0</v>
      </c>
      <c r="O340" s="180"/>
      <c r="P340" s="188"/>
      <c r="Q340" s="188"/>
      <c r="R340" s="248"/>
      <c r="S340" s="248"/>
      <c r="T340" s="456"/>
      <c r="U340" s="456"/>
      <c r="V340" s="248"/>
      <c r="W340" s="509" t="s">
        <v>120</v>
      </c>
      <c r="X340" s="509"/>
      <c r="Y340" s="249"/>
      <c r="Z340" s="509"/>
      <c r="AA340" s="509"/>
      <c r="AB340" s="702"/>
      <c r="AC340" s="590"/>
      <c r="AD340" s="666">
        <f>SUM(AD341:AD353)</f>
        <v>13280000</v>
      </c>
      <c r="AE340" s="696" t="s">
        <v>25</v>
      </c>
      <c r="AF340" s="728"/>
      <c r="AG340" s="730"/>
      <c r="AH340" s="726"/>
      <c r="AI340" s="648"/>
      <c r="AJ340" s="648"/>
    </row>
    <row r="341" spans="1:36" s="9" customFormat="1" ht="24" customHeight="1">
      <c r="A341" s="26"/>
      <c r="B341" s="26"/>
      <c r="C341" s="26" t="s">
        <v>119</v>
      </c>
      <c r="D341" s="676"/>
      <c r="E341" s="353"/>
      <c r="F341" s="353"/>
      <c r="G341" s="353"/>
      <c r="H341" s="353"/>
      <c r="I341" s="353"/>
      <c r="J341" s="353"/>
      <c r="K341" s="353"/>
      <c r="L341" s="353"/>
      <c r="M341" s="67"/>
      <c r="N341" s="43"/>
      <c r="O341" s="338" t="s">
        <v>262</v>
      </c>
      <c r="P341" s="234"/>
      <c r="Q341" s="234"/>
      <c r="R341" s="231"/>
      <c r="S341" s="337"/>
      <c r="T341" s="298"/>
      <c r="U341" s="298"/>
      <c r="V341" s="337"/>
      <c r="W341" s="298"/>
      <c r="X341" s="339"/>
      <c r="Y341" s="232"/>
      <c r="Z341" s="230"/>
      <c r="AA341" s="230"/>
      <c r="AB341" s="674" t="s">
        <v>217</v>
      </c>
      <c r="AC341" s="235"/>
      <c r="AD341" s="665">
        <v>3000000</v>
      </c>
      <c r="AE341" s="693" t="s">
        <v>55</v>
      </c>
      <c r="AF341" s="728"/>
      <c r="AG341" s="730"/>
      <c r="AH341" s="726"/>
      <c r="AI341" s="648"/>
      <c r="AJ341" s="648"/>
    </row>
    <row r="342" spans="1:36" s="9" customFormat="1" ht="24" customHeight="1">
      <c r="A342" s="26"/>
      <c r="B342" s="26"/>
      <c r="C342" s="26"/>
      <c r="D342" s="677"/>
      <c r="E342" s="354"/>
      <c r="F342" s="354"/>
      <c r="G342" s="354"/>
      <c r="H342" s="354"/>
      <c r="I342" s="354"/>
      <c r="J342" s="354"/>
      <c r="K342" s="354"/>
      <c r="L342" s="354"/>
      <c r="M342" s="67"/>
      <c r="N342" s="43"/>
      <c r="O342" s="338"/>
      <c r="P342" s="234"/>
      <c r="Q342" s="234"/>
      <c r="R342" s="231"/>
      <c r="S342" s="337"/>
      <c r="T342" s="298"/>
      <c r="U342" s="298"/>
      <c r="V342" s="337"/>
      <c r="W342" s="298"/>
      <c r="X342" s="339"/>
      <c r="Y342" s="232"/>
      <c r="Z342" s="230"/>
      <c r="AA342" s="230"/>
      <c r="AB342" s="674" t="s">
        <v>137</v>
      </c>
      <c r="AC342" s="235"/>
      <c r="AD342" s="665">
        <v>0</v>
      </c>
      <c r="AE342" s="693" t="s">
        <v>55</v>
      </c>
      <c r="AF342" s="728"/>
      <c r="AG342" s="730"/>
      <c r="AH342" s="726"/>
      <c r="AI342" s="648"/>
      <c r="AJ342" s="648"/>
    </row>
    <row r="343" spans="1:36" s="9" customFormat="1" ht="24" customHeight="1">
      <c r="A343" s="26"/>
      <c r="B343" s="26"/>
      <c r="C343" s="26"/>
      <c r="D343" s="650"/>
      <c r="E343" s="67"/>
      <c r="F343" s="67"/>
      <c r="G343" s="67"/>
      <c r="H343" s="67"/>
      <c r="I343" s="67"/>
      <c r="J343" s="67"/>
      <c r="K343" s="67"/>
      <c r="L343" s="67"/>
      <c r="M343" s="67"/>
      <c r="N343" s="43"/>
      <c r="O343" s="338" t="s">
        <v>806</v>
      </c>
      <c r="P343" s="338"/>
      <c r="Q343" s="338"/>
      <c r="R343" s="338"/>
      <c r="S343" s="338"/>
      <c r="T343" s="339"/>
      <c r="U343" s="339"/>
      <c r="V343" s="337"/>
      <c r="W343" s="339"/>
      <c r="X343" s="339"/>
      <c r="Y343" s="340"/>
      <c r="Z343" s="339"/>
      <c r="AA343" s="339"/>
      <c r="AB343" s="674" t="s">
        <v>217</v>
      </c>
      <c r="AC343" s="599"/>
      <c r="AD343" s="675">
        <v>480000</v>
      </c>
      <c r="AE343" s="685" t="s">
        <v>55</v>
      </c>
      <c r="AF343" s="728"/>
      <c r="AG343" s="730"/>
      <c r="AH343" s="726"/>
      <c r="AI343" s="648"/>
      <c r="AJ343" s="648"/>
    </row>
    <row r="344" spans="1:36" s="9" customFormat="1" ht="24" customHeight="1">
      <c r="A344" s="26"/>
      <c r="B344" s="26"/>
      <c r="C344" s="26"/>
      <c r="D344" s="650"/>
      <c r="E344" s="67"/>
      <c r="F344" s="67"/>
      <c r="G344" s="67"/>
      <c r="H344" s="67"/>
      <c r="I344" s="67"/>
      <c r="J344" s="67"/>
      <c r="K344" s="67"/>
      <c r="L344" s="67"/>
      <c r="M344" s="67"/>
      <c r="N344" s="43"/>
      <c r="O344" s="338"/>
      <c r="P344" s="338"/>
      <c r="Q344" s="338"/>
      <c r="R344" s="338"/>
      <c r="S344" s="338"/>
      <c r="T344" s="339"/>
      <c r="U344" s="339"/>
      <c r="V344" s="337"/>
      <c r="W344" s="339"/>
      <c r="X344" s="339"/>
      <c r="Y344" s="340"/>
      <c r="Z344" s="339"/>
      <c r="AA344" s="339"/>
      <c r="AB344" s="674" t="s">
        <v>137</v>
      </c>
      <c r="AC344" s="599"/>
      <c r="AD344" s="675"/>
      <c r="AE344" s="685" t="s">
        <v>55</v>
      </c>
      <c r="AF344" s="728"/>
      <c r="AG344" s="730"/>
      <c r="AH344" s="726"/>
      <c r="AI344" s="648"/>
      <c r="AJ344" s="648"/>
    </row>
    <row r="345" spans="1:36" s="9" customFormat="1" ht="24" customHeight="1">
      <c r="A345" s="26"/>
      <c r="B345" s="26"/>
      <c r="C345" s="26"/>
      <c r="D345" s="650"/>
      <c r="E345" s="67"/>
      <c r="F345" s="67"/>
      <c r="G345" s="67"/>
      <c r="H345" s="67"/>
      <c r="I345" s="67"/>
      <c r="J345" s="67"/>
      <c r="K345" s="67"/>
      <c r="L345" s="67"/>
      <c r="M345" s="67"/>
      <c r="N345" s="43"/>
      <c r="O345" s="338" t="s">
        <v>807</v>
      </c>
      <c r="P345" s="338"/>
      <c r="Q345" s="338"/>
      <c r="R345" s="338"/>
      <c r="S345" s="338"/>
      <c r="T345" s="339"/>
      <c r="U345" s="339"/>
      <c r="V345" s="337"/>
      <c r="W345" s="339"/>
      <c r="X345" s="339"/>
      <c r="Y345" s="340"/>
      <c r="Z345" s="339"/>
      <c r="AA345" s="339"/>
      <c r="AB345" s="674" t="s">
        <v>70</v>
      </c>
      <c r="AC345" s="599"/>
      <c r="AD345" s="675">
        <v>800000</v>
      </c>
      <c r="AE345" s="685" t="s">
        <v>55</v>
      </c>
      <c r="AF345" s="728"/>
      <c r="AG345" s="730"/>
      <c r="AH345" s="726"/>
      <c r="AI345" s="648"/>
      <c r="AJ345" s="648"/>
    </row>
    <row r="346" spans="1:36" s="9" customFormat="1" ht="24" customHeight="1">
      <c r="A346" s="26"/>
      <c r="B346" s="26"/>
      <c r="C346" s="26"/>
      <c r="D346" s="650"/>
      <c r="E346" s="67"/>
      <c r="F346" s="67"/>
      <c r="G346" s="67"/>
      <c r="H346" s="67"/>
      <c r="I346" s="67"/>
      <c r="J346" s="67"/>
      <c r="K346" s="67"/>
      <c r="L346" s="67"/>
      <c r="M346" s="67"/>
      <c r="N346" s="43"/>
      <c r="O346" s="338"/>
      <c r="P346" s="338"/>
      <c r="Q346" s="338"/>
      <c r="R346" s="338"/>
      <c r="S346" s="338"/>
      <c r="T346" s="339"/>
      <c r="U346" s="339"/>
      <c r="V346" s="337"/>
      <c r="W346" s="339"/>
      <c r="X346" s="339"/>
      <c r="Y346" s="340"/>
      <c r="Z346" s="339"/>
      <c r="AA346" s="339"/>
      <c r="AB346" s="674" t="s">
        <v>137</v>
      </c>
      <c r="AC346" s="599"/>
      <c r="AD346" s="675">
        <v>2300000</v>
      </c>
      <c r="AE346" s="685" t="s">
        <v>55</v>
      </c>
      <c r="AF346" s="728"/>
      <c r="AG346" s="730"/>
      <c r="AH346" s="726"/>
      <c r="AI346" s="648"/>
      <c r="AJ346" s="648"/>
    </row>
    <row r="347" spans="1:36" s="9" customFormat="1" ht="24" customHeight="1">
      <c r="A347" s="26"/>
      <c r="B347" s="26"/>
      <c r="C347" s="26"/>
      <c r="D347" s="650"/>
      <c r="E347" s="67"/>
      <c r="F347" s="67"/>
      <c r="G347" s="67"/>
      <c r="H347" s="67"/>
      <c r="I347" s="67"/>
      <c r="J347" s="67"/>
      <c r="K347" s="67"/>
      <c r="L347" s="67"/>
      <c r="M347" s="67"/>
      <c r="N347" s="43"/>
      <c r="O347" s="338"/>
      <c r="P347" s="338"/>
      <c r="Q347" s="338"/>
      <c r="R347" s="338"/>
      <c r="S347" s="338"/>
      <c r="T347" s="339"/>
      <c r="U347" s="339"/>
      <c r="V347" s="337"/>
      <c r="W347" s="339"/>
      <c r="X347" s="339"/>
      <c r="Y347" s="340"/>
      <c r="Z347" s="339"/>
      <c r="AA347" s="339"/>
      <c r="AB347" s="674" t="s">
        <v>217</v>
      </c>
      <c r="AC347" s="599"/>
      <c r="AD347" s="675">
        <v>500000</v>
      </c>
      <c r="AE347" s="685" t="s">
        <v>55</v>
      </c>
      <c r="AF347" s="728"/>
      <c r="AG347" s="730"/>
      <c r="AH347" s="726"/>
      <c r="AI347" s="648"/>
      <c r="AJ347" s="648"/>
    </row>
    <row r="348" spans="1:36" s="9" customFormat="1" ht="24" customHeight="1">
      <c r="A348" s="26"/>
      <c r="B348" s="26"/>
      <c r="C348" s="26"/>
      <c r="D348" s="650"/>
      <c r="E348" s="67"/>
      <c r="F348" s="67"/>
      <c r="G348" s="67"/>
      <c r="H348" s="67"/>
      <c r="I348" s="67"/>
      <c r="J348" s="67"/>
      <c r="K348" s="67"/>
      <c r="L348" s="67"/>
      <c r="M348" s="67"/>
      <c r="N348" s="43"/>
      <c r="O348" s="338" t="s">
        <v>809</v>
      </c>
      <c r="P348" s="338"/>
      <c r="Q348" s="338"/>
      <c r="R348" s="338"/>
      <c r="S348" s="337">
        <v>250000</v>
      </c>
      <c r="T348" s="339" t="s">
        <v>55</v>
      </c>
      <c r="U348" s="298" t="s">
        <v>56</v>
      </c>
      <c r="V348" s="186">
        <v>2</v>
      </c>
      <c r="W348" s="339" t="s">
        <v>61</v>
      </c>
      <c r="X348" s="298"/>
      <c r="Y348" s="524"/>
      <c r="Z348" s="525"/>
      <c r="AA348" s="339" t="s">
        <v>53</v>
      </c>
      <c r="AB348" s="674" t="s">
        <v>137</v>
      </c>
      <c r="AC348" s="599"/>
      <c r="AD348" s="675">
        <f>S348*V348</f>
        <v>500000</v>
      </c>
      <c r="AE348" s="685" t="s">
        <v>55</v>
      </c>
      <c r="AF348" s="728"/>
      <c r="AG348" s="730"/>
      <c r="AH348" s="726"/>
      <c r="AI348" s="648"/>
      <c r="AJ348" s="648"/>
    </row>
    <row r="349" spans="1:36" s="9" customFormat="1" ht="24" customHeight="1">
      <c r="A349" s="26"/>
      <c r="B349" s="26"/>
      <c r="C349" s="26"/>
      <c r="D349" s="650"/>
      <c r="E349" s="67"/>
      <c r="F349" s="67"/>
      <c r="G349" s="67"/>
      <c r="H349" s="67"/>
      <c r="I349" s="67"/>
      <c r="J349" s="67"/>
      <c r="K349" s="67"/>
      <c r="L349" s="67"/>
      <c r="M349" s="67"/>
      <c r="N349" s="43"/>
      <c r="O349" s="338" t="s">
        <v>860</v>
      </c>
      <c r="P349" s="338"/>
      <c r="Q349" s="338"/>
      <c r="R349" s="338"/>
      <c r="S349" s="337">
        <v>60000</v>
      </c>
      <c r="T349" s="339" t="s">
        <v>55</v>
      </c>
      <c r="U349" s="298" t="s">
        <v>56</v>
      </c>
      <c r="V349" s="337">
        <v>20</v>
      </c>
      <c r="W349" s="339" t="s">
        <v>749</v>
      </c>
      <c r="X349" s="339"/>
      <c r="Y349" s="340"/>
      <c r="Z349" s="339"/>
      <c r="AA349" s="339"/>
      <c r="AB349" s="674" t="s">
        <v>217</v>
      </c>
      <c r="AC349" s="599"/>
      <c r="AD349" s="675">
        <f t="shared" ref="AD349" si="16">S349*V349</f>
        <v>1200000</v>
      </c>
      <c r="AE349" s="685" t="s">
        <v>55</v>
      </c>
      <c r="AF349" s="728"/>
      <c r="AG349" s="730"/>
      <c r="AH349" s="726"/>
      <c r="AI349" s="648"/>
      <c r="AJ349" s="648"/>
    </row>
    <row r="350" spans="1:36" s="9" customFormat="1" ht="24" customHeight="1">
      <c r="A350" s="26"/>
      <c r="B350" s="26"/>
      <c r="C350" s="26"/>
      <c r="D350" s="650"/>
      <c r="E350" s="67"/>
      <c r="F350" s="67"/>
      <c r="G350" s="67"/>
      <c r="H350" s="67"/>
      <c r="I350" s="67"/>
      <c r="J350" s="67"/>
      <c r="K350" s="67"/>
      <c r="L350" s="67"/>
      <c r="M350" s="67"/>
      <c r="N350" s="43"/>
      <c r="O350" s="554" t="s">
        <v>862</v>
      </c>
      <c r="P350" s="338"/>
      <c r="Q350" s="338"/>
      <c r="R350" s="338"/>
      <c r="S350" s="337">
        <v>60000</v>
      </c>
      <c r="T350" s="339" t="s">
        <v>55</v>
      </c>
      <c r="U350" s="298" t="s">
        <v>56</v>
      </c>
      <c r="V350" s="337">
        <v>31</v>
      </c>
      <c r="W350" s="339" t="s">
        <v>749</v>
      </c>
      <c r="X350" s="339"/>
      <c r="Y350" s="340"/>
      <c r="Z350" s="339"/>
      <c r="AA350" s="339"/>
      <c r="AB350" s="674" t="s">
        <v>137</v>
      </c>
      <c r="AC350" s="599"/>
      <c r="AD350" s="675">
        <f>S350*V350+340000</f>
        <v>2200000</v>
      </c>
      <c r="AE350" s="685" t="s">
        <v>55</v>
      </c>
      <c r="AF350" s="728"/>
      <c r="AG350" s="730"/>
      <c r="AH350" s="726"/>
      <c r="AI350" s="648"/>
      <c r="AJ350" s="648"/>
    </row>
    <row r="351" spans="1:36" s="9" customFormat="1" ht="24" customHeight="1">
      <c r="A351" s="26"/>
      <c r="B351" s="26"/>
      <c r="C351" s="26"/>
      <c r="D351" s="650"/>
      <c r="E351" s="67"/>
      <c r="F351" s="67"/>
      <c r="G351" s="67"/>
      <c r="H351" s="67"/>
      <c r="I351" s="67"/>
      <c r="J351" s="67"/>
      <c r="K351" s="67"/>
      <c r="L351" s="67"/>
      <c r="M351" s="67"/>
      <c r="N351" s="43"/>
      <c r="O351" s="177" t="s">
        <v>808</v>
      </c>
      <c r="P351" s="338"/>
      <c r="Q351" s="338"/>
      <c r="R351" s="338"/>
      <c r="S351" s="338"/>
      <c r="T351" s="339"/>
      <c r="U351" s="339"/>
      <c r="V351" s="337"/>
      <c r="W351" s="339"/>
      <c r="X351" s="339"/>
      <c r="Y351" s="340"/>
      <c r="Z351" s="339"/>
      <c r="AA351" s="555"/>
      <c r="AB351" s="674" t="s">
        <v>217</v>
      </c>
      <c r="AC351" s="599"/>
      <c r="AD351" s="675">
        <v>300000</v>
      </c>
      <c r="AE351" s="685" t="s">
        <v>55</v>
      </c>
      <c r="AF351" s="728"/>
      <c r="AG351" s="730"/>
      <c r="AH351" s="726"/>
      <c r="AI351" s="648"/>
      <c r="AJ351" s="648"/>
    </row>
    <row r="352" spans="1:36" s="9" customFormat="1" ht="24" customHeight="1">
      <c r="A352" s="26"/>
      <c r="B352" s="26"/>
      <c r="C352" s="26"/>
      <c r="D352" s="650"/>
      <c r="E352" s="67"/>
      <c r="F352" s="67"/>
      <c r="G352" s="67"/>
      <c r="H352" s="67"/>
      <c r="I352" s="67"/>
      <c r="J352" s="67"/>
      <c r="K352" s="67"/>
      <c r="L352" s="67"/>
      <c r="M352" s="67"/>
      <c r="N352" s="43"/>
      <c r="O352" s="177" t="s">
        <v>263</v>
      </c>
      <c r="P352" s="338"/>
      <c r="Q352" s="338"/>
      <c r="R352" s="338"/>
      <c r="S352" s="338"/>
      <c r="T352" s="339"/>
      <c r="U352" s="339"/>
      <c r="V352" s="337"/>
      <c r="W352" s="339"/>
      <c r="X352" s="339"/>
      <c r="Y352" s="340"/>
      <c r="Z352" s="339"/>
      <c r="AA352" s="339"/>
      <c r="AB352" s="674" t="s">
        <v>217</v>
      </c>
      <c r="AC352" s="599"/>
      <c r="AD352" s="675">
        <v>813000</v>
      </c>
      <c r="AE352" s="685" t="s">
        <v>55</v>
      </c>
      <c r="AF352" s="728"/>
      <c r="AG352" s="730"/>
      <c r="AH352" s="726"/>
      <c r="AI352" s="648"/>
      <c r="AJ352" s="648"/>
    </row>
    <row r="353" spans="1:36" s="9" customFormat="1" ht="24" customHeight="1">
      <c r="A353" s="26"/>
      <c r="B353" s="26"/>
      <c r="C353" s="34"/>
      <c r="D353" s="651"/>
      <c r="E353" s="68"/>
      <c r="F353" s="68"/>
      <c r="G353" s="68"/>
      <c r="H353" s="68"/>
      <c r="I353" s="68"/>
      <c r="J353" s="68"/>
      <c r="K353" s="68"/>
      <c r="L353" s="68"/>
      <c r="M353" s="68"/>
      <c r="N353" s="54"/>
      <c r="O353" s="177"/>
      <c r="P353" s="513"/>
      <c r="Q353" s="513"/>
      <c r="R353" s="513"/>
      <c r="S353" s="513"/>
      <c r="T353" s="428"/>
      <c r="U353" s="428"/>
      <c r="V353" s="512"/>
      <c r="W353" s="428"/>
      <c r="X353" s="428"/>
      <c r="Y353" s="236"/>
      <c r="Z353" s="428"/>
      <c r="AA353" s="428"/>
      <c r="AB353" s="698" t="s">
        <v>752</v>
      </c>
      <c r="AC353" s="588"/>
      <c r="AD353" s="663">
        <v>1187000</v>
      </c>
      <c r="AE353" s="685" t="s">
        <v>55</v>
      </c>
      <c r="AF353" s="728"/>
      <c r="AG353" s="730"/>
      <c r="AH353" s="726"/>
      <c r="AI353" s="648"/>
      <c r="AJ353" s="648"/>
    </row>
    <row r="354" spans="1:36" s="9" customFormat="1" ht="24" customHeight="1">
      <c r="A354" s="26"/>
      <c r="B354" s="26"/>
      <c r="C354" s="18" t="s">
        <v>252</v>
      </c>
      <c r="D354" s="652">
        <v>7481</v>
      </c>
      <c r="E354" s="70">
        <f>ROUND(AD354/1000,0)</f>
        <v>7183</v>
      </c>
      <c r="F354" s="71">
        <f>SUMIF($AB$355:$AB$364,"보조",$AD$355:$AD$364)/1000</f>
        <v>0</v>
      </c>
      <c r="G354" s="71">
        <f>SUMIF($AB$355:$AB$364,"6종",$AD$355:$AD$364)/1000</f>
        <v>0</v>
      </c>
      <c r="H354" s="71">
        <f>SUMIF($AB$355:$AB$364,"4종",$AD$355:$AD$364)/1000</f>
        <v>0</v>
      </c>
      <c r="I354" s="71">
        <f>SUMIF($AB$355:$AB$364,"후원",$AD$355:$AD$364)/1000</f>
        <v>4193</v>
      </c>
      <c r="J354" s="71">
        <f>SUMIF($AB$355:$AB$364,"입소",$AD$355:$AD$364)/1000</f>
        <v>2161</v>
      </c>
      <c r="K354" s="71">
        <f>SUMIF($AB$355:$AB$364,"법인",$AD$355:$AD$364)/1000</f>
        <v>0</v>
      </c>
      <c r="L354" s="71">
        <f>SUMIF($AB$355:$AB$364,"잡수",$AD$355:$AD$364)/1000</f>
        <v>829</v>
      </c>
      <c r="M354" s="70">
        <f>E354-D354</f>
        <v>-298</v>
      </c>
      <c r="N354" s="75">
        <f>IF(D355=0,0,M354/D355)</f>
        <v>0</v>
      </c>
      <c r="O354" s="180"/>
      <c r="P354" s="188"/>
      <c r="Q354" s="188"/>
      <c r="R354" s="248"/>
      <c r="S354" s="248"/>
      <c r="T354" s="456"/>
      <c r="U354" s="456"/>
      <c r="V354" s="248"/>
      <c r="W354" s="509" t="s">
        <v>120</v>
      </c>
      <c r="X354" s="509"/>
      <c r="Y354" s="249"/>
      <c r="Z354" s="509"/>
      <c r="AA354" s="509"/>
      <c r="AB354" s="702"/>
      <c r="AC354" s="590"/>
      <c r="AD354" s="666">
        <f>SUM(AD355:AD364)</f>
        <v>7183000</v>
      </c>
      <c r="AE354" s="696" t="s">
        <v>25</v>
      </c>
      <c r="AF354" s="728"/>
      <c r="AG354" s="730"/>
      <c r="AH354" s="726"/>
      <c r="AI354" s="648"/>
      <c r="AJ354" s="648"/>
    </row>
    <row r="355" spans="1:36" s="9" customFormat="1" ht="24" customHeight="1">
      <c r="A355" s="26"/>
      <c r="B355" s="26"/>
      <c r="C355" s="26" t="s">
        <v>119</v>
      </c>
      <c r="D355" s="676"/>
      <c r="E355" s="353"/>
      <c r="F355" s="353"/>
      <c r="G355" s="353"/>
      <c r="H355" s="353"/>
      <c r="I355" s="353"/>
      <c r="J355" s="353"/>
      <c r="K355" s="353"/>
      <c r="L355" s="353"/>
      <c r="M355" s="67"/>
      <c r="N355" s="43"/>
      <c r="O355" s="338" t="s">
        <v>264</v>
      </c>
      <c r="P355" s="234"/>
      <c r="Q355" s="234"/>
      <c r="R355" s="231"/>
      <c r="S355" s="235" t="s">
        <v>628</v>
      </c>
      <c r="T355" s="446"/>
      <c r="U355" s="446"/>
      <c r="V355" s="231"/>
      <c r="W355" s="339"/>
      <c r="X355" s="339"/>
      <c r="Y355" s="340"/>
      <c r="Z355" s="339"/>
      <c r="AA355" s="339"/>
      <c r="AB355" s="674" t="s">
        <v>217</v>
      </c>
      <c r="AC355" s="599"/>
      <c r="AD355" s="675">
        <v>550000</v>
      </c>
      <c r="AE355" s="685" t="s">
        <v>55</v>
      </c>
      <c r="AF355" s="728"/>
      <c r="AG355" s="730"/>
      <c r="AH355" s="726"/>
      <c r="AI355" s="648"/>
      <c r="AJ355" s="648"/>
    </row>
    <row r="356" spans="1:36" s="9" customFormat="1" ht="24" customHeight="1">
      <c r="A356" s="26"/>
      <c r="B356" s="26"/>
      <c r="C356" s="26"/>
      <c r="D356" s="676"/>
      <c r="E356" s="353"/>
      <c r="F356" s="353"/>
      <c r="G356" s="353"/>
      <c r="H356" s="353"/>
      <c r="I356" s="353"/>
      <c r="J356" s="353"/>
      <c r="K356" s="353"/>
      <c r="L356" s="353"/>
      <c r="M356" s="67"/>
      <c r="N356" s="43"/>
      <c r="O356" s="338"/>
      <c r="P356" s="234"/>
      <c r="Q356" s="234"/>
      <c r="R356" s="231"/>
      <c r="S356" s="235" t="s">
        <v>625</v>
      </c>
      <c r="T356" s="446"/>
      <c r="U356" s="446"/>
      <c r="V356" s="231"/>
      <c r="W356" s="339"/>
      <c r="X356" s="339"/>
      <c r="Y356" s="340"/>
      <c r="Z356" s="339"/>
      <c r="AA356" s="339"/>
      <c r="AB356" s="674" t="s">
        <v>217</v>
      </c>
      <c r="AC356" s="599"/>
      <c r="AD356" s="675">
        <v>1200000</v>
      </c>
      <c r="AE356" s="685" t="s">
        <v>55</v>
      </c>
      <c r="AF356" s="728"/>
      <c r="AG356" s="730"/>
      <c r="AH356" s="726"/>
      <c r="AI356" s="648"/>
      <c r="AJ356" s="648"/>
    </row>
    <row r="357" spans="1:36" s="9" customFormat="1" ht="24" customHeight="1">
      <c r="A357" s="26"/>
      <c r="B357" s="26"/>
      <c r="C357" s="26"/>
      <c r="D357" s="677"/>
      <c r="E357" s="354"/>
      <c r="F357" s="354"/>
      <c r="G357" s="354"/>
      <c r="H357" s="354"/>
      <c r="I357" s="354"/>
      <c r="J357" s="354"/>
      <c r="K357" s="354"/>
      <c r="L357" s="354"/>
      <c r="M357" s="67"/>
      <c r="N357" s="43"/>
      <c r="O357" s="338"/>
      <c r="P357" s="234"/>
      <c r="Q357" s="234"/>
      <c r="R357" s="231"/>
      <c r="S357" s="235" t="s">
        <v>627</v>
      </c>
      <c r="T357" s="446"/>
      <c r="U357" s="446"/>
      <c r="V357" s="231"/>
      <c r="W357" s="339"/>
      <c r="X357" s="339"/>
      <c r="Y357" s="340"/>
      <c r="Z357" s="339"/>
      <c r="AA357" s="339"/>
      <c r="AB357" s="674" t="s">
        <v>137</v>
      </c>
      <c r="AC357" s="599"/>
      <c r="AD357" s="675">
        <v>1020000</v>
      </c>
      <c r="AE357" s="685" t="s">
        <v>55</v>
      </c>
      <c r="AF357" s="728"/>
      <c r="AG357" s="730"/>
      <c r="AH357" s="726"/>
      <c r="AI357" s="648"/>
      <c r="AJ357" s="648"/>
    </row>
    <row r="358" spans="1:36" s="9" customFormat="1" ht="24" customHeight="1">
      <c r="A358" s="26"/>
      <c r="B358" s="26"/>
      <c r="C358" s="26"/>
      <c r="D358" s="677"/>
      <c r="E358" s="354"/>
      <c r="F358" s="354"/>
      <c r="G358" s="354"/>
      <c r="H358" s="354"/>
      <c r="I358" s="354"/>
      <c r="J358" s="354"/>
      <c r="K358" s="354"/>
      <c r="L358" s="354"/>
      <c r="M358" s="67"/>
      <c r="N358" s="43"/>
      <c r="O358" s="338" t="s">
        <v>631</v>
      </c>
      <c r="P358" s="234"/>
      <c r="Q358" s="234"/>
      <c r="R358" s="231"/>
      <c r="S358" s="235"/>
      <c r="T358" s="446"/>
      <c r="U358" s="446"/>
      <c r="V358" s="231"/>
      <c r="W358" s="339"/>
      <c r="X358" s="339"/>
      <c r="Y358" s="340"/>
      <c r="Z358" s="339"/>
      <c r="AA358" s="339"/>
      <c r="AB358" s="674" t="s">
        <v>217</v>
      </c>
      <c r="AC358" s="599"/>
      <c r="AD358" s="675">
        <v>30000</v>
      </c>
      <c r="AE358" s="685" t="s">
        <v>632</v>
      </c>
      <c r="AF358" s="728"/>
      <c r="AG358" s="730"/>
      <c r="AH358" s="726"/>
      <c r="AI358" s="648"/>
      <c r="AJ358" s="648"/>
    </row>
    <row r="359" spans="1:36" s="9" customFormat="1" ht="24" customHeight="1">
      <c r="A359" s="26"/>
      <c r="B359" s="26"/>
      <c r="C359" s="26"/>
      <c r="D359" s="650"/>
      <c r="E359" s="67"/>
      <c r="F359" s="67"/>
      <c r="G359" s="67"/>
      <c r="H359" s="67"/>
      <c r="I359" s="67"/>
      <c r="J359" s="67"/>
      <c r="K359" s="67"/>
      <c r="L359" s="67"/>
      <c r="M359" s="67"/>
      <c r="N359" s="43"/>
      <c r="O359" s="338" t="s">
        <v>746</v>
      </c>
      <c r="P359" s="234"/>
      <c r="Q359" s="234"/>
      <c r="R359" s="231"/>
      <c r="S359" s="231"/>
      <c r="T359" s="446"/>
      <c r="U359" s="446"/>
      <c r="V359" s="231"/>
      <c r="W359" s="339"/>
      <c r="X359" s="339"/>
      <c r="Y359" s="340"/>
      <c r="Z359" s="339"/>
      <c r="AA359" s="339"/>
      <c r="AB359" s="674" t="s">
        <v>217</v>
      </c>
      <c r="AC359" s="599"/>
      <c r="AD359" s="675">
        <v>381000</v>
      </c>
      <c r="AE359" s="685" t="s">
        <v>55</v>
      </c>
      <c r="AF359" s="728"/>
      <c r="AG359" s="730"/>
      <c r="AH359" s="726"/>
      <c r="AI359" s="648"/>
      <c r="AJ359" s="648"/>
    </row>
    <row r="360" spans="1:36" s="9" customFormat="1" ht="24" customHeight="1">
      <c r="A360" s="26"/>
      <c r="B360" s="26"/>
      <c r="C360" s="26"/>
      <c r="D360" s="650"/>
      <c r="E360" s="67"/>
      <c r="F360" s="67"/>
      <c r="G360" s="67"/>
      <c r="H360" s="67"/>
      <c r="I360" s="67"/>
      <c r="J360" s="67"/>
      <c r="K360" s="67"/>
      <c r="L360" s="67"/>
      <c r="M360" s="67"/>
      <c r="N360" s="43"/>
      <c r="O360" s="338"/>
      <c r="P360" s="234"/>
      <c r="Q360" s="234"/>
      <c r="R360" s="231"/>
      <c r="S360" s="231"/>
      <c r="T360" s="338" t="s">
        <v>825</v>
      </c>
      <c r="U360" s="338"/>
      <c r="V360" s="338"/>
      <c r="W360" s="298"/>
      <c r="X360" s="338"/>
      <c r="Y360" s="338"/>
      <c r="Z360" s="339"/>
      <c r="AA360" s="339"/>
      <c r="AB360" s="674" t="s">
        <v>85</v>
      </c>
      <c r="AC360" s="599"/>
      <c r="AD360" s="675">
        <v>0</v>
      </c>
      <c r="AE360" s="685" t="s">
        <v>55</v>
      </c>
      <c r="AF360" s="728"/>
      <c r="AG360" s="730"/>
      <c r="AH360" s="726"/>
      <c r="AI360" s="648"/>
      <c r="AJ360" s="648"/>
    </row>
    <row r="361" spans="1:36" s="9" customFormat="1" ht="24" customHeight="1">
      <c r="A361" s="26"/>
      <c r="B361" s="26"/>
      <c r="C361" s="26"/>
      <c r="D361" s="650"/>
      <c r="E361" s="67"/>
      <c r="F361" s="67"/>
      <c r="G361" s="67"/>
      <c r="H361" s="67"/>
      <c r="I361" s="67"/>
      <c r="J361" s="67"/>
      <c r="K361" s="67"/>
      <c r="L361" s="67"/>
      <c r="M361" s="67"/>
      <c r="N361" s="43"/>
      <c r="O361" s="338"/>
      <c r="P361" s="234"/>
      <c r="Q361" s="234"/>
      <c r="R361" s="231"/>
      <c r="S361" s="231"/>
      <c r="T361" s="338" t="s">
        <v>826</v>
      </c>
      <c r="U361" s="338"/>
      <c r="V361" s="338"/>
      <c r="W361" s="298"/>
      <c r="X361" s="338"/>
      <c r="Y361" s="338"/>
      <c r="Z361" s="339"/>
      <c r="AA361" s="339"/>
      <c r="AB361" s="674" t="s">
        <v>85</v>
      </c>
      <c r="AC361" s="599"/>
      <c r="AD361" s="675">
        <v>829000</v>
      </c>
      <c r="AE361" s="685" t="s">
        <v>55</v>
      </c>
      <c r="AF361" s="729"/>
      <c r="AG361" s="730"/>
      <c r="AH361" s="726"/>
      <c r="AI361" s="648"/>
      <c r="AJ361" s="648"/>
    </row>
    <row r="362" spans="1:36" s="9" customFormat="1" ht="24" customHeight="1">
      <c r="A362" s="26"/>
      <c r="B362" s="26"/>
      <c r="C362" s="26"/>
      <c r="D362" s="650"/>
      <c r="E362" s="67"/>
      <c r="F362" s="67"/>
      <c r="G362" s="67"/>
      <c r="H362" s="67"/>
      <c r="I362" s="67"/>
      <c r="J362" s="67"/>
      <c r="K362" s="67"/>
      <c r="L362" s="67"/>
      <c r="M362" s="67"/>
      <c r="N362" s="43"/>
      <c r="O362" s="338" t="s">
        <v>630</v>
      </c>
      <c r="P362" s="234"/>
      <c r="Q362" s="234"/>
      <c r="R362" s="231"/>
      <c r="S362" s="231"/>
      <c r="T362" s="446"/>
      <c r="U362" s="446"/>
      <c r="V362" s="231"/>
      <c r="W362" s="339"/>
      <c r="X362" s="339"/>
      <c r="Y362" s="340"/>
      <c r="Z362" s="339"/>
      <c r="AA362" s="339"/>
      <c r="AB362" s="674" t="s">
        <v>85</v>
      </c>
      <c r="AC362" s="599"/>
      <c r="AD362" s="675">
        <v>0</v>
      </c>
      <c r="AE362" s="685" t="s">
        <v>55</v>
      </c>
      <c r="AF362" s="728"/>
      <c r="AG362" s="730"/>
      <c r="AH362" s="726"/>
      <c r="AI362" s="648"/>
      <c r="AJ362" s="648"/>
    </row>
    <row r="363" spans="1:36" s="9" customFormat="1" ht="24" customHeight="1">
      <c r="A363" s="26"/>
      <c r="B363" s="26"/>
      <c r="C363" s="26"/>
      <c r="D363" s="650"/>
      <c r="E363" s="67"/>
      <c r="F363" s="67"/>
      <c r="G363" s="67"/>
      <c r="H363" s="67"/>
      <c r="I363" s="67"/>
      <c r="J363" s="67"/>
      <c r="K363" s="67"/>
      <c r="L363" s="67"/>
      <c r="M363" s="67"/>
      <c r="N363" s="43"/>
      <c r="O363" s="338"/>
      <c r="P363" s="234"/>
      <c r="Q363" s="234"/>
      <c r="R363" s="231"/>
      <c r="S363" s="231"/>
      <c r="T363" s="337" t="s">
        <v>823</v>
      </c>
      <c r="U363" s="446"/>
      <c r="V363" s="231"/>
      <c r="W363" s="339"/>
      <c r="X363" s="339"/>
      <c r="Y363" s="340"/>
      <c r="Z363" s="339"/>
      <c r="AA363" s="339"/>
      <c r="AB363" s="674" t="s">
        <v>137</v>
      </c>
      <c r="AC363" s="599"/>
      <c r="AD363" s="675">
        <v>2322000</v>
      </c>
      <c r="AE363" s="685" t="s">
        <v>55</v>
      </c>
      <c r="AF363" s="728"/>
      <c r="AG363" s="730"/>
      <c r="AH363" s="727"/>
      <c r="AI363" s="648"/>
      <c r="AJ363" s="648"/>
    </row>
    <row r="364" spans="1:36" s="9" customFormat="1" ht="24" customHeight="1">
      <c r="A364" s="26"/>
      <c r="B364" s="26"/>
      <c r="C364" s="34"/>
      <c r="D364" s="651"/>
      <c r="E364" s="68"/>
      <c r="F364" s="68"/>
      <c r="G364" s="68"/>
      <c r="H364" s="68"/>
      <c r="I364" s="68"/>
      <c r="J364" s="68"/>
      <c r="K364" s="68"/>
      <c r="L364" s="68"/>
      <c r="M364" s="68"/>
      <c r="N364" s="54"/>
      <c r="O364" s="513"/>
      <c r="P364" s="513"/>
      <c r="Q364" s="513"/>
      <c r="R364" s="513"/>
      <c r="S364" s="513"/>
      <c r="T364" s="337" t="s">
        <v>824</v>
      </c>
      <c r="U364" s="446"/>
      <c r="V364" s="231"/>
      <c r="W364" s="339"/>
      <c r="X364" s="339"/>
      <c r="Y364" s="340"/>
      <c r="Z364" s="339"/>
      <c r="AA364" s="339"/>
      <c r="AB364" s="674" t="s">
        <v>137</v>
      </c>
      <c r="AC364" s="599"/>
      <c r="AD364" s="675">
        <v>851000</v>
      </c>
      <c r="AE364" s="685" t="s">
        <v>55</v>
      </c>
      <c r="AF364" s="729"/>
      <c r="AG364" s="730"/>
      <c r="AH364" s="727"/>
      <c r="AI364" s="648"/>
      <c r="AJ364" s="648"/>
    </row>
    <row r="365" spans="1:36" s="9" customFormat="1" ht="24" customHeight="1">
      <c r="A365" s="26"/>
      <c r="B365" s="26"/>
      <c r="C365" s="18" t="s">
        <v>198</v>
      </c>
      <c r="D365" s="652">
        <v>11220</v>
      </c>
      <c r="E365" s="70">
        <f>ROUND(AD365/1000,0)</f>
        <v>11220</v>
      </c>
      <c r="F365" s="71">
        <f>SUMIF($AB$366:$AB$372,"보조",$AD$366:$AD$372)/1000</f>
        <v>0</v>
      </c>
      <c r="G365" s="71">
        <f>SUMIF($AB$366:$AB$372,"6종",$AD$366:$AD$372)/1000</f>
        <v>5839</v>
      </c>
      <c r="H365" s="71">
        <f>SUMIF($AB$366:$AB$372,"4종",$AD$366:$AD$372)/1000</f>
        <v>0</v>
      </c>
      <c r="I365" s="71">
        <f>SUMIF($AB$366:$AB$372,"후원",$AD$366:$AD$372)/1000</f>
        <v>2734</v>
      </c>
      <c r="J365" s="71">
        <f>SUMIF($AB$366:$AB$372,"입소",$AD$366:$AD$372)/1000</f>
        <v>547</v>
      </c>
      <c r="K365" s="71">
        <f>SUMIF($AB$366:$AB$372,"전입",$AD$366:$AD$372)/1000</f>
        <v>0</v>
      </c>
      <c r="L365" s="71">
        <f>SUMIF($AB$366:$AB$372,"잡수",$AD$366:$AD$372)/1000</f>
        <v>2100</v>
      </c>
      <c r="M365" s="70">
        <f>E365-D365</f>
        <v>0</v>
      </c>
      <c r="N365" s="75">
        <f>IF(D366=0,0,M365/D366)</f>
        <v>0</v>
      </c>
      <c r="O365" s="180"/>
      <c r="P365" s="188"/>
      <c r="Q365" s="188"/>
      <c r="R365" s="248"/>
      <c r="S365" s="248"/>
      <c r="T365" s="456"/>
      <c r="U365" s="456"/>
      <c r="V365" s="248"/>
      <c r="W365" s="509" t="s">
        <v>120</v>
      </c>
      <c r="X365" s="509"/>
      <c r="Y365" s="249"/>
      <c r="Z365" s="509"/>
      <c r="AA365" s="509"/>
      <c r="AB365" s="702"/>
      <c r="AC365" s="590"/>
      <c r="AD365" s="666">
        <f>SUM(AD366:AD372)</f>
        <v>11220000</v>
      </c>
      <c r="AE365" s="696" t="s">
        <v>25</v>
      </c>
      <c r="AF365" s="728"/>
      <c r="AG365" s="730"/>
      <c r="AH365" s="726"/>
      <c r="AI365" s="648"/>
      <c r="AJ365" s="648"/>
    </row>
    <row r="366" spans="1:36" s="9" customFormat="1" ht="24" customHeight="1">
      <c r="A366" s="26"/>
      <c r="B366" s="26"/>
      <c r="C366" s="26" t="s">
        <v>265</v>
      </c>
      <c r="D366" s="676"/>
      <c r="E366" s="353"/>
      <c r="F366" s="353"/>
      <c r="G366" s="353"/>
      <c r="H366" s="353"/>
      <c r="I366" s="353"/>
      <c r="J366" s="353"/>
      <c r="K366" s="353"/>
      <c r="L366" s="353"/>
      <c r="M366" s="67"/>
      <c r="N366" s="43"/>
      <c r="O366" s="235" t="s">
        <v>641</v>
      </c>
      <c r="P366" s="235"/>
      <c r="Q366" s="235"/>
      <c r="R366" s="235"/>
      <c r="S366" s="337"/>
      <c r="T366" s="298"/>
      <c r="U366" s="298"/>
      <c r="V366" s="337"/>
      <c r="W366" s="298"/>
      <c r="X366" s="339"/>
      <c r="Y366" s="232"/>
      <c r="Z366" s="230"/>
      <c r="AA366" s="230"/>
      <c r="AB366" s="661" t="s">
        <v>217</v>
      </c>
      <c r="AC366" s="235"/>
      <c r="AD366" s="665">
        <v>547000</v>
      </c>
      <c r="AE366" s="693" t="s">
        <v>55</v>
      </c>
      <c r="AF366" s="728"/>
      <c r="AG366" s="730"/>
      <c r="AH366" s="726"/>
      <c r="AI366" s="648"/>
      <c r="AJ366" s="648"/>
    </row>
    <row r="367" spans="1:36" s="9" customFormat="1" ht="24" customHeight="1">
      <c r="A367" s="26"/>
      <c r="B367" s="26"/>
      <c r="C367" s="26"/>
      <c r="D367" s="676"/>
      <c r="E367" s="353"/>
      <c r="F367" s="353"/>
      <c r="G367" s="353"/>
      <c r="H367" s="353"/>
      <c r="I367" s="353"/>
      <c r="J367" s="353"/>
      <c r="K367" s="353"/>
      <c r="L367" s="353"/>
      <c r="M367" s="67"/>
      <c r="N367" s="43"/>
      <c r="O367" s="235"/>
      <c r="P367" s="235"/>
      <c r="Q367" s="235"/>
      <c r="R367" s="235"/>
      <c r="S367" s="337"/>
      <c r="T367" s="298"/>
      <c r="U367" s="298"/>
      <c r="V367" s="337"/>
      <c r="W367" s="298"/>
      <c r="X367" s="339"/>
      <c r="Y367" s="232"/>
      <c r="Z367" s="230"/>
      <c r="AA367" s="230"/>
      <c r="AB367" s="661" t="s">
        <v>137</v>
      </c>
      <c r="AC367" s="235"/>
      <c r="AD367" s="665">
        <v>153000</v>
      </c>
      <c r="AE367" s="693" t="s">
        <v>648</v>
      </c>
      <c r="AF367" s="728"/>
      <c r="AG367" s="730"/>
      <c r="AH367" s="726"/>
      <c r="AI367" s="648"/>
      <c r="AJ367" s="648"/>
    </row>
    <row r="368" spans="1:36" s="9" customFormat="1" ht="24" customHeight="1">
      <c r="A368" s="26"/>
      <c r="B368" s="26"/>
      <c r="C368" s="26"/>
      <c r="D368" s="677"/>
      <c r="E368" s="354"/>
      <c r="F368" s="354"/>
      <c r="G368" s="354"/>
      <c r="H368" s="354"/>
      <c r="I368" s="354"/>
      <c r="J368" s="354"/>
      <c r="K368" s="354"/>
      <c r="L368" s="354"/>
      <c r="M368" s="67"/>
      <c r="N368" s="43"/>
      <c r="O368" s="235" t="s">
        <v>266</v>
      </c>
      <c r="P368" s="235"/>
      <c r="Q368" s="235"/>
      <c r="R368" s="235"/>
      <c r="S368" s="337"/>
      <c r="T368" s="298"/>
      <c r="U368" s="298"/>
      <c r="V368" s="337"/>
      <c r="W368" s="298"/>
      <c r="X368" s="339"/>
      <c r="Y368" s="232"/>
      <c r="Z368" s="230"/>
      <c r="AA368" s="230"/>
      <c r="AB368" s="661" t="s">
        <v>137</v>
      </c>
      <c r="AC368" s="235"/>
      <c r="AD368" s="665">
        <v>480000</v>
      </c>
      <c r="AE368" s="693" t="s">
        <v>55</v>
      </c>
      <c r="AF368" s="728"/>
      <c r="AG368" s="730"/>
      <c r="AH368" s="726"/>
      <c r="AI368" s="648"/>
      <c r="AJ368" s="648"/>
    </row>
    <row r="369" spans="1:36" s="9" customFormat="1" ht="24" customHeight="1">
      <c r="A369" s="26"/>
      <c r="B369" s="26"/>
      <c r="C369" s="26"/>
      <c r="D369" s="650"/>
      <c r="E369" s="67"/>
      <c r="F369" s="67"/>
      <c r="G369" s="67"/>
      <c r="H369" s="67"/>
      <c r="I369" s="67"/>
      <c r="J369" s="67"/>
      <c r="K369" s="67"/>
      <c r="L369" s="67"/>
      <c r="M369" s="67"/>
      <c r="N369" s="43"/>
      <c r="O369" s="235" t="s">
        <v>267</v>
      </c>
      <c r="P369" s="235"/>
      <c r="Q369" s="235"/>
      <c r="R369" s="235"/>
      <c r="S369" s="337"/>
      <c r="T369" s="298"/>
      <c r="U369" s="298"/>
      <c r="V369" s="337"/>
      <c r="W369" s="298"/>
      <c r="X369" s="339"/>
      <c r="Y369" s="232"/>
      <c r="Z369" s="230"/>
      <c r="AA369" s="230"/>
      <c r="AB369" s="661" t="s">
        <v>137</v>
      </c>
      <c r="AC369" s="235"/>
      <c r="AD369" s="665">
        <v>405000</v>
      </c>
      <c r="AE369" s="693" t="s">
        <v>55</v>
      </c>
      <c r="AF369" s="728"/>
      <c r="AG369" s="730"/>
      <c r="AH369" s="726"/>
      <c r="AI369" s="648"/>
      <c r="AJ369" s="648"/>
    </row>
    <row r="370" spans="1:36" s="9" customFormat="1" ht="24" customHeight="1">
      <c r="A370" s="26"/>
      <c r="B370" s="26"/>
      <c r="C370" s="26"/>
      <c r="D370" s="650"/>
      <c r="E370" s="67"/>
      <c r="F370" s="67"/>
      <c r="G370" s="67"/>
      <c r="H370" s="67"/>
      <c r="I370" s="67"/>
      <c r="J370" s="67"/>
      <c r="K370" s="67"/>
      <c r="L370" s="67"/>
      <c r="M370" s="67"/>
      <c r="N370" s="43"/>
      <c r="O370" s="235" t="s">
        <v>268</v>
      </c>
      <c r="P370" s="235"/>
      <c r="Q370" s="235"/>
      <c r="R370" s="235"/>
      <c r="S370" s="337"/>
      <c r="T370" s="337"/>
      <c r="U370" s="298"/>
      <c r="V370" s="337"/>
      <c r="W370" s="298" t="s">
        <v>827</v>
      </c>
      <c r="X370" s="339"/>
      <c r="Y370" s="232"/>
      <c r="Z370" s="230"/>
      <c r="AA370" s="230"/>
      <c r="AB370" s="661" t="s">
        <v>805</v>
      </c>
      <c r="AC370" s="235"/>
      <c r="AD370" s="665">
        <v>5839000</v>
      </c>
      <c r="AE370" s="693" t="s">
        <v>55</v>
      </c>
      <c r="AF370" s="728"/>
      <c r="AG370" s="730"/>
      <c r="AH370" s="727"/>
      <c r="AI370" s="721"/>
      <c r="AJ370" s="648"/>
    </row>
    <row r="371" spans="1:36" s="9" customFormat="1" ht="24" customHeight="1">
      <c r="A371" s="26"/>
      <c r="B371" s="26"/>
      <c r="C371" s="26"/>
      <c r="D371" s="650"/>
      <c r="E371" s="67"/>
      <c r="F371" s="67"/>
      <c r="G371" s="67"/>
      <c r="H371" s="67"/>
      <c r="I371" s="67"/>
      <c r="J371" s="67"/>
      <c r="K371" s="67"/>
      <c r="L371" s="67"/>
      <c r="M371" s="67"/>
      <c r="N371" s="43"/>
      <c r="O371" s="235"/>
      <c r="P371" s="235"/>
      <c r="Q371" s="235"/>
      <c r="R371" s="235"/>
      <c r="S371" s="337"/>
      <c r="T371" s="338" t="s">
        <v>828</v>
      </c>
      <c r="U371" s="298"/>
      <c r="V371" s="337"/>
      <c r="W371" s="298"/>
      <c r="X371" s="339"/>
      <c r="Y371" s="232"/>
      <c r="Z371" s="230"/>
      <c r="AA371" s="230"/>
      <c r="AB371" s="661" t="s">
        <v>794</v>
      </c>
      <c r="AC371" s="235"/>
      <c r="AD371" s="665">
        <v>2100000</v>
      </c>
      <c r="AE371" s="693" t="s">
        <v>792</v>
      </c>
      <c r="AF371" s="728"/>
      <c r="AG371" s="730"/>
      <c r="AH371" s="726"/>
      <c r="AI371" s="648"/>
      <c r="AJ371" s="648"/>
    </row>
    <row r="372" spans="1:36" s="9" customFormat="1" ht="24" customHeight="1">
      <c r="A372" s="26"/>
      <c r="B372" s="26"/>
      <c r="C372" s="26"/>
      <c r="D372" s="650"/>
      <c r="E372" s="67"/>
      <c r="F372" s="67"/>
      <c r="G372" s="67"/>
      <c r="H372" s="67"/>
      <c r="I372" s="67"/>
      <c r="J372" s="67"/>
      <c r="K372" s="67"/>
      <c r="L372" s="67"/>
      <c r="M372" s="67"/>
      <c r="N372" s="43"/>
      <c r="O372" s="235"/>
      <c r="P372" s="235"/>
      <c r="Q372" s="235"/>
      <c r="R372" s="235"/>
      <c r="S372" s="337"/>
      <c r="T372" s="298"/>
      <c r="U372" s="298"/>
      <c r="V372" s="337"/>
      <c r="W372" s="298"/>
      <c r="X372" s="339"/>
      <c r="Y372" s="232"/>
      <c r="Z372" s="230"/>
      <c r="AA372" s="230"/>
      <c r="AB372" s="661" t="s">
        <v>137</v>
      </c>
      <c r="AC372" s="235"/>
      <c r="AD372" s="665">
        <v>1696000</v>
      </c>
      <c r="AE372" s="693" t="s">
        <v>55</v>
      </c>
      <c r="AF372" s="728"/>
      <c r="AG372" s="730"/>
      <c r="AH372" s="726"/>
      <c r="AI372" s="648"/>
      <c r="AJ372" s="648"/>
    </row>
    <row r="373" spans="1:36" s="9" customFormat="1" ht="24" customHeight="1">
      <c r="A373" s="26"/>
      <c r="B373" s="26"/>
      <c r="C373" s="18" t="s">
        <v>274</v>
      </c>
      <c r="D373" s="652">
        <v>2015</v>
      </c>
      <c r="E373" s="70">
        <f>ROUND(AD373/1000,0)</f>
        <v>2015</v>
      </c>
      <c r="F373" s="71">
        <f>SUMIF($AB$374:$AB$379,"보조",$AD$374:$AD$379)/1000</f>
        <v>0</v>
      </c>
      <c r="G373" s="71">
        <f>SUMIF($AB$374:$AB$379,"6종",$AD$374:$AD$379)/1000</f>
        <v>0</v>
      </c>
      <c r="H373" s="71">
        <f>SUMIF($AB$374:$AB$379,"4종",$AD$374:$AD$379)/1000</f>
        <v>0</v>
      </c>
      <c r="I373" s="71">
        <f>SUMIF($AB$374:$AB$379,"후원",$AD$374:$AD$379)/1000</f>
        <v>1000</v>
      </c>
      <c r="J373" s="71">
        <f>SUMIF($AB$374:$AB$379,"입소",$AD$374:$AD$379)/1000</f>
        <v>1015</v>
      </c>
      <c r="K373" s="71">
        <f>SUMIF($AB$374:$AB$379,"법인",$AD$374:$AD$379)/1000</f>
        <v>0</v>
      </c>
      <c r="L373" s="71">
        <f>SUMIF($AB$374:$AB$379,"잡수",$AD$374:$AD$379)/1000</f>
        <v>0</v>
      </c>
      <c r="M373" s="70">
        <f>E373-D373</f>
        <v>0</v>
      </c>
      <c r="N373" s="75">
        <f>IF(D374=0,0,M373/D374)</f>
        <v>0</v>
      </c>
      <c r="O373" s="180"/>
      <c r="P373" s="188"/>
      <c r="Q373" s="188"/>
      <c r="R373" s="248"/>
      <c r="S373" s="248"/>
      <c r="T373" s="456"/>
      <c r="U373" s="456"/>
      <c r="V373" s="248"/>
      <c r="W373" s="509" t="s">
        <v>120</v>
      </c>
      <c r="X373" s="509"/>
      <c r="Y373" s="249"/>
      <c r="Z373" s="509"/>
      <c r="AA373" s="509"/>
      <c r="AB373" s="702"/>
      <c r="AC373" s="590"/>
      <c r="AD373" s="666">
        <f>SUM(AD374:AD379)</f>
        <v>2015000</v>
      </c>
      <c r="AE373" s="696" t="s">
        <v>25</v>
      </c>
      <c r="AF373" s="728"/>
      <c r="AG373" s="730"/>
      <c r="AH373" s="726"/>
      <c r="AI373" s="648"/>
      <c r="AJ373" s="648"/>
    </row>
    <row r="374" spans="1:36" s="9" customFormat="1" ht="24" customHeight="1">
      <c r="A374" s="26"/>
      <c r="B374" s="26"/>
      <c r="C374" s="26" t="s">
        <v>275</v>
      </c>
      <c r="D374" s="650"/>
      <c r="E374" s="67"/>
      <c r="F374" s="67"/>
      <c r="G374" s="67"/>
      <c r="H374" s="67"/>
      <c r="I374" s="67"/>
      <c r="J374" s="67"/>
      <c r="K374" s="67"/>
      <c r="L374" s="67"/>
      <c r="M374" s="67"/>
      <c r="N374" s="43"/>
      <c r="O374" s="235" t="s">
        <v>639</v>
      </c>
      <c r="P374" s="235"/>
      <c r="Q374" s="235"/>
      <c r="R374" s="235"/>
      <c r="S374" s="337"/>
      <c r="T374" s="298"/>
      <c r="U374" s="298"/>
      <c r="V374" s="337"/>
      <c r="W374" s="298"/>
      <c r="X374" s="339"/>
      <c r="Y374" s="232"/>
      <c r="Z374" s="230"/>
      <c r="AA374" s="230"/>
      <c r="AB374" s="661" t="s">
        <v>137</v>
      </c>
      <c r="AC374" s="235"/>
      <c r="AD374" s="665">
        <v>1000000</v>
      </c>
      <c r="AE374" s="693" t="s">
        <v>55</v>
      </c>
      <c r="AF374" s="728"/>
      <c r="AG374" s="730"/>
      <c r="AH374" s="726"/>
      <c r="AI374" s="648"/>
      <c r="AJ374" s="648"/>
    </row>
    <row r="375" spans="1:36" s="9" customFormat="1" ht="24" customHeight="1">
      <c r="A375" s="26"/>
      <c r="B375" s="26"/>
      <c r="C375" s="26"/>
      <c r="D375" s="650"/>
      <c r="E375" s="67"/>
      <c r="F375" s="67"/>
      <c r="G375" s="67"/>
      <c r="H375" s="67"/>
      <c r="I375" s="67"/>
      <c r="J375" s="67"/>
      <c r="K375" s="67"/>
      <c r="L375" s="67"/>
      <c r="M375" s="67"/>
      <c r="N375" s="43"/>
      <c r="O375" s="235"/>
      <c r="P375" s="235"/>
      <c r="Q375" s="235"/>
      <c r="R375" s="235"/>
      <c r="S375" s="337"/>
      <c r="T375" s="298"/>
      <c r="U375" s="298"/>
      <c r="V375" s="337"/>
      <c r="W375" s="298"/>
      <c r="X375" s="339"/>
      <c r="Y375" s="232"/>
      <c r="Z375" s="230"/>
      <c r="AA375" s="230"/>
      <c r="AB375" s="674" t="s">
        <v>217</v>
      </c>
      <c r="AC375" s="599"/>
      <c r="AD375" s="675">
        <v>400000</v>
      </c>
      <c r="AE375" s="685" t="s">
        <v>55</v>
      </c>
      <c r="AF375" s="728"/>
      <c r="AG375" s="730"/>
      <c r="AH375" s="726"/>
      <c r="AI375" s="648"/>
      <c r="AJ375" s="648"/>
    </row>
    <row r="376" spans="1:36" s="9" customFormat="1" ht="24" customHeight="1">
      <c r="A376" s="26"/>
      <c r="B376" s="26"/>
      <c r="C376" s="26"/>
      <c r="D376" s="650"/>
      <c r="E376" s="67"/>
      <c r="F376" s="67"/>
      <c r="G376" s="67"/>
      <c r="H376" s="67"/>
      <c r="I376" s="67"/>
      <c r="J376" s="67"/>
      <c r="K376" s="67"/>
      <c r="L376" s="67"/>
      <c r="M376" s="67"/>
      <c r="N376" s="43"/>
      <c r="O376" s="235"/>
      <c r="P376" s="235"/>
      <c r="Q376" s="235"/>
      <c r="R376" s="235"/>
      <c r="S376" s="337"/>
      <c r="T376" s="298"/>
      <c r="U376" s="298"/>
      <c r="V376" s="337"/>
      <c r="W376" s="298"/>
      <c r="X376" s="339"/>
      <c r="Y376" s="232"/>
      <c r="Z376" s="230"/>
      <c r="AA376" s="230"/>
      <c r="AB376" s="661" t="s">
        <v>867</v>
      </c>
      <c r="AC376" s="235"/>
      <c r="AD376" s="611"/>
      <c r="AE376" s="693"/>
      <c r="AF376" s="728"/>
      <c r="AG376" s="730"/>
      <c r="AH376" s="726"/>
      <c r="AI376" s="648"/>
      <c r="AJ376" s="648"/>
    </row>
    <row r="377" spans="1:36" s="9" customFormat="1" ht="24" customHeight="1">
      <c r="A377" s="26"/>
      <c r="B377" s="26"/>
      <c r="C377" s="358"/>
      <c r="D377" s="650"/>
      <c r="E377" s="67"/>
      <c r="F377" s="67"/>
      <c r="G377" s="67"/>
      <c r="H377" s="67"/>
      <c r="I377" s="67"/>
      <c r="J377" s="67"/>
      <c r="K377" s="67"/>
      <c r="L377" s="67"/>
      <c r="M377" s="67"/>
      <c r="N377" s="43"/>
      <c r="O377" s="338" t="s">
        <v>747</v>
      </c>
      <c r="P377" s="338"/>
      <c r="Q377" s="338"/>
      <c r="R377" s="338"/>
      <c r="S377" s="338"/>
      <c r="T377" s="339"/>
      <c r="U377" s="339"/>
      <c r="V377" s="337"/>
      <c r="W377" s="339"/>
      <c r="X377" s="339"/>
      <c r="Y377" s="340"/>
      <c r="Z377" s="339"/>
      <c r="AA377" s="339"/>
      <c r="AB377" s="674" t="s">
        <v>217</v>
      </c>
      <c r="AC377" s="599"/>
      <c r="AD377" s="675">
        <f>150000+265000</f>
        <v>415000</v>
      </c>
      <c r="AE377" s="685" t="s">
        <v>55</v>
      </c>
      <c r="AF377" s="728"/>
      <c r="AG377" s="730"/>
      <c r="AH377" s="726"/>
      <c r="AI377" s="648"/>
      <c r="AJ377" s="648"/>
    </row>
    <row r="378" spans="1:36" s="9" customFormat="1" ht="24" customHeight="1">
      <c r="A378" s="26"/>
      <c r="B378" s="26"/>
      <c r="C378" s="358"/>
      <c r="D378" s="650"/>
      <c r="E378" s="67"/>
      <c r="F378" s="67"/>
      <c r="G378" s="67"/>
      <c r="H378" s="67"/>
      <c r="I378" s="67"/>
      <c r="J378" s="67"/>
      <c r="K378" s="67"/>
      <c r="L378" s="67"/>
      <c r="M378" s="67"/>
      <c r="N378" s="43"/>
      <c r="O378" s="338" t="s">
        <v>795</v>
      </c>
      <c r="P378" s="338"/>
      <c r="Q378" s="338"/>
      <c r="R378" s="338"/>
      <c r="S378" s="338"/>
      <c r="T378" s="339"/>
      <c r="U378" s="339"/>
      <c r="V378" s="337"/>
      <c r="W378" s="339"/>
      <c r="X378" s="339"/>
      <c r="Y378" s="340"/>
      <c r="Z378" s="339"/>
      <c r="AA378" s="339"/>
      <c r="AB378" s="674" t="s">
        <v>217</v>
      </c>
      <c r="AC378" s="599"/>
      <c r="AD378" s="675">
        <v>200000</v>
      </c>
      <c r="AE378" s="685" t="s">
        <v>55</v>
      </c>
      <c r="AF378" s="728"/>
      <c r="AG378" s="730"/>
      <c r="AH378" s="726"/>
      <c r="AI378" s="648"/>
      <c r="AJ378" s="648"/>
    </row>
    <row r="379" spans="1:36" s="9" customFormat="1" ht="24" customHeight="1">
      <c r="A379" s="26"/>
      <c r="B379" s="26"/>
      <c r="C379" s="34"/>
      <c r="D379" s="651"/>
      <c r="E379" s="68"/>
      <c r="F379" s="68"/>
      <c r="G379" s="68"/>
      <c r="H379" s="68"/>
      <c r="I379" s="68"/>
      <c r="J379" s="68"/>
      <c r="K379" s="68"/>
      <c r="L379" s="68"/>
      <c r="M379" s="68"/>
      <c r="N379" s="54"/>
      <c r="O379" s="247"/>
      <c r="P379" s="247"/>
      <c r="Q379" s="247"/>
      <c r="R379" s="247"/>
      <c r="S379" s="512"/>
      <c r="T379" s="233"/>
      <c r="U379" s="233"/>
      <c r="V379" s="512"/>
      <c r="W379" s="233"/>
      <c r="X379" s="428"/>
      <c r="Y379" s="505"/>
      <c r="Z379" s="452"/>
      <c r="AA379" s="452"/>
      <c r="AB379" s="713"/>
      <c r="AC379" s="247"/>
      <c r="AD379" s="683"/>
      <c r="AE379" s="719"/>
      <c r="AF379" s="728"/>
      <c r="AG379" s="730"/>
      <c r="AH379" s="726"/>
      <c r="AI379" s="648"/>
      <c r="AJ379" s="648"/>
    </row>
    <row r="380" spans="1:36" s="9" customFormat="1" ht="24" customHeight="1">
      <c r="A380" s="26"/>
      <c r="B380" s="26"/>
      <c r="C380" s="18" t="s">
        <v>199</v>
      </c>
      <c r="D380" s="652">
        <v>7220</v>
      </c>
      <c r="E380" s="70">
        <f>ROUND(AD380/1000,0)</f>
        <v>5620</v>
      </c>
      <c r="F380" s="71">
        <f>SUMIF($AB$381:$AB$385,"보조",$AD$381:$AD$385)/1000</f>
        <v>0</v>
      </c>
      <c r="G380" s="71">
        <f>SUMIF($AB$381:$AB$385,"6종",$AD$381:$AD$385)/1000</f>
        <v>0</v>
      </c>
      <c r="H380" s="71">
        <f>SUMIF($AB$381:$AB$385,"4종",$AD$381:$AD$385)/1000</f>
        <v>0</v>
      </c>
      <c r="I380" s="71">
        <f>SUMIF($AB$381:$AB$386,"후원",$AD$381:$AD$386)/1000</f>
        <v>5620</v>
      </c>
      <c r="J380" s="71">
        <f>SUMIF($AB$381:$AB$385,"입소",$AD$381:$AD$385)/1000</f>
        <v>0</v>
      </c>
      <c r="K380" s="71">
        <f>SUMIF($AB$381:$AB$385,"법인",$AD$381:$AD$385)/1000</f>
        <v>0</v>
      </c>
      <c r="L380" s="71">
        <f>SUMIF($AB$381:$AB$385,"잡수",$AD$381:$AD$385)/1000</f>
        <v>0</v>
      </c>
      <c r="M380" s="77">
        <f>E380-D380</f>
        <v>-1600</v>
      </c>
      <c r="N380" s="75">
        <f>IF(D381=0,0,M380/D381)</f>
        <v>0</v>
      </c>
      <c r="O380" s="180"/>
      <c r="P380" s="188"/>
      <c r="Q380" s="188"/>
      <c r="R380" s="248"/>
      <c r="S380" s="248"/>
      <c r="T380" s="456"/>
      <c r="U380" s="456"/>
      <c r="V380" s="248"/>
      <c r="W380" s="509" t="s">
        <v>120</v>
      </c>
      <c r="X380" s="509"/>
      <c r="Y380" s="249"/>
      <c r="Z380" s="509"/>
      <c r="AA380" s="509"/>
      <c r="AB380" s="702"/>
      <c r="AC380" s="590"/>
      <c r="AD380" s="666">
        <f>SUM(AD381:AD386)</f>
        <v>5620000</v>
      </c>
      <c r="AE380" s="696" t="s">
        <v>25</v>
      </c>
      <c r="AF380" s="728"/>
      <c r="AG380" s="730"/>
      <c r="AH380" s="726"/>
      <c r="AI380" s="648"/>
      <c r="AJ380" s="648"/>
    </row>
    <row r="381" spans="1:36" s="9" customFormat="1" ht="24" customHeight="1">
      <c r="A381" s="26"/>
      <c r="B381" s="26"/>
      <c r="C381" s="26" t="s">
        <v>119</v>
      </c>
      <c r="D381" s="676"/>
      <c r="E381" s="353"/>
      <c r="F381" s="353"/>
      <c r="G381" s="353"/>
      <c r="H381" s="353"/>
      <c r="I381" s="353"/>
      <c r="J381" s="353"/>
      <c r="K381" s="353"/>
      <c r="L381" s="353"/>
      <c r="M381" s="67"/>
      <c r="N381" s="43"/>
      <c r="O381" s="338" t="s">
        <v>269</v>
      </c>
      <c r="P381" s="235"/>
      <c r="Q381" s="235"/>
      <c r="R381" s="235"/>
      <c r="S381" s="235"/>
      <c r="T381" s="230"/>
      <c r="U381" s="230"/>
      <c r="V381" s="235"/>
      <c r="W381" s="230"/>
      <c r="X381" s="230"/>
      <c r="Y381" s="232"/>
      <c r="Z381" s="230"/>
      <c r="AA381" s="230"/>
      <c r="AB381" s="661" t="s">
        <v>137</v>
      </c>
      <c r="AC381" s="235"/>
      <c r="AD381" s="665">
        <v>3000000</v>
      </c>
      <c r="AE381" s="693" t="s">
        <v>55</v>
      </c>
      <c r="AF381" s="728"/>
      <c r="AG381" s="730"/>
      <c r="AH381" s="726"/>
      <c r="AI381" s="648"/>
      <c r="AJ381" s="648"/>
    </row>
    <row r="382" spans="1:36" s="9" customFormat="1" ht="24" customHeight="1">
      <c r="A382" s="26"/>
      <c r="B382" s="26"/>
      <c r="C382" s="26"/>
      <c r="D382" s="677"/>
      <c r="E382" s="354"/>
      <c r="F382" s="354"/>
      <c r="G382" s="354"/>
      <c r="H382" s="354"/>
      <c r="I382" s="354"/>
      <c r="J382" s="354"/>
      <c r="K382" s="354"/>
      <c r="L382" s="354"/>
      <c r="M382" s="67"/>
      <c r="N382" s="43"/>
      <c r="O382" s="338" t="s">
        <v>270</v>
      </c>
      <c r="P382" s="235"/>
      <c r="Q382" s="235"/>
      <c r="R382" s="235"/>
      <c r="S382" s="235"/>
      <c r="T382" s="230"/>
      <c r="U382" s="230"/>
      <c r="V382" s="235"/>
      <c r="W382" s="230" t="s">
        <v>216</v>
      </c>
      <c r="X382" s="230"/>
      <c r="Y382" s="232"/>
      <c r="Z382" s="230"/>
      <c r="AA382" s="230"/>
      <c r="AB382" s="661" t="s">
        <v>137</v>
      </c>
      <c r="AC382" s="235"/>
      <c r="AD382" s="665">
        <v>1320000</v>
      </c>
      <c r="AE382" s="693" t="s">
        <v>55</v>
      </c>
      <c r="AF382" s="728"/>
      <c r="AG382" s="730"/>
      <c r="AH382" s="726"/>
      <c r="AI382" s="648"/>
      <c r="AJ382" s="648"/>
    </row>
    <row r="383" spans="1:36" s="9" customFormat="1" ht="24" customHeight="1">
      <c r="A383" s="26"/>
      <c r="B383" s="26"/>
      <c r="C383" s="26"/>
      <c r="D383" s="650"/>
      <c r="E383" s="67"/>
      <c r="F383" s="67"/>
      <c r="G383" s="67"/>
      <c r="H383" s="67"/>
      <c r="I383" s="67"/>
      <c r="J383" s="67"/>
      <c r="K383" s="67"/>
      <c r="L383" s="67"/>
      <c r="M383" s="67"/>
      <c r="N383" s="43"/>
      <c r="O383" s="338" t="s">
        <v>271</v>
      </c>
      <c r="P383" s="235"/>
      <c r="Q383" s="235"/>
      <c r="R383" s="235"/>
      <c r="S383" s="235"/>
      <c r="T383" s="230"/>
      <c r="U383" s="230"/>
      <c r="V383" s="235"/>
      <c r="W383" s="230"/>
      <c r="X383" s="230"/>
      <c r="Y383" s="232"/>
      <c r="Z383" s="230"/>
      <c r="AA383" s="230"/>
      <c r="AB383" s="661" t="s">
        <v>137</v>
      </c>
      <c r="AC383" s="235"/>
      <c r="AD383" s="665">
        <f>300000+10000</f>
        <v>310000</v>
      </c>
      <c r="AE383" s="693" t="s">
        <v>55</v>
      </c>
      <c r="AF383" s="728"/>
      <c r="AG383" s="730"/>
      <c r="AH383" s="726"/>
      <c r="AI383" s="648"/>
      <c r="AJ383" s="648"/>
    </row>
    <row r="384" spans="1:36" s="9" customFormat="1" ht="24" customHeight="1">
      <c r="A384" s="26"/>
      <c r="B384" s="26"/>
      <c r="C384" s="26"/>
      <c r="D384" s="650"/>
      <c r="E384" s="67"/>
      <c r="F384" s="67"/>
      <c r="G384" s="67"/>
      <c r="H384" s="67"/>
      <c r="I384" s="67"/>
      <c r="J384" s="67"/>
      <c r="K384" s="67"/>
      <c r="L384" s="67"/>
      <c r="M384" s="67"/>
      <c r="N384" s="43"/>
      <c r="O384" s="338" t="s">
        <v>272</v>
      </c>
      <c r="P384" s="235"/>
      <c r="Q384" s="235"/>
      <c r="R384" s="235"/>
      <c r="S384" s="235"/>
      <c r="T384" s="230"/>
      <c r="U384" s="230"/>
      <c r="V384" s="235"/>
      <c r="W384" s="230"/>
      <c r="X384" s="230"/>
      <c r="Y384" s="232"/>
      <c r="Z384" s="230"/>
      <c r="AA384" s="230"/>
      <c r="AB384" s="661" t="s">
        <v>137</v>
      </c>
      <c r="AC384" s="235"/>
      <c r="AD384" s="665">
        <f>1000000-10000</f>
        <v>990000</v>
      </c>
      <c r="AE384" s="693" t="s">
        <v>55</v>
      </c>
      <c r="AF384" s="728"/>
      <c r="AG384" s="730"/>
      <c r="AH384" s="726"/>
      <c r="AI384" s="648"/>
      <c r="AJ384" s="648"/>
    </row>
    <row r="385" spans="1:36" s="9" customFormat="1" ht="24" customHeight="1">
      <c r="A385" s="26"/>
      <c r="B385" s="26"/>
      <c r="C385" s="26"/>
      <c r="D385" s="650"/>
      <c r="E385" s="67"/>
      <c r="F385" s="67"/>
      <c r="G385" s="67"/>
      <c r="H385" s="67"/>
      <c r="I385" s="67"/>
      <c r="J385" s="67"/>
      <c r="K385" s="67"/>
      <c r="L385" s="67"/>
      <c r="M385" s="67"/>
      <c r="N385" s="43"/>
      <c r="O385" s="338" t="s">
        <v>273</v>
      </c>
      <c r="P385" s="338"/>
      <c r="Q385" s="338"/>
      <c r="R385" s="338"/>
      <c r="S385" s="338"/>
      <c r="T385" s="339"/>
      <c r="U385" s="339"/>
      <c r="V385" s="337"/>
      <c r="W385" s="339"/>
      <c r="X385" s="339"/>
      <c r="Y385" s="340"/>
      <c r="Z385" s="339"/>
      <c r="AA385" s="339"/>
      <c r="AB385" s="674" t="s">
        <v>137</v>
      </c>
      <c r="AC385" s="599"/>
      <c r="AD385" s="669">
        <v>0</v>
      </c>
      <c r="AE385" s="685" t="s">
        <v>55</v>
      </c>
      <c r="AF385" s="728"/>
      <c r="AG385" s="730"/>
      <c r="AH385" s="726"/>
      <c r="AI385" s="648"/>
      <c r="AJ385" s="648"/>
    </row>
    <row r="386" spans="1:36" s="9" customFormat="1" ht="24" customHeight="1">
      <c r="A386" s="26"/>
      <c r="B386" s="26"/>
      <c r="C386" s="34"/>
      <c r="D386" s="651"/>
      <c r="E386" s="68"/>
      <c r="F386" s="68"/>
      <c r="G386" s="68"/>
      <c r="H386" s="68"/>
      <c r="I386" s="68"/>
      <c r="J386" s="68"/>
      <c r="K386" s="68"/>
      <c r="L386" s="68"/>
      <c r="M386" s="68"/>
      <c r="N386" s="54"/>
      <c r="O386" s="178"/>
      <c r="P386" s="513"/>
      <c r="Q386" s="513"/>
      <c r="R386" s="513"/>
      <c r="S386" s="513"/>
      <c r="T386" s="428"/>
      <c r="U386" s="428"/>
      <c r="V386" s="512"/>
      <c r="W386" s="428"/>
      <c r="X386" s="428"/>
      <c r="Y386" s="236"/>
      <c r="Z386" s="428"/>
      <c r="AA386" s="428"/>
      <c r="AB386" s="698"/>
      <c r="AC386" s="588"/>
      <c r="AD386" s="680"/>
      <c r="AE386" s="694"/>
      <c r="AF386" s="728"/>
      <c r="AG386" s="730"/>
      <c r="AH386" s="726"/>
      <c r="AI386" s="648"/>
      <c r="AJ386" s="648"/>
    </row>
    <row r="387" spans="1:36" s="9" customFormat="1" ht="24" customHeight="1">
      <c r="A387" s="26"/>
      <c r="B387" s="26"/>
      <c r="C387" s="18" t="s">
        <v>200</v>
      </c>
      <c r="D387" s="652">
        <v>3720</v>
      </c>
      <c r="E387" s="70">
        <f>ROUND(AD387/1000,0)</f>
        <v>3720</v>
      </c>
      <c r="F387" s="71">
        <f>SUMIF($AB$388:$AB$395,"보조",$AD$388:$AD$395)/1000</f>
        <v>0</v>
      </c>
      <c r="G387" s="71">
        <f>SUMIF($AB$388:$AB$395,"6종",$AD$388:$AD$395)/1000</f>
        <v>0</v>
      </c>
      <c r="H387" s="71">
        <f>SUMIF($AB$388:$AB$395,"4종",$AD$388:$AD$395)/1000</f>
        <v>0</v>
      </c>
      <c r="I387" s="71">
        <f>SUMIF($AB$388:$AB$395,"후원",$AD$388:$AD$395)/1000</f>
        <v>3720</v>
      </c>
      <c r="J387" s="71">
        <f>SUMIF($AB$388:$AB$395,"입소",$AD$388:$AD$395)/1000</f>
        <v>0</v>
      </c>
      <c r="K387" s="71">
        <f>SUMIF($AB$388:$AB$395,"법인",$AD$388:$AD$395)/1000</f>
        <v>0</v>
      </c>
      <c r="L387" s="71">
        <f>SUMIF($AB$388:$AB$395,"잡수",$AD$388:$AD$395)/1000</f>
        <v>0</v>
      </c>
      <c r="M387" s="77">
        <f>E387-D387</f>
        <v>0</v>
      </c>
      <c r="N387" s="75">
        <f>IF(D388=0,0,M387/D388)</f>
        <v>0</v>
      </c>
      <c r="O387" s="191"/>
      <c r="P387" s="188"/>
      <c r="Q387" s="188"/>
      <c r="R387" s="248"/>
      <c r="S387" s="248"/>
      <c r="T387" s="456"/>
      <c r="U387" s="456"/>
      <c r="V387" s="248"/>
      <c r="W387" s="509" t="s">
        <v>120</v>
      </c>
      <c r="X387" s="509"/>
      <c r="Y387" s="249"/>
      <c r="Z387" s="509"/>
      <c r="AA387" s="509"/>
      <c r="AB387" s="702"/>
      <c r="AC387" s="590"/>
      <c r="AD387" s="666">
        <f>SUM(AD388:AD395)</f>
        <v>3720000</v>
      </c>
      <c r="AE387" s="696" t="s">
        <v>25</v>
      </c>
      <c r="AF387" s="728"/>
      <c r="AG387" s="730"/>
      <c r="AH387" s="726"/>
      <c r="AI387" s="648"/>
      <c r="AJ387" s="648"/>
    </row>
    <row r="388" spans="1:36" s="9" customFormat="1" ht="24" customHeight="1">
      <c r="A388" s="26"/>
      <c r="B388" s="26"/>
      <c r="C388" s="26" t="s">
        <v>119</v>
      </c>
      <c r="D388" s="676"/>
      <c r="E388" s="353"/>
      <c r="F388" s="353"/>
      <c r="G388" s="353"/>
      <c r="H388" s="353"/>
      <c r="I388" s="353"/>
      <c r="J388" s="353"/>
      <c r="K388" s="353"/>
      <c r="L388" s="353"/>
      <c r="M388" s="67"/>
      <c r="N388" s="43"/>
      <c r="O388" s="338" t="s">
        <v>754</v>
      </c>
      <c r="P388" s="234"/>
      <c r="Q388" s="234"/>
      <c r="R388" s="231"/>
      <c r="S388" s="231"/>
      <c r="T388" s="446"/>
      <c r="U388" s="446"/>
      <c r="V388" s="231"/>
      <c r="W388" s="339"/>
      <c r="X388" s="339"/>
      <c r="Y388" s="340"/>
      <c r="Z388" s="339"/>
      <c r="AA388" s="339"/>
      <c r="AB388" s="674" t="s">
        <v>137</v>
      </c>
      <c r="AC388" s="599"/>
      <c r="AD388" s="675">
        <v>790000</v>
      </c>
      <c r="AE388" s="685" t="s">
        <v>55</v>
      </c>
      <c r="AF388" s="728"/>
      <c r="AG388" s="730"/>
      <c r="AH388" s="726"/>
      <c r="AI388" s="648"/>
      <c r="AJ388" s="648"/>
    </row>
    <row r="389" spans="1:36" s="9" customFormat="1" ht="24" customHeight="1">
      <c r="A389" s="26"/>
      <c r="B389" s="26"/>
      <c r="C389" s="26"/>
      <c r="D389" s="677"/>
      <c r="E389" s="354"/>
      <c r="F389" s="354"/>
      <c r="G389" s="354"/>
      <c r="H389" s="354"/>
      <c r="I389" s="354"/>
      <c r="J389" s="354"/>
      <c r="K389" s="354"/>
      <c r="L389" s="354"/>
      <c r="M389" s="67"/>
      <c r="N389" s="43"/>
      <c r="O389" s="338" t="s">
        <v>755</v>
      </c>
      <c r="P389" s="234"/>
      <c r="Q389" s="234"/>
      <c r="R389" s="231"/>
      <c r="S389" s="231"/>
      <c r="T389" s="446"/>
      <c r="U389" s="446"/>
      <c r="V389" s="231"/>
      <c r="W389" s="339"/>
      <c r="X389" s="339"/>
      <c r="Y389" s="340"/>
      <c r="Z389" s="339"/>
      <c r="AA389" s="339"/>
      <c r="AB389" s="674" t="s">
        <v>137</v>
      </c>
      <c r="AC389" s="599"/>
      <c r="AD389" s="675">
        <v>1200000</v>
      </c>
      <c r="AE389" s="685" t="s">
        <v>55</v>
      </c>
      <c r="AF389" s="728"/>
      <c r="AG389" s="730"/>
      <c r="AH389" s="726"/>
      <c r="AI389" s="648"/>
      <c r="AJ389" s="648"/>
    </row>
    <row r="390" spans="1:36" s="9" customFormat="1" ht="24" customHeight="1">
      <c r="A390" s="26"/>
      <c r="B390" s="26"/>
      <c r="C390" s="26"/>
      <c r="D390" s="650"/>
      <c r="E390" s="67"/>
      <c r="F390" s="67"/>
      <c r="G390" s="67"/>
      <c r="H390" s="67"/>
      <c r="I390" s="67"/>
      <c r="J390" s="67"/>
      <c r="K390" s="67"/>
      <c r="L390" s="67"/>
      <c r="M390" s="67"/>
      <c r="N390" s="43"/>
      <c r="O390" s="338" t="s">
        <v>756</v>
      </c>
      <c r="P390" s="234"/>
      <c r="Q390" s="234"/>
      <c r="R390" s="231"/>
      <c r="S390" s="231"/>
      <c r="T390" s="446"/>
      <c r="U390" s="446"/>
      <c r="V390" s="231"/>
      <c r="W390" s="339"/>
      <c r="X390" s="339"/>
      <c r="Y390" s="340"/>
      <c r="Z390" s="339"/>
      <c r="AA390" s="339"/>
      <c r="AB390" s="674" t="s">
        <v>137</v>
      </c>
      <c r="AC390" s="599"/>
      <c r="AD390" s="675">
        <v>280000</v>
      </c>
      <c r="AE390" s="685" t="s">
        <v>55</v>
      </c>
      <c r="AF390" s="728"/>
      <c r="AG390" s="730"/>
      <c r="AH390" s="726"/>
      <c r="AI390" s="648"/>
      <c r="AJ390" s="648"/>
    </row>
    <row r="391" spans="1:36" s="9" customFormat="1" ht="24" customHeight="1">
      <c r="A391" s="26"/>
      <c r="B391" s="26"/>
      <c r="C391" s="26"/>
      <c r="D391" s="650"/>
      <c r="E391" s="67"/>
      <c r="F391" s="67"/>
      <c r="G391" s="67"/>
      <c r="H391" s="67"/>
      <c r="I391" s="67"/>
      <c r="J391" s="67"/>
      <c r="K391" s="67"/>
      <c r="L391" s="67"/>
      <c r="M391" s="67"/>
      <c r="N391" s="43"/>
      <c r="O391" s="338" t="s">
        <v>757</v>
      </c>
      <c r="P391" s="234"/>
      <c r="Q391" s="234"/>
      <c r="R391" s="231"/>
      <c r="S391" s="231"/>
      <c r="T391" s="446"/>
      <c r="U391" s="446"/>
      <c r="V391" s="231"/>
      <c r="W391" s="339"/>
      <c r="X391" s="339"/>
      <c r="Y391" s="340"/>
      <c r="Z391" s="339"/>
      <c r="AA391" s="339"/>
      <c r="AB391" s="674" t="s">
        <v>137</v>
      </c>
      <c r="AC391" s="599"/>
      <c r="AD391" s="675">
        <v>240000</v>
      </c>
      <c r="AE391" s="685" t="s">
        <v>55</v>
      </c>
      <c r="AF391" s="728"/>
      <c r="AG391" s="730"/>
      <c r="AH391" s="726"/>
      <c r="AI391" s="648"/>
      <c r="AJ391" s="648"/>
    </row>
    <row r="392" spans="1:36" s="9" customFormat="1" ht="21" customHeight="1">
      <c r="A392" s="26"/>
      <c r="B392" s="26"/>
      <c r="C392" s="26"/>
      <c r="D392" s="650"/>
      <c r="E392" s="67"/>
      <c r="F392" s="67"/>
      <c r="G392" s="67"/>
      <c r="H392" s="67"/>
      <c r="I392" s="67"/>
      <c r="J392" s="67"/>
      <c r="K392" s="67"/>
      <c r="L392" s="67"/>
      <c r="M392" s="67"/>
      <c r="N392" s="43"/>
      <c r="O392" s="338" t="s">
        <v>758</v>
      </c>
      <c r="P392" s="234"/>
      <c r="Q392" s="234"/>
      <c r="R392" s="231"/>
      <c r="S392" s="231"/>
      <c r="T392" s="446"/>
      <c r="U392" s="446"/>
      <c r="V392" s="231"/>
      <c r="W392" s="339"/>
      <c r="X392" s="339"/>
      <c r="Y392" s="340"/>
      <c r="Z392" s="339"/>
      <c r="AA392" s="339"/>
      <c r="AB392" s="674" t="s">
        <v>137</v>
      </c>
      <c r="AC392" s="599"/>
      <c r="AD392" s="675">
        <v>250000</v>
      </c>
      <c r="AE392" s="685" t="s">
        <v>55</v>
      </c>
      <c r="AF392" s="728"/>
      <c r="AG392" s="730"/>
      <c r="AH392" s="726"/>
      <c r="AI392" s="648"/>
      <c r="AJ392" s="648"/>
    </row>
    <row r="393" spans="1:36" s="9" customFormat="1" ht="21" customHeight="1">
      <c r="A393" s="26"/>
      <c r="B393" s="26"/>
      <c r="C393" s="26"/>
      <c r="D393" s="650"/>
      <c r="E393" s="67"/>
      <c r="F393" s="67"/>
      <c r="G393" s="67"/>
      <c r="H393" s="67"/>
      <c r="I393" s="67"/>
      <c r="J393" s="67"/>
      <c r="K393" s="67"/>
      <c r="L393" s="67"/>
      <c r="M393" s="67"/>
      <c r="N393" s="43"/>
      <c r="O393" s="338" t="s">
        <v>759</v>
      </c>
      <c r="P393" s="234"/>
      <c r="Q393" s="234"/>
      <c r="R393" s="231"/>
      <c r="S393" s="231"/>
      <c r="T393" s="446"/>
      <c r="U393" s="446"/>
      <c r="V393" s="231"/>
      <c r="W393" s="339"/>
      <c r="X393" s="339"/>
      <c r="Y393" s="340"/>
      <c r="Z393" s="339"/>
      <c r="AA393" s="339"/>
      <c r="AB393" s="674" t="s">
        <v>137</v>
      </c>
      <c r="AC393" s="599"/>
      <c r="AD393" s="675">
        <v>180000</v>
      </c>
      <c r="AE393" s="685" t="s">
        <v>55</v>
      </c>
      <c r="AF393" s="728"/>
      <c r="AG393" s="730"/>
      <c r="AH393" s="732"/>
      <c r="AI393" s="648"/>
      <c r="AJ393" s="648"/>
    </row>
    <row r="394" spans="1:36" s="9" customFormat="1" ht="21" customHeight="1">
      <c r="A394" s="26"/>
      <c r="B394" s="26"/>
      <c r="C394" s="26"/>
      <c r="D394" s="650"/>
      <c r="E394" s="67"/>
      <c r="F394" s="67"/>
      <c r="G394" s="67"/>
      <c r="H394" s="67"/>
      <c r="I394" s="67"/>
      <c r="J394" s="67"/>
      <c r="K394" s="67"/>
      <c r="L394" s="67"/>
      <c r="M394" s="67"/>
      <c r="N394" s="43"/>
      <c r="O394" s="177" t="s">
        <v>760</v>
      </c>
      <c r="P394" s="234"/>
      <c r="Q394" s="234"/>
      <c r="R394" s="231"/>
      <c r="S394" s="231"/>
      <c r="T394" s="446"/>
      <c r="U394" s="446"/>
      <c r="V394" s="231"/>
      <c r="W394" s="339"/>
      <c r="X394" s="339"/>
      <c r="Y394" s="340"/>
      <c r="Z394" s="339"/>
      <c r="AA394" s="339"/>
      <c r="AB394" s="674" t="s">
        <v>137</v>
      </c>
      <c r="AC394" s="599"/>
      <c r="AD394" s="675">
        <v>180000</v>
      </c>
      <c r="AE394" s="685" t="s">
        <v>55</v>
      </c>
      <c r="AF394" s="728"/>
      <c r="AG394" s="730"/>
      <c r="AH394" s="726"/>
      <c r="AI394" s="648"/>
      <c r="AJ394" s="648"/>
    </row>
    <row r="395" spans="1:36" s="9" customFormat="1" ht="21" customHeight="1">
      <c r="A395" s="26"/>
      <c r="B395" s="26"/>
      <c r="C395" s="34"/>
      <c r="D395" s="651"/>
      <c r="E395" s="68"/>
      <c r="F395" s="68"/>
      <c r="G395" s="68"/>
      <c r="H395" s="68"/>
      <c r="I395" s="68"/>
      <c r="J395" s="68"/>
      <c r="K395" s="68"/>
      <c r="L395" s="68"/>
      <c r="M395" s="68"/>
      <c r="N395" s="54"/>
      <c r="O395" s="513" t="s">
        <v>665</v>
      </c>
      <c r="P395" s="182"/>
      <c r="Q395" s="182"/>
      <c r="R395" s="457"/>
      <c r="S395" s="457"/>
      <c r="T395" s="458"/>
      <c r="U395" s="458"/>
      <c r="V395" s="457"/>
      <c r="W395" s="428"/>
      <c r="X395" s="428"/>
      <c r="Y395" s="236"/>
      <c r="Z395" s="428"/>
      <c r="AA395" s="428"/>
      <c r="AB395" s="698" t="s">
        <v>666</v>
      </c>
      <c r="AC395" s="588"/>
      <c r="AD395" s="663">
        <v>600000</v>
      </c>
      <c r="AE395" s="685" t="s">
        <v>667</v>
      </c>
      <c r="AF395" s="728"/>
      <c r="AG395" s="730"/>
      <c r="AH395" s="726"/>
      <c r="AI395" s="648"/>
      <c r="AJ395" s="648"/>
    </row>
    <row r="396" spans="1:36" s="7" customFormat="1" ht="21" customHeight="1">
      <c r="A396" s="17" t="s">
        <v>82</v>
      </c>
      <c r="B396" s="788" t="s">
        <v>20</v>
      </c>
      <c r="C396" s="789"/>
      <c r="D396" s="654">
        <v>0</v>
      </c>
      <c r="E396" s="97">
        <f>E397</f>
        <v>0</v>
      </c>
      <c r="F396" s="97">
        <f t="shared" ref="F396:L396" si="17">F397</f>
        <v>0</v>
      </c>
      <c r="G396" s="97">
        <f t="shared" si="17"/>
        <v>0</v>
      </c>
      <c r="H396" s="97">
        <f t="shared" si="17"/>
        <v>0</v>
      </c>
      <c r="I396" s="97">
        <f t="shared" si="17"/>
        <v>0</v>
      </c>
      <c r="J396" s="97">
        <f t="shared" si="17"/>
        <v>0</v>
      </c>
      <c r="K396" s="97">
        <f t="shared" si="17"/>
        <v>0</v>
      </c>
      <c r="L396" s="97">
        <f t="shared" si="17"/>
        <v>0</v>
      </c>
      <c r="M396" s="97">
        <f>E396-D396</f>
        <v>0</v>
      </c>
      <c r="N396" s="98">
        <f>IF(D397=0,0,M396/D397)</f>
        <v>0</v>
      </c>
      <c r="O396" s="511" t="s">
        <v>82</v>
      </c>
      <c r="P396" s="511"/>
      <c r="Q396" s="511"/>
      <c r="R396" s="511"/>
      <c r="S396" s="510"/>
      <c r="T396" s="448"/>
      <c r="U396" s="448"/>
      <c r="V396" s="510"/>
      <c r="W396" s="448"/>
      <c r="X396" s="448"/>
      <c r="Y396" s="190"/>
      <c r="Z396" s="448"/>
      <c r="AA396" s="448"/>
      <c r="AB396" s="711"/>
      <c r="AC396" s="567"/>
      <c r="AD396" s="736">
        <f>SUM(AD397)</f>
        <v>0</v>
      </c>
      <c r="AE396" s="686" t="s">
        <v>25</v>
      </c>
      <c r="AF396" s="728"/>
      <c r="AG396" s="734"/>
      <c r="AH396" s="724"/>
      <c r="AI396" s="647"/>
      <c r="AJ396" s="647"/>
    </row>
    <row r="397" spans="1:36" s="7" customFormat="1" ht="21" customHeight="1">
      <c r="A397" s="25"/>
      <c r="B397" s="26" t="s">
        <v>82</v>
      </c>
      <c r="C397" s="26" t="s">
        <v>82</v>
      </c>
      <c r="D397" s="650">
        <v>0</v>
      </c>
      <c r="E397" s="67">
        <f>AD397/1000</f>
        <v>0</v>
      </c>
      <c r="F397" s="71">
        <f>SUMIF($AB$398:$AB$398,"보조",$AD$398:$AD$398)/1000</f>
        <v>0</v>
      </c>
      <c r="G397" s="71">
        <f>SUMIF($AB$398:$AB$398,"6종",$AD$398:$AD$398)/1000</f>
        <v>0</v>
      </c>
      <c r="H397" s="71">
        <f>SUMIF($AB$398:$AB$398,"4종",$AD$398:$AD$398)/1000</f>
        <v>0</v>
      </c>
      <c r="I397" s="71">
        <f>SUMIF($AB$398:$AB$398,"후원",$AD$398:$AD$398)/1000</f>
        <v>0</v>
      </c>
      <c r="J397" s="71">
        <f>SUMIF($AB$398:$AB$398,"입소",$AD$398:$AD$398)/1000</f>
        <v>0</v>
      </c>
      <c r="K397" s="71">
        <f>SUMIF($AB$398:$AB$398,"법인",$AD$398:$AD$398)/1000</f>
        <v>0</v>
      </c>
      <c r="L397" s="71">
        <f>SUMIF($AB$398:$AB$398,"잡수",$AD$398:$AD$398)/1000</f>
        <v>0</v>
      </c>
      <c r="M397" s="67">
        <f>E397-D397</f>
        <v>0</v>
      </c>
      <c r="N397" s="43">
        <f>IF(D398=0,0,M397/D398)</f>
        <v>0</v>
      </c>
      <c r="O397" s="182" t="s">
        <v>83</v>
      </c>
      <c r="P397" s="234"/>
      <c r="Q397" s="234"/>
      <c r="R397" s="234"/>
      <c r="S397" s="234"/>
      <c r="T397" s="445"/>
      <c r="U397" s="445"/>
      <c r="V397" s="371"/>
      <c r="W397" s="445"/>
      <c r="X397" s="445"/>
      <c r="Y397" s="190" t="s">
        <v>127</v>
      </c>
      <c r="Z397" s="449"/>
      <c r="AA397" s="449"/>
      <c r="AB397" s="712"/>
      <c r="AC397" s="560"/>
      <c r="AD397" s="682">
        <v>0</v>
      </c>
      <c r="AE397" s="688" t="s">
        <v>25</v>
      </c>
      <c r="AF397" s="728"/>
      <c r="AG397" s="734"/>
      <c r="AH397" s="724"/>
      <c r="AI397" s="647"/>
      <c r="AJ397" s="647"/>
    </row>
    <row r="398" spans="1:36" ht="21" customHeight="1">
      <c r="A398" s="33"/>
      <c r="B398" s="34"/>
      <c r="C398" s="34"/>
      <c r="D398" s="651"/>
      <c r="E398" s="68"/>
      <c r="F398" s="68"/>
      <c r="G398" s="68"/>
      <c r="H398" s="68"/>
      <c r="I398" s="68"/>
      <c r="J398" s="68"/>
      <c r="K398" s="68"/>
      <c r="L398" s="68"/>
      <c r="M398" s="68"/>
      <c r="N398" s="54"/>
      <c r="O398" s="513"/>
      <c r="P398" s="513"/>
      <c r="Q398" s="513"/>
      <c r="R398" s="513"/>
      <c r="S398" s="513"/>
      <c r="T398" s="233"/>
      <c r="U398" s="233"/>
      <c r="V398" s="513"/>
      <c r="W398" s="233"/>
      <c r="X398" s="233"/>
      <c r="Y398" s="499"/>
      <c r="Z398" s="233"/>
      <c r="AA398" s="233"/>
      <c r="AB398" s="662"/>
      <c r="AC398" s="566"/>
      <c r="AD398" s="738"/>
      <c r="AE398" s="720"/>
      <c r="AF398" s="728"/>
      <c r="AG398" s="734"/>
    </row>
    <row r="399" spans="1:36" s="7" customFormat="1" ht="21" customHeight="1">
      <c r="A399" s="25" t="s">
        <v>21</v>
      </c>
      <c r="B399" s="783" t="s">
        <v>20</v>
      </c>
      <c r="C399" s="784"/>
      <c r="D399" s="651">
        <v>9910</v>
      </c>
      <c r="E399" s="68">
        <f t="shared" ref="E399:L399" si="18">SUM(E400,E406)</f>
        <v>9912</v>
      </c>
      <c r="F399" s="68">
        <f t="shared" si="18"/>
        <v>255</v>
      </c>
      <c r="G399" s="68">
        <f t="shared" si="18"/>
        <v>30</v>
      </c>
      <c r="H399" s="68">
        <f t="shared" si="18"/>
        <v>5</v>
      </c>
      <c r="I399" s="68">
        <f t="shared" si="18"/>
        <v>9622</v>
      </c>
      <c r="J399" s="68">
        <f t="shared" si="18"/>
        <v>0</v>
      </c>
      <c r="K399" s="68">
        <f t="shared" si="18"/>
        <v>0</v>
      </c>
      <c r="L399" s="68">
        <f t="shared" si="18"/>
        <v>0</v>
      </c>
      <c r="M399" s="68">
        <f>E399-D399</f>
        <v>2</v>
      </c>
      <c r="N399" s="54">
        <f>IF(D400=0,0,M399/D400)</f>
        <v>0</v>
      </c>
      <c r="O399" s="374" t="s">
        <v>21</v>
      </c>
      <c r="P399" s="182"/>
      <c r="Q399" s="182"/>
      <c r="R399" s="182"/>
      <c r="S399" s="372"/>
      <c r="T399" s="449"/>
      <c r="U399" s="449"/>
      <c r="V399" s="372"/>
      <c r="W399" s="449"/>
      <c r="X399" s="449"/>
      <c r="Y399" s="373"/>
      <c r="Z399" s="449"/>
      <c r="AA399" s="449"/>
      <c r="AB399" s="712"/>
      <c r="AC399" s="559"/>
      <c r="AD399" s="681">
        <f>SUM(AD400,AD406)</f>
        <v>9912000</v>
      </c>
      <c r="AE399" s="688" t="s">
        <v>25</v>
      </c>
      <c r="AF399" s="728"/>
      <c r="AG399" s="734"/>
      <c r="AH399" s="724"/>
      <c r="AI399" s="647"/>
      <c r="AJ399" s="647"/>
    </row>
    <row r="400" spans="1:36" s="7" customFormat="1" ht="21" customHeight="1">
      <c r="A400" s="25"/>
      <c r="B400" s="26" t="s">
        <v>21</v>
      </c>
      <c r="C400" s="26" t="s">
        <v>21</v>
      </c>
      <c r="D400" s="650">
        <v>0</v>
      </c>
      <c r="E400" s="67">
        <f>SUM(F400:L400)</f>
        <v>0</v>
      </c>
      <c r="F400" s="71">
        <f>SUMIF($AB$400:$AB$405,"보조",$AD$400:$AD$405)/1000</f>
        <v>0</v>
      </c>
      <c r="G400" s="71">
        <f>SUMIF($AB$400:$AB$405,"6종",$AD$400:$AD$405)/1000</f>
        <v>0</v>
      </c>
      <c r="H400" s="71">
        <f>SUMIF($AB$400:$AB$405,"4종",$AD$400:$AD$405)/1000</f>
        <v>0</v>
      </c>
      <c r="I400" s="71">
        <f>SUMIF($AB$400:$AB$405,"후원",$AD$400:$AD$405)/1000</f>
        <v>0</v>
      </c>
      <c r="J400" s="71">
        <f>SUMIF($AB$400:$AB$405,"입소",$AD$400:$AD$405)/1000</f>
        <v>0</v>
      </c>
      <c r="K400" s="71">
        <f>SUMIF($AB$400:$AB$405,"법인",$AD$400:$AD$405)/1000</f>
        <v>0</v>
      </c>
      <c r="L400" s="71">
        <f>SUMIF($AB$400:$AB$405,"잡수",$AD$400:$AD$405)/1000</f>
        <v>0</v>
      </c>
      <c r="M400" s="67">
        <f>E400-D400</f>
        <v>0</v>
      </c>
      <c r="N400" s="43">
        <f>IF(D401=0,0,M400/D401)</f>
        <v>0</v>
      </c>
      <c r="O400" s="182" t="s">
        <v>52</v>
      </c>
      <c r="P400" s="234"/>
      <c r="Q400" s="234"/>
      <c r="R400" s="234"/>
      <c r="S400" s="234"/>
      <c r="T400" s="445"/>
      <c r="U400" s="445"/>
      <c r="V400" s="371"/>
      <c r="W400" s="445"/>
      <c r="X400" s="445"/>
      <c r="Y400" s="190" t="s">
        <v>127</v>
      </c>
      <c r="Z400" s="449"/>
      <c r="AA400" s="449"/>
      <c r="AB400" s="712"/>
      <c r="AC400" s="560"/>
      <c r="AD400" s="682">
        <f>SUM(AD401:AD404)</f>
        <v>0</v>
      </c>
      <c r="AE400" s="688" t="s">
        <v>25</v>
      </c>
      <c r="AF400" s="728"/>
      <c r="AG400" s="734"/>
      <c r="AH400" s="724"/>
      <c r="AI400" s="647"/>
      <c r="AJ400" s="647"/>
    </row>
    <row r="401" spans="1:36" s="7" customFormat="1" ht="21" customHeight="1">
      <c r="A401" s="25"/>
      <c r="B401" s="26"/>
      <c r="C401" s="26"/>
      <c r="D401" s="650"/>
      <c r="E401" s="67"/>
      <c r="F401" s="67"/>
      <c r="G401" s="67"/>
      <c r="H401" s="67"/>
      <c r="I401" s="67"/>
      <c r="J401" s="67"/>
      <c r="K401" s="67"/>
      <c r="L401" s="67"/>
      <c r="M401" s="67"/>
      <c r="N401" s="43"/>
      <c r="O401" s="338" t="s">
        <v>201</v>
      </c>
      <c r="P401" s="338"/>
      <c r="Q401" s="338"/>
      <c r="R401" s="338"/>
      <c r="S401" s="338"/>
      <c r="T401" s="339"/>
      <c r="U401" s="339"/>
      <c r="V401" s="337"/>
      <c r="W401" s="339"/>
      <c r="X401" s="339"/>
      <c r="Y401" s="340"/>
      <c r="Z401" s="339"/>
      <c r="AA401" s="339"/>
      <c r="AB401" s="674" t="s">
        <v>217</v>
      </c>
      <c r="AC401" s="599"/>
      <c r="AD401" s="675">
        <v>0</v>
      </c>
      <c r="AE401" s="685" t="s">
        <v>55</v>
      </c>
      <c r="AF401" s="728"/>
      <c r="AG401" s="734"/>
      <c r="AH401" s="724"/>
      <c r="AI401" s="647"/>
      <c r="AJ401" s="647"/>
    </row>
    <row r="402" spans="1:36" s="7" customFormat="1" ht="21" customHeight="1">
      <c r="A402" s="25"/>
      <c r="B402" s="26"/>
      <c r="C402" s="26"/>
      <c r="D402" s="650"/>
      <c r="E402" s="67"/>
      <c r="F402" s="67"/>
      <c r="G402" s="67"/>
      <c r="H402" s="67"/>
      <c r="I402" s="67"/>
      <c r="J402" s="67"/>
      <c r="K402" s="67"/>
      <c r="L402" s="67"/>
      <c r="M402" s="67"/>
      <c r="N402" s="43"/>
      <c r="O402" s="338" t="s">
        <v>202</v>
      </c>
      <c r="P402" s="338"/>
      <c r="Q402" s="338"/>
      <c r="R402" s="338"/>
      <c r="S402" s="338"/>
      <c r="T402" s="339"/>
      <c r="U402" s="339"/>
      <c r="V402" s="337"/>
      <c r="W402" s="339"/>
      <c r="X402" s="339"/>
      <c r="Y402" s="340"/>
      <c r="Z402" s="339"/>
      <c r="AA402" s="339"/>
      <c r="AB402" s="674" t="s">
        <v>137</v>
      </c>
      <c r="AC402" s="599"/>
      <c r="AD402" s="675">
        <v>0</v>
      </c>
      <c r="AE402" s="685" t="s">
        <v>55</v>
      </c>
      <c r="AF402" s="728"/>
      <c r="AG402" s="734"/>
      <c r="AH402" s="724"/>
      <c r="AI402" s="647"/>
      <c r="AJ402" s="647"/>
    </row>
    <row r="403" spans="1:36" s="7" customFormat="1" ht="21" customHeight="1">
      <c r="A403" s="25"/>
      <c r="B403" s="26"/>
      <c r="C403" s="26"/>
      <c r="D403" s="650"/>
      <c r="E403" s="67"/>
      <c r="F403" s="67"/>
      <c r="G403" s="67"/>
      <c r="H403" s="67"/>
      <c r="I403" s="67"/>
      <c r="J403" s="67"/>
      <c r="K403" s="67"/>
      <c r="L403" s="67"/>
      <c r="M403" s="67"/>
      <c r="N403" s="43"/>
      <c r="O403" s="338" t="s">
        <v>203</v>
      </c>
      <c r="P403" s="338"/>
      <c r="Q403" s="338"/>
      <c r="R403" s="338"/>
      <c r="S403" s="338"/>
      <c r="T403" s="339"/>
      <c r="U403" s="339"/>
      <c r="V403" s="337"/>
      <c r="W403" s="339"/>
      <c r="X403" s="339"/>
      <c r="Y403" s="340"/>
      <c r="Z403" s="339"/>
      <c r="AA403" s="339"/>
      <c r="AB403" s="674" t="s">
        <v>151</v>
      </c>
      <c r="AC403" s="599"/>
      <c r="AD403" s="675">
        <v>0</v>
      </c>
      <c r="AE403" s="685" t="s">
        <v>55</v>
      </c>
      <c r="AF403" s="728"/>
      <c r="AG403" s="734"/>
      <c r="AH403" s="724"/>
      <c r="AI403" s="647"/>
      <c r="AJ403" s="647"/>
    </row>
    <row r="404" spans="1:36" s="7" customFormat="1" ht="21" customHeight="1">
      <c r="A404" s="25"/>
      <c r="B404" s="26"/>
      <c r="C404" s="26"/>
      <c r="D404" s="650"/>
      <c r="E404" s="67"/>
      <c r="F404" s="67"/>
      <c r="G404" s="67"/>
      <c r="H404" s="67"/>
      <c r="I404" s="67"/>
      <c r="J404" s="67"/>
      <c r="K404" s="67"/>
      <c r="L404" s="67"/>
      <c r="M404" s="67"/>
      <c r="N404" s="43"/>
      <c r="O404" s="338" t="s">
        <v>204</v>
      </c>
      <c r="P404" s="338"/>
      <c r="Q404" s="338"/>
      <c r="R404" s="338"/>
      <c r="S404" s="338"/>
      <c r="T404" s="339"/>
      <c r="U404" s="339"/>
      <c r="V404" s="337"/>
      <c r="W404" s="339"/>
      <c r="X404" s="339"/>
      <c r="Y404" s="340"/>
      <c r="Z404" s="339"/>
      <c r="AA404" s="339"/>
      <c r="AB404" s="674" t="s">
        <v>85</v>
      </c>
      <c r="AC404" s="599"/>
      <c r="AD404" s="675"/>
      <c r="AE404" s="685" t="s">
        <v>55</v>
      </c>
      <c r="AF404" s="728"/>
      <c r="AG404" s="734"/>
      <c r="AH404" s="724"/>
      <c r="AI404" s="647"/>
      <c r="AJ404" s="647"/>
    </row>
    <row r="405" spans="1:36" ht="21" customHeight="1">
      <c r="A405" s="25"/>
      <c r="B405" s="26"/>
      <c r="C405" s="26"/>
      <c r="D405" s="650"/>
      <c r="E405" s="67"/>
      <c r="F405" s="67"/>
      <c r="G405" s="67"/>
      <c r="H405" s="67"/>
      <c r="I405" s="67"/>
      <c r="J405" s="67"/>
      <c r="K405" s="67"/>
      <c r="L405" s="67"/>
      <c r="M405" s="67"/>
      <c r="N405" s="43"/>
      <c r="O405" s="338"/>
      <c r="P405" s="338"/>
      <c r="Q405" s="338"/>
      <c r="R405" s="338"/>
      <c r="S405" s="337"/>
      <c r="T405" s="339"/>
      <c r="U405" s="339"/>
      <c r="V405" s="337"/>
      <c r="W405" s="339"/>
      <c r="X405" s="339"/>
      <c r="Y405" s="340"/>
      <c r="Z405" s="339"/>
      <c r="AA405" s="339"/>
      <c r="AB405" s="674"/>
      <c r="AC405" s="598"/>
      <c r="AD405" s="673"/>
      <c r="AE405" s="685"/>
      <c r="AF405" s="728"/>
      <c r="AG405" s="734"/>
    </row>
    <row r="406" spans="1:36" s="7" customFormat="1" ht="21" customHeight="1">
      <c r="A406" s="104"/>
      <c r="B406" s="26"/>
      <c r="C406" s="18" t="s">
        <v>135</v>
      </c>
      <c r="D406" s="90">
        <v>9910</v>
      </c>
      <c r="E406" s="70">
        <f>AD406/1000</f>
        <v>9912</v>
      </c>
      <c r="F406" s="71">
        <f>SUMIF($AB$407:$AB$420,"보조",$AD$407:$AD$420)/1000</f>
        <v>255</v>
      </c>
      <c r="G406" s="71">
        <f>SUMIF($AB$407:$AB$420,"6종",$AD$407:$AD$420)/1000</f>
        <v>30</v>
      </c>
      <c r="H406" s="71">
        <f>SUMIF($AB$407:$AB$420,"4종",$AD$407:$AD$420)/1000</f>
        <v>5</v>
      </c>
      <c r="I406" s="71">
        <f>SUMIF($AB$407:$AB$420,"후원",$AD$407:$AD$420)/1000</f>
        <v>9622</v>
      </c>
      <c r="J406" s="71">
        <f>SUMIF($AB$407:$AB$420,"입소",$AD$407:$AD$420)/1000</f>
        <v>0</v>
      </c>
      <c r="K406" s="71">
        <f>SUMIF($AB$407:$AB$420,"법인",$AD$407:$AD$420)/1000</f>
        <v>0</v>
      </c>
      <c r="L406" s="71">
        <f>SUMIF($AB$407:$AB$420,"잡수",$AD$407:$AD$420)/1000</f>
        <v>0</v>
      </c>
      <c r="M406" s="70">
        <f>E406-D406</f>
        <v>2</v>
      </c>
      <c r="N406" s="369">
        <f>IF(D406=0,0,M406/D406)</f>
        <v>2.0181634712411706E-4</v>
      </c>
      <c r="O406" s="511" t="s">
        <v>157</v>
      </c>
      <c r="P406" s="188"/>
      <c r="Q406" s="188"/>
      <c r="R406" s="188"/>
      <c r="S406" s="188"/>
      <c r="T406" s="444"/>
      <c r="U406" s="444"/>
      <c r="V406" s="189"/>
      <c r="W406" s="444"/>
      <c r="X406" s="444"/>
      <c r="Y406" s="190" t="s">
        <v>127</v>
      </c>
      <c r="Z406" s="448"/>
      <c r="AA406" s="448"/>
      <c r="AB406" s="711"/>
      <c r="AC406" s="541"/>
      <c r="AD406" s="656">
        <f>ROUNDUP(SUM(AD407:AD420),-3)</f>
        <v>9912000</v>
      </c>
      <c r="AE406" s="696" t="s">
        <v>25</v>
      </c>
      <c r="AF406" s="728"/>
      <c r="AG406" s="734"/>
      <c r="AH406" s="724"/>
      <c r="AI406" s="647"/>
      <c r="AJ406" s="647"/>
    </row>
    <row r="407" spans="1:36" ht="21" customHeight="1">
      <c r="A407" s="25"/>
      <c r="B407" s="26"/>
      <c r="C407" s="26" t="s">
        <v>136</v>
      </c>
      <c r="D407" s="88"/>
      <c r="E407" s="67"/>
      <c r="F407" s="67"/>
      <c r="G407" s="67"/>
      <c r="H407" s="67"/>
      <c r="I407" s="67"/>
      <c r="J407" s="67"/>
      <c r="K407" s="67"/>
      <c r="L407" s="67"/>
      <c r="M407" s="67"/>
      <c r="N407" s="364"/>
      <c r="O407" s="338" t="s">
        <v>205</v>
      </c>
      <c r="P407" s="338"/>
      <c r="Q407" s="338"/>
      <c r="R407" s="338"/>
      <c r="S407" s="337"/>
      <c r="T407" s="339"/>
      <c r="U407" s="339"/>
      <c r="V407" s="337"/>
      <c r="W407" s="339"/>
      <c r="X407" s="339"/>
      <c r="Y407" s="340"/>
      <c r="Z407" s="339"/>
      <c r="AA407" s="339"/>
      <c r="AB407" s="674" t="s">
        <v>70</v>
      </c>
      <c r="AC407" s="598"/>
      <c r="AD407" s="675">
        <v>0</v>
      </c>
      <c r="AE407" s="685" t="s">
        <v>25</v>
      </c>
      <c r="AF407" s="728"/>
      <c r="AG407" s="734"/>
    </row>
    <row r="408" spans="1:36" ht="21" customHeight="1">
      <c r="A408" s="25"/>
      <c r="B408" s="26"/>
      <c r="C408" s="26"/>
      <c r="D408" s="88"/>
      <c r="E408" s="67"/>
      <c r="F408" s="67"/>
      <c r="G408" s="67"/>
      <c r="H408" s="67"/>
      <c r="I408" s="67"/>
      <c r="J408" s="67"/>
      <c r="K408" s="67"/>
      <c r="L408" s="67"/>
      <c r="M408" s="67"/>
      <c r="N408" s="364"/>
      <c r="O408" s="338" t="s">
        <v>189</v>
      </c>
      <c r="P408" s="338"/>
      <c r="Q408" s="338"/>
      <c r="R408" s="338"/>
      <c r="S408" s="337"/>
      <c r="T408" s="339"/>
      <c r="U408" s="339"/>
      <c r="V408" s="337"/>
      <c r="W408" s="339"/>
      <c r="X408" s="339"/>
      <c r="Y408" s="340"/>
      <c r="Z408" s="339"/>
      <c r="AA408" s="339"/>
      <c r="AB408" s="674" t="s">
        <v>70</v>
      </c>
      <c r="AC408" s="598"/>
      <c r="AD408" s="675">
        <v>250000</v>
      </c>
      <c r="AE408" s="685" t="s">
        <v>55</v>
      </c>
      <c r="AF408" s="728"/>
      <c r="AG408" s="734"/>
    </row>
    <row r="409" spans="1:36" ht="21" customHeight="1">
      <c r="A409" s="25"/>
      <c r="B409" s="26"/>
      <c r="C409" s="26"/>
      <c r="D409" s="88"/>
      <c r="E409" s="67"/>
      <c r="F409" s="67"/>
      <c r="G409" s="67"/>
      <c r="H409" s="67"/>
      <c r="I409" s="67"/>
      <c r="J409" s="67"/>
      <c r="K409" s="67"/>
      <c r="L409" s="67"/>
      <c r="M409" s="67"/>
      <c r="N409" s="364"/>
      <c r="O409" s="338" t="s">
        <v>206</v>
      </c>
      <c r="P409" s="338"/>
      <c r="Q409" s="338"/>
      <c r="R409" s="338"/>
      <c r="S409" s="337"/>
      <c r="T409" s="339"/>
      <c r="U409" s="339"/>
      <c r="V409" s="337"/>
      <c r="W409" s="339"/>
      <c r="X409" s="339"/>
      <c r="Y409" s="340"/>
      <c r="Z409" s="339"/>
      <c r="AA409" s="339"/>
      <c r="AB409" s="674" t="s">
        <v>70</v>
      </c>
      <c r="AC409" s="598"/>
      <c r="AD409" s="675">
        <v>0</v>
      </c>
      <c r="AE409" s="685" t="s">
        <v>55</v>
      </c>
      <c r="AF409" s="728"/>
      <c r="AG409" s="734"/>
    </row>
    <row r="410" spans="1:36" ht="21" customHeight="1">
      <c r="A410" s="25"/>
      <c r="B410" s="26"/>
      <c r="C410" s="26"/>
      <c r="D410" s="88"/>
      <c r="E410" s="67"/>
      <c r="F410" s="67"/>
      <c r="G410" s="67"/>
      <c r="H410" s="67"/>
      <c r="I410" s="67"/>
      <c r="J410" s="67"/>
      <c r="K410" s="67"/>
      <c r="L410" s="67"/>
      <c r="M410" s="67"/>
      <c r="N410" s="364"/>
      <c r="O410" s="338" t="s">
        <v>190</v>
      </c>
      <c r="P410" s="338"/>
      <c r="Q410" s="338"/>
      <c r="R410" s="338"/>
      <c r="S410" s="337"/>
      <c r="T410" s="339"/>
      <c r="U410" s="339"/>
      <c r="V410" s="337"/>
      <c r="W410" s="339"/>
      <c r="X410" s="339"/>
      <c r="Y410" s="340"/>
      <c r="Z410" s="339"/>
      <c r="AA410" s="339"/>
      <c r="AB410" s="674" t="s">
        <v>70</v>
      </c>
      <c r="AC410" s="598"/>
      <c r="AD410" s="675">
        <v>5000</v>
      </c>
      <c r="AE410" s="685" t="s">
        <v>55</v>
      </c>
      <c r="AF410" s="728"/>
      <c r="AG410" s="734"/>
    </row>
    <row r="411" spans="1:36" ht="21" customHeight="1">
      <c r="A411" s="25"/>
      <c r="B411" s="26"/>
      <c r="C411" s="26"/>
      <c r="D411" s="88"/>
      <c r="E411" s="67"/>
      <c r="F411" s="67"/>
      <c r="G411" s="67"/>
      <c r="H411" s="67"/>
      <c r="I411" s="67"/>
      <c r="J411" s="67"/>
      <c r="K411" s="67"/>
      <c r="L411" s="67"/>
      <c r="M411" s="67"/>
      <c r="N411" s="364"/>
      <c r="O411" s="338" t="s">
        <v>207</v>
      </c>
      <c r="P411" s="338"/>
      <c r="Q411" s="338"/>
      <c r="R411" s="338"/>
      <c r="S411" s="337"/>
      <c r="T411" s="339"/>
      <c r="U411" s="339"/>
      <c r="V411" s="337"/>
      <c r="W411" s="339"/>
      <c r="X411" s="339"/>
      <c r="Y411" s="340"/>
      <c r="Z411" s="339"/>
      <c r="AA411" s="339"/>
      <c r="AB411" s="674" t="s">
        <v>158</v>
      </c>
      <c r="AC411" s="598"/>
      <c r="AD411" s="675">
        <v>0</v>
      </c>
      <c r="AE411" s="685" t="s">
        <v>25</v>
      </c>
      <c r="AF411" s="728"/>
      <c r="AG411" s="734"/>
    </row>
    <row r="412" spans="1:36" ht="21" customHeight="1">
      <c r="A412" s="25"/>
      <c r="B412" s="26"/>
      <c r="C412" s="26"/>
      <c r="D412" s="88"/>
      <c r="E412" s="67"/>
      <c r="F412" s="67"/>
      <c r="G412" s="67"/>
      <c r="H412" s="67"/>
      <c r="I412" s="67"/>
      <c r="J412" s="67"/>
      <c r="K412" s="67"/>
      <c r="L412" s="67"/>
      <c r="M412" s="67"/>
      <c r="N412" s="364"/>
      <c r="O412" s="338" t="s">
        <v>191</v>
      </c>
      <c r="P412" s="338"/>
      <c r="Q412" s="338"/>
      <c r="R412" s="338"/>
      <c r="S412" s="337"/>
      <c r="T412" s="339"/>
      <c r="U412" s="339"/>
      <c r="V412" s="337"/>
      <c r="W412" s="339"/>
      <c r="X412" s="339"/>
      <c r="Y412" s="340"/>
      <c r="Z412" s="339"/>
      <c r="AA412" s="339"/>
      <c r="AB412" s="674" t="s">
        <v>158</v>
      </c>
      <c r="AC412" s="598"/>
      <c r="AD412" s="675">
        <v>5000</v>
      </c>
      <c r="AE412" s="685" t="s">
        <v>55</v>
      </c>
      <c r="AF412" s="731"/>
      <c r="AG412" s="734"/>
    </row>
    <row r="413" spans="1:36" ht="21" customHeight="1">
      <c r="A413" s="25"/>
      <c r="B413" s="26"/>
      <c r="C413" s="26"/>
      <c r="D413" s="88"/>
      <c r="E413" s="67"/>
      <c r="F413" s="67"/>
      <c r="G413" s="67"/>
      <c r="H413" s="67"/>
      <c r="I413" s="67"/>
      <c r="J413" s="67"/>
      <c r="K413" s="67"/>
      <c r="L413" s="67"/>
      <c r="M413" s="67"/>
      <c r="N413" s="364"/>
      <c r="O413" s="338" t="s">
        <v>761</v>
      </c>
      <c r="P413" s="338"/>
      <c r="Q413" s="338"/>
      <c r="R413" s="338"/>
      <c r="S413" s="337"/>
      <c r="T413" s="339"/>
      <c r="U413" s="339"/>
      <c r="V413" s="337"/>
      <c r="W413" s="339"/>
      <c r="X413" s="339"/>
      <c r="Y413" s="340"/>
      <c r="Z413" s="339"/>
      <c r="AA413" s="339"/>
      <c r="AB413" s="674" t="s">
        <v>805</v>
      </c>
      <c r="AC413" s="598"/>
      <c r="AD413" s="675">
        <v>0</v>
      </c>
      <c r="AE413" s="685" t="s">
        <v>25</v>
      </c>
      <c r="AF413" s="731"/>
      <c r="AG413" s="734"/>
    </row>
    <row r="414" spans="1:36" ht="21" customHeight="1">
      <c r="A414" s="25"/>
      <c r="B414" s="26"/>
      <c r="C414" s="26"/>
      <c r="D414" s="88"/>
      <c r="E414" s="67"/>
      <c r="F414" s="67"/>
      <c r="G414" s="67"/>
      <c r="H414" s="67"/>
      <c r="I414" s="67"/>
      <c r="J414" s="67"/>
      <c r="K414" s="67"/>
      <c r="L414" s="67"/>
      <c r="M414" s="67"/>
      <c r="N414" s="364"/>
      <c r="O414" s="338" t="s">
        <v>762</v>
      </c>
      <c r="P414" s="338"/>
      <c r="Q414" s="338"/>
      <c r="R414" s="338"/>
      <c r="S414" s="337"/>
      <c r="T414" s="339"/>
      <c r="U414" s="339"/>
      <c r="V414" s="337"/>
      <c r="W414" s="339"/>
      <c r="X414" s="339"/>
      <c r="Y414" s="340"/>
      <c r="Z414" s="339"/>
      <c r="AA414" s="339"/>
      <c r="AB414" s="674" t="s">
        <v>805</v>
      </c>
      <c r="AC414" s="598"/>
      <c r="AD414" s="675">
        <v>25000</v>
      </c>
      <c r="AE414" s="685" t="s">
        <v>55</v>
      </c>
      <c r="AF414" s="731"/>
      <c r="AG414" s="734"/>
    </row>
    <row r="415" spans="1:36" ht="21" customHeight="1">
      <c r="A415" s="25"/>
      <c r="B415" s="26"/>
      <c r="C415" s="26"/>
      <c r="D415" s="88"/>
      <c r="E415" s="67"/>
      <c r="F415" s="67"/>
      <c r="G415" s="67"/>
      <c r="H415" s="67"/>
      <c r="I415" s="67"/>
      <c r="J415" s="67"/>
      <c r="K415" s="67"/>
      <c r="L415" s="67"/>
      <c r="M415" s="67"/>
      <c r="N415" s="364"/>
      <c r="O415" s="338" t="s">
        <v>220</v>
      </c>
      <c r="P415" s="338"/>
      <c r="Q415" s="338"/>
      <c r="R415" s="338"/>
      <c r="S415" s="337"/>
      <c r="T415" s="339"/>
      <c r="U415" s="339"/>
      <c r="V415" s="337"/>
      <c r="W415" s="339"/>
      <c r="X415" s="339"/>
      <c r="Y415" s="340"/>
      <c r="Z415" s="339"/>
      <c r="AA415" s="339"/>
      <c r="AB415" s="674" t="s">
        <v>805</v>
      </c>
      <c r="AC415" s="598"/>
      <c r="AD415" s="675">
        <v>0</v>
      </c>
      <c r="AE415" s="685" t="s">
        <v>25</v>
      </c>
      <c r="AF415" s="731"/>
      <c r="AG415" s="734"/>
    </row>
    <row r="416" spans="1:36" ht="21" customHeight="1">
      <c r="A416" s="25"/>
      <c r="B416" s="26"/>
      <c r="C416" s="26"/>
      <c r="D416" s="88"/>
      <c r="E416" s="67"/>
      <c r="F416" s="67"/>
      <c r="G416" s="67"/>
      <c r="H416" s="67"/>
      <c r="I416" s="67"/>
      <c r="J416" s="67"/>
      <c r="K416" s="67"/>
      <c r="L416" s="67"/>
      <c r="M416" s="67"/>
      <c r="N416" s="364"/>
      <c r="O416" s="338" t="s">
        <v>763</v>
      </c>
      <c r="P416" s="338"/>
      <c r="Q416" s="338"/>
      <c r="R416" s="338"/>
      <c r="S416" s="337"/>
      <c r="T416" s="339"/>
      <c r="U416" s="339"/>
      <c r="V416" s="337"/>
      <c r="W416" s="339"/>
      <c r="X416" s="339"/>
      <c r="Y416" s="340"/>
      <c r="Z416" s="339"/>
      <c r="AA416" s="339"/>
      <c r="AB416" s="674" t="s">
        <v>805</v>
      </c>
      <c r="AC416" s="598"/>
      <c r="AD416" s="675">
        <v>5000</v>
      </c>
      <c r="AE416" s="685" t="s">
        <v>25</v>
      </c>
      <c r="AF416" s="731"/>
      <c r="AG416" s="734"/>
    </row>
    <row r="417" spans="1:36" ht="21" customHeight="1">
      <c r="A417" s="25"/>
      <c r="B417" s="26"/>
      <c r="C417" s="26"/>
      <c r="D417" s="88"/>
      <c r="E417" s="67"/>
      <c r="F417" s="67"/>
      <c r="G417" s="67"/>
      <c r="H417" s="67"/>
      <c r="I417" s="67"/>
      <c r="J417" s="67"/>
      <c r="K417" s="67"/>
      <c r="L417" s="67"/>
      <c r="M417" s="67"/>
      <c r="N417" s="364"/>
      <c r="O417" s="338" t="s">
        <v>304</v>
      </c>
      <c r="P417" s="338"/>
      <c r="Q417" s="338"/>
      <c r="R417" s="338"/>
      <c r="S417" s="337"/>
      <c r="T417" s="339"/>
      <c r="U417" s="339"/>
      <c r="V417" s="337"/>
      <c r="W417" s="339"/>
      <c r="X417" s="339"/>
      <c r="Y417" s="340"/>
      <c r="Z417" s="339"/>
      <c r="AA417" s="339"/>
      <c r="AB417" s="674" t="s">
        <v>70</v>
      </c>
      <c r="AC417" s="598"/>
      <c r="AD417" s="675">
        <v>0</v>
      </c>
      <c r="AE417" s="685" t="s">
        <v>25</v>
      </c>
      <c r="AF417" s="731"/>
      <c r="AG417" s="734"/>
    </row>
    <row r="418" spans="1:36" ht="21" customHeight="1">
      <c r="A418" s="25"/>
      <c r="B418" s="26"/>
      <c r="C418" s="26"/>
      <c r="D418" s="88"/>
      <c r="E418" s="67"/>
      <c r="F418" s="67"/>
      <c r="G418" s="67"/>
      <c r="H418" s="67"/>
      <c r="I418" s="67"/>
      <c r="J418" s="67"/>
      <c r="K418" s="67"/>
      <c r="L418" s="67"/>
      <c r="M418" s="67"/>
      <c r="N418" s="364"/>
      <c r="O418" s="338" t="s">
        <v>303</v>
      </c>
      <c r="P418" s="338"/>
      <c r="Q418" s="338"/>
      <c r="R418" s="338"/>
      <c r="S418" s="337"/>
      <c r="T418" s="339"/>
      <c r="U418" s="339"/>
      <c r="V418" s="337"/>
      <c r="W418" s="339"/>
      <c r="X418" s="339"/>
      <c r="Y418" s="340"/>
      <c r="Z418" s="339"/>
      <c r="AA418" s="339"/>
      <c r="AB418" s="674" t="s">
        <v>805</v>
      </c>
      <c r="AC418" s="598"/>
      <c r="AD418" s="675">
        <v>0</v>
      </c>
      <c r="AE418" s="685" t="s">
        <v>25</v>
      </c>
      <c r="AF418" s="731"/>
      <c r="AG418" s="734"/>
    </row>
    <row r="419" spans="1:36" ht="21" customHeight="1">
      <c r="A419" s="25"/>
      <c r="B419" s="26"/>
      <c r="C419" s="26"/>
      <c r="D419" s="88"/>
      <c r="E419" s="67"/>
      <c r="F419" s="67"/>
      <c r="G419" s="67"/>
      <c r="H419" s="67"/>
      <c r="I419" s="67"/>
      <c r="J419" s="67"/>
      <c r="K419" s="67"/>
      <c r="L419" s="67"/>
      <c r="M419" s="67"/>
      <c r="N419" s="364"/>
      <c r="O419" s="338" t="s">
        <v>787</v>
      </c>
      <c r="P419" s="338"/>
      <c r="Q419" s="338"/>
      <c r="R419" s="338"/>
      <c r="S419" s="337"/>
      <c r="T419" s="339"/>
      <c r="U419" s="339"/>
      <c r="V419" s="337"/>
      <c r="W419" s="339"/>
      <c r="X419" s="339"/>
      <c r="Y419" s="340"/>
      <c r="Z419" s="339"/>
      <c r="AA419" s="339"/>
      <c r="AB419" s="674" t="s">
        <v>137</v>
      </c>
      <c r="AC419" s="598"/>
      <c r="AD419" s="675">
        <v>9622000</v>
      </c>
      <c r="AE419" s="685" t="s">
        <v>25</v>
      </c>
      <c r="AF419" s="731"/>
      <c r="AG419" s="734"/>
    </row>
    <row r="420" spans="1:36" s="7" customFormat="1" ht="21" customHeight="1" thickBot="1">
      <c r="A420" s="81"/>
      <c r="B420" s="64"/>
      <c r="C420" s="64"/>
      <c r="D420" s="91"/>
      <c r="E420" s="82"/>
      <c r="F420" s="82"/>
      <c r="G420" s="82"/>
      <c r="H420" s="82"/>
      <c r="I420" s="82"/>
      <c r="J420" s="82"/>
      <c r="K420" s="82"/>
      <c r="L420" s="82"/>
      <c r="M420" s="82"/>
      <c r="N420" s="370"/>
      <c r="O420" s="237"/>
      <c r="P420" s="237"/>
      <c r="Q420" s="237"/>
      <c r="R420" s="237"/>
      <c r="S420" s="237"/>
      <c r="T420" s="430"/>
      <c r="U420" s="430"/>
      <c r="V420" s="237"/>
      <c r="W420" s="430"/>
      <c r="X420" s="430"/>
      <c r="Y420" s="501"/>
      <c r="Z420" s="430"/>
      <c r="AA420" s="430"/>
      <c r="AB420" s="700"/>
      <c r="AC420" s="237"/>
      <c r="AD420" s="664"/>
      <c r="AE420" s="697"/>
      <c r="AF420" s="731"/>
      <c r="AG420" s="734"/>
      <c r="AH420" s="724"/>
      <c r="AI420" s="647"/>
      <c r="AJ420" s="647"/>
    </row>
  </sheetData>
  <sortState ref="O383:AE390">
    <sortCondition ref="O383:O390"/>
  </sortState>
  <mergeCells count="15">
    <mergeCell ref="O2:AE3"/>
    <mergeCell ref="A4:C4"/>
    <mergeCell ref="B5:C5"/>
    <mergeCell ref="V121:W121"/>
    <mergeCell ref="O162:S162"/>
    <mergeCell ref="A1:D1"/>
    <mergeCell ref="A2:C2"/>
    <mergeCell ref="D2:D3"/>
    <mergeCell ref="E2:L2"/>
    <mergeCell ref="M2:N2"/>
    <mergeCell ref="B399:C399"/>
    <mergeCell ref="B204:C204"/>
    <mergeCell ref="B243:C243"/>
    <mergeCell ref="B396:C396"/>
    <mergeCell ref="V173:W173"/>
  </mergeCells>
  <phoneticPr fontId="16" type="noConversion"/>
  <printOptions horizontalCentered="1"/>
  <pageMargins left="3.937007874015748E-2" right="3.937007874015748E-2" top="0.43307086614173229" bottom="0.35433070866141736" header="0.15748031496062992" footer="0.15748031496062992"/>
  <pageSetup paperSize="9" scale="55" firstPageNumber="23" orientation="landscape" r:id="rId1"/>
  <headerFooter alignWithMargins="0">
    <oddFooter>&amp;C&amp;P/&amp;N&amp;R장애인거주시설 바다의별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7</vt:i4>
      </vt:variant>
    </vt:vector>
  </HeadingPairs>
  <TitlesOfParts>
    <vt:vector size="10" baseType="lpstr">
      <vt:lpstr>세입세출총괄표</vt:lpstr>
      <vt:lpstr>세입</vt:lpstr>
      <vt:lpstr>세출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2023-09-13T05:29:29Z</cp:lastPrinted>
  <dcterms:created xsi:type="dcterms:W3CDTF">2003-12-18T04:11:57Z</dcterms:created>
  <dcterms:modified xsi:type="dcterms:W3CDTF">2023-12-15T05:06:50Z</dcterms:modified>
</cp:coreProperties>
</file>