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년바르나바\홈페이지 게시용\"/>
    </mc:Choice>
  </mc:AlternateContent>
  <bookViews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ddd">세입!#REF!</definedName>
    <definedName name="_xlnm.Print_Area" localSheetId="1">세입!$A$1:$Y$220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[2]세입!#REF!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[2]세입!#REF!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[2]세입!#REF!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[2]세입!#REF!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[3]기본급테이블!$C$3:$S$33</definedName>
    <definedName name="ㄴㅁㅇ">[1]세입!#REF!</definedName>
    <definedName name="명절휴가비" localSheetId="2">세출!$AD$15</definedName>
    <definedName name="명절휴가비1" localSheetId="1">세입!#REF!</definedName>
    <definedName name="사회보험" localSheetId="0">[2]세입!#REF!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[2]세입!#REF!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[2]세입!#REF!</definedName>
    <definedName name="수정제수당총액" localSheetId="2">#REF!</definedName>
    <definedName name="수정제수당총액">세입!#REF!</definedName>
    <definedName name="수정제수당총액1">[1]세입!#REF!</definedName>
    <definedName name="ㅇㄴㄹ">[1]세입!#REF!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[2]세입!#REF!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[2]세입!#REF!</definedName>
    <definedName name="직원급식비" localSheetId="0">[2]세입!#REF!</definedName>
    <definedName name="직원급식비" localSheetId="2">#REF!</definedName>
    <definedName name="직원급식비">세입!#REF!</definedName>
    <definedName name="직원급식비1">[1]세입!#REF!</definedName>
    <definedName name="직책">[3]기본급테이블!$C$2:$S$2</definedName>
    <definedName name="직책보조비" localSheetId="1">세입!#REF!</definedName>
    <definedName name="퇴직금" localSheetId="0">[2]세입!#REF!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[2]세입!#REF!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[2]세입!#REF!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[2]세입!#REF!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[2]세입!#REF!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[3]기본급테이블!$B$3:$B$33</definedName>
  </definedNames>
  <calcPr calcId="162913"/>
</workbook>
</file>

<file path=xl/calcChain.xml><?xml version="1.0" encoding="utf-8"?>
<calcChain xmlns="http://schemas.openxmlformats.org/spreadsheetml/2006/main">
  <c r="AD182" i="31" l="1"/>
  <c r="AD183" i="31"/>
  <c r="AD189" i="31" l="1"/>
  <c r="AD188" i="31"/>
  <c r="F12" i="18" l="1"/>
  <c r="X128" i="4"/>
  <c r="X70" i="4"/>
  <c r="AD213" i="31" l="1"/>
  <c r="E21" i="18" l="1"/>
  <c r="E14" i="18" l="1"/>
  <c r="X152" i="4"/>
  <c r="AD147" i="31" l="1"/>
  <c r="I25" i="18" l="1"/>
  <c r="I23" i="18" l="1"/>
  <c r="I16" i="18"/>
  <c r="I12" i="18"/>
  <c r="I8" i="18"/>
  <c r="D21" i="18"/>
  <c r="D19" i="18"/>
  <c r="D14" i="18"/>
  <c r="D10" i="18"/>
  <c r="D8" i="18"/>
  <c r="I7" i="18" l="1"/>
  <c r="D7" i="18"/>
  <c r="L88" i="31" l="1"/>
  <c r="K88" i="31"/>
  <c r="AD94" i="31"/>
  <c r="AD95" i="31"/>
  <c r="AD93" i="31"/>
  <c r="AD103" i="31" l="1"/>
  <c r="AD86" i="31"/>
  <c r="AD193" i="31" l="1"/>
  <c r="AD82" i="31"/>
  <c r="AD81" i="31"/>
  <c r="AD71" i="31"/>
  <c r="AD69" i="31"/>
  <c r="X102" i="4"/>
  <c r="X93" i="4"/>
  <c r="X64" i="4"/>
  <c r="X218" i="4" l="1"/>
  <c r="K26" i="18" l="1"/>
  <c r="K25" i="18" l="1"/>
  <c r="J25" i="18"/>
  <c r="L213" i="31"/>
  <c r="L202" i="31" s="1"/>
  <c r="K213" i="31"/>
  <c r="J213" i="31"/>
  <c r="I213" i="31"/>
  <c r="H213" i="31"/>
  <c r="H202" i="31" s="1"/>
  <c r="G213" i="31"/>
  <c r="F213" i="31"/>
  <c r="L203" i="31"/>
  <c r="K203" i="31"/>
  <c r="J203" i="31"/>
  <c r="I203" i="31"/>
  <c r="H203" i="31"/>
  <c r="G203" i="31"/>
  <c r="F203" i="31"/>
  <c r="D202" i="31"/>
  <c r="D170" i="31"/>
  <c r="AD203" i="31"/>
  <c r="E203" i="31" s="1"/>
  <c r="AD202" i="31"/>
  <c r="I202" i="31" l="1"/>
  <c r="F202" i="31"/>
  <c r="J202" i="31"/>
  <c r="G202" i="31"/>
  <c r="K202" i="31"/>
  <c r="E213" i="31"/>
  <c r="M213" i="31" s="1"/>
  <c r="N213" i="31" s="1"/>
  <c r="X94" i="4"/>
  <c r="AD23" i="31"/>
  <c r="AD15" i="31"/>
  <c r="AD70" i="31"/>
  <c r="AD197" i="31" l="1"/>
  <c r="X41" i="4" l="1"/>
  <c r="X99" i="4"/>
  <c r="X89" i="4"/>
  <c r="X28" i="4"/>
  <c r="J8" i="18" l="1"/>
  <c r="AD27" i="31"/>
  <c r="M44" i="4" l="1"/>
  <c r="S37" i="31" l="1"/>
  <c r="AD37" i="31" s="1"/>
  <c r="M105" i="4"/>
  <c r="X105" i="4" s="1"/>
  <c r="X38" i="4"/>
  <c r="X42" i="4"/>
  <c r="X101" i="4" l="1"/>
  <c r="X40" i="4"/>
  <c r="J12" i="18" l="1"/>
  <c r="AD106" i="31"/>
  <c r="AD196" i="31"/>
  <c r="AD184" i="31"/>
  <c r="AD190" i="31"/>
  <c r="AD173" i="31"/>
  <c r="AD172" i="31"/>
  <c r="AD168" i="31"/>
  <c r="AD164" i="31"/>
  <c r="AD163" i="31"/>
  <c r="AD161" i="31"/>
  <c r="AD160" i="31"/>
  <c r="AD142" i="31"/>
  <c r="AD141" i="31"/>
  <c r="AD119" i="31"/>
  <c r="AD118" i="31" s="1"/>
  <c r="AD116" i="31"/>
  <c r="AD115" i="31" s="1"/>
  <c r="AD112" i="31"/>
  <c r="AD108" i="31"/>
  <c r="AD107" i="31"/>
  <c r="AD102" i="31"/>
  <c r="AD101" i="31"/>
  <c r="AD100" i="31"/>
  <c r="AD92" i="31"/>
  <c r="J88" i="31" s="1"/>
  <c r="AD91" i="31"/>
  <c r="F88" i="31" s="1"/>
  <c r="J195" i="31" l="1"/>
  <c r="AD195" i="31"/>
  <c r="X217" i="4"/>
  <c r="X211" i="4" l="1"/>
  <c r="X174" i="4" l="1"/>
  <c r="X90" i="4"/>
  <c r="E19" i="18" l="1"/>
  <c r="J175" i="31"/>
  <c r="AD99" i="31"/>
  <c r="AD88" i="31"/>
  <c r="J192" i="31" l="1"/>
  <c r="F181" i="31"/>
  <c r="G181" i="31"/>
  <c r="H181" i="31"/>
  <c r="I181" i="31"/>
  <c r="K181" i="31"/>
  <c r="L181" i="31"/>
  <c r="AD179" i="31"/>
  <c r="AD175" i="31"/>
  <c r="E175" i="31" s="1"/>
  <c r="M175" i="31" s="1"/>
  <c r="N175" i="31" s="1"/>
  <c r="L175" i="31"/>
  <c r="K175" i="31"/>
  <c r="I175" i="31"/>
  <c r="H175" i="31"/>
  <c r="G175" i="31"/>
  <c r="F175" i="31"/>
  <c r="AD153" i="31"/>
  <c r="AD151" i="31"/>
  <c r="AD150" i="31"/>
  <c r="AD149" i="31"/>
  <c r="AD148" i="31"/>
  <c r="AD181" i="31" l="1"/>
  <c r="E181" i="31" s="1"/>
  <c r="M181" i="31" s="1"/>
  <c r="N181" i="31" s="1"/>
  <c r="J181" i="31"/>
  <c r="AD146" i="31"/>
  <c r="AD105" i="31"/>
  <c r="H200" i="31" l="1"/>
  <c r="G200" i="31"/>
  <c r="H195" i="31"/>
  <c r="G195" i="31"/>
  <c r="H192" i="31"/>
  <c r="G192" i="31"/>
  <c r="H187" i="31"/>
  <c r="G187" i="31"/>
  <c r="H178" i="31"/>
  <c r="G178" i="31"/>
  <c r="H171" i="31"/>
  <c r="G171" i="31"/>
  <c r="H167" i="31"/>
  <c r="G167" i="31"/>
  <c r="H162" i="31"/>
  <c r="H159" i="31"/>
  <c r="H155" i="31"/>
  <c r="G155" i="31"/>
  <c r="H146" i="31"/>
  <c r="H138" i="31"/>
  <c r="G138" i="31"/>
  <c r="H126" i="31"/>
  <c r="G126" i="31"/>
  <c r="H124" i="31"/>
  <c r="G124" i="31"/>
  <c r="H115" i="31"/>
  <c r="G115" i="31"/>
  <c r="H111" i="31"/>
  <c r="G111" i="31"/>
  <c r="H105" i="31"/>
  <c r="G105" i="31"/>
  <c r="H99" i="31"/>
  <c r="G99" i="31"/>
  <c r="G78" i="31"/>
  <c r="H78" i="31"/>
  <c r="H76" i="31"/>
  <c r="G76" i="31"/>
  <c r="H80" i="31"/>
  <c r="G80" i="31"/>
  <c r="H88" i="31"/>
  <c r="G88" i="31"/>
  <c r="H14" i="31"/>
  <c r="G14" i="31"/>
  <c r="H35" i="31"/>
  <c r="G35" i="31"/>
  <c r="H44" i="31"/>
  <c r="G44" i="31"/>
  <c r="H68" i="31"/>
  <c r="G68" i="31"/>
  <c r="G170" i="31" l="1"/>
  <c r="H170" i="31"/>
  <c r="AD7" i="31"/>
  <c r="H11" i="31"/>
  <c r="G11" i="31"/>
  <c r="H7" i="31"/>
  <c r="G7" i="31"/>
  <c r="N200" i="31"/>
  <c r="L200" i="31"/>
  <c r="L199" i="31" s="1"/>
  <c r="K200" i="31"/>
  <c r="K199" i="31" s="1"/>
  <c r="J200" i="31"/>
  <c r="J199" i="31" s="1"/>
  <c r="I200" i="31"/>
  <c r="I199" i="31" s="1"/>
  <c r="H199" i="31"/>
  <c r="G199" i="31"/>
  <c r="F200" i="31"/>
  <c r="F199" i="31" s="1"/>
  <c r="E200" i="31"/>
  <c r="E199" i="31" s="1"/>
  <c r="AD199" i="31"/>
  <c r="D199" i="31"/>
  <c r="N199" i="31" s="1"/>
  <c r="E195" i="31"/>
  <c r="M195" i="31" s="1"/>
  <c r="N195" i="31" s="1"/>
  <c r="L195" i="31"/>
  <c r="K195" i="31"/>
  <c r="I195" i="31"/>
  <c r="F195" i="31"/>
  <c r="AD192" i="31"/>
  <c r="E192" i="31" s="1"/>
  <c r="L192" i="31"/>
  <c r="K192" i="31"/>
  <c r="I192" i="31"/>
  <c r="F192" i="31"/>
  <c r="AD187" i="31"/>
  <c r="E187" i="31" s="1"/>
  <c r="L187" i="31"/>
  <c r="K187" i="31"/>
  <c r="J187" i="31"/>
  <c r="I187" i="31"/>
  <c r="F187" i="31"/>
  <c r="AD178" i="31"/>
  <c r="E178" i="31" s="1"/>
  <c r="L178" i="31"/>
  <c r="K178" i="31"/>
  <c r="J178" i="31"/>
  <c r="I178" i="31"/>
  <c r="F178" i="31"/>
  <c r="AD171" i="31"/>
  <c r="L171" i="31"/>
  <c r="K171" i="31"/>
  <c r="J171" i="31"/>
  <c r="J170" i="31" s="1"/>
  <c r="I171" i="31"/>
  <c r="F171" i="31"/>
  <c r="L167" i="31"/>
  <c r="K167" i="31"/>
  <c r="J167" i="31"/>
  <c r="I167" i="31"/>
  <c r="F162" i="31"/>
  <c r="L162" i="31"/>
  <c r="K162" i="31"/>
  <c r="J162" i="31"/>
  <c r="G159" i="31"/>
  <c r="L159" i="31"/>
  <c r="K159" i="31"/>
  <c r="J159" i="31"/>
  <c r="I159" i="31"/>
  <c r="F159" i="31"/>
  <c r="AD155" i="31"/>
  <c r="E155" i="31" s="1"/>
  <c r="L155" i="31"/>
  <c r="K155" i="31"/>
  <c r="J155" i="31"/>
  <c r="I155" i="31"/>
  <c r="F155" i="31"/>
  <c r="K146" i="31"/>
  <c r="I146" i="31"/>
  <c r="D145" i="31"/>
  <c r="L138" i="31"/>
  <c r="K138" i="31"/>
  <c r="J138" i="31"/>
  <c r="I138" i="31"/>
  <c r="AD126" i="31"/>
  <c r="E126" i="31" s="1"/>
  <c r="L126" i="31"/>
  <c r="K126" i="31"/>
  <c r="J126" i="31"/>
  <c r="I126" i="31"/>
  <c r="F126" i="31"/>
  <c r="L124" i="31"/>
  <c r="K124" i="31"/>
  <c r="J124" i="31"/>
  <c r="F124" i="31"/>
  <c r="D123" i="31"/>
  <c r="D122" i="31" s="1"/>
  <c r="J115" i="31"/>
  <c r="I115" i="31"/>
  <c r="F115" i="31"/>
  <c r="F111" i="31"/>
  <c r="L111" i="31"/>
  <c r="K111" i="31"/>
  <c r="J111" i="31"/>
  <c r="I111" i="31"/>
  <c r="L105" i="31"/>
  <c r="K105" i="31"/>
  <c r="J105" i="31"/>
  <c r="I105" i="31"/>
  <c r="L99" i="31"/>
  <c r="K99" i="31"/>
  <c r="J99" i="31"/>
  <c r="I99" i="31"/>
  <c r="AD85" i="31"/>
  <c r="E85" i="31" s="1"/>
  <c r="L85" i="31"/>
  <c r="K85" i="31"/>
  <c r="J85" i="31"/>
  <c r="I85" i="31"/>
  <c r="H85" i="31"/>
  <c r="G85" i="31"/>
  <c r="F85" i="31"/>
  <c r="D84" i="31"/>
  <c r="AD80" i="31"/>
  <c r="E80" i="31" s="1"/>
  <c r="M80" i="31" s="1"/>
  <c r="N80" i="31" s="1"/>
  <c r="L80" i="31"/>
  <c r="J80" i="31"/>
  <c r="I80" i="31"/>
  <c r="F80" i="31"/>
  <c r="N78" i="31"/>
  <c r="L78" i="31"/>
  <c r="K78" i="31"/>
  <c r="J78" i="31"/>
  <c r="I78" i="31"/>
  <c r="F78" i="31"/>
  <c r="E78" i="31"/>
  <c r="M78" i="31" s="1"/>
  <c r="AD76" i="31"/>
  <c r="E76" i="31" s="1"/>
  <c r="L76" i="31"/>
  <c r="K76" i="31"/>
  <c r="J76" i="31"/>
  <c r="I76" i="31"/>
  <c r="F76" i="31"/>
  <c r="D75" i="31"/>
  <c r="K68" i="31"/>
  <c r="L68" i="31"/>
  <c r="J68" i="31"/>
  <c r="I68" i="31"/>
  <c r="F68" i="31"/>
  <c r="L44" i="31"/>
  <c r="J44" i="31"/>
  <c r="I44" i="31"/>
  <c r="AD41" i="31"/>
  <c r="L35" i="31"/>
  <c r="J35" i="31"/>
  <c r="I35" i="31"/>
  <c r="AD32" i="31"/>
  <c r="AD31" i="31" s="1"/>
  <c r="AD19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K170" i="31" l="1"/>
  <c r="F170" i="31"/>
  <c r="L170" i="31"/>
  <c r="I170" i="31"/>
  <c r="E171" i="31"/>
  <c r="E170" i="31" s="1"/>
  <c r="AD170" i="31"/>
  <c r="G146" i="31"/>
  <c r="G162" i="31"/>
  <c r="AD36" i="31"/>
  <c r="AD14" i="31"/>
  <c r="E14" i="31" s="1"/>
  <c r="D144" i="31"/>
  <c r="D5" i="31"/>
  <c r="D4" i="31" s="1"/>
  <c r="L146" i="31"/>
  <c r="L145" i="31" s="1"/>
  <c r="AD138" i="31"/>
  <c r="E138" i="31" s="1"/>
  <c r="AD167" i="31"/>
  <c r="E167" i="31" s="1"/>
  <c r="M167" i="31" s="1"/>
  <c r="N167" i="31" s="1"/>
  <c r="F99" i="31"/>
  <c r="I75" i="31"/>
  <c r="L115" i="31"/>
  <c r="I88" i="31"/>
  <c r="H123" i="31"/>
  <c r="H122" i="31" s="1"/>
  <c r="I6" i="31"/>
  <c r="M199" i="31"/>
  <c r="E105" i="31"/>
  <c r="M105" i="31" s="1"/>
  <c r="N105" i="31" s="1"/>
  <c r="J75" i="31"/>
  <c r="L123" i="31"/>
  <c r="L122" i="31" s="1"/>
  <c r="K115" i="31"/>
  <c r="M200" i="31"/>
  <c r="M192" i="31"/>
  <c r="N192" i="31" s="1"/>
  <c r="M155" i="31"/>
  <c r="N155" i="31" s="1"/>
  <c r="M178" i="31"/>
  <c r="N178" i="31" s="1"/>
  <c r="K14" i="31"/>
  <c r="L6" i="31"/>
  <c r="F146" i="31"/>
  <c r="M187" i="31"/>
  <c r="N187" i="31" s="1"/>
  <c r="L75" i="31"/>
  <c r="G123" i="31"/>
  <c r="G122" i="31" s="1"/>
  <c r="E146" i="31"/>
  <c r="AD159" i="31"/>
  <c r="E159" i="31" s="1"/>
  <c r="M159" i="31" s="1"/>
  <c r="N159" i="31" s="1"/>
  <c r="K123" i="31"/>
  <c r="K122" i="31" s="1"/>
  <c r="I162" i="31"/>
  <c r="H84" i="31"/>
  <c r="G75" i="31"/>
  <c r="K145" i="31"/>
  <c r="J6" i="31"/>
  <c r="AD162" i="31"/>
  <c r="E162" i="31" s="1"/>
  <c r="M162" i="31" s="1"/>
  <c r="N162" i="31" s="1"/>
  <c r="J84" i="31"/>
  <c r="H75" i="31"/>
  <c r="F75" i="31"/>
  <c r="H6" i="31"/>
  <c r="M85" i="31"/>
  <c r="N85" i="31" s="1"/>
  <c r="M76" i="31"/>
  <c r="N76" i="31" s="1"/>
  <c r="E75" i="31"/>
  <c r="M75" i="31" s="1"/>
  <c r="N75" i="31" s="1"/>
  <c r="M126" i="31"/>
  <c r="N126" i="31" s="1"/>
  <c r="E7" i="31"/>
  <c r="AD68" i="31"/>
  <c r="E68" i="31" s="1"/>
  <c r="AD75" i="31"/>
  <c r="I123" i="31"/>
  <c r="I122" i="31" s="1"/>
  <c r="S47" i="31"/>
  <c r="AD47" i="31" s="1"/>
  <c r="J123" i="31"/>
  <c r="J122" i="31" s="1"/>
  <c r="F138" i="31"/>
  <c r="E99" i="31"/>
  <c r="F105" i="31"/>
  <c r="AD111" i="31"/>
  <c r="E111" i="31" s="1"/>
  <c r="G84" i="31"/>
  <c r="E88" i="31"/>
  <c r="J146" i="31"/>
  <c r="F167" i="31"/>
  <c r="K80" i="31"/>
  <c r="K75" i="31" s="1"/>
  <c r="M171" i="31" l="1"/>
  <c r="M170" i="31"/>
  <c r="N170" i="31" s="1"/>
  <c r="M203" i="31"/>
  <c r="N203" i="31" s="1"/>
  <c r="E202" i="31"/>
  <c r="M138" i="31"/>
  <c r="N138" i="31" s="1"/>
  <c r="F35" i="31"/>
  <c r="AD123" i="31"/>
  <c r="AD122" i="31" s="1"/>
  <c r="E124" i="31"/>
  <c r="E123" i="31" s="1"/>
  <c r="E115" i="31"/>
  <c r="L144" i="31"/>
  <c r="I145" i="31"/>
  <c r="I144" i="31" s="1"/>
  <c r="H145" i="31"/>
  <c r="H144" i="31" s="1"/>
  <c r="L84" i="31"/>
  <c r="L5" i="31" s="1"/>
  <c r="K144" i="31"/>
  <c r="I84" i="31"/>
  <c r="I5" i="31" s="1"/>
  <c r="S42" i="31"/>
  <c r="AD42" i="31" s="1"/>
  <c r="K84" i="31"/>
  <c r="H5" i="31"/>
  <c r="AD145" i="31"/>
  <c r="AD144" i="31" s="1"/>
  <c r="J5" i="31"/>
  <c r="M88" i="31"/>
  <c r="N88" i="31" s="1"/>
  <c r="M146" i="31"/>
  <c r="N146" i="31" s="1"/>
  <c r="E145" i="31"/>
  <c r="J145" i="31"/>
  <c r="J144" i="31" s="1"/>
  <c r="M68" i="31"/>
  <c r="N68" i="31" s="1"/>
  <c r="M14" i="31"/>
  <c r="N14" i="31" s="1"/>
  <c r="S51" i="31"/>
  <c r="AD51" i="31" s="1"/>
  <c r="F84" i="31"/>
  <c r="F123" i="31"/>
  <c r="F122" i="31" s="1"/>
  <c r="N171" i="31"/>
  <c r="M99" i="31"/>
  <c r="N99" i="31" s="1"/>
  <c r="M7" i="31"/>
  <c r="N7" i="31" s="1"/>
  <c r="M111" i="31"/>
  <c r="N111" i="31" s="1"/>
  <c r="G145" i="31"/>
  <c r="G144" i="31" s="1"/>
  <c r="F145" i="31"/>
  <c r="F144" i="31" s="1"/>
  <c r="J4" i="31" l="1"/>
  <c r="H4" i="31"/>
  <c r="M202" i="31"/>
  <c r="N202" i="31" s="1"/>
  <c r="I4" i="31"/>
  <c r="L4" i="31"/>
  <c r="AD84" i="31"/>
  <c r="AD40" i="31"/>
  <c r="AD35" i="31" s="1"/>
  <c r="M124" i="31"/>
  <c r="N124" i="31" s="1"/>
  <c r="E84" i="31"/>
  <c r="M84" i="31" s="1"/>
  <c r="N84" i="31" s="1"/>
  <c r="M115" i="31"/>
  <c r="N115" i="31" s="1"/>
  <c r="K35" i="31"/>
  <c r="M145" i="31"/>
  <c r="E144" i="31"/>
  <c r="M123" i="31"/>
  <c r="N123" i="31" s="1"/>
  <c r="E122" i="31"/>
  <c r="M122" i="31" s="1"/>
  <c r="N122" i="31" s="1"/>
  <c r="AD46" i="31"/>
  <c r="S59" i="31"/>
  <c r="AD59" i="31" s="1"/>
  <c r="E35" i="31" l="1"/>
  <c r="M35" i="31" s="1"/>
  <c r="N35" i="31" s="1"/>
  <c r="K44" i="31"/>
  <c r="G6" i="31"/>
  <c r="G5" i="31" s="1"/>
  <c r="G4" i="31" s="1"/>
  <c r="S55" i="31"/>
  <c r="AD55" i="31" s="1"/>
  <c r="AD50" i="31"/>
  <c r="M144" i="31"/>
  <c r="N144" i="31" s="1"/>
  <c r="N145" i="31"/>
  <c r="S63" i="31"/>
  <c r="AD63" i="31" s="1"/>
  <c r="K6" i="31" l="1"/>
  <c r="K5" i="31" s="1"/>
  <c r="K4" i="31" s="1"/>
  <c r="AD62" i="31"/>
  <c r="AD58" i="31"/>
  <c r="AD54" i="31"/>
  <c r="F44" i="31"/>
  <c r="AD44" i="31" l="1"/>
  <c r="F6" i="31"/>
  <c r="E44" i="31" l="1"/>
  <c r="E6" i="31" s="1"/>
  <c r="AD6" i="31"/>
  <c r="AD5" i="31" s="1"/>
  <c r="AD4" i="31" s="1"/>
  <c r="F5" i="31"/>
  <c r="F4" i="31" s="1"/>
  <c r="M44" i="31" l="1"/>
  <c r="N44" i="31" s="1"/>
  <c r="M6" i="31"/>
  <c r="N6" i="31" s="1"/>
  <c r="E5" i="31"/>
  <c r="E4" i="31" s="1"/>
  <c r="M4" i="31" l="1"/>
  <c r="N4" i="31" s="1"/>
  <c r="M5" i="31"/>
  <c r="N5" i="31" s="1"/>
  <c r="X190" i="4" l="1"/>
  <c r="X139" i="4" l="1"/>
  <c r="X122" i="4"/>
  <c r="X100" i="4"/>
  <c r="X97" i="4"/>
  <c r="X96" i="4"/>
  <c r="X98" i="4" l="1"/>
  <c r="X95" i="4"/>
  <c r="X92" i="4"/>
  <c r="X88" i="4"/>
  <c r="X104" i="4"/>
  <c r="M109" i="4"/>
  <c r="X109" i="4" s="1"/>
  <c r="M118" i="4"/>
  <c r="X118" i="4" s="1"/>
  <c r="X119" i="4"/>
  <c r="M121" i="4"/>
  <c r="M112" i="4"/>
  <c r="X112" i="4" s="1"/>
  <c r="M48" i="4"/>
  <c r="X48" i="4" s="1"/>
  <c r="X39" i="4"/>
  <c r="X36" i="4"/>
  <c r="X35" i="4"/>
  <c r="X33" i="4"/>
  <c r="X32" i="4"/>
  <c r="X121" i="4" l="1"/>
  <c r="X120" i="4" s="1"/>
  <c r="X91" i="4"/>
  <c r="X34" i="4"/>
  <c r="X117" i="4"/>
  <c r="X116" i="4"/>
  <c r="X108" i="4"/>
  <c r="M115" i="4"/>
  <c r="X115" i="4" s="1"/>
  <c r="X37" i="4"/>
  <c r="M51" i="4"/>
  <c r="X51" i="4" s="1"/>
  <c r="M54" i="4" s="1"/>
  <c r="X54" i="4" s="1"/>
  <c r="X55" i="4"/>
  <c r="M57" i="4"/>
  <c r="X57" i="4" s="1"/>
  <c r="X61" i="4"/>
  <c r="X47" i="4"/>
  <c r="X58" i="4"/>
  <c r="M60" i="4"/>
  <c r="X60" i="4" s="1"/>
  <c r="X31" i="4"/>
  <c r="X30" i="4" l="1"/>
  <c r="X111" i="4"/>
  <c r="X114" i="4"/>
  <c r="X53" i="4"/>
  <c r="X50" i="4"/>
  <c r="X56" i="4"/>
  <c r="X59" i="4"/>
  <c r="X6" i="4"/>
  <c r="X107" i="4" l="1"/>
  <c r="X87" i="4" s="1"/>
  <c r="X46" i="4"/>
  <c r="X151" i="4" l="1"/>
  <c r="X15" i="4"/>
  <c r="X185" i="4" l="1"/>
  <c r="X177" i="4"/>
  <c r="J23" i="18" l="1"/>
  <c r="J16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10" i="18"/>
  <c r="E8" i="18"/>
  <c r="K16" i="18" l="1"/>
  <c r="J7" i="18"/>
  <c r="E7" i="18"/>
  <c r="X136" i="4" l="1"/>
  <c r="X135" i="4" s="1"/>
  <c r="F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75" i="4"/>
  <c r="X73" i="4"/>
  <c r="E173" i="4" l="1"/>
  <c r="E210" i="4"/>
  <c r="E201" i="4"/>
  <c r="E198" i="4"/>
  <c r="H195" i="4"/>
  <c r="E194" i="4"/>
  <c r="H194" i="4" s="1"/>
  <c r="E189" i="4"/>
  <c r="E164" i="4"/>
  <c r="E168" i="4"/>
  <c r="E145" i="4"/>
  <c r="E151" i="4"/>
  <c r="E141" i="4"/>
  <c r="E83" i="4"/>
  <c r="E163" i="4" l="1"/>
  <c r="E144" i="4"/>
  <c r="E197" i="4"/>
  <c r="E172" i="4"/>
  <c r="E22" i="4"/>
  <c r="H199" i="4"/>
  <c r="H198" i="4"/>
  <c r="H165" i="4"/>
  <c r="H164" i="4"/>
  <c r="H161" i="4"/>
  <c r="H158" i="4"/>
  <c r="H142" i="4"/>
  <c r="H141" i="4"/>
  <c r="X150" i="4"/>
  <c r="X149" i="4" s="1"/>
  <c r="F149" i="4" s="1"/>
  <c r="G149" i="4" s="1"/>
  <c r="H149" i="4" s="1"/>
  <c r="E12" i="4" l="1"/>
  <c r="F211" i="4"/>
  <c r="F210" i="4" s="1"/>
  <c r="G210" i="4" s="1"/>
  <c r="H210" i="4" s="1"/>
  <c r="G211" i="4" l="1"/>
  <c r="H211" i="4" s="1"/>
  <c r="X202" i="4" l="1"/>
  <c r="F202" i="4" s="1"/>
  <c r="X189" i="4"/>
  <c r="F185" i="4"/>
  <c r="G185" i="4" s="1"/>
  <c r="H185" i="4" s="1"/>
  <c r="X181" i="4"/>
  <c r="F181" i="4" s="1"/>
  <c r="G181" i="4" s="1"/>
  <c r="H181" i="4" s="1"/>
  <c r="F177" i="4"/>
  <c r="G177" i="4" s="1"/>
  <c r="H177" i="4" s="1"/>
  <c r="F174" i="4"/>
  <c r="G174" i="4" s="1"/>
  <c r="H174" i="4" s="1"/>
  <c r="E160" i="4"/>
  <c r="H160" i="4" s="1"/>
  <c r="E157" i="4"/>
  <c r="H157" i="4" s="1"/>
  <c r="X160" i="4"/>
  <c r="X158" i="4"/>
  <c r="X157" i="4" s="1"/>
  <c r="F161" i="4"/>
  <c r="X81" i="4"/>
  <c r="X80" i="4" s="1"/>
  <c r="F80" i="4" s="1"/>
  <c r="G80" i="4" s="1"/>
  <c r="H80" i="4" s="1"/>
  <c r="X78" i="4"/>
  <c r="X77" i="4" s="1"/>
  <c r="F77" i="4" s="1"/>
  <c r="X131" i="4"/>
  <c r="X133" i="4"/>
  <c r="X71" i="4"/>
  <c r="X72" i="4"/>
  <c r="X44" i="4"/>
  <c r="X43" i="4" s="1"/>
  <c r="F158" i="4" l="1"/>
  <c r="G158" i="4" s="1"/>
  <c r="F169" i="4"/>
  <c r="X63" i="4"/>
  <c r="F63" i="4" s="1"/>
  <c r="G63" i="4" s="1"/>
  <c r="H63" i="4" s="1"/>
  <c r="F160" i="4"/>
  <c r="G160" i="4" s="1"/>
  <c r="G161" i="4"/>
  <c r="F201" i="4"/>
  <c r="G201" i="4" s="1"/>
  <c r="H201" i="4" s="1"/>
  <c r="G202" i="4"/>
  <c r="H202" i="4" s="1"/>
  <c r="F157" i="4"/>
  <c r="G157" i="4" s="1"/>
  <c r="X138" i="4"/>
  <c r="F138" i="4" s="1"/>
  <c r="G138" i="4" s="1"/>
  <c r="H138" i="4" s="1"/>
  <c r="X124" i="4"/>
  <c r="X156" i="4"/>
  <c r="X173" i="4"/>
  <c r="F190" i="4"/>
  <c r="F173" i="4"/>
  <c r="G173" i="4" s="1"/>
  <c r="H173" i="4" s="1"/>
  <c r="E156" i="4"/>
  <c r="X69" i="4"/>
  <c r="F69" i="4" s="1"/>
  <c r="G69" i="4" s="1"/>
  <c r="H69" i="4" s="1"/>
  <c r="X127" i="4"/>
  <c r="F127" i="4" s="1"/>
  <c r="G127" i="4" s="1"/>
  <c r="H127" i="4" s="1"/>
  <c r="F168" i="4" l="1"/>
  <c r="G168" i="4" s="1"/>
  <c r="H168" i="4" s="1"/>
  <c r="G169" i="4"/>
  <c r="H169" i="4" s="1"/>
  <c r="F156" i="4"/>
  <c r="G156" i="4" s="1"/>
  <c r="E4" i="4"/>
  <c r="H156" i="4"/>
  <c r="F189" i="4"/>
  <c r="G189" i="4" s="1"/>
  <c r="H189" i="4" s="1"/>
  <c r="G190" i="4"/>
  <c r="H190" i="4" s="1"/>
  <c r="F87" i="4" l="1"/>
  <c r="G87" i="4" s="1"/>
  <c r="H87" i="4" s="1"/>
  <c r="G77" i="4"/>
  <c r="H77" i="4" s="1"/>
  <c r="G135" i="4" l="1"/>
  <c r="H135" i="4" s="1"/>
  <c r="X29" i="4" l="1"/>
  <c r="X27" i="4" s="1"/>
  <c r="X26" i="4" s="1"/>
  <c r="F26" i="4" l="1"/>
  <c r="G26" i="4" s="1"/>
  <c r="H26" i="4" s="1"/>
  <c r="X24" i="4" l="1"/>
  <c r="X10" i="4"/>
  <c r="F142" i="4"/>
  <c r="X210" i="4"/>
  <c r="X201" i="4"/>
  <c r="X200" i="4"/>
  <c r="X199" i="4" s="1"/>
  <c r="F199" i="4" s="1"/>
  <c r="X195" i="4"/>
  <c r="X168" i="4"/>
  <c r="X165" i="4"/>
  <c r="X141" i="4"/>
  <c r="F124" i="4" s="1"/>
  <c r="G124" i="4" s="1"/>
  <c r="H124" i="4" s="1"/>
  <c r="X85" i="4"/>
  <c r="F198" i="4" l="1"/>
  <c r="G199" i="4"/>
  <c r="F141" i="4"/>
  <c r="G141" i="4" s="1"/>
  <c r="G142" i="4"/>
  <c r="X164" i="4"/>
  <c r="F165" i="4"/>
  <c r="X194" i="4"/>
  <c r="X172" i="4" s="1"/>
  <c r="F195" i="4"/>
  <c r="X14" i="4"/>
  <c r="X13" i="4" s="1"/>
  <c r="X84" i="4"/>
  <c r="X23" i="4"/>
  <c r="X22" i="4" s="1"/>
  <c r="X198" i="4"/>
  <c r="X197" i="4" s="1"/>
  <c r="X163" i="4"/>
  <c r="F197" i="4" l="1"/>
  <c r="G197" i="4" s="1"/>
  <c r="H197" i="4" s="1"/>
  <c r="G198" i="4"/>
  <c r="F194" i="4"/>
  <c r="G195" i="4"/>
  <c r="F164" i="4"/>
  <c r="G165" i="4"/>
  <c r="F84" i="4"/>
  <c r="X83" i="4"/>
  <c r="F14" i="4"/>
  <c r="F13" i="4" s="1"/>
  <c r="F23" i="4"/>
  <c r="F10" i="4"/>
  <c r="G10" i="4" s="1"/>
  <c r="H10" i="4"/>
  <c r="X8" i="4"/>
  <c r="X12" i="4" l="1"/>
  <c r="F163" i="4"/>
  <c r="G163" i="4" s="1"/>
  <c r="H163" i="4" s="1"/>
  <c r="G164" i="4"/>
  <c r="F172" i="4"/>
  <c r="G172" i="4" s="1"/>
  <c r="H172" i="4" s="1"/>
  <c r="G194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1" i="18"/>
  <c r="K9" i="18"/>
  <c r="K8" i="18" s="1"/>
  <c r="F9" i="18"/>
  <c r="F8" i="18" s="1"/>
  <c r="F14" i="18" l="1"/>
  <c r="K7" i="18"/>
  <c r="F10" i="18"/>
  <c r="F12" i="4"/>
  <c r="G12" i="4" l="1"/>
  <c r="H12" i="4" s="1"/>
  <c r="F7" i="18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5" i="4"/>
  <c r="H145" i="4" s="1"/>
  <c r="G144" i="4" l="1"/>
  <c r="H144" i="4" s="1"/>
  <c r="X7" i="4"/>
  <c r="X5" i="4" s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<sst xmlns="http://schemas.openxmlformats.org/spreadsheetml/2006/main" count="1646" uniqueCount="539">
  <si>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</si>
  <si>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</si>
  <si>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</si>
  <si>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</si>
  <si>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</si>
  <si>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</si>
  <si>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</si>
  <si>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</si>
  <si>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</si>
  <si>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</si>
  <si>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</si>
  <si>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</si>
  <si>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</si>
  <si>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</si>
  <si>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</si>
  <si>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</si>
  <si>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</si>
  <si>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</si>
  <si>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</si>
  <si>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</si>
  <si>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</si>
  <si>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</si>
  <si>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</si>
  <si>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</si>
  <si>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</si>
  <si>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</si>
  <si>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</si>
  <si>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</si>
  <si>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</si>
  <si>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</si>
  <si>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</si>
  <si>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</si>
  <si>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</si>
  <si>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</si>
  <si>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</si>
  <si>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</si>
  <si>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</si>
  <si>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</si>
  <si>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</si>
  <si>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</si>
  <si>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</si>
  <si>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</si>
  <si>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</si>
  <si>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</si>
  <si>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</si>
  <si>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</si>
  <si>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</si>
  <si>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</si>
  <si>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</si>
  <si>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</si>
  <si>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</si>
  <si>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</si>
  <si>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</si>
  <si>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</si>
  <si>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</si>
  <si>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</si>
  <si>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</si>
  <si>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</si>
  <si>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</si>
  <si>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</si>
  <si>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</si>
  <si>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</si>
  <si>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</si>
  <si>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</si>
  <si>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</si>
  <si>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</si>
  <si>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</si>
  <si>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</si>
  <si>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</si>
  <si>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</si>
  <si>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</si>
  <si>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</si>
  <si>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</si>
  <si>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</si>
  <si>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</si>
  <si>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</si>
  <si>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</si>
  <si>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</si>
  <si>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</si>
  <si>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</si>
  <si>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</si>
  <si>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</si>
  <si>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</si>
  <si>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</si>
  <si>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</si>
  <si>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</si>
  <si>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</si>
  <si>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</si>
  <si>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</si>
  <si>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</si>
  <si>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</si>
  <si>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</si>
  <si>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</si>
  <si>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</si>
  <si>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</si>
  <si>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</si>
  <si>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</si>
  <si>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</si>
  <si>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</si>
  <si>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</si>
  <si>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</si>
  <si>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</si>
  <si>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</si>
  <si>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</si>
  <si>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</si>
  <si>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</si>
  <si>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</si>
  <si>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</si>
  <si>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</si>
  <si>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</si>
  <si>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</si>
  <si>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</si>
  <si>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</si>
  <si>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</si>
  <si>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</si>
  <si>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</si>
  <si>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</si>
  <si>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</si>
  <si>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</si>
  <si>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</si>
  <si>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</si>
  <si>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</si>
  <si>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</si>
  <si>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</si>
  <si>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</si>
  <si>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</si>
  <si>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</si>
  <si>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</si>
  <si>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</si>
  <si>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</si>
  <si>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</si>
  <si>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</si>
  <si>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</si>
  <si>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</si>
  <si>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</si>
  <si>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</si>
  <si>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</si>
  <si>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</si>
  <si>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</si>
  <si>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</si>
  <si>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</si>
  <si>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</si>
  <si>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</si>
  <si>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</si>
  <si>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</si>
  <si>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</si>
  <si>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</si>
  <si>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</si>
  <si>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</si>
  <si>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</si>
  <si>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</si>
  <si>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</si>
  <si>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</si>
  <si>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</si>
  <si>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</si>
  <si>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</si>
  <si>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</si>
  <si>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</si>
  <si>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</si>
  <si>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</si>
  <si>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</si>
  <si>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</si>
  <si>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</si>
  <si>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</si>
  <si>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</si>
  <si>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</si>
  <si>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</si>
  <si>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</si>
  <si>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</si>
  <si>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</si>
  <si>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</si>
  <si>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</si>
  <si>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</si>
  <si>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</si>
  <si>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</si>
  <si>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</si>
  <si>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</si>
  <si>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</si>
  <si>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</si>
  <si>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</si>
  <si>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</si>
  <si>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</si>
  <si>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</si>
  <si>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</si>
  <si>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</si>
  <si>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</si>
  <si>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</si>
  <si>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</si>
  <si>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</si>
  <si>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</si>
  <si>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</si>
  <si>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</si>
  <si>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</si>
  <si>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</si>
  <si>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</si>
  <si>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</si>
  <si>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</si>
  <si>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</si>
  <si>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</si>
  <si>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</si>
  <si>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</si>
  <si>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</si>
  <si>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</si>
  <si>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</si>
  <si>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</si>
  <si>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</si>
  <si>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</si>
  <si>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</si>
  <si>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</si>
  <si>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</si>
  <si>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</si>
  <si>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</si>
  <si>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</si>
  <si>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</si>
  <si>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</si>
  <si>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</si>
  <si>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</si>
  <si>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</si>
  <si>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</si>
  <si>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</si>
  <si>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</si>
  <si>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</si>
  <si>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</si>
  <si>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</si>
  <si>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</si>
  <si>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</si>
  <si>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</si>
  <si>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</si>
  <si>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</si>
  <si>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</si>
  <si>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</si>
  <si>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</si>
  <si>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</si>
  <si>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</si>
  <si>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</si>
  <si>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</si>
  <si>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</si>
  <si>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</si>
  <si>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</si>
  <si>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</si>
  <si>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</si>
  <si>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</si>
  <si>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</si>
  <si>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</si>
  <si>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</si>
  <si>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</si>
  <si>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</si>
  <si>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</si>
  <si>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</si>
  <si>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</si>
  <si>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</si>
  <si>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</si>
  <si>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</si>
  <si>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</si>
  <si>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</si>
  <si>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</si>
  <si>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</si>
  <si>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</si>
  <si>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</si>
  <si>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</si>
  <si>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</si>
  <si>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</si>
  <si>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</si>
  <si>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</si>
  <si>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</si>
  <si>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</si>
  <si>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</si>
  <si>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</si>
  <si>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</si>
  <si>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</si>
  <si>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</si>
  <si>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</si>
  <si>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</si>
  <si>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</si>
  <si>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</si>
  <si>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</si>
  <si>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</si>
  <si>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</si>
  <si>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</si>
  <si>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</si>
  <si>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</si>
  <si>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</si>
  <si>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</si>
  <si>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</si>
  <si>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</si>
  <si>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</si>
  <si>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</si>
  <si>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</si>
  <si>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</si>
  <si>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</si>
  <si>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</si>
  <si>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</si>
  <si>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</si>
  <si>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</si>
  <si>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</si>
  <si>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</si>
  <si>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</si>
  <si>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</si>
  <si>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 xml:space="preserve"> * 경기도 재활프로그램(도예)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</si>
  <si>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</si>
  <si>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</si>
  <si>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</si>
  <si>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</si>
  <si>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</si>
  <si>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</si>
  <si>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</si>
  <si>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</si>
  <si>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</si>
  <si>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</si>
  <si>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</si>
  <si>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</si>
  <si>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</si>
  <si>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</si>
  <si>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</si>
  <si>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</si>
  <si>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</si>
  <si>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.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</si>
  <si>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</si>
  <si>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</si>
  <si>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</si>
  <si>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</si>
  <si>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</si>
  <si>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</si>
  <si>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</si>
  <si>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</si>
  <si>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</si>
  <si>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</si>
  <si>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</si>
  <si>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</si>
  <si>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</si>
  <si>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</si>
  <si>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</si>
  <si>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</si>
  <si>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</si>
  <si>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</si>
  <si>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</si>
  <si>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</si>
  <si>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</si>
  <si>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</si>
  <si>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</si>
  <si>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</si>
  <si>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</si>
  <si>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</si>
  <si>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</si>
  <si>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</si>
  <si>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</si>
  <si>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</si>
  <si>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</si>
  <si>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</si>
  <si>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</si>
  <si>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</si>
  <si>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</si>
  <si>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</si>
  <si>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</si>
  <si>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</si>
  <si>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</si>
  <si>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</si>
  <si>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</si>
  <si>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</si>
  <si>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</si>
  <si>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</si>
  <si>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</si>
  <si>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</si>
  <si>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</si>
  <si>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</si>
  <si>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</si>
  <si>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</si>
  <si>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</si>
  <si>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</si>
  <si>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</si>
  <si>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</si>
  <si>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</si>
  <si>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</si>
  <si>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</si>
  <si>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</si>
  <si>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</si>
  <si>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</si>
  <si>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</si>
  <si>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</si>
  <si>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</si>
  <si>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</si>
  <si>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</si>
  <si>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</si>
  <si>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</si>
  <si>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</si>
  <si>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</si>
  <si>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</si>
  <si>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</si>
  <si>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</si>
  <si>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</si>
  <si>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</si>
  <si>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</si>
  <si>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</si>
  <si>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</si>
  <si>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</si>
  <si>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</si>
  <si>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</si>
  <si>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</si>
  <si>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</si>
  <si>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</si>
  <si>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</si>
  <si>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</si>
  <si>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</si>
  <si>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</si>
  <si>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</si>
  <si>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</si>
  <si>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</si>
  <si>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</si>
  <si>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</si>
  <si>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</si>
  <si>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</si>
  <si>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</si>
  <si>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</si>
  <si>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</si>
  <si>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</si>
  <si>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4.야간근로수당</t>
    <phoneticPr fontId="7" type="noConversion"/>
  </si>
  <si>
    <t>5. 기타 제수당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</si>
  <si>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</si>
  <si>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</si>
  <si>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</si>
  <si>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</si>
  <si>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</si>
  <si>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</si>
  <si>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* 회의 다과비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</si>
  <si>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</si>
  <si>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</si>
  <si>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</si>
  <si>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</si>
  <si>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</si>
  <si>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</si>
  <si>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</si>
  <si>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</si>
  <si>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</si>
  <si>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</si>
  <si>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</si>
  <si>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</si>
  <si>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</si>
  <si>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</si>
  <si>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</si>
  <si>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</si>
  <si>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차량유류대</t>
  </si>
  <si>
    <t>* 차량 정기검사/ 차량수리 및 정비비</t>
  </si>
  <si>
    <t>1. 직원 교육훈련비</t>
    <phoneticPr fontId="7" type="noConversion"/>
  </si>
  <si>
    <t>2. 직원 식대</t>
    <phoneticPr fontId="7" type="noConversion"/>
  </si>
  <si>
    <t xml:space="preserve"> * 주부식비</t>
    <phoneticPr fontId="7" type="noConversion"/>
  </si>
  <si>
    <t>* 기타 시설물 관리유지비</t>
  </si>
  <si>
    <t>* 전기안전점검비</t>
  </si>
  <si>
    <t>* 가스안전점검비</t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</si>
  <si>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</si>
  <si>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</si>
  <si>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</si>
  <si>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</si>
  <si>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</si>
  <si>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</si>
  <si>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</si>
  <si>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</si>
  <si>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</si>
  <si>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</si>
  <si>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</si>
  <si>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</si>
  <si>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</si>
  <si>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</si>
  <si>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>* 요리프로그램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</si>
  <si>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</si>
  <si>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</si>
  <si>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</si>
  <si>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</si>
  <si>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문화생활</t>
    <phoneticPr fontId="7" type="noConversion"/>
  </si>
  <si>
    <t>운동지원</t>
    <phoneticPr fontId="7" type="noConversion"/>
  </si>
  <si>
    <t>기타</t>
    <phoneticPr fontId="7" type="noConversion"/>
  </si>
  <si>
    <t>1. 보조금 체크카드환급금</t>
  </si>
  <si>
    <t>2. 법인전입금 체크카드환급액</t>
  </si>
  <si>
    <t>3. 입소비용 체크카드환급액</t>
  </si>
  <si>
    <t>4. 잡수입 체크카드환급금</t>
  </si>
  <si>
    <t>* 특수건강검진</t>
  </si>
  <si>
    <t>* 독감예방접종</t>
  </si>
  <si>
    <t>* 사무용품비(문구류 )</t>
  </si>
  <si>
    <t>* CCTV 임대료</t>
  </si>
  <si>
    <t>법인</t>
  </si>
  <si>
    <t>* 자동차세 등 기타 공과금</t>
  </si>
  <si>
    <t>* 환경개선사업(6종)</t>
    <phoneticPr fontId="7" type="noConversion"/>
  </si>
  <si>
    <t>6종</t>
    <phoneticPr fontId="7" type="noConversion"/>
  </si>
  <si>
    <t>* 장애인거주시설입소자4종</t>
    <phoneticPr fontId="7" type="noConversion"/>
  </si>
  <si>
    <t>* 봄나들이</t>
  </si>
  <si>
    <t>* 여름나들이</t>
    <phoneticPr fontId="7" type="noConversion"/>
  </si>
  <si>
    <t>* 가을나들이</t>
  </si>
  <si>
    <t>* 영화관람</t>
    <phoneticPr fontId="7" type="noConversion"/>
  </si>
  <si>
    <t>* 노래방</t>
    <phoneticPr fontId="7" type="noConversion"/>
  </si>
  <si>
    <t>* 이용인 직장방문</t>
    <phoneticPr fontId="7" type="noConversion"/>
  </si>
  <si>
    <t>* 법인전입금 예금이자</t>
  </si>
  <si>
    <t>* 법인전입금 체크카드환급액</t>
  </si>
  <si>
    <t>* 입소비용 예금이자</t>
  </si>
  <si>
    <t>* 입소비용 체크카드환급액</t>
  </si>
  <si>
    <t>* 잡수입 예금이자</t>
  </si>
  <si>
    <t>* 잡수입 체크카드환급액</t>
  </si>
  <si>
    <t>* 후원금 예금이자</t>
  </si>
  <si>
    <t>* 후원금 체크카드환급액</t>
  </si>
  <si>
    <t xml:space="preserve"> 라.야간근로수당</t>
    <phoneticPr fontId="7" type="noConversion"/>
  </si>
  <si>
    <t>* 시설안전종합보험(화재보험 포함)</t>
    <phoneticPr fontId="7" type="noConversion"/>
  </si>
  <si>
    <t>보조금   반환금</t>
    <phoneticPr fontId="26" type="noConversion"/>
  </si>
  <si>
    <t>□ 2023년도 1차 추경예산 세 입 · 세 출 총  괄  표</t>
    <phoneticPr fontId="26" type="noConversion"/>
  </si>
  <si>
    <t>2023년
본예산</t>
    <phoneticPr fontId="26" type="noConversion"/>
  </si>
  <si>
    <t>2023년
1차 추경예산</t>
    <phoneticPr fontId="26" type="noConversion"/>
  </si>
  <si>
    <t>&lt;2023년도 1차추경예산 세입내역&gt;</t>
    <phoneticPr fontId="7" type="noConversion"/>
  </si>
  <si>
    <t>2023년
본예산
(A)
(단위:천원)</t>
    <phoneticPr fontId="7" type="noConversion"/>
  </si>
  <si>
    <t>2023년
1차추경예산
(B)
(단위:천원)</t>
    <phoneticPr fontId="7" type="noConversion"/>
  </si>
  <si>
    <t>&lt;2023년도 1차추경예산 세출내역&gt;</t>
    <phoneticPr fontId="7" type="noConversion"/>
  </si>
  <si>
    <t>재활프로그램</t>
    <phoneticPr fontId="7" type="noConversion"/>
  </si>
  <si>
    <t>지원금</t>
    <phoneticPr fontId="7" type="noConversion"/>
  </si>
  <si>
    <t>(사회재활교사, 생활지도원)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</si>
  <si>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</si>
  <si>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</si>
  <si>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</si>
  <si>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>2023년 1차추경예산액(B)         (단위:천원)</t>
    <phoneticPr fontId="7" type="noConversion"/>
  </si>
  <si>
    <t>후원</t>
    <phoneticPr fontId="7" type="noConversion"/>
  </si>
  <si>
    <t>입소</t>
    <phoneticPr fontId="7" type="noConversion"/>
  </si>
  <si>
    <t>보조</t>
    <phoneticPr fontId="7" type="noConversion"/>
  </si>
  <si>
    <t>* 프린트임대료</t>
    <phoneticPr fontId="7" type="noConversion"/>
  </si>
  <si>
    <t>* 소규모수선비/집기구입등</t>
    <phoneticPr fontId="7" type="noConversion"/>
  </si>
  <si>
    <t>* 주방식기류 및 그릇 보강</t>
    <phoneticPr fontId="7" type="noConversion"/>
  </si>
  <si>
    <t>명</t>
    <phoneticPr fontId="7" type="noConversion"/>
  </si>
  <si>
    <t>* 인권교육</t>
    <phoneticPr fontId="7" type="noConversion"/>
  </si>
  <si>
    <t>* 사회적응</t>
    <phoneticPr fontId="7" type="noConversion"/>
  </si>
  <si>
    <t>* 트래킹</t>
    <phoneticPr fontId="7" type="noConversion"/>
  </si>
  <si>
    <t>* 송년희</t>
    <phoneticPr fontId="7" type="noConversion"/>
  </si>
  <si>
    <t>* 부활나눔</t>
    <phoneticPr fontId="7" type="noConversion"/>
  </si>
  <si>
    <t>3. 직원연수</t>
    <phoneticPr fontId="7" type="noConversion"/>
  </si>
  <si>
    <t xml:space="preserve"> * 강사비외 </t>
    <phoneticPr fontId="7" type="noConversion"/>
  </si>
  <si>
    <t>법인</t>
    <phoneticPr fontId="7" type="noConversion"/>
  </si>
  <si>
    <t>* 정수기 임대료 및 수질검사 등</t>
    <phoneticPr fontId="7" type="noConversion"/>
  </si>
  <si>
    <t>* 가전제품구입</t>
    <phoneticPr fontId="7" type="noConversion"/>
  </si>
  <si>
    <t xml:space="preserve"> B. 노동절보상수당, 휴일근로수당</t>
    <phoneticPr fontId="7" type="noConversion"/>
  </si>
  <si>
    <t xml:space="preserve"> * 예금이자(보조금-4종)</t>
    <phoneticPr fontId="7" type="noConversion"/>
  </si>
  <si>
    <t>원</t>
    <phoneticPr fontId="7" type="noConversion"/>
  </si>
  <si>
    <t xml:space="preserve">  *예금이자(후원금)</t>
    <phoneticPr fontId="7" type="noConversion"/>
  </si>
  <si>
    <t>5. 냉난방비지원</t>
    <phoneticPr fontId="7" type="noConversion"/>
  </si>
  <si>
    <t>6. 직원급식비</t>
    <phoneticPr fontId="7" type="noConversion"/>
  </si>
  <si>
    <t>7. 그룹홈 체험비</t>
    <phoneticPr fontId="7" type="noConversion"/>
  </si>
  <si>
    <t xml:space="preserve">  *체크카드환급금(후원금)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</si>
</sst>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7" formatCode="_-* #,##0_-;&quot;▲&quot;* #,##0_-;_-* &quot;-&quot;_-;_-@_-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17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8" fontId="24" fillId="2" borderId="0" xfId="0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38" fontId="24" fillId="0" borderId="27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0" fontId="44" fillId="0" borderId="34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vertical="center"/>
    </xf>
    <xf numFmtId="176" fontId="44" fillId="0" borderId="14" xfId="3" applyNumberFormat="1" applyFont="1" applyFill="1" applyBorder="1" applyAlignment="1">
      <alignment horizontal="right" vertical="center"/>
    </xf>
    <xf numFmtId="0" fontId="44" fillId="0" borderId="0" xfId="22" applyNumberFormat="1" applyFont="1" applyFill="1" applyBorder="1" applyAlignment="1">
      <alignment vertical="center"/>
    </xf>
    <xf numFmtId="180" fontId="44" fillId="0" borderId="0" xfId="21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44" fillId="0" borderId="5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horizontal="center" vertical="center"/>
    </xf>
    <xf numFmtId="42" fontId="44" fillId="0" borderId="0" xfId="22" applyNumberFormat="1" applyFont="1" applyFill="1" applyBorder="1" applyAlignment="1">
      <alignment horizontal="center" vertical="center"/>
    </xf>
    <xf numFmtId="178" fontId="44" fillId="0" borderId="0" xfId="22" applyNumberFormat="1" applyFont="1" applyFill="1" applyBorder="1" applyAlignment="1">
      <alignment horizontal="center" vertical="center"/>
    </xf>
    <xf numFmtId="176" fontId="44" fillId="0" borderId="0" xfId="22" applyNumberFormat="1" applyFont="1" applyFill="1" applyBorder="1" applyAlignment="1">
      <alignment horizontal="right" vertical="center"/>
    </xf>
    <xf numFmtId="178" fontId="51" fillId="0" borderId="0" xfId="0" applyNumberFormat="1" applyFont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176" fontId="44" fillId="0" borderId="31" xfId="3" applyNumberFormat="1" applyFont="1" applyFill="1" applyBorder="1" applyAlignment="1">
      <alignment vertical="center"/>
    </xf>
    <xf numFmtId="0" fontId="44" fillId="0" borderId="14" xfId="0" applyNumberFormat="1" applyFont="1" applyFill="1" applyBorder="1">
      <alignment vertical="center"/>
    </xf>
    <xf numFmtId="0" fontId="44" fillId="0" borderId="37" xfId="0" applyNumberFormat="1" applyFont="1" applyFill="1" applyBorder="1">
      <alignment vertical="center"/>
    </xf>
    <xf numFmtId="0" fontId="44" fillId="0" borderId="14" xfId="3" applyNumberFormat="1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41" fontId="0" fillId="0" borderId="7" xfId="8" applyNumberFormat="1" applyFont="1" applyBorder="1">
      <alignment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2" fontId="44" fillId="0" borderId="14" xfId="22" applyNumberFormat="1" applyFont="1" applyFill="1" applyBorder="1" applyAlignment="1">
      <alignment horizontal="center" vertical="center"/>
    </xf>
    <xf numFmtId="180" fontId="44" fillId="0" borderId="14" xfId="21" applyNumberFormat="1" applyFont="1" applyFill="1" applyBorder="1" applyAlignment="1">
      <alignment horizontal="center" vertical="center"/>
    </xf>
    <xf numFmtId="178" fontId="51" fillId="0" borderId="14" xfId="0" applyNumberFormat="1" applyFont="1" applyBorder="1">
      <alignment vertical="center"/>
    </xf>
    <xf numFmtId="176" fontId="44" fillId="0" borderId="14" xfId="22" applyNumberFormat="1" applyFont="1" applyFill="1" applyBorder="1" applyAlignment="1">
      <alignment horizontal="center" vertical="center"/>
    </xf>
    <xf numFmtId="176" fontId="44" fillId="0" borderId="14" xfId="22" applyNumberFormat="1" applyFont="1" applyFill="1" applyBorder="1" applyAlignment="1">
      <alignment vertical="center"/>
    </xf>
    <xf numFmtId="176" fontId="44" fillId="0" borderId="14" xfId="22" applyNumberFormat="1" applyFont="1" applyFill="1" applyBorder="1" applyAlignment="1">
      <alignment horizontal="right" vertical="center"/>
    </xf>
    <xf numFmtId="176" fontId="44" fillId="0" borderId="37" xfId="22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44" fillId="0" borderId="36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vertical="center"/>
    </xf>
    <xf numFmtId="0" fontId="47" fillId="0" borderId="14" xfId="3" applyNumberFormat="1" applyFont="1" applyFill="1" applyBorder="1" applyAlignment="1">
      <alignment horizontal="center" vertical="center"/>
    </xf>
    <xf numFmtId="0" fontId="47" fillId="0" borderId="14" xfId="3" applyNumberFormat="1" applyFont="1" applyFill="1" applyBorder="1" applyAlignment="1">
      <alignment vertical="center"/>
    </xf>
    <xf numFmtId="176" fontId="38" fillId="0" borderId="37" xfId="3" applyNumberFormat="1" applyFont="1" applyFill="1" applyBorder="1" applyAlignment="1">
      <alignment vertical="center"/>
    </xf>
    <xf numFmtId="176" fontId="44" fillId="0" borderId="37" xfId="3" applyNumberFormat="1" applyFont="1" applyFill="1" applyBorder="1" applyAlignment="1">
      <alignment vertical="center"/>
    </xf>
    <xf numFmtId="197" fontId="42" fillId="0" borderId="41" xfId="8" applyNumberFormat="1" applyFont="1" applyBorder="1">
      <alignment vertical="center"/>
    </xf>
    <xf numFmtId="197" fontId="0" fillId="0" borderId="41" xfId="8" applyNumberFormat="1" applyFont="1" applyBorder="1">
      <alignment vertical="center"/>
    </xf>
    <xf numFmtId="197" fontId="42" fillId="0" borderId="18" xfId="8" applyNumberFormat="1" applyFont="1" applyBorder="1">
      <alignment vertical="center"/>
    </xf>
    <xf numFmtId="197" fontId="0" fillId="0" borderId="18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0" fontId="4" fillId="0" borderId="57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1" fillId="0" borderId="53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workbookViewId="0">
      <selection activeCell="E13" sqref="E13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500</v>
      </c>
      <c r="K2" s="164" t="s">
        <v>302</v>
      </c>
    </row>
    <row r="3" spans="2:11" ht="9.9499999999999993" customHeight="1" thickBot="1"/>
    <row r="4" spans="2:11" ht="30" customHeight="1">
      <c r="B4" s="549" t="s">
        <v>114</v>
      </c>
      <c r="C4" s="550"/>
      <c r="D4" s="550"/>
      <c r="E4" s="550"/>
      <c r="F4" s="551"/>
      <c r="G4" s="549" t="s">
        <v>115</v>
      </c>
      <c r="H4" s="550"/>
      <c r="I4" s="550"/>
      <c r="J4" s="550"/>
      <c r="K4" s="552"/>
    </row>
    <row r="5" spans="2:11" ht="16.5" customHeight="1">
      <c r="B5" s="553" t="s">
        <v>116</v>
      </c>
      <c r="C5" s="554"/>
      <c r="D5" s="557" t="s">
        <v>501</v>
      </c>
      <c r="E5" s="557" t="s">
        <v>502</v>
      </c>
      <c r="F5" s="559" t="s">
        <v>117</v>
      </c>
      <c r="G5" s="553" t="s">
        <v>116</v>
      </c>
      <c r="H5" s="554"/>
      <c r="I5" s="557" t="s">
        <v>501</v>
      </c>
      <c r="J5" s="557" t="s">
        <v>502</v>
      </c>
      <c r="K5" s="561" t="s">
        <v>117</v>
      </c>
    </row>
    <row r="6" spans="2:11" ht="22.5" customHeight="1" thickBot="1">
      <c r="B6" s="555"/>
      <c r="C6" s="556"/>
      <c r="D6" s="558"/>
      <c r="E6" s="558"/>
      <c r="F6" s="560"/>
      <c r="G6" s="555"/>
      <c r="H6" s="556"/>
      <c r="I6" s="558"/>
      <c r="J6" s="558"/>
      <c r="K6" s="562"/>
    </row>
    <row r="7" spans="2:11" ht="24.95" customHeight="1" thickTop="1">
      <c r="B7" s="569" t="s">
        <v>118</v>
      </c>
      <c r="C7" s="570"/>
      <c r="D7" s="400">
        <f>SUM(D8:D22)/2</f>
        <v>151939000</v>
      </c>
      <c r="E7" s="400">
        <f>SUM(E8:E22)/2</f>
        <v>157303000</v>
      </c>
      <c r="F7" s="401">
        <f>SUM(F8:F22)/2</f>
        <v>5364000</v>
      </c>
      <c r="G7" s="569" t="s">
        <v>118</v>
      </c>
      <c r="H7" s="570"/>
      <c r="I7" s="400">
        <f>SUM(I8:I26)/2</f>
        <v>151939000</v>
      </c>
      <c r="J7" s="400">
        <f>SUM(J8:J26)/2</f>
        <v>157303000</v>
      </c>
      <c r="K7" s="402">
        <f>SUM(K8:K26)/2</f>
        <v>5364000</v>
      </c>
    </row>
    <row r="8" spans="2:11" ht="24.95" customHeight="1">
      <c r="B8" s="571" t="s">
        <v>119</v>
      </c>
      <c r="C8" s="403" t="s">
        <v>300</v>
      </c>
      <c r="D8" s="404">
        <f>D9</f>
        <v>12000000</v>
      </c>
      <c r="E8" s="404">
        <f>E9</f>
        <v>13680000</v>
      </c>
      <c r="F8" s="405">
        <f>F9</f>
        <v>1680000</v>
      </c>
      <c r="G8" s="571" t="s">
        <v>121</v>
      </c>
      <c r="H8" s="403" t="s">
        <v>300</v>
      </c>
      <c r="I8" s="404">
        <f>SUM(I9:I11)</f>
        <v>127318000</v>
      </c>
      <c r="J8" s="404">
        <f>SUM(J9:J11)</f>
        <v>136523000</v>
      </c>
      <c r="K8" s="409">
        <f>SUM(K9:K11)</f>
        <v>9205000</v>
      </c>
    </row>
    <row r="9" spans="2:11" ht="24.95" customHeight="1">
      <c r="B9" s="572"/>
      <c r="C9" s="165" t="s">
        <v>120</v>
      </c>
      <c r="D9" s="166">
        <v>12000000</v>
      </c>
      <c r="E9" s="166">
        <v>13680000</v>
      </c>
      <c r="F9" s="167">
        <f>E9-D9</f>
        <v>1680000</v>
      </c>
      <c r="G9" s="573"/>
      <c r="H9" s="165" t="s">
        <v>122</v>
      </c>
      <c r="I9" s="166">
        <v>116368000</v>
      </c>
      <c r="J9" s="166">
        <v>124599000</v>
      </c>
      <c r="K9" s="168">
        <f>J9-I9</f>
        <v>8231000</v>
      </c>
    </row>
    <row r="10" spans="2:11" ht="24.95" customHeight="1">
      <c r="B10" s="571" t="s">
        <v>123</v>
      </c>
      <c r="C10" s="406" t="s">
        <v>300</v>
      </c>
      <c r="D10" s="407">
        <f>SUM(D11:D13)</f>
        <v>127360000</v>
      </c>
      <c r="E10" s="407">
        <f>SUM(E11:E13)</f>
        <v>133143000</v>
      </c>
      <c r="F10" s="408">
        <f>SUM(F11:F13)</f>
        <v>5783000</v>
      </c>
      <c r="G10" s="573"/>
      <c r="H10" s="165" t="s">
        <v>124</v>
      </c>
      <c r="I10" s="166">
        <v>230000</v>
      </c>
      <c r="J10" s="166">
        <v>230000</v>
      </c>
      <c r="K10" s="168">
        <f>J10-I10</f>
        <v>0</v>
      </c>
    </row>
    <row r="11" spans="2:11" ht="24.95" customHeight="1">
      <c r="B11" s="573"/>
      <c r="C11" s="269" t="s">
        <v>260</v>
      </c>
      <c r="D11" s="166">
        <v>0</v>
      </c>
      <c r="E11" s="166">
        <v>0</v>
      </c>
      <c r="F11" s="167">
        <f t="shared" ref="F11:F22" si="0">E11-D11</f>
        <v>0</v>
      </c>
      <c r="G11" s="572"/>
      <c r="H11" s="165" t="s">
        <v>75</v>
      </c>
      <c r="I11" s="166">
        <v>10720000</v>
      </c>
      <c r="J11" s="166">
        <v>11694000</v>
      </c>
      <c r="K11" s="168">
        <f>J11-I11</f>
        <v>974000</v>
      </c>
    </row>
    <row r="12" spans="2:11" ht="24.95" customHeight="1">
      <c r="B12" s="573"/>
      <c r="C12" s="269" t="s">
        <v>261</v>
      </c>
      <c r="D12" s="166">
        <v>13007000</v>
      </c>
      <c r="E12" s="166">
        <v>13541000</v>
      </c>
      <c r="F12" s="167">
        <f>E12-D12</f>
        <v>534000</v>
      </c>
      <c r="G12" s="571" t="s">
        <v>76</v>
      </c>
      <c r="H12" s="406" t="s">
        <v>300</v>
      </c>
      <c r="I12" s="407">
        <f>SUM(I13:I15)</f>
        <v>5600000</v>
      </c>
      <c r="J12" s="498">
        <f>SUM(J13:J15)</f>
        <v>2600000</v>
      </c>
      <c r="K12" s="546">
        <f>SUM(K13:K15)</f>
        <v>-3000000</v>
      </c>
    </row>
    <row r="13" spans="2:11" ht="24.95" customHeight="1">
      <c r="B13" s="572"/>
      <c r="C13" s="269" t="s">
        <v>262</v>
      </c>
      <c r="D13" s="166">
        <v>114353000</v>
      </c>
      <c r="E13" s="166">
        <v>119602000</v>
      </c>
      <c r="F13" s="167">
        <f t="shared" si="0"/>
        <v>5249000</v>
      </c>
      <c r="G13" s="573"/>
      <c r="H13" s="165" t="s">
        <v>77</v>
      </c>
      <c r="I13" s="166">
        <v>0</v>
      </c>
      <c r="J13" s="166">
        <v>0</v>
      </c>
      <c r="K13" s="168">
        <f>J13-I13</f>
        <v>0</v>
      </c>
    </row>
    <row r="14" spans="2:11" ht="24.95" customHeight="1">
      <c r="B14" s="571" t="s">
        <v>78</v>
      </c>
      <c r="C14" s="406" t="s">
        <v>300</v>
      </c>
      <c r="D14" s="407">
        <f>SUM(D15:D16)</f>
        <v>540000</v>
      </c>
      <c r="E14" s="407">
        <f>SUM(E15:E16)</f>
        <v>542000</v>
      </c>
      <c r="F14" s="408">
        <f>SUM(F15:F16)</f>
        <v>2000</v>
      </c>
      <c r="G14" s="573"/>
      <c r="H14" s="165" t="s">
        <v>80</v>
      </c>
      <c r="I14" s="166">
        <v>2500000</v>
      </c>
      <c r="J14" s="166">
        <v>500000</v>
      </c>
      <c r="K14" s="547">
        <f>J14-I14</f>
        <v>-2000000</v>
      </c>
    </row>
    <row r="15" spans="2:11" ht="24.95" customHeight="1">
      <c r="B15" s="573"/>
      <c r="C15" s="165" t="s">
        <v>79</v>
      </c>
      <c r="D15" s="166">
        <v>0</v>
      </c>
      <c r="E15" s="166">
        <v>0</v>
      </c>
      <c r="F15" s="167">
        <f t="shared" si="0"/>
        <v>0</v>
      </c>
      <c r="G15" s="572"/>
      <c r="H15" s="165" t="s">
        <v>82</v>
      </c>
      <c r="I15" s="166">
        <v>3100000</v>
      </c>
      <c r="J15" s="166">
        <v>2100000</v>
      </c>
      <c r="K15" s="547">
        <f>J15-I15</f>
        <v>-1000000</v>
      </c>
    </row>
    <row r="16" spans="2:11" ht="24.95" customHeight="1">
      <c r="B16" s="572"/>
      <c r="C16" s="165" t="s">
        <v>81</v>
      </c>
      <c r="D16" s="166">
        <v>540000</v>
      </c>
      <c r="E16" s="166">
        <v>542000</v>
      </c>
      <c r="F16" s="167">
        <f t="shared" si="0"/>
        <v>2000</v>
      </c>
      <c r="G16" s="571" t="s">
        <v>85</v>
      </c>
      <c r="H16" s="406" t="s">
        <v>300</v>
      </c>
      <c r="I16" s="407">
        <f>SUM(I17:I22)</f>
        <v>19001000</v>
      </c>
      <c r="J16" s="407">
        <f>SUM(J17:J22)</f>
        <v>18118000</v>
      </c>
      <c r="K16" s="546">
        <f>SUM(K17:K22)</f>
        <v>-883000</v>
      </c>
    </row>
    <row r="17" spans="2:11" ht="24.95" customHeight="1">
      <c r="B17" s="571" t="s">
        <v>83</v>
      </c>
      <c r="C17" s="406" t="s">
        <v>300</v>
      </c>
      <c r="D17" s="407">
        <v>0</v>
      </c>
      <c r="E17" s="407">
        <v>0</v>
      </c>
      <c r="F17" s="408">
        <f>F18</f>
        <v>0</v>
      </c>
      <c r="G17" s="573"/>
      <c r="H17" s="165" t="s">
        <v>86</v>
      </c>
      <c r="I17" s="166">
        <v>10912000</v>
      </c>
      <c r="J17" s="166">
        <v>12239000</v>
      </c>
      <c r="K17" s="168">
        <f t="shared" ref="K17:K22" si="1">J17-I17</f>
        <v>1327000</v>
      </c>
    </row>
    <row r="18" spans="2:11" ht="24.95" customHeight="1">
      <c r="B18" s="572"/>
      <c r="C18" s="165" t="s">
        <v>84</v>
      </c>
      <c r="D18" s="166">
        <v>0</v>
      </c>
      <c r="E18" s="166">
        <v>0</v>
      </c>
      <c r="F18" s="167">
        <f t="shared" si="0"/>
        <v>0</v>
      </c>
      <c r="G18" s="573"/>
      <c r="H18" s="165" t="s">
        <v>89</v>
      </c>
      <c r="I18" s="166">
        <v>1105000</v>
      </c>
      <c r="J18" s="166">
        <v>499000</v>
      </c>
      <c r="K18" s="547">
        <f t="shared" si="1"/>
        <v>-606000</v>
      </c>
    </row>
    <row r="19" spans="2:11" ht="24.95" customHeight="1">
      <c r="B19" s="571" t="s">
        <v>87</v>
      </c>
      <c r="C19" s="406" t="s">
        <v>300</v>
      </c>
      <c r="D19" s="498">
        <f>D20</f>
        <v>10023000</v>
      </c>
      <c r="E19" s="498">
        <f>E20</f>
        <v>7302000</v>
      </c>
      <c r="F19" s="544">
        <f>F20</f>
        <v>-2721000</v>
      </c>
      <c r="G19" s="573"/>
      <c r="H19" s="165" t="s">
        <v>92</v>
      </c>
      <c r="I19" s="166">
        <v>1420000</v>
      </c>
      <c r="J19" s="166">
        <v>940000</v>
      </c>
      <c r="K19" s="547">
        <f t="shared" si="1"/>
        <v>-480000</v>
      </c>
    </row>
    <row r="20" spans="2:11" ht="24.95" customHeight="1">
      <c r="B20" s="572"/>
      <c r="C20" s="165" t="s">
        <v>88</v>
      </c>
      <c r="D20" s="497">
        <v>10023000</v>
      </c>
      <c r="E20" s="497">
        <v>7302000</v>
      </c>
      <c r="F20" s="545">
        <f t="shared" si="0"/>
        <v>-2721000</v>
      </c>
      <c r="G20" s="573"/>
      <c r="H20" s="165" t="s">
        <v>93</v>
      </c>
      <c r="I20" s="166">
        <v>620000</v>
      </c>
      <c r="J20" s="166">
        <v>580000</v>
      </c>
      <c r="K20" s="547">
        <f t="shared" si="1"/>
        <v>-40000</v>
      </c>
    </row>
    <row r="21" spans="2:11" ht="24.95" customHeight="1">
      <c r="B21" s="571" t="s">
        <v>90</v>
      </c>
      <c r="C21" s="406" t="s">
        <v>300</v>
      </c>
      <c r="D21" s="498">
        <f>D22</f>
        <v>2016000</v>
      </c>
      <c r="E21" s="498">
        <f>E22</f>
        <v>2636000</v>
      </c>
      <c r="F21" s="408">
        <f>F22</f>
        <v>620000</v>
      </c>
      <c r="G21" s="573"/>
      <c r="H21" s="165" t="s">
        <v>94</v>
      </c>
      <c r="I21" s="166">
        <v>24000</v>
      </c>
      <c r="J21" s="166">
        <v>60000</v>
      </c>
      <c r="K21" s="168">
        <f t="shared" si="1"/>
        <v>36000</v>
      </c>
    </row>
    <row r="22" spans="2:11" ht="24.95" customHeight="1">
      <c r="B22" s="572"/>
      <c r="C22" s="165" t="s">
        <v>91</v>
      </c>
      <c r="D22" s="497">
        <v>2016000</v>
      </c>
      <c r="E22" s="497">
        <v>2636000</v>
      </c>
      <c r="F22" s="167">
        <f t="shared" si="0"/>
        <v>620000</v>
      </c>
      <c r="G22" s="572"/>
      <c r="H22" s="165" t="s">
        <v>95</v>
      </c>
      <c r="I22" s="166">
        <v>4920000</v>
      </c>
      <c r="J22" s="166">
        <v>3800000</v>
      </c>
      <c r="K22" s="547">
        <f t="shared" si="1"/>
        <v>-1120000</v>
      </c>
    </row>
    <row r="23" spans="2:11" ht="24.95" customHeight="1">
      <c r="B23" s="563"/>
      <c r="C23" s="564"/>
      <c r="D23" s="564"/>
      <c r="E23" s="564"/>
      <c r="F23" s="564"/>
      <c r="G23" s="571" t="s">
        <v>96</v>
      </c>
      <c r="H23" s="406" t="s">
        <v>300</v>
      </c>
      <c r="I23" s="407">
        <f>I24</f>
        <v>0</v>
      </c>
      <c r="J23" s="407">
        <f>J24</f>
        <v>0</v>
      </c>
      <c r="K23" s="410">
        <f>K24</f>
        <v>0</v>
      </c>
    </row>
    <row r="24" spans="2:11" ht="24.95" customHeight="1">
      <c r="B24" s="565"/>
      <c r="C24" s="566"/>
      <c r="D24" s="566"/>
      <c r="E24" s="566"/>
      <c r="F24" s="566"/>
      <c r="G24" s="572"/>
      <c r="H24" s="165" t="s">
        <v>97</v>
      </c>
      <c r="I24" s="166">
        <v>0</v>
      </c>
      <c r="J24" s="166">
        <v>0</v>
      </c>
      <c r="K24" s="168">
        <f>J24-I24</f>
        <v>0</v>
      </c>
    </row>
    <row r="25" spans="2:11" ht="24.95" customHeight="1">
      <c r="B25" s="565"/>
      <c r="C25" s="566"/>
      <c r="D25" s="566"/>
      <c r="E25" s="566"/>
      <c r="F25" s="566"/>
      <c r="G25" s="571" t="s">
        <v>98</v>
      </c>
      <c r="H25" s="406" t="s">
        <v>300</v>
      </c>
      <c r="I25" s="498">
        <f>I26</f>
        <v>20000</v>
      </c>
      <c r="J25" s="498">
        <f>SUM(J26:J26)</f>
        <v>62000</v>
      </c>
      <c r="K25" s="410">
        <f>SUM(K26:K26)</f>
        <v>42000</v>
      </c>
    </row>
    <row r="26" spans="2:11" ht="24.95" customHeight="1" thickBot="1">
      <c r="B26" s="567"/>
      <c r="C26" s="568"/>
      <c r="D26" s="568"/>
      <c r="E26" s="568"/>
      <c r="F26" s="568"/>
      <c r="G26" s="574"/>
      <c r="H26" s="521" t="s">
        <v>499</v>
      </c>
      <c r="I26" s="522">
        <v>20000</v>
      </c>
      <c r="J26" s="523">
        <v>62000</v>
      </c>
      <c r="K26" s="524">
        <f>J26-I26</f>
        <v>42000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31"/>
  <sheetViews>
    <sheetView workbookViewId="0">
      <selection activeCell="G19" sqref="G1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5" t="s">
        <v>503</v>
      </c>
      <c r="B1" s="575"/>
      <c r="C1" s="575"/>
      <c r="D1" s="57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6" t="s">
        <v>62</v>
      </c>
      <c r="B2" s="577"/>
      <c r="C2" s="577"/>
      <c r="D2" s="577"/>
      <c r="E2" s="578" t="s">
        <v>504</v>
      </c>
      <c r="F2" s="578" t="s">
        <v>505</v>
      </c>
      <c r="G2" s="586" t="s">
        <v>23</v>
      </c>
      <c r="H2" s="586"/>
      <c r="I2" s="586" t="s">
        <v>54</v>
      </c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7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9"/>
      <c r="F3" s="579"/>
      <c r="G3" s="132" t="s">
        <v>102</v>
      </c>
      <c r="H3" s="21" t="s">
        <v>4</v>
      </c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8"/>
    </row>
    <row r="4" spans="1:26" s="3" customFormat="1" ht="19.5" customHeight="1">
      <c r="A4" s="580" t="s">
        <v>24</v>
      </c>
      <c r="B4" s="581"/>
      <c r="C4" s="581"/>
      <c r="D4" s="582"/>
      <c r="E4" s="192">
        <f>SUM(E5,E8,E10,E12,E144,E156,E163,E172,E197)</f>
        <v>151939</v>
      </c>
      <c r="F4" s="192">
        <f>SUM(F5,F8,F10,F12,F144,F156,F163,F172,F197)</f>
        <v>157303</v>
      </c>
      <c r="G4" s="288">
        <f>SUM(G5,G8,G10,G12,G144,G156,G163,G172,G197)</f>
        <v>5364</v>
      </c>
      <c r="H4" s="193">
        <f>IF(E4=0,0,G4/E4)</f>
        <v>3.5303641593007723E-2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SUM(X5,X8,X10,X12,X144,X156,X163,X172,X197)</f>
        <v>157303000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495">
        <v>12000</v>
      </c>
      <c r="F5" s="186">
        <f>ROUND(X5/1000,0)</f>
        <v>13680</v>
      </c>
      <c r="G5" s="187">
        <f>F5-E5</f>
        <v>1680</v>
      </c>
      <c r="H5" s="188">
        <f>IF(E5=0,0,G5/E5)</f>
        <v>0.14000000000000001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13680000</v>
      </c>
      <c r="Y5" s="36" t="s">
        <v>25</v>
      </c>
    </row>
    <row r="6" spans="1:26" ht="21" customHeight="1">
      <c r="A6" s="37"/>
      <c r="B6" s="38"/>
      <c r="C6" s="39"/>
      <c r="D6" s="39"/>
      <c r="E6" s="424"/>
      <c r="F6" s="424"/>
      <c r="G6" s="425"/>
      <c r="H6" s="426"/>
      <c r="I6" s="283" t="s">
        <v>264</v>
      </c>
      <c r="J6" s="44"/>
      <c r="K6" s="45"/>
      <c r="L6" s="45"/>
      <c r="M6" s="291">
        <v>380000</v>
      </c>
      <c r="N6" s="291" t="s">
        <v>56</v>
      </c>
      <c r="O6" s="292" t="s">
        <v>57</v>
      </c>
      <c r="P6" s="422">
        <v>3</v>
      </c>
      <c r="Q6" s="291" t="s">
        <v>55</v>
      </c>
      <c r="R6" s="292" t="s">
        <v>57</v>
      </c>
      <c r="S6" s="46">
        <v>12</v>
      </c>
      <c r="T6" s="415" t="s">
        <v>0</v>
      </c>
      <c r="U6" s="415" t="s">
        <v>53</v>
      </c>
      <c r="V6" s="415"/>
      <c r="W6" s="291"/>
      <c r="X6" s="291">
        <f>M6*P6*S6</f>
        <v>13680000</v>
      </c>
      <c r="Y6" s="47" t="s">
        <v>56</v>
      </c>
    </row>
    <row r="7" spans="1:26" ht="21" customHeight="1">
      <c r="A7" s="37" t="s">
        <v>59</v>
      </c>
      <c r="B7" s="38" t="s">
        <v>100</v>
      </c>
      <c r="C7" s="39" t="s">
        <v>100</v>
      </c>
      <c r="D7" s="39" t="s">
        <v>100</v>
      </c>
      <c r="E7" s="40"/>
      <c r="F7" s="40"/>
      <c r="G7" s="41"/>
      <c r="H7" s="25"/>
      <c r="I7" s="283"/>
      <c r="J7" s="44"/>
      <c r="K7" s="45"/>
      <c r="L7" s="45"/>
      <c r="M7" s="196"/>
      <c r="N7" s="196" t="s">
        <v>56</v>
      </c>
      <c r="O7" s="197" t="s">
        <v>57</v>
      </c>
      <c r="P7" s="120"/>
      <c r="Q7" s="196" t="s">
        <v>55</v>
      </c>
      <c r="R7" s="197" t="s">
        <v>57</v>
      </c>
      <c r="S7" s="46"/>
      <c r="T7" s="229" t="s">
        <v>0</v>
      </c>
      <c r="U7" s="229" t="s">
        <v>53</v>
      </c>
      <c r="V7" s="229"/>
      <c r="W7" s="196"/>
      <c r="X7" s="196">
        <f>M7*P7*S7</f>
        <v>0</v>
      </c>
      <c r="Y7" s="47" t="s">
        <v>56</v>
      </c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263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83" t="s">
        <v>247</v>
      </c>
      <c r="D12" s="584"/>
      <c r="E12" s="239">
        <f>SUM(E13,E22,E83,E141)</f>
        <v>127360</v>
      </c>
      <c r="F12" s="239">
        <f>SUM(F13,F22,F83,F141)</f>
        <v>133143</v>
      </c>
      <c r="G12" s="240">
        <f>F12-E12</f>
        <v>5783</v>
      </c>
      <c r="H12" s="241">
        <f>IF(E12=0,0,G12/E12)</f>
        <v>4.5406721105527639E-2</v>
      </c>
      <c r="I12" s="242" t="s">
        <v>248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133143000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>F13-E13</f>
        <v>0</v>
      </c>
      <c r="H13" s="191">
        <f>IF(E13=0,0,G13/E13)</f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>F14-E14</f>
        <v>0</v>
      </c>
      <c r="H14" s="265">
        <f>IF(E14=0,0,G14/E14)</f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265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1"/>
      <c r="N16" s="291"/>
      <c r="O16" s="177"/>
      <c r="P16" s="346"/>
      <c r="Q16" s="44"/>
      <c r="R16" s="179"/>
      <c r="S16" s="46"/>
      <c r="T16" s="345"/>
      <c r="U16" s="345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>F17-E17</f>
        <v>0</v>
      </c>
      <c r="H17" s="109">
        <f>IF(E17=0,0,G17/E17)</f>
        <v>0</v>
      </c>
      <c r="I17" s="225" t="s">
        <v>427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4"/>
      <c r="U17" s="344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266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47" t="s">
        <v>69</v>
      </c>
      <c r="W18" s="62"/>
      <c r="X18" s="347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48"/>
      <c r="J19" s="62"/>
      <c r="K19" s="218"/>
      <c r="L19" s="218"/>
      <c r="M19" s="347"/>
      <c r="N19" s="347"/>
      <c r="O19" s="219"/>
      <c r="P19" s="347"/>
      <c r="Q19" s="117"/>
      <c r="R19" s="220"/>
      <c r="S19" s="72"/>
      <c r="T19" s="169"/>
      <c r="U19" s="169"/>
      <c r="V19" s="221"/>
      <c r="W19" s="348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289</v>
      </c>
      <c r="E20" s="213">
        <v>0</v>
      </c>
      <c r="F20" s="213">
        <f>ROUND(X20/1000,0)</f>
        <v>0</v>
      </c>
      <c r="G20" s="266">
        <f>F20-E20</f>
        <v>0</v>
      </c>
      <c r="H20" s="109">
        <f>IF(E20=0,0,G20/E20)</f>
        <v>0</v>
      </c>
      <c r="I20" s="349" t="s">
        <v>292</v>
      </c>
      <c r="J20" s="350"/>
      <c r="K20" s="351"/>
      <c r="L20" s="351"/>
      <c r="M20" s="352"/>
      <c r="N20" s="352"/>
      <c r="O20" s="353"/>
      <c r="P20" s="352"/>
      <c r="Q20" s="354"/>
      <c r="R20" s="355"/>
      <c r="S20" s="356"/>
      <c r="T20" s="357"/>
      <c r="U20" s="357"/>
      <c r="V20" s="358" t="s">
        <v>293</v>
      </c>
      <c r="W20" s="359"/>
      <c r="X20" s="359">
        <v>0</v>
      </c>
      <c r="Y20" s="360" t="s">
        <v>294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0"/>
      <c r="J21" s="342"/>
      <c r="K21" s="370"/>
      <c r="L21" s="370"/>
      <c r="M21" s="341"/>
      <c r="N21" s="341"/>
      <c r="O21" s="371"/>
      <c r="P21" s="341"/>
      <c r="Q21" s="372"/>
      <c r="R21" s="373"/>
      <c r="S21" s="374"/>
      <c r="T21" s="375"/>
      <c r="U21" s="375"/>
      <c r="V21" s="376"/>
      <c r="W21" s="377"/>
      <c r="X21" s="342"/>
      <c r="Y21" s="343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13007</v>
      </c>
      <c r="F22" s="189">
        <f>SUM(F23:F82)</f>
        <v>13541</v>
      </c>
      <c r="G22" s="190">
        <f>F22-E22</f>
        <v>534</v>
      </c>
      <c r="H22" s="191">
        <f>IF(E22=0,0,G22/E22)</f>
        <v>4.1054816637195353E-2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13541000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>F23-E23</f>
        <v>0</v>
      </c>
      <c r="H23" s="109">
        <f>IF(E23=0,0,G23/E23)</f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265</v>
      </c>
      <c r="J24" s="292"/>
      <c r="K24" s="291"/>
      <c r="L24" s="291"/>
      <c r="M24" s="291">
        <v>0</v>
      </c>
      <c r="N24" s="412" t="s">
        <v>25</v>
      </c>
      <c r="O24" s="177" t="s">
        <v>26</v>
      </c>
      <c r="P24" s="413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12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496">
        <v>11544</v>
      </c>
      <c r="F26" s="213">
        <f>ROUND(X26/1000,0)</f>
        <v>12395</v>
      </c>
      <c r="G26" s="30">
        <f>F26-E26</f>
        <v>851</v>
      </c>
      <c r="H26" s="109">
        <f>IF(E26=0,0,G26/E26)</f>
        <v>7.371794871794872E-2</v>
      </c>
      <c r="I26" s="225" t="s">
        <v>308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12395000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266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47" t="s">
        <v>69</v>
      </c>
      <c r="W27" s="62"/>
      <c r="X27" s="427">
        <f>SUM(X28:X29)</f>
        <v>7405000</v>
      </c>
      <c r="Y27" s="428" t="s">
        <v>305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509</v>
      </c>
      <c r="J28" s="292"/>
      <c r="K28" s="291"/>
      <c r="L28" s="291"/>
      <c r="M28" s="291">
        <v>74046000</v>
      </c>
      <c r="N28" s="291" t="s">
        <v>56</v>
      </c>
      <c r="O28" s="64" t="s">
        <v>57</v>
      </c>
      <c r="P28" s="271">
        <v>0.1</v>
      </c>
      <c r="Q28" s="291"/>
      <c r="R28" s="291"/>
      <c r="S28" s="291"/>
      <c r="T28" s="291"/>
      <c r="U28" s="291" t="s">
        <v>306</v>
      </c>
      <c r="V28" s="291"/>
      <c r="W28" s="58"/>
      <c r="X28" s="291">
        <f>ROUND(M28*P28,-3)</f>
        <v>7405000</v>
      </c>
      <c r="Y28" s="47" t="s">
        <v>305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 t="s">
        <v>208</v>
      </c>
      <c r="V29" s="291"/>
      <c r="W29" s="58"/>
      <c r="X29" s="291">
        <f>ROUND(M29*P29,-3)</f>
        <v>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267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29"/>
      <c r="X30" s="55">
        <f>SUM(X31,X34,X37, X40)</f>
        <v>3032000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268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47" t="s">
        <v>69</v>
      </c>
      <c r="W31" s="62"/>
      <c r="X31" s="347">
        <f>SUM(X32:X33)</f>
        <v>738000</v>
      </c>
      <c r="Y31" s="63" t="s">
        <v>305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509</v>
      </c>
      <c r="J32" s="292"/>
      <c r="K32" s="291"/>
      <c r="L32" s="291"/>
      <c r="M32" s="291">
        <v>7382000</v>
      </c>
      <c r="N32" s="291" t="s">
        <v>56</v>
      </c>
      <c r="O32" s="64" t="s">
        <v>57</v>
      </c>
      <c r="P32" s="271">
        <v>0.1</v>
      </c>
      <c r="Q32" s="291"/>
      <c r="R32" s="291"/>
      <c r="S32" s="291"/>
      <c r="T32" s="291"/>
      <c r="U32" s="291" t="s">
        <v>208</v>
      </c>
      <c r="V32" s="415"/>
      <c r="W32" s="415"/>
      <c r="X32" s="291">
        <f>ROUND(M32*P32,-3)</f>
        <v>738000</v>
      </c>
      <c r="Y32" s="47" t="s">
        <v>307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2"/>
      <c r="K33" s="291"/>
      <c r="L33" s="291"/>
      <c r="M33" s="291"/>
      <c r="N33" s="291" t="s">
        <v>56</v>
      </c>
      <c r="O33" s="64" t="s">
        <v>57</v>
      </c>
      <c r="P33" s="271"/>
      <c r="Q33" s="291"/>
      <c r="R33" s="291"/>
      <c r="S33" s="291"/>
      <c r="T33" s="291"/>
      <c r="U33" s="291" t="s">
        <v>208</v>
      </c>
      <c r="V33" s="415"/>
      <c r="W33" s="415"/>
      <c r="X33" s="291">
        <f>ROUND(M33*P33,-3)</f>
        <v>0</v>
      </c>
      <c r="Y33" s="47" t="s">
        <v>307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269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47" t="s">
        <v>69</v>
      </c>
      <c r="W34" s="62"/>
      <c r="X34" s="347">
        <f>SUM(X35:X36)</f>
        <v>168000</v>
      </c>
      <c r="Y34" s="63" t="s">
        <v>305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509</v>
      </c>
      <c r="J35" s="292"/>
      <c r="K35" s="291"/>
      <c r="L35" s="291"/>
      <c r="M35" s="291">
        <v>1680000</v>
      </c>
      <c r="N35" s="291" t="s">
        <v>56</v>
      </c>
      <c r="O35" s="64" t="s">
        <v>57</v>
      </c>
      <c r="P35" s="271">
        <v>0.1</v>
      </c>
      <c r="Q35" s="291"/>
      <c r="R35" s="291"/>
      <c r="S35" s="291"/>
      <c r="T35" s="291"/>
      <c r="U35" s="291" t="s">
        <v>208</v>
      </c>
      <c r="V35" s="415"/>
      <c r="W35" s="415"/>
      <c r="X35" s="291">
        <f>ROUND(M35*P35,-3)</f>
        <v>168000</v>
      </c>
      <c r="Y35" s="47" t="s">
        <v>307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2"/>
      <c r="K36" s="291"/>
      <c r="L36" s="291"/>
      <c r="M36" s="291"/>
      <c r="N36" s="291" t="s">
        <v>56</v>
      </c>
      <c r="O36" s="64" t="s">
        <v>57</v>
      </c>
      <c r="P36" s="271"/>
      <c r="Q36" s="291"/>
      <c r="R36" s="291"/>
      <c r="S36" s="291"/>
      <c r="T36" s="291"/>
      <c r="U36" s="291" t="s">
        <v>208</v>
      </c>
      <c r="V36" s="415"/>
      <c r="W36" s="415"/>
      <c r="X36" s="291">
        <f>ROUND(M36*P36,-3)</f>
        <v>0</v>
      </c>
      <c r="Y36" s="47" t="s">
        <v>307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270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47" t="s">
        <v>69</v>
      </c>
      <c r="W37" s="62"/>
      <c r="X37" s="347">
        <f>SUM(X38:X39)</f>
        <v>1594000</v>
      </c>
      <c r="Y37" s="63" t="s">
        <v>305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509</v>
      </c>
      <c r="J38" s="292"/>
      <c r="K38" s="291"/>
      <c r="L38" s="291"/>
      <c r="M38" s="291">
        <v>15938000</v>
      </c>
      <c r="N38" s="291" t="s">
        <v>56</v>
      </c>
      <c r="O38" s="64" t="s">
        <v>57</v>
      </c>
      <c r="P38" s="271">
        <v>0.1</v>
      </c>
      <c r="Q38" s="291"/>
      <c r="R38" s="291"/>
      <c r="S38" s="291"/>
      <c r="T38" s="291"/>
      <c r="U38" s="291" t="s">
        <v>208</v>
      </c>
      <c r="V38" s="415"/>
      <c r="W38" s="415"/>
      <c r="X38" s="291">
        <f>ROUND(M38*P38,-3)</f>
        <v>1594000</v>
      </c>
      <c r="Y38" s="47" t="s">
        <v>307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2"/>
      <c r="K39" s="291"/>
      <c r="L39" s="291"/>
      <c r="M39" s="291"/>
      <c r="N39" s="291" t="s">
        <v>56</v>
      </c>
      <c r="O39" s="64" t="s">
        <v>57</v>
      </c>
      <c r="P39" s="271"/>
      <c r="Q39" s="291"/>
      <c r="R39" s="291"/>
      <c r="S39" s="291"/>
      <c r="T39" s="291"/>
      <c r="U39" s="291" t="s">
        <v>208</v>
      </c>
      <c r="V39" s="415"/>
      <c r="W39" s="415"/>
      <c r="X39" s="291">
        <f>ROUND(M39*P39,-3)</f>
        <v>0</v>
      </c>
      <c r="Y39" s="47" t="s">
        <v>307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497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47" t="s">
        <v>69</v>
      </c>
      <c r="W40" s="62"/>
      <c r="X40" s="347">
        <f>SUM(X41:X42)</f>
        <v>532000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509</v>
      </c>
      <c r="J41" s="292"/>
      <c r="K41" s="291"/>
      <c r="L41" s="291"/>
      <c r="M41" s="291">
        <v>5315000</v>
      </c>
      <c r="N41" s="291" t="s">
        <v>56</v>
      </c>
      <c r="O41" s="64" t="s">
        <v>57</v>
      </c>
      <c r="P41" s="271">
        <v>0.1</v>
      </c>
      <c r="Q41" s="291"/>
      <c r="R41" s="291"/>
      <c r="S41" s="291"/>
      <c r="T41" s="291"/>
      <c r="U41" s="291" t="s">
        <v>53</v>
      </c>
      <c r="V41" s="518"/>
      <c r="W41" s="518"/>
      <c r="X41" s="291">
        <f>ROUNDUP(M41*P41,-3)</f>
        <v>532000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2"/>
      <c r="K42" s="291"/>
      <c r="L42" s="291"/>
      <c r="M42" s="291"/>
      <c r="N42" s="291" t="s">
        <v>56</v>
      </c>
      <c r="O42" s="64" t="s">
        <v>57</v>
      </c>
      <c r="P42" s="271"/>
      <c r="Q42" s="291"/>
      <c r="R42" s="291"/>
      <c r="S42" s="291"/>
      <c r="T42" s="291"/>
      <c r="U42" s="291" t="s">
        <v>53</v>
      </c>
      <c r="V42" s="518"/>
      <c r="W42" s="518"/>
      <c r="X42" s="291">
        <f>ROUND(M42*P42,-3)</f>
        <v>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271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870000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509</v>
      </c>
      <c r="J44" s="197"/>
      <c r="K44" s="196"/>
      <c r="L44" s="196"/>
      <c r="M44" s="291">
        <f>M28+M32+M35+M38+M41</f>
        <v>104361000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0.1</v>
      </c>
      <c r="T44" s="196"/>
      <c r="U44" s="196" t="s">
        <v>206</v>
      </c>
      <c r="V44" s="79"/>
      <c r="W44" s="79"/>
      <c r="X44" s="224">
        <f>ROUND(M44/P44*S44,-3)</f>
        <v>870000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2"/>
      <c r="K45" s="291"/>
      <c r="L45" s="291"/>
      <c r="M45" s="291"/>
      <c r="N45" s="44"/>
      <c r="O45" s="415"/>
      <c r="P45" s="66"/>
      <c r="Q45" s="177"/>
      <c r="R45" s="64"/>
      <c r="S45" s="271"/>
      <c r="T45" s="291"/>
      <c r="U45" s="291" t="s">
        <v>206</v>
      </c>
      <c r="V45" s="291"/>
      <c r="W45" s="291"/>
      <c r="X45" s="58"/>
      <c r="Y45" s="261" t="s">
        <v>56</v>
      </c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272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1088000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273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470000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509</v>
      </c>
      <c r="J48" s="292"/>
      <c r="K48" s="291"/>
      <c r="L48" s="291"/>
      <c r="M48" s="291">
        <f>M44</f>
        <v>104361000</v>
      </c>
      <c r="N48" s="44" t="s">
        <v>56</v>
      </c>
      <c r="O48" s="64" t="s">
        <v>57</v>
      </c>
      <c r="P48" s="230">
        <v>0.09</v>
      </c>
      <c r="Q48" s="415">
        <v>2</v>
      </c>
      <c r="R48" s="64" t="s">
        <v>57</v>
      </c>
      <c r="S48" s="271">
        <v>0.1</v>
      </c>
      <c r="T48" s="65"/>
      <c r="U48" s="415" t="s">
        <v>206</v>
      </c>
      <c r="V48" s="291"/>
      <c r="W48" s="58"/>
      <c r="X48" s="58">
        <f>ROUND(M48*P48/Q48*S48,-3)</f>
        <v>470000</v>
      </c>
      <c r="Y48" s="47" t="s">
        <v>307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2"/>
      <c r="K49" s="291"/>
      <c r="L49" s="291"/>
      <c r="M49" s="291"/>
      <c r="N49" s="44"/>
      <c r="O49" s="64"/>
      <c r="P49" s="230"/>
      <c r="Q49" s="415"/>
      <c r="R49" s="64"/>
      <c r="S49" s="271"/>
      <c r="T49" s="65"/>
      <c r="U49" s="415" t="s">
        <v>206</v>
      </c>
      <c r="V49" s="291"/>
      <c r="W49" s="58"/>
      <c r="X49" s="58"/>
      <c r="Y49" s="47" t="s">
        <v>307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274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47"/>
      <c r="W50" s="62"/>
      <c r="X50" s="62">
        <f>SUM(X51:X52)</f>
        <v>370000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509</v>
      </c>
      <c r="J51" s="292"/>
      <c r="K51" s="291"/>
      <c r="L51" s="291"/>
      <c r="M51" s="291">
        <f>M44</f>
        <v>104361000</v>
      </c>
      <c r="N51" s="44" t="s">
        <v>56</v>
      </c>
      <c r="O51" s="64" t="s">
        <v>57</v>
      </c>
      <c r="P51" s="231">
        <v>7.0900000000000005E-2</v>
      </c>
      <c r="Q51" s="415">
        <v>2</v>
      </c>
      <c r="R51" s="64" t="s">
        <v>57</v>
      </c>
      <c r="S51" s="271">
        <v>0.1</v>
      </c>
      <c r="T51" s="65"/>
      <c r="U51" s="415"/>
      <c r="V51" s="291"/>
      <c r="W51" s="58"/>
      <c r="X51" s="58">
        <f>ROUND(M51*P51/Q51*S51,-3)</f>
        <v>370000</v>
      </c>
      <c r="Y51" s="47" t="s">
        <v>307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2"/>
      <c r="K52" s="291"/>
      <c r="L52" s="291"/>
      <c r="M52" s="291"/>
      <c r="N52" s="44"/>
      <c r="O52" s="64"/>
      <c r="P52" s="231"/>
      <c r="Q52" s="415"/>
      <c r="R52" s="64"/>
      <c r="S52" s="271"/>
      <c r="T52" s="65"/>
      <c r="U52" s="415"/>
      <c r="V52" s="291"/>
      <c r="W52" s="58"/>
      <c r="X52" s="58"/>
      <c r="Y52" s="47" t="s">
        <v>307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275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47"/>
      <c r="W53" s="62"/>
      <c r="X53" s="62">
        <f>SUM(X54:X55)</f>
        <v>47000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509</v>
      </c>
      <c r="J54" s="292"/>
      <c r="K54" s="291"/>
      <c r="L54" s="291"/>
      <c r="M54" s="291">
        <f>X51</f>
        <v>370000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15"/>
      <c r="V54" s="291"/>
      <c r="W54" s="58"/>
      <c r="X54" s="58">
        <f>ROUND(M54*P54,-3)</f>
        <v>47000</v>
      </c>
      <c r="Y54" s="47" t="s">
        <v>307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5"/>
      <c r="V55" s="291"/>
      <c r="W55" s="58"/>
      <c r="X55" s="58">
        <f>ROUND(M55*P55,-3)</f>
        <v>0</v>
      </c>
      <c r="Y55" s="47" t="s">
        <v>307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276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47"/>
      <c r="W56" s="62"/>
      <c r="X56" s="62">
        <f>SUM(X57:X58)</f>
        <v>121000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509</v>
      </c>
      <c r="J57" s="292"/>
      <c r="K57" s="291"/>
      <c r="L57" s="291"/>
      <c r="M57" s="291">
        <f>M44</f>
        <v>104361000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0.1</v>
      </c>
      <c r="T57" s="65"/>
      <c r="U57" s="415" t="s">
        <v>206</v>
      </c>
      <c r="V57" s="291"/>
      <c r="W57" s="58"/>
      <c r="X57" s="58">
        <f>ROUNDUP(M57*P57*S57,-3)</f>
        <v>121000</v>
      </c>
      <c r="Y57" s="47" t="s">
        <v>307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5" t="s">
        <v>206</v>
      </c>
      <c r="V58" s="291"/>
      <c r="W58" s="58"/>
      <c r="X58" s="58">
        <f>ROUND(M58*P58*S58,-3)</f>
        <v>0</v>
      </c>
      <c r="Y58" s="47" t="s">
        <v>307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277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47"/>
      <c r="W59" s="62"/>
      <c r="X59" s="62">
        <f>SUM(X60:X61)</f>
        <v>80000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509</v>
      </c>
      <c r="J60" s="292"/>
      <c r="K60" s="291"/>
      <c r="L60" s="291"/>
      <c r="M60" s="291">
        <f>M44</f>
        <v>104361000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0.1</v>
      </c>
      <c r="T60" s="65"/>
      <c r="U60" s="415" t="s">
        <v>206</v>
      </c>
      <c r="V60" s="291"/>
      <c r="W60" s="58"/>
      <c r="X60" s="58">
        <f>ROUNDUP(M60*P60*S60,-3)</f>
        <v>80000</v>
      </c>
      <c r="Y60" s="47" t="s">
        <v>307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5" t="s">
        <v>206</v>
      </c>
      <c r="V61" s="291"/>
      <c r="W61" s="58"/>
      <c r="X61" s="58">
        <f>ROUND(M61*P61*S61,-3)</f>
        <v>0</v>
      </c>
      <c r="Y61" s="47" t="s">
        <v>307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970</v>
      </c>
      <c r="F63" s="213">
        <f>ROUND(X63/1000,0)</f>
        <v>765</v>
      </c>
      <c r="G63" s="30">
        <f>F63-E63</f>
        <v>-205</v>
      </c>
      <c r="H63" s="109">
        <f>IF(E63=0,0,G63/E63)</f>
        <v>-0.21134020618556701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765000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2549000</v>
      </c>
      <c r="N64" s="270" t="s">
        <v>25</v>
      </c>
      <c r="O64" s="362" t="s">
        <v>26</v>
      </c>
      <c r="P64" s="363">
        <v>3</v>
      </c>
      <c r="Q64" s="364" t="s">
        <v>55</v>
      </c>
      <c r="R64" s="325" t="s">
        <v>295</v>
      </c>
      <c r="S64" s="365">
        <v>0.1</v>
      </c>
      <c r="T64" s="328"/>
      <c r="U64" s="326" t="s">
        <v>296</v>
      </c>
      <c r="V64" s="590"/>
      <c r="W64" s="590"/>
      <c r="X64" s="58">
        <f>ROUND(M64*P64*S64,-3)</f>
        <v>765000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0" t="s">
        <v>297</v>
      </c>
      <c r="J66" s="275"/>
      <c r="K66" s="361"/>
      <c r="L66" s="361"/>
      <c r="M66" s="270"/>
      <c r="N66" s="270"/>
      <c r="O66" s="362"/>
      <c r="P66" s="270"/>
      <c r="Q66" s="364"/>
      <c r="R66" s="368"/>
      <c r="S66" s="369"/>
      <c r="T66" s="326"/>
      <c r="U66" s="326"/>
      <c r="V66" s="366"/>
      <c r="W66" s="274"/>
      <c r="X66" s="275"/>
      <c r="Y66" s="299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299</v>
      </c>
      <c r="J67" s="275"/>
      <c r="K67" s="361"/>
      <c r="L67" s="361"/>
      <c r="M67" s="270">
        <v>0</v>
      </c>
      <c r="N67" s="270" t="s">
        <v>25</v>
      </c>
      <c r="O67" s="362" t="s">
        <v>26</v>
      </c>
      <c r="P67" s="367">
        <v>0.5</v>
      </c>
      <c r="Q67" s="364"/>
      <c r="R67" s="368"/>
      <c r="S67" s="369"/>
      <c r="T67" s="326"/>
      <c r="U67" s="326"/>
      <c r="V67" s="366"/>
      <c r="W67" s="274" t="s">
        <v>27</v>
      </c>
      <c r="X67" s="275">
        <f>M67*P67</f>
        <v>0</v>
      </c>
      <c r="Y67" s="299" t="s">
        <v>294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493</v>
      </c>
      <c r="F69" s="213">
        <f>ROUND(X69/1000,0)</f>
        <v>381</v>
      </c>
      <c r="G69" s="30">
        <f>F69-E69</f>
        <v>-112</v>
      </c>
      <c r="H69" s="109">
        <f>IF(E69=0,0,G69/E69)</f>
        <v>-0.22718052738336714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381000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3</v>
      </c>
      <c r="Q70" s="235">
        <v>365</v>
      </c>
      <c r="R70" s="196" t="s">
        <v>217</v>
      </c>
      <c r="S70" s="272">
        <v>0.3</v>
      </c>
      <c r="T70" s="196"/>
      <c r="U70" s="196" t="s">
        <v>206</v>
      </c>
      <c r="V70" s="196"/>
      <c r="W70" s="58"/>
      <c r="X70" s="58">
        <f>ROUND(M70*P70*Q70*S70,-3)</f>
        <v>164000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3</v>
      </c>
      <c r="Q71" s="235">
        <v>12</v>
      </c>
      <c r="R71" s="196" t="s">
        <v>205</v>
      </c>
      <c r="S71" s="272">
        <v>0.3</v>
      </c>
      <c r="T71" s="196"/>
      <c r="U71" s="196" t="s">
        <v>206</v>
      </c>
      <c r="V71" s="196"/>
      <c r="W71" s="58"/>
      <c r="X71" s="58">
        <f>ROUNDUP(M71*P71*Q71*S71,-3)</f>
        <v>54000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3</v>
      </c>
      <c r="Q72" s="235">
        <v>4</v>
      </c>
      <c r="R72" s="196" t="s">
        <v>220</v>
      </c>
      <c r="S72" s="272">
        <v>0.3</v>
      </c>
      <c r="T72" s="196"/>
      <c r="U72" s="196" t="s">
        <v>206</v>
      </c>
      <c r="V72" s="196"/>
      <c r="W72" s="58"/>
      <c r="X72" s="58">
        <f>ROUNDUP(M72*P72*Q72*S72,-3)</f>
        <v>72000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428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3</v>
      </c>
      <c r="Q73" s="235">
        <v>4</v>
      </c>
      <c r="R73" s="196" t="s">
        <v>220</v>
      </c>
      <c r="S73" s="272">
        <v>0.3</v>
      </c>
      <c r="T73" s="196"/>
      <c r="U73" s="196" t="s">
        <v>206</v>
      </c>
      <c r="V73" s="196"/>
      <c r="W73" s="58"/>
      <c r="X73" s="58">
        <f>ROUND(M73*P73*Q73*S73,-3)</f>
        <v>43000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4</v>
      </c>
      <c r="Q75" s="235">
        <v>1</v>
      </c>
      <c r="R75" s="196" t="s">
        <v>220</v>
      </c>
      <c r="S75" s="272">
        <v>0.3</v>
      </c>
      <c r="T75" s="196"/>
      <c r="U75" s="196" t="s">
        <v>206</v>
      </c>
      <c r="V75" s="196"/>
      <c r="W75" s="58"/>
      <c r="X75" s="58">
        <f>ROUND(M75*P75*Q75*S75,-3)</f>
        <v>48000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0</v>
      </c>
      <c r="F77" s="213">
        <f>ROUND(X77/1000,0)</f>
        <v>0</v>
      </c>
      <c r="G77" s="30">
        <f>F77-E77</f>
        <v>0</v>
      </c>
      <c r="H77" s="109">
        <f>IF(E77=0,0,G77/E77)</f>
        <v>0</v>
      </c>
      <c r="I77" s="225" t="s">
        <v>309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310</v>
      </c>
      <c r="E78" s="40"/>
      <c r="F78" s="40"/>
      <c r="G78" s="41"/>
      <c r="H78" s="60"/>
      <c r="I78" s="284" t="s">
        <v>278</v>
      </c>
      <c r="J78" s="197"/>
      <c r="K78" s="196"/>
      <c r="L78" s="196"/>
      <c r="M78" s="237"/>
      <c r="N78" s="59" t="s">
        <v>203</v>
      </c>
      <c r="O78" s="59" t="s">
        <v>207</v>
      </c>
      <c r="P78" s="67">
        <v>0.1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507</v>
      </c>
      <c r="E80" s="40">
        <v>0</v>
      </c>
      <c r="F80" s="213">
        <f>ROUND(X80/1000,0)</f>
        <v>0</v>
      </c>
      <c r="G80" s="41">
        <f>F80-E80</f>
        <v>0</v>
      </c>
      <c r="H80" s="60">
        <f>IF(E80=0,0,G80/E80)</f>
        <v>0</v>
      </c>
      <c r="I80" s="61" t="s">
        <v>226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225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508</v>
      </c>
      <c r="E81" s="40"/>
      <c r="F81" s="40"/>
      <c r="G81" s="41"/>
      <c r="H81" s="60"/>
      <c r="I81" s="274" t="s">
        <v>298</v>
      </c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114353</v>
      </c>
      <c r="F83" s="189">
        <f>SUM(F84:F140)</f>
        <v>119602</v>
      </c>
      <c r="G83" s="190">
        <f>F83-E83</f>
        <v>5249</v>
      </c>
      <c r="H83" s="191">
        <f>IF(E83=0,0,G83/E83)</f>
        <v>4.5901725359194775E-2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119602000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>F84-E84</f>
        <v>0</v>
      </c>
      <c r="H84" s="156">
        <f>IF(E84=0,0,G84/E84)</f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265</v>
      </c>
      <c r="J85" s="292"/>
      <c r="K85" s="291"/>
      <c r="L85" s="291"/>
      <c r="M85" s="291">
        <v>0</v>
      </c>
      <c r="N85" s="412" t="s">
        <v>25</v>
      </c>
      <c r="O85" s="177" t="s">
        <v>26</v>
      </c>
      <c r="P85" s="413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12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202</v>
      </c>
      <c r="E87" s="29">
        <v>103874</v>
      </c>
      <c r="F87" s="213">
        <f>ROUND(X87/1000,0)</f>
        <v>111529</v>
      </c>
      <c r="G87" s="30">
        <f>F87-E87</f>
        <v>7655</v>
      </c>
      <c r="H87" s="109">
        <f>IF(E87=0,0,G87/E87)</f>
        <v>7.3695053622658227E-2</v>
      </c>
      <c r="I87" s="225" t="s">
        <v>308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16"/>
      <c r="U87" s="416"/>
      <c r="V87" s="226" t="s">
        <v>192</v>
      </c>
      <c r="W87" s="227"/>
      <c r="X87" s="227">
        <f>SUM(X88,X91,X104,X107,)</f>
        <v>111529000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5" t="s">
        <v>266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47" t="s">
        <v>69</v>
      </c>
      <c r="W88" s="62"/>
      <c r="X88" s="427">
        <f>SUM(X89:X90)</f>
        <v>66641000</v>
      </c>
      <c r="Y88" s="428" t="s">
        <v>305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4" t="s">
        <v>509</v>
      </c>
      <c r="J89" s="292"/>
      <c r="K89" s="291"/>
      <c r="L89" s="291"/>
      <c r="M89" s="291">
        <v>74046000</v>
      </c>
      <c r="N89" s="291" t="s">
        <v>56</v>
      </c>
      <c r="O89" s="64" t="s">
        <v>57</v>
      </c>
      <c r="P89" s="271">
        <v>0.9</v>
      </c>
      <c r="Q89" s="291"/>
      <c r="R89" s="291"/>
      <c r="S89" s="291"/>
      <c r="T89" s="291"/>
      <c r="U89" s="291" t="s">
        <v>306</v>
      </c>
      <c r="V89" s="291"/>
      <c r="W89" s="58"/>
      <c r="X89" s="291">
        <f>ROUNDDOWN(M89*P89,-3)</f>
        <v>66641000</v>
      </c>
      <c r="Y89" s="47" t="s">
        <v>305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4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 t="s">
        <v>208</v>
      </c>
      <c r="V90" s="291"/>
      <c r="W90" s="58"/>
      <c r="X90" s="291">
        <f>ROUNDDOWN(M90*P90,-3)</f>
        <v>0</v>
      </c>
      <c r="Y90" s="63" t="s">
        <v>25</v>
      </c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267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29"/>
      <c r="X91" s="55">
        <f>SUM(X92,X95,X98, X101)</f>
        <v>27283000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4" t="s">
        <v>268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47" t="s">
        <v>69</v>
      </c>
      <c r="W92" s="62"/>
      <c r="X92" s="347">
        <f>SUM(X93:X94)</f>
        <v>6644000</v>
      </c>
      <c r="Y92" s="63" t="s">
        <v>305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4" t="s">
        <v>509</v>
      </c>
      <c r="J93" s="292"/>
      <c r="K93" s="291"/>
      <c r="L93" s="291"/>
      <c r="M93" s="291">
        <v>7382000</v>
      </c>
      <c r="N93" s="291" t="s">
        <v>56</v>
      </c>
      <c r="O93" s="64" t="s">
        <v>57</v>
      </c>
      <c r="P93" s="271">
        <v>0.9</v>
      </c>
      <c r="Q93" s="291"/>
      <c r="R93" s="291"/>
      <c r="S93" s="291"/>
      <c r="T93" s="291"/>
      <c r="U93" s="291" t="s">
        <v>208</v>
      </c>
      <c r="V93" s="415"/>
      <c r="W93" s="415"/>
      <c r="X93" s="291">
        <f>ROUND(M93*P93,-3)</f>
        <v>6644000</v>
      </c>
      <c r="Y93" s="47" t="s">
        <v>307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4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 t="s">
        <v>208</v>
      </c>
      <c r="V94" s="415"/>
      <c r="W94" s="415"/>
      <c r="X94" s="291">
        <f>ROUND(M94*P94,-3)</f>
        <v>0</v>
      </c>
      <c r="Y94" s="47" t="s">
        <v>307</v>
      </c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4" t="s">
        <v>269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47" t="s">
        <v>69</v>
      </c>
      <c r="W95" s="62"/>
      <c r="X95" s="347">
        <f>SUM(X96:X97)</f>
        <v>1512000</v>
      </c>
      <c r="Y95" s="63" t="s">
        <v>305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4" t="s">
        <v>509</v>
      </c>
      <c r="J96" s="292"/>
      <c r="K96" s="291"/>
      <c r="L96" s="291"/>
      <c r="M96" s="291">
        <v>1680000</v>
      </c>
      <c r="N96" s="291" t="s">
        <v>56</v>
      </c>
      <c r="O96" s="64" t="s">
        <v>57</v>
      </c>
      <c r="P96" s="271">
        <v>0.9</v>
      </c>
      <c r="Q96" s="291"/>
      <c r="R96" s="291"/>
      <c r="S96" s="291"/>
      <c r="T96" s="291"/>
      <c r="U96" s="291" t="s">
        <v>208</v>
      </c>
      <c r="V96" s="415"/>
      <c r="W96" s="415"/>
      <c r="X96" s="291">
        <f>ROUND(M96*P96,-3)</f>
        <v>1512000</v>
      </c>
      <c r="Y96" s="47" t="s">
        <v>307</v>
      </c>
    </row>
    <row r="97" spans="1:25" ht="21" customHeight="1">
      <c r="A97" s="37"/>
      <c r="B97" s="38"/>
      <c r="C97" s="38"/>
      <c r="D97" s="38"/>
      <c r="E97" s="40"/>
      <c r="F97" s="40"/>
      <c r="G97" s="41"/>
      <c r="H97" s="60"/>
      <c r="I97" s="284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 t="s">
        <v>208</v>
      </c>
      <c r="V97" s="415"/>
      <c r="W97" s="415"/>
      <c r="X97" s="291">
        <f>ROUND(M97*P97,-3)</f>
        <v>0</v>
      </c>
      <c r="Y97" s="47" t="s">
        <v>307</v>
      </c>
    </row>
    <row r="98" spans="1:25" ht="21" customHeight="1">
      <c r="A98" s="37"/>
      <c r="B98" s="38"/>
      <c r="C98" s="38"/>
      <c r="D98" s="38"/>
      <c r="E98" s="40"/>
      <c r="F98" s="40"/>
      <c r="G98" s="41"/>
      <c r="H98" s="60"/>
      <c r="I98" s="284" t="s">
        <v>270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47" t="s">
        <v>69</v>
      </c>
      <c r="W98" s="62"/>
      <c r="X98" s="347">
        <f>SUM(X99:X100)</f>
        <v>14344000</v>
      </c>
      <c r="Y98" s="63" t="s">
        <v>305</v>
      </c>
    </row>
    <row r="99" spans="1:25" ht="21" customHeight="1">
      <c r="A99" s="37"/>
      <c r="B99" s="38"/>
      <c r="C99" s="38"/>
      <c r="D99" s="38"/>
      <c r="E99" s="40"/>
      <c r="F99" s="40"/>
      <c r="G99" s="41"/>
      <c r="H99" s="60"/>
      <c r="I99" s="284" t="s">
        <v>509</v>
      </c>
      <c r="J99" s="292"/>
      <c r="K99" s="291"/>
      <c r="L99" s="291"/>
      <c r="M99" s="291">
        <v>15938000</v>
      </c>
      <c r="N99" s="291" t="s">
        <v>56</v>
      </c>
      <c r="O99" s="64" t="s">
        <v>57</v>
      </c>
      <c r="P99" s="271">
        <v>0.9</v>
      </c>
      <c r="Q99" s="291"/>
      <c r="R99" s="291"/>
      <c r="S99" s="291"/>
      <c r="T99" s="291"/>
      <c r="U99" s="291" t="s">
        <v>208</v>
      </c>
      <c r="V99" s="415"/>
      <c r="W99" s="415"/>
      <c r="X99" s="422">
        <f>ROUND(M99*P99,-3)</f>
        <v>14344000</v>
      </c>
      <c r="Y99" s="47" t="s">
        <v>307</v>
      </c>
    </row>
    <row r="100" spans="1:25" ht="2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 t="s">
        <v>208</v>
      </c>
      <c r="V100" s="415"/>
      <c r="W100" s="415"/>
      <c r="X100" s="291">
        <f>ROUND(M100*P100,-3)</f>
        <v>0</v>
      </c>
      <c r="Y100" s="47" t="s">
        <v>307</v>
      </c>
    </row>
    <row r="101" spans="1:25" ht="21" customHeight="1">
      <c r="A101" s="37"/>
      <c r="B101" s="38"/>
      <c r="C101" s="38"/>
      <c r="D101" s="38"/>
      <c r="E101" s="40"/>
      <c r="F101" s="40"/>
      <c r="G101" s="41"/>
      <c r="H101" s="60"/>
      <c r="I101" s="284" t="s">
        <v>497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47" t="s">
        <v>69</v>
      </c>
      <c r="W101" s="62"/>
      <c r="X101" s="347">
        <f>SUM(X102:X103)</f>
        <v>4783000</v>
      </c>
      <c r="Y101" s="63" t="s">
        <v>56</v>
      </c>
    </row>
    <row r="102" spans="1:25" ht="21" customHeight="1">
      <c r="A102" s="37"/>
      <c r="B102" s="38"/>
      <c r="C102" s="38"/>
      <c r="D102" s="38"/>
      <c r="E102" s="40"/>
      <c r="F102" s="40"/>
      <c r="G102" s="41"/>
      <c r="H102" s="60"/>
      <c r="I102" s="284" t="s">
        <v>509</v>
      </c>
      <c r="J102" s="292"/>
      <c r="K102" s="291"/>
      <c r="L102" s="291"/>
      <c r="M102" s="291">
        <v>5315000</v>
      </c>
      <c r="N102" s="291" t="s">
        <v>56</v>
      </c>
      <c r="O102" s="64" t="s">
        <v>57</v>
      </c>
      <c r="P102" s="271">
        <v>0.9</v>
      </c>
      <c r="Q102" s="291"/>
      <c r="R102" s="291"/>
      <c r="S102" s="291"/>
      <c r="T102" s="291"/>
      <c r="U102" s="291" t="s">
        <v>53</v>
      </c>
      <c r="V102" s="518"/>
      <c r="W102" s="518"/>
      <c r="X102" s="460">
        <f>ROUNDDOWN(M102*P102,-3)</f>
        <v>4783000</v>
      </c>
      <c r="Y102" s="47" t="s">
        <v>56</v>
      </c>
    </row>
    <row r="103" spans="1:25" ht="21" customHeight="1">
      <c r="A103" s="37"/>
      <c r="B103" s="38"/>
      <c r="C103" s="38"/>
      <c r="D103" s="38"/>
      <c r="E103" s="40"/>
      <c r="F103" s="40"/>
      <c r="G103" s="41"/>
      <c r="H103" s="60"/>
      <c r="I103" s="284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 t="s">
        <v>53</v>
      </c>
      <c r="V103" s="518"/>
      <c r="W103" s="518"/>
      <c r="X103" s="291"/>
      <c r="Y103" s="47" t="s">
        <v>56</v>
      </c>
    </row>
    <row r="104" spans="1:25" ht="21" customHeight="1">
      <c r="A104" s="37"/>
      <c r="B104" s="38"/>
      <c r="C104" s="38"/>
      <c r="D104" s="38"/>
      <c r="E104" s="40"/>
      <c r="F104" s="40"/>
      <c r="G104" s="41"/>
      <c r="H104" s="60"/>
      <c r="I104" s="285" t="s">
        <v>271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47" t="s">
        <v>69</v>
      </c>
      <c r="W104" s="62"/>
      <c r="X104" s="347">
        <f>SUM(X105:X106)</f>
        <v>7827000</v>
      </c>
      <c r="Y104" s="63" t="s">
        <v>25</v>
      </c>
    </row>
    <row r="105" spans="1:25" ht="21" customHeight="1">
      <c r="A105" s="37"/>
      <c r="B105" s="38"/>
      <c r="C105" s="38"/>
      <c r="D105" s="38"/>
      <c r="E105" s="40"/>
      <c r="F105" s="40"/>
      <c r="G105" s="41"/>
      <c r="H105" s="60"/>
      <c r="I105" s="284" t="s">
        <v>509</v>
      </c>
      <c r="J105" s="292"/>
      <c r="K105" s="291"/>
      <c r="L105" s="291"/>
      <c r="M105" s="291">
        <f>SUM(M89,M93,M96,M99, M102)</f>
        <v>104361000</v>
      </c>
      <c r="N105" s="44" t="s">
        <v>56</v>
      </c>
      <c r="O105" s="415" t="s">
        <v>204</v>
      </c>
      <c r="P105" s="66">
        <v>12</v>
      </c>
      <c r="Q105" s="177" t="s">
        <v>205</v>
      </c>
      <c r="R105" s="64" t="s">
        <v>57</v>
      </c>
      <c r="S105" s="271">
        <v>0.9</v>
      </c>
      <c r="T105" s="291"/>
      <c r="U105" s="291" t="s">
        <v>206</v>
      </c>
      <c r="V105" s="79"/>
      <c r="W105" s="79"/>
      <c r="X105" s="224">
        <f>ROUND(M105/P105*S105,-3)</f>
        <v>7827000</v>
      </c>
      <c r="Y105" s="261" t="s">
        <v>56</v>
      </c>
    </row>
    <row r="106" spans="1:25" ht="2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2"/>
      <c r="K106" s="291"/>
      <c r="L106" s="291"/>
      <c r="M106" s="291"/>
      <c r="N106" s="44"/>
      <c r="O106" s="415"/>
      <c r="P106" s="66"/>
      <c r="Q106" s="177"/>
      <c r="R106" s="64"/>
      <c r="S106" s="271"/>
      <c r="T106" s="291"/>
      <c r="U106" s="291" t="s">
        <v>206</v>
      </c>
      <c r="V106" s="291"/>
      <c r="W106" s="291"/>
      <c r="X106" s="58"/>
      <c r="Y106" s="261" t="s">
        <v>56</v>
      </c>
    </row>
    <row r="107" spans="1:25" ht="2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272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47" t="s">
        <v>69</v>
      </c>
      <c r="W107" s="62"/>
      <c r="X107" s="347">
        <f>SUM(X108,X111,X114,X117,X120)</f>
        <v>9778000</v>
      </c>
      <c r="Y107" s="63" t="s">
        <v>25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273</v>
      </c>
      <c r="J108" s="292"/>
      <c r="K108" s="291"/>
      <c r="L108" s="291"/>
      <c r="M108" s="291"/>
      <c r="N108" s="44"/>
      <c r="O108" s="64"/>
      <c r="P108" s="230"/>
      <c r="Q108" s="415"/>
      <c r="R108" s="64"/>
      <c r="S108" s="271"/>
      <c r="T108" s="65"/>
      <c r="U108" s="415"/>
      <c r="V108" s="128"/>
      <c r="W108" s="129"/>
      <c r="X108" s="129">
        <f>SUM(X109:X110)</f>
        <v>4227000</v>
      </c>
      <c r="Y108" s="130" t="s">
        <v>56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509</v>
      </c>
      <c r="J109" s="292"/>
      <c r="K109" s="291"/>
      <c r="L109" s="291"/>
      <c r="M109" s="291">
        <f>M105</f>
        <v>104361000</v>
      </c>
      <c r="N109" s="44" t="s">
        <v>56</v>
      </c>
      <c r="O109" s="64" t="s">
        <v>57</v>
      </c>
      <c r="P109" s="230">
        <v>0.09</v>
      </c>
      <c r="Q109" s="415">
        <v>2</v>
      </c>
      <c r="R109" s="64" t="s">
        <v>57</v>
      </c>
      <c r="S109" s="271">
        <v>0.9</v>
      </c>
      <c r="T109" s="65"/>
      <c r="U109" s="415" t="s">
        <v>206</v>
      </c>
      <c r="V109" s="291"/>
      <c r="W109" s="58"/>
      <c r="X109" s="58">
        <f>ROUNDUP(M109*P109/Q109*S109,-3)</f>
        <v>4227000</v>
      </c>
      <c r="Y109" s="47" t="s">
        <v>307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2"/>
      <c r="K110" s="291"/>
      <c r="L110" s="291"/>
      <c r="M110" s="291"/>
      <c r="N110" s="44"/>
      <c r="O110" s="64"/>
      <c r="P110" s="230"/>
      <c r="Q110" s="415"/>
      <c r="R110" s="64"/>
      <c r="S110" s="271"/>
      <c r="T110" s="65"/>
      <c r="U110" s="415" t="s">
        <v>206</v>
      </c>
      <c r="V110" s="291"/>
      <c r="W110" s="58"/>
      <c r="X110" s="121"/>
      <c r="Y110" s="47" t="s">
        <v>307</v>
      </c>
    </row>
    <row r="111" spans="1:25" ht="2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274</v>
      </c>
      <c r="J111" s="292"/>
      <c r="K111" s="291"/>
      <c r="L111" s="291"/>
      <c r="M111" s="291"/>
      <c r="N111" s="44"/>
      <c r="O111" s="64"/>
      <c r="P111" s="231"/>
      <c r="Q111" s="415"/>
      <c r="R111" s="64"/>
      <c r="S111" s="271"/>
      <c r="T111" s="65"/>
      <c r="U111" s="415"/>
      <c r="V111" s="347"/>
      <c r="W111" s="62"/>
      <c r="X111" s="62">
        <f>SUM(X112:X113)</f>
        <v>3330000</v>
      </c>
      <c r="Y111" s="63" t="s">
        <v>56</v>
      </c>
    </row>
    <row r="112" spans="1:25" ht="2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509</v>
      </c>
      <c r="J112" s="292"/>
      <c r="K112" s="291"/>
      <c r="L112" s="291"/>
      <c r="M112" s="291">
        <f>M105</f>
        <v>104361000</v>
      </c>
      <c r="N112" s="44" t="s">
        <v>56</v>
      </c>
      <c r="O112" s="64" t="s">
        <v>57</v>
      </c>
      <c r="P112" s="231">
        <v>7.0900000000000005E-2</v>
      </c>
      <c r="Q112" s="415">
        <v>2</v>
      </c>
      <c r="R112" s="64" t="s">
        <v>57</v>
      </c>
      <c r="S112" s="271">
        <v>0.9</v>
      </c>
      <c r="T112" s="65"/>
      <c r="U112" s="415"/>
      <c r="V112" s="291"/>
      <c r="W112" s="58"/>
      <c r="X112" s="121">
        <f>ROUND(M112*P112/Q112*S112,-3)</f>
        <v>3330000</v>
      </c>
      <c r="Y112" s="47" t="s">
        <v>307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2"/>
      <c r="K113" s="291"/>
      <c r="L113" s="291"/>
      <c r="M113" s="291"/>
      <c r="N113" s="44"/>
      <c r="O113" s="64"/>
      <c r="P113" s="231"/>
      <c r="Q113" s="415"/>
      <c r="R113" s="64"/>
      <c r="S113" s="271"/>
      <c r="T113" s="65"/>
      <c r="U113" s="415"/>
      <c r="V113" s="291"/>
      <c r="W113" s="58"/>
      <c r="X113" s="121"/>
      <c r="Y113" s="47" t="s">
        <v>307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275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5"/>
      <c r="V114" s="347"/>
      <c r="W114" s="62"/>
      <c r="X114" s="62">
        <f>SUM(X115:X116)</f>
        <v>427000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509</v>
      </c>
      <c r="J115" s="292"/>
      <c r="K115" s="291"/>
      <c r="L115" s="291"/>
      <c r="M115" s="291">
        <f>X112</f>
        <v>3330000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15"/>
      <c r="V115" s="291"/>
      <c r="W115" s="58"/>
      <c r="X115" s="58">
        <f>ROUND(M115*P115,-3)</f>
        <v>427000</v>
      </c>
      <c r="Y115" s="47" t="s">
        <v>307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5"/>
      <c r="V116" s="291"/>
      <c r="W116" s="58"/>
      <c r="X116" s="58">
        <f>ROUND(M116*P116,-3)</f>
        <v>0</v>
      </c>
      <c r="Y116" s="47" t="s">
        <v>307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276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5"/>
      <c r="V117" s="347"/>
      <c r="W117" s="62"/>
      <c r="X117" s="62">
        <f>SUM(X118:X119)</f>
        <v>1080000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509</v>
      </c>
      <c r="J118" s="292"/>
      <c r="K118" s="291"/>
      <c r="L118" s="291"/>
      <c r="M118" s="291">
        <f>M105</f>
        <v>104361000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0.9</v>
      </c>
      <c r="T118" s="65"/>
      <c r="U118" s="415" t="s">
        <v>206</v>
      </c>
      <c r="V118" s="291"/>
      <c r="W118" s="58"/>
      <c r="X118" s="58">
        <f>ROUND(M118*P118*S118,-3)</f>
        <v>1080000</v>
      </c>
      <c r="Y118" s="47" t="s">
        <v>307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5" t="s">
        <v>206</v>
      </c>
      <c r="V119" s="291"/>
      <c r="W119" s="58"/>
      <c r="X119" s="58">
        <f>ROUND(M119*P119*S119,-3)</f>
        <v>0</v>
      </c>
      <c r="Y119" s="47" t="s">
        <v>307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277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5"/>
      <c r="V120" s="347"/>
      <c r="W120" s="62"/>
      <c r="X120" s="62">
        <f>SUM(X121:X122)</f>
        <v>714000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509</v>
      </c>
      <c r="J121" s="292"/>
      <c r="K121" s="291"/>
      <c r="L121" s="291"/>
      <c r="M121" s="291">
        <f>M105</f>
        <v>104361000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0.9</v>
      </c>
      <c r="T121" s="65"/>
      <c r="U121" s="415" t="s">
        <v>206</v>
      </c>
      <c r="V121" s="291"/>
      <c r="W121" s="58"/>
      <c r="X121" s="58">
        <f>ROUNDUP(M121*P121*S121,-3)</f>
        <v>714000</v>
      </c>
      <c r="Y121" s="47" t="s">
        <v>307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5" t="s">
        <v>206</v>
      </c>
      <c r="V122" s="291"/>
      <c r="W122" s="58"/>
      <c r="X122" s="121">
        <f>ROUNDUP(M122*P122*S122,-3)</f>
        <v>0</v>
      </c>
      <c r="Y122" s="47" t="s">
        <v>307</v>
      </c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8730</v>
      </c>
      <c r="F124" s="213">
        <f>ROUND(X124/1000,0)</f>
        <v>6882</v>
      </c>
      <c r="G124" s="30">
        <f>F124-E124</f>
        <v>-1848</v>
      </c>
      <c r="H124" s="109">
        <f>IF(E124=0,0,G124/E124)</f>
        <v>-0.21168384879725086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6882000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212</v>
      </c>
      <c r="J125" s="58"/>
      <c r="K125" s="180"/>
      <c r="L125" s="180"/>
      <c r="M125" s="270">
        <v>2549000</v>
      </c>
      <c r="N125" s="270" t="s">
        <v>25</v>
      </c>
      <c r="O125" s="362" t="s">
        <v>26</v>
      </c>
      <c r="P125" s="363">
        <v>3</v>
      </c>
      <c r="Q125" s="364" t="s">
        <v>55</v>
      </c>
      <c r="R125" s="325" t="s">
        <v>295</v>
      </c>
      <c r="S125" s="365">
        <v>0.9</v>
      </c>
      <c r="T125" s="328"/>
      <c r="U125" s="326" t="s">
        <v>296</v>
      </c>
      <c r="V125" s="590"/>
      <c r="W125" s="590"/>
      <c r="X125" s="58">
        <f>ROUND(M125*P125*S125,-3)</f>
        <v>6882000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1149</v>
      </c>
      <c r="F127" s="213">
        <f>ROUND(X127/1000,0)</f>
        <v>891</v>
      </c>
      <c r="G127" s="30">
        <f>F127-E127</f>
        <v>-258</v>
      </c>
      <c r="H127" s="109">
        <f>IF(E127=0,0,G127/E127)</f>
        <v>-0.22454308093994779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891000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>
        <v>500</v>
      </c>
      <c r="N128" s="196" t="s">
        <v>203</v>
      </c>
      <c r="O128" s="197" t="s">
        <v>207</v>
      </c>
      <c r="P128" s="234">
        <v>3</v>
      </c>
      <c r="Q128" s="235">
        <v>365</v>
      </c>
      <c r="R128" s="196" t="s">
        <v>217</v>
      </c>
      <c r="S128" s="272">
        <v>0.7</v>
      </c>
      <c r="T128" s="196"/>
      <c r="U128" s="196" t="s">
        <v>206</v>
      </c>
      <c r="V128" s="196"/>
      <c r="W128" s="58"/>
      <c r="X128" s="58">
        <f>ROUNDUP(M128*P128*Q128*S128,-3)</f>
        <v>384000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>
        <v>5000</v>
      </c>
      <c r="N129" s="196" t="s">
        <v>203</v>
      </c>
      <c r="O129" s="197" t="s">
        <v>207</v>
      </c>
      <c r="P129" s="234">
        <v>3</v>
      </c>
      <c r="Q129" s="235">
        <v>12</v>
      </c>
      <c r="R129" s="196" t="s">
        <v>205</v>
      </c>
      <c r="S129" s="272">
        <v>0.7</v>
      </c>
      <c r="T129" s="196"/>
      <c r="U129" s="196" t="s">
        <v>206</v>
      </c>
      <c r="V129" s="196"/>
      <c r="W129" s="58"/>
      <c r="X129" s="58">
        <f>ROUND(M129*P129*Q129*S129,-3)</f>
        <v>126000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>
        <v>20000</v>
      </c>
      <c r="N130" s="196" t="s">
        <v>203</v>
      </c>
      <c r="O130" s="197" t="s">
        <v>207</v>
      </c>
      <c r="P130" s="234">
        <v>3</v>
      </c>
      <c r="Q130" s="235">
        <v>4</v>
      </c>
      <c r="R130" s="196" t="s">
        <v>220</v>
      </c>
      <c r="S130" s="272">
        <v>0.7</v>
      </c>
      <c r="T130" s="196"/>
      <c r="U130" s="196" t="s">
        <v>206</v>
      </c>
      <c r="V130" s="196"/>
      <c r="W130" s="58"/>
      <c r="X130" s="58">
        <f>ROUND(M130*P130*Q130*S130,-3)</f>
        <v>168000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428</v>
      </c>
      <c r="J131" s="197"/>
      <c r="K131" s="196"/>
      <c r="L131" s="196"/>
      <c r="M131" s="196">
        <v>12000</v>
      </c>
      <c r="N131" s="196" t="s">
        <v>203</v>
      </c>
      <c r="O131" s="197" t="s">
        <v>207</v>
      </c>
      <c r="P131" s="234">
        <v>3</v>
      </c>
      <c r="Q131" s="235">
        <v>4</v>
      </c>
      <c r="R131" s="196" t="s">
        <v>220</v>
      </c>
      <c r="S131" s="272">
        <v>0.7</v>
      </c>
      <c r="T131" s="196"/>
      <c r="U131" s="196" t="s">
        <v>206</v>
      </c>
      <c r="V131" s="196"/>
      <c r="W131" s="58"/>
      <c r="X131" s="58">
        <f>ROUND(M131*P131*Q131*S131,-3)</f>
        <v>101000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>
        <v>40000</v>
      </c>
      <c r="N133" s="196" t="s">
        <v>203</v>
      </c>
      <c r="O133" s="197" t="s">
        <v>207</v>
      </c>
      <c r="P133" s="234">
        <v>4</v>
      </c>
      <c r="Q133" s="235">
        <v>1</v>
      </c>
      <c r="R133" s="196" t="s">
        <v>220</v>
      </c>
      <c r="S133" s="272">
        <v>0.7</v>
      </c>
      <c r="T133" s="196"/>
      <c r="U133" s="196" t="s">
        <v>206</v>
      </c>
      <c r="V133" s="196"/>
      <c r="W133" s="58"/>
      <c r="X133" s="58">
        <f>ROUNDUP(M133*P133*Q133*S133,-3)</f>
        <v>112000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0</v>
      </c>
      <c r="F135" s="213">
        <f>ROUND(X135/1000,0)</f>
        <v>0</v>
      </c>
      <c r="G135" s="30">
        <f>F135-E135</f>
        <v>0</v>
      </c>
      <c r="H135" s="109">
        <f>IF(E135=0,0,G135/E135)</f>
        <v>0</v>
      </c>
      <c r="I135" s="225" t="s">
        <v>309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4"/>
      <c r="U135" s="344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310</v>
      </c>
      <c r="E136" s="40"/>
      <c r="F136" s="40"/>
      <c r="G136" s="41"/>
      <c r="H136" s="60"/>
      <c r="I136" s="284" t="s">
        <v>278</v>
      </c>
      <c r="J136" s="292"/>
      <c r="K136" s="291"/>
      <c r="L136" s="291"/>
      <c r="M136" s="237">
        <v>0</v>
      </c>
      <c r="N136" s="59" t="s">
        <v>56</v>
      </c>
      <c r="O136" s="59" t="s">
        <v>57</v>
      </c>
      <c r="P136" s="67">
        <v>0.9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48"/>
      <c r="J137" s="62"/>
      <c r="K137" s="218"/>
      <c r="L137" s="218"/>
      <c r="M137" s="347"/>
      <c r="N137" s="347"/>
      <c r="O137" s="219"/>
      <c r="P137" s="347"/>
      <c r="Q137" s="117"/>
      <c r="R137" s="220"/>
      <c r="S137" s="347"/>
      <c r="T137" s="169"/>
      <c r="U137" s="169"/>
      <c r="V137" s="221"/>
      <c r="W137" s="348"/>
      <c r="X137" s="62"/>
      <c r="Y137" s="63"/>
    </row>
    <row r="138" spans="1:26" ht="21" customHeight="1">
      <c r="A138" s="37"/>
      <c r="B138" s="38"/>
      <c r="C138" s="38"/>
      <c r="D138" s="38" t="s">
        <v>314</v>
      </c>
      <c r="E138" s="40">
        <v>600</v>
      </c>
      <c r="F138" s="213">
        <f>ROUND(X138/1000,0)</f>
        <v>300</v>
      </c>
      <c r="G138" s="41">
        <f>F138-E138</f>
        <v>-300</v>
      </c>
      <c r="H138" s="60">
        <f>IF(E138=0,0,G138/E138)</f>
        <v>-0.5</v>
      </c>
      <c r="I138" s="61" t="s">
        <v>313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225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224</v>
      </c>
      <c r="E139" s="40"/>
      <c r="F139" s="40"/>
      <c r="G139" s="41"/>
      <c r="H139" s="60"/>
      <c r="I139" s="284" t="s">
        <v>279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208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0</v>
      </c>
      <c r="F141" s="189">
        <f>F142</f>
        <v>0</v>
      </c>
      <c r="G141" s="190">
        <f>F141-E141</f>
        <v>0</v>
      </c>
      <c r="H141" s="191">
        <f>IF(E141=0,0,G141/E141)</f>
        <v>0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0</v>
      </c>
      <c r="F142" s="40">
        <f>ROUND(X142/1000,0)</f>
        <v>0</v>
      </c>
      <c r="G142" s="266">
        <f>F142-E142</f>
        <v>0</v>
      </c>
      <c r="H142" s="156">
        <f>IF(E142=0,0,G142/E142)</f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71</v>
      </c>
      <c r="B144" s="28" t="s">
        <v>30</v>
      </c>
      <c r="C144" s="583" t="s">
        <v>249</v>
      </c>
      <c r="D144" s="584"/>
      <c r="E144" s="239">
        <f>SUM(E145,E151)</f>
        <v>540</v>
      </c>
      <c r="F144" s="239">
        <f>SUM(F145,F151)</f>
        <v>542</v>
      </c>
      <c r="G144" s="240">
        <f>F144-E144</f>
        <v>2</v>
      </c>
      <c r="H144" s="241">
        <f>IF(E144=0,0,G144/E144)</f>
        <v>3.7037037037037038E-3</v>
      </c>
      <c r="I144" s="242" t="s">
        <v>250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542000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255</v>
      </c>
      <c r="E145" s="189">
        <f>E146+E149</f>
        <v>0</v>
      </c>
      <c r="F145" s="189">
        <f>F146+F149</f>
        <v>0</v>
      </c>
      <c r="G145" s="190">
        <f>F145-E145</f>
        <v>0</v>
      </c>
      <c r="H145" s="191">
        <f>IF(E145=0,0,G145/E145)</f>
        <v>0</v>
      </c>
      <c r="I145" s="173" t="s">
        <v>256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244</v>
      </c>
      <c r="W145" s="211"/>
      <c r="X145" s="212">
        <f>SUM(X146,X149)</f>
        <v>0</v>
      </c>
      <c r="Y145" s="259" t="s">
        <v>243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>F146-E146</f>
        <v>0</v>
      </c>
      <c r="H146" s="156">
        <f>IF(E146=0,0,G146/E146)</f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85" t="s">
        <v>69</v>
      </c>
      <c r="W146" s="585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245</v>
      </c>
      <c r="E149" s="29">
        <v>0</v>
      </c>
      <c r="F149" s="40">
        <f>ROUND(X149/1000,0)</f>
        <v>0</v>
      </c>
      <c r="G149" s="30">
        <f>F149-E149</f>
        <v>0</v>
      </c>
      <c r="H149" s="31">
        <f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85" t="s">
        <v>69</v>
      </c>
      <c r="W149" s="585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246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540</v>
      </c>
      <c r="F151" s="189">
        <f>F152</f>
        <v>542</v>
      </c>
      <c r="G151" s="190">
        <f>F151-E151</f>
        <v>2</v>
      </c>
      <c r="H151" s="191">
        <f>IF(E151=0,0,G151/E151)</f>
        <v>3.7037037037037038E-3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542000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540</v>
      </c>
      <c r="F152" s="40">
        <f>ROUND(X152/1000,0)</f>
        <v>542</v>
      </c>
      <c r="G152" s="266">
        <f>F152-E152</f>
        <v>2</v>
      </c>
      <c r="H152" s="156">
        <f>IF(E152=0,0,G152/E152)</f>
        <v>3.7037037037037038E-3</v>
      </c>
      <c r="I152" s="127" t="s">
        <v>303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85" t="s">
        <v>69</v>
      </c>
      <c r="W152" s="585"/>
      <c r="X152" s="129">
        <f>SUM(X153:X155)</f>
        <v>542000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72</v>
      </c>
      <c r="J153" s="292"/>
      <c r="K153" s="291"/>
      <c r="L153" s="291"/>
      <c r="M153" s="291"/>
      <c r="N153" s="412"/>
      <c r="O153" s="64"/>
      <c r="P153" s="59"/>
      <c r="Q153" s="64"/>
      <c r="R153" s="71"/>
      <c r="S153" s="65"/>
      <c r="T153" s="65"/>
      <c r="U153" s="412" t="s">
        <v>53</v>
      </c>
      <c r="V153" s="291"/>
      <c r="W153" s="58"/>
      <c r="X153" s="58">
        <v>540000</v>
      </c>
      <c r="Y153" s="4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7" t="s">
        <v>534</v>
      </c>
      <c r="J154" s="292"/>
      <c r="K154" s="291"/>
      <c r="L154" s="291"/>
      <c r="M154" s="291"/>
      <c r="N154" s="548"/>
      <c r="O154" s="64"/>
      <c r="P154" s="59"/>
      <c r="Q154" s="64"/>
      <c r="R154" s="71"/>
      <c r="S154" s="65"/>
      <c r="T154" s="65"/>
      <c r="U154" s="548"/>
      <c r="V154" s="291"/>
      <c r="W154" s="58"/>
      <c r="X154" s="58">
        <v>1000</v>
      </c>
      <c r="Y154" s="47" t="s">
        <v>56</v>
      </c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2"/>
      <c r="I155" s="61" t="s">
        <v>538</v>
      </c>
      <c r="J155" s="199"/>
      <c r="K155" s="198"/>
      <c r="L155" s="198"/>
      <c r="M155" s="198"/>
      <c r="N155" s="169"/>
      <c r="O155" s="182"/>
      <c r="P155" s="183"/>
      <c r="Q155" s="182"/>
      <c r="R155" s="184"/>
      <c r="S155" s="185"/>
      <c r="T155" s="185"/>
      <c r="U155" s="169"/>
      <c r="V155" s="198"/>
      <c r="W155" s="62"/>
      <c r="X155" s="62">
        <v>1000</v>
      </c>
      <c r="Y155" s="63" t="s">
        <v>533</v>
      </c>
    </row>
    <row r="156" spans="1:25" ht="21" customHeight="1">
      <c r="A156" s="27" t="s">
        <v>154</v>
      </c>
      <c r="B156" s="28" t="s">
        <v>154</v>
      </c>
      <c r="C156" s="583" t="s">
        <v>249</v>
      </c>
      <c r="D156" s="584"/>
      <c r="E156" s="239">
        <f>E157+E160</f>
        <v>0</v>
      </c>
      <c r="F156" s="239">
        <f>F157+F160</f>
        <v>0</v>
      </c>
      <c r="G156" s="240">
        <f>F156-E156</f>
        <v>0</v>
      </c>
      <c r="H156" s="241">
        <f>IF(E156=0,0,G156/E156)</f>
        <v>0</v>
      </c>
      <c r="I156" s="242" t="s">
        <v>251</v>
      </c>
      <c r="J156" s="243"/>
      <c r="K156" s="244"/>
      <c r="L156" s="244"/>
      <c r="M156" s="243"/>
      <c r="N156" s="243"/>
      <c r="O156" s="243"/>
      <c r="P156" s="243"/>
      <c r="Q156" s="243" t="s">
        <v>64</v>
      </c>
      <c r="R156" s="245"/>
      <c r="S156" s="245"/>
      <c r="T156" s="245"/>
      <c r="U156" s="245"/>
      <c r="V156" s="245"/>
      <c r="W156" s="245"/>
      <c r="X156" s="246">
        <f>X157+X160</f>
        <v>0</v>
      </c>
      <c r="Y156" s="258" t="s">
        <v>25</v>
      </c>
    </row>
    <row r="157" spans="1:25" ht="21" customHeight="1">
      <c r="A157" s="37"/>
      <c r="B157" s="38"/>
      <c r="C157" s="28" t="s">
        <v>155</v>
      </c>
      <c r="D157" s="256" t="s">
        <v>109</v>
      </c>
      <c r="E157" s="189">
        <f>E158</f>
        <v>0</v>
      </c>
      <c r="F157" s="189">
        <f>F158</f>
        <v>0</v>
      </c>
      <c r="G157" s="190">
        <f>F157-E157</f>
        <v>0</v>
      </c>
      <c r="H157" s="191">
        <f>IF(E157=0,0,G157/E157)</f>
        <v>0</v>
      </c>
      <c r="I157" s="173" t="s">
        <v>158</v>
      </c>
      <c r="J157" s="174"/>
      <c r="K157" s="175"/>
      <c r="L157" s="175"/>
      <c r="M157" s="175"/>
      <c r="N157" s="175"/>
      <c r="O157" s="175"/>
      <c r="P157" s="176"/>
      <c r="Q157" s="176"/>
      <c r="R157" s="176"/>
      <c r="S157" s="176"/>
      <c r="T157" s="176"/>
      <c r="U157" s="176"/>
      <c r="V157" s="210" t="s">
        <v>69</v>
      </c>
      <c r="W157" s="211"/>
      <c r="X157" s="212">
        <f>X158</f>
        <v>0</v>
      </c>
      <c r="Y157" s="259" t="s">
        <v>56</v>
      </c>
    </row>
    <row r="158" spans="1:25" ht="21" customHeight="1">
      <c r="A158" s="37"/>
      <c r="B158" s="38"/>
      <c r="C158" s="38" t="s">
        <v>156</v>
      </c>
      <c r="D158" s="28" t="s">
        <v>160</v>
      </c>
      <c r="E158" s="29">
        <v>0</v>
      </c>
      <c r="F158" s="40">
        <f>ROUND(X158/1000,0)</f>
        <v>0</v>
      </c>
      <c r="G158" s="30">
        <f>F158-E158</f>
        <v>0</v>
      </c>
      <c r="H158" s="31">
        <f>IF(E158=0,0,G158/E158)</f>
        <v>0</v>
      </c>
      <c r="I158" s="127" t="s">
        <v>158</v>
      </c>
      <c r="J158" s="13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585" t="s">
        <v>69</v>
      </c>
      <c r="W158" s="585"/>
      <c r="X158" s="129">
        <f>X159</f>
        <v>0</v>
      </c>
      <c r="Y158" s="130" t="s">
        <v>56</v>
      </c>
    </row>
    <row r="159" spans="1:25" ht="21" customHeight="1">
      <c r="A159" s="37"/>
      <c r="B159" s="38"/>
      <c r="C159" s="38" t="s">
        <v>154</v>
      </c>
      <c r="D159" s="38" t="s">
        <v>154</v>
      </c>
      <c r="E159" s="40"/>
      <c r="F159" s="40"/>
      <c r="G159" s="41"/>
      <c r="H159" s="25"/>
      <c r="I159" s="57" t="s">
        <v>159</v>
      </c>
      <c r="J159" s="197"/>
      <c r="K159" s="196"/>
      <c r="L159" s="196"/>
      <c r="M159" s="196"/>
      <c r="N159" s="229"/>
      <c r="O159" s="64"/>
      <c r="P159" s="59"/>
      <c r="Q159" s="64"/>
      <c r="R159" s="71"/>
      <c r="S159" s="65"/>
      <c r="T159" s="65"/>
      <c r="U159" s="229"/>
      <c r="V159" s="196"/>
      <c r="W159" s="58"/>
      <c r="X159" s="58">
        <v>0</v>
      </c>
      <c r="Y159" s="47" t="s">
        <v>56</v>
      </c>
    </row>
    <row r="160" spans="1:25" ht="21" customHeight="1">
      <c r="A160" s="37"/>
      <c r="B160" s="38"/>
      <c r="C160" s="28" t="s">
        <v>145</v>
      </c>
      <c r="D160" s="256" t="s">
        <v>109</v>
      </c>
      <c r="E160" s="189">
        <f>E161</f>
        <v>0</v>
      </c>
      <c r="F160" s="189">
        <f>F161</f>
        <v>0</v>
      </c>
      <c r="G160" s="190">
        <f>F160-E160</f>
        <v>0</v>
      </c>
      <c r="H160" s="191">
        <f>IF(E160=0,0,G160/E160)</f>
        <v>0</v>
      </c>
      <c r="I160" s="173" t="s">
        <v>161</v>
      </c>
      <c r="J160" s="174"/>
      <c r="K160" s="175"/>
      <c r="L160" s="175"/>
      <c r="M160" s="175"/>
      <c r="N160" s="175"/>
      <c r="O160" s="175"/>
      <c r="P160" s="176"/>
      <c r="Q160" s="176"/>
      <c r="R160" s="176"/>
      <c r="S160" s="176"/>
      <c r="T160" s="176"/>
      <c r="U160" s="176"/>
      <c r="V160" s="210" t="s">
        <v>69</v>
      </c>
      <c r="W160" s="211"/>
      <c r="X160" s="211">
        <f>X161</f>
        <v>0</v>
      </c>
      <c r="Y160" s="259" t="s">
        <v>56</v>
      </c>
    </row>
    <row r="161" spans="1:27" ht="21" customHeight="1">
      <c r="A161" s="37"/>
      <c r="B161" s="38"/>
      <c r="C161" s="38" t="s">
        <v>154</v>
      </c>
      <c r="D161" s="38" t="s">
        <v>157</v>
      </c>
      <c r="E161" s="40">
        <v>0</v>
      </c>
      <c r="F161" s="40">
        <f>ROUND(X161/1000,0)</f>
        <v>0</v>
      </c>
      <c r="G161" s="30">
        <f>F161-E161</f>
        <v>0</v>
      </c>
      <c r="H161" s="31">
        <f>IF(E161=0,0,G161/E161)</f>
        <v>0</v>
      </c>
      <c r="I161" s="57" t="s">
        <v>162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2"/>
      <c r="I162" s="61"/>
      <c r="J162" s="199"/>
      <c r="K162" s="198"/>
      <c r="L162" s="198"/>
      <c r="M162" s="198"/>
      <c r="N162" s="169"/>
      <c r="O162" s="182"/>
      <c r="P162" s="183"/>
      <c r="Q162" s="182"/>
      <c r="R162" s="184"/>
      <c r="S162" s="185"/>
      <c r="T162" s="185"/>
      <c r="U162" s="169"/>
      <c r="V162" s="198"/>
      <c r="W162" s="62"/>
      <c r="X162" s="62"/>
      <c r="Y162" s="63"/>
    </row>
    <row r="163" spans="1:27" ht="21" customHeight="1">
      <c r="A163" s="27" t="s">
        <v>73</v>
      </c>
      <c r="B163" s="28" t="s">
        <v>13</v>
      </c>
      <c r="C163" s="583" t="s">
        <v>249</v>
      </c>
      <c r="D163" s="584"/>
      <c r="E163" s="239">
        <f>SUM(E164,E168)</f>
        <v>0</v>
      </c>
      <c r="F163" s="239">
        <f>SUM(F164,F168)</f>
        <v>0</v>
      </c>
      <c r="G163" s="240">
        <f>F163-E163</f>
        <v>0</v>
      </c>
      <c r="H163" s="241">
        <f>IF(E163=0,0,G163/E163)</f>
        <v>0</v>
      </c>
      <c r="I163" s="242" t="s">
        <v>252</v>
      </c>
      <c r="J163" s="243"/>
      <c r="K163" s="244"/>
      <c r="L163" s="244"/>
      <c r="M163" s="243"/>
      <c r="N163" s="243"/>
      <c r="O163" s="243"/>
      <c r="P163" s="243"/>
      <c r="Q163" s="243" t="s">
        <v>64</v>
      </c>
      <c r="R163" s="245"/>
      <c r="S163" s="245"/>
      <c r="T163" s="245"/>
      <c r="U163" s="245"/>
      <c r="V163" s="245"/>
      <c r="W163" s="245"/>
      <c r="X163" s="246">
        <f>X165+X168</f>
        <v>0</v>
      </c>
      <c r="Y163" s="258" t="s">
        <v>25</v>
      </c>
      <c r="Z163" s="17"/>
      <c r="AA163" s="18"/>
    </row>
    <row r="164" spans="1:27" ht="21" customHeight="1">
      <c r="A164" s="37"/>
      <c r="B164" s="38"/>
      <c r="C164" s="28" t="s">
        <v>163</v>
      </c>
      <c r="D164" s="256" t="s">
        <v>255</v>
      </c>
      <c r="E164" s="189">
        <f>E165</f>
        <v>0</v>
      </c>
      <c r="F164" s="189">
        <f>F165</f>
        <v>0</v>
      </c>
      <c r="G164" s="190">
        <f>F164-E164</f>
        <v>0</v>
      </c>
      <c r="H164" s="191">
        <f>IF(E164=0,0,G164/E164)</f>
        <v>0</v>
      </c>
      <c r="I164" s="173" t="s">
        <v>257</v>
      </c>
      <c r="J164" s="174"/>
      <c r="K164" s="175"/>
      <c r="L164" s="175"/>
      <c r="M164" s="175"/>
      <c r="N164" s="175"/>
      <c r="O164" s="175"/>
      <c r="P164" s="176"/>
      <c r="Q164" s="176"/>
      <c r="R164" s="176"/>
      <c r="S164" s="176"/>
      <c r="T164" s="176"/>
      <c r="U164" s="176"/>
      <c r="V164" s="210" t="s">
        <v>244</v>
      </c>
      <c r="W164" s="211"/>
      <c r="X164" s="212">
        <f>SUM(X165:X165)</f>
        <v>0</v>
      </c>
      <c r="Y164" s="259" t="s">
        <v>243</v>
      </c>
      <c r="Z164" s="17"/>
      <c r="AA164" s="18"/>
    </row>
    <row r="165" spans="1:27" ht="21" customHeight="1">
      <c r="A165" s="37"/>
      <c r="B165" s="38"/>
      <c r="C165" s="38" t="s">
        <v>164</v>
      </c>
      <c r="D165" s="28" t="s">
        <v>165</v>
      </c>
      <c r="E165" s="29">
        <v>0</v>
      </c>
      <c r="F165" s="40">
        <f>ROUND(X165/1000,0)</f>
        <v>0</v>
      </c>
      <c r="G165" s="30">
        <f>F165-E165</f>
        <v>0</v>
      </c>
      <c r="H165" s="31">
        <f>IF(E165=0,0,G165/E165)</f>
        <v>0</v>
      </c>
      <c r="I165" s="127" t="s">
        <v>169</v>
      </c>
      <c r="J165" s="13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585" t="s">
        <v>69</v>
      </c>
      <c r="W165" s="585"/>
      <c r="X165" s="129">
        <f>SUM(X167:X167)</f>
        <v>0</v>
      </c>
      <c r="Y165" s="130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 t="s">
        <v>229</v>
      </c>
      <c r="J166" s="197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29"/>
      <c r="W166" s="229"/>
      <c r="X166" s="58"/>
      <c r="Y166" s="47" t="s">
        <v>230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/>
      <c r="J167" s="197"/>
      <c r="K167" s="196"/>
      <c r="L167" s="196"/>
      <c r="M167" s="196"/>
      <c r="N167" s="229"/>
      <c r="O167" s="64"/>
      <c r="P167" s="59"/>
      <c r="Q167" s="64"/>
      <c r="R167" s="71"/>
      <c r="S167" s="65"/>
      <c r="T167" s="65"/>
      <c r="U167" s="229"/>
      <c r="V167" s="196"/>
      <c r="W167" s="58"/>
      <c r="X167" s="58"/>
      <c r="Y167" s="47"/>
      <c r="Z167" s="17"/>
      <c r="AA167" s="18"/>
    </row>
    <row r="168" spans="1:27" ht="21" customHeight="1">
      <c r="A168" s="37"/>
      <c r="B168" s="38"/>
      <c r="C168" s="28" t="s">
        <v>166</v>
      </c>
      <c r="D168" s="256" t="s">
        <v>255</v>
      </c>
      <c r="E168" s="189">
        <f>E169</f>
        <v>0</v>
      </c>
      <c r="F168" s="189">
        <f>F169</f>
        <v>0</v>
      </c>
      <c r="G168" s="190">
        <f>F168-E168</f>
        <v>0</v>
      </c>
      <c r="H168" s="191">
        <f>IF(E168=0,0,G168/E168)</f>
        <v>0</v>
      </c>
      <c r="I168" s="173" t="s">
        <v>258</v>
      </c>
      <c r="J168" s="174"/>
      <c r="K168" s="175"/>
      <c r="L168" s="175"/>
      <c r="M168" s="175"/>
      <c r="N168" s="175"/>
      <c r="O168" s="175"/>
      <c r="P168" s="176"/>
      <c r="Q168" s="176"/>
      <c r="R168" s="176"/>
      <c r="S168" s="176"/>
      <c r="T168" s="176"/>
      <c r="U168" s="176"/>
      <c r="V168" s="210" t="s">
        <v>244</v>
      </c>
      <c r="W168" s="211"/>
      <c r="X168" s="211">
        <f>SUM(X169:X169)</f>
        <v>0</v>
      </c>
      <c r="Y168" s="259" t="s">
        <v>243</v>
      </c>
      <c r="Z168" s="17"/>
      <c r="AA168" s="18"/>
    </row>
    <row r="169" spans="1:27" ht="21" customHeight="1">
      <c r="A169" s="37"/>
      <c r="B169" s="38"/>
      <c r="C169" s="38" t="s">
        <v>164</v>
      </c>
      <c r="D169" s="38" t="s">
        <v>165</v>
      </c>
      <c r="E169" s="40">
        <v>0</v>
      </c>
      <c r="F169" s="40">
        <f>ROUND(X169/1000,0)</f>
        <v>0</v>
      </c>
      <c r="G169" s="30">
        <f>F169-E169</f>
        <v>0</v>
      </c>
      <c r="H169" s="31">
        <f>IF(E169=0,0,G169/E169)</f>
        <v>0</v>
      </c>
      <c r="I169" s="127" t="s">
        <v>170</v>
      </c>
      <c r="J169" s="131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585" t="s">
        <v>69</v>
      </c>
      <c r="W169" s="585"/>
      <c r="X169" s="129">
        <v>0</v>
      </c>
      <c r="Y169" s="130" t="s">
        <v>56</v>
      </c>
    </row>
    <row r="170" spans="1:27" ht="21" customHeight="1">
      <c r="A170" s="37"/>
      <c r="B170" s="38"/>
      <c r="C170" s="38" t="s">
        <v>227</v>
      </c>
      <c r="D170" s="38" t="s">
        <v>228</v>
      </c>
      <c r="E170" s="40"/>
      <c r="F170" s="40"/>
      <c r="G170" s="41"/>
      <c r="H170" s="25"/>
      <c r="I170" s="57"/>
      <c r="J170" s="292"/>
      <c r="K170" s="291"/>
      <c r="L170" s="291"/>
      <c r="M170" s="291"/>
      <c r="N170" s="291"/>
      <c r="O170" s="291"/>
      <c r="P170" s="291"/>
      <c r="Q170" s="44"/>
      <c r="R170" s="44"/>
      <c r="S170" s="44"/>
      <c r="T170" s="291"/>
      <c r="U170" s="291"/>
      <c r="V170" s="291"/>
      <c r="W170" s="58"/>
      <c r="X170" s="58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2"/>
      <c r="I171" s="61"/>
      <c r="J171" s="199"/>
      <c r="K171" s="198"/>
      <c r="L171" s="198"/>
      <c r="M171" s="198"/>
      <c r="N171" s="169"/>
      <c r="O171" s="182"/>
      <c r="P171" s="183"/>
      <c r="Q171" s="182"/>
      <c r="R171" s="184"/>
      <c r="S171" s="185"/>
      <c r="T171" s="185"/>
      <c r="U171" s="169"/>
      <c r="V171" s="198"/>
      <c r="W171" s="62"/>
      <c r="X171" s="62"/>
      <c r="Y171" s="63"/>
    </row>
    <row r="172" spans="1:27" ht="21" customHeight="1">
      <c r="A172" s="27" t="s">
        <v>14</v>
      </c>
      <c r="B172" s="28" t="s">
        <v>14</v>
      </c>
      <c r="C172" s="583" t="s">
        <v>249</v>
      </c>
      <c r="D172" s="584"/>
      <c r="E172" s="239">
        <f>SUM(E173,E189,E194)</f>
        <v>10023</v>
      </c>
      <c r="F172" s="239">
        <f>SUM(F173,F189,F194)</f>
        <v>7302</v>
      </c>
      <c r="G172" s="240">
        <f>F172-E172</f>
        <v>-2721</v>
      </c>
      <c r="H172" s="241">
        <f>IF(E172=0,0,G172/E172)</f>
        <v>-0.27147560610595628</v>
      </c>
      <c r="I172" s="242" t="s">
        <v>253</v>
      </c>
      <c r="J172" s="243"/>
      <c r="K172" s="244"/>
      <c r="L172" s="244"/>
      <c r="M172" s="243"/>
      <c r="N172" s="243"/>
      <c r="O172" s="243"/>
      <c r="P172" s="243"/>
      <c r="Q172" s="243" t="s">
        <v>64</v>
      </c>
      <c r="R172" s="245"/>
      <c r="S172" s="245"/>
      <c r="T172" s="245"/>
      <c r="U172" s="245"/>
      <c r="V172" s="245"/>
      <c r="W172" s="245"/>
      <c r="X172" s="246">
        <f>SUM(X173,X189,X194)</f>
        <v>7302000</v>
      </c>
      <c r="Y172" s="258" t="s">
        <v>25</v>
      </c>
    </row>
    <row r="173" spans="1:27" ht="21" customHeight="1">
      <c r="A173" s="37"/>
      <c r="B173" s="38"/>
      <c r="C173" s="28" t="s">
        <v>171</v>
      </c>
      <c r="D173" s="256" t="s">
        <v>255</v>
      </c>
      <c r="E173" s="189">
        <f>SUM(E174,E177,E181,E185)</f>
        <v>9809</v>
      </c>
      <c r="F173" s="189">
        <f>SUM(F174,F177,F181,F185)</f>
        <v>7220</v>
      </c>
      <c r="G173" s="190">
        <f>F173-E173</f>
        <v>-2589</v>
      </c>
      <c r="H173" s="191">
        <f>IF(E173=0,0,G173/E173)</f>
        <v>-0.26394127841777959</v>
      </c>
      <c r="I173" s="173" t="s">
        <v>259</v>
      </c>
      <c r="J173" s="174"/>
      <c r="K173" s="175"/>
      <c r="L173" s="175"/>
      <c r="M173" s="175"/>
      <c r="N173" s="175"/>
      <c r="O173" s="175"/>
      <c r="P173" s="176"/>
      <c r="Q173" s="176"/>
      <c r="R173" s="176"/>
      <c r="S173" s="176"/>
      <c r="T173" s="176"/>
      <c r="U173" s="176"/>
      <c r="V173" s="210" t="s">
        <v>244</v>
      </c>
      <c r="W173" s="211"/>
      <c r="X173" s="212">
        <f>SUM(X174,X177,X181,X185)</f>
        <v>7220000</v>
      </c>
      <c r="Y173" s="259" t="s">
        <v>243</v>
      </c>
    </row>
    <row r="174" spans="1:27" ht="21" customHeight="1">
      <c r="A174" s="37"/>
      <c r="B174" s="38"/>
      <c r="C174" s="38" t="s">
        <v>172</v>
      </c>
      <c r="D174" s="28" t="s">
        <v>233</v>
      </c>
      <c r="E174" s="29">
        <v>7881</v>
      </c>
      <c r="F174" s="40">
        <f>ROUND(X174/1000,0)</f>
        <v>5737</v>
      </c>
      <c r="G174" s="30">
        <f>F174-E174</f>
        <v>-2144</v>
      </c>
      <c r="H174" s="31">
        <f>IF(E174=0,0,G174/E174)</f>
        <v>-0.27204669458190583</v>
      </c>
      <c r="I174" s="127" t="s">
        <v>232</v>
      </c>
      <c r="J174" s="13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585" t="s">
        <v>69</v>
      </c>
      <c r="W174" s="585"/>
      <c r="X174" s="129">
        <f>ROUNDUP(SUM(W175:X176),-3)</f>
        <v>5737000</v>
      </c>
      <c r="Y174" s="130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4" t="s">
        <v>280</v>
      </c>
      <c r="J175" s="197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29"/>
      <c r="W175" s="229"/>
      <c r="X175" s="431">
        <v>5736110</v>
      </c>
      <c r="Y175" s="47" t="s">
        <v>230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2"/>
      <c r="I176" s="285" t="s">
        <v>281</v>
      </c>
      <c r="J176" s="199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69"/>
      <c r="W176" s="169"/>
      <c r="X176" s="62">
        <v>0</v>
      </c>
      <c r="Y176" s="63" t="s">
        <v>230</v>
      </c>
    </row>
    <row r="177" spans="1:25" ht="21" customHeight="1">
      <c r="A177" s="37"/>
      <c r="B177" s="38"/>
      <c r="C177" s="38"/>
      <c r="D177" s="28" t="s">
        <v>173</v>
      </c>
      <c r="E177" s="29">
        <v>0</v>
      </c>
      <c r="F177" s="40">
        <f>ROUND(X177/1000,0)</f>
        <v>0</v>
      </c>
      <c r="G177" s="30">
        <f>F177-E177</f>
        <v>0</v>
      </c>
      <c r="H177" s="31">
        <f>IF(E177=0,0,G177/E177)</f>
        <v>0</v>
      </c>
      <c r="I177" s="127" t="s">
        <v>234</v>
      </c>
      <c r="J177" s="13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585" t="s">
        <v>69</v>
      </c>
      <c r="W177" s="585"/>
      <c r="X177" s="129">
        <f>ROUNDUP(SUM(W178:X179),-3)</f>
        <v>0</v>
      </c>
      <c r="Y177" s="130" t="s">
        <v>56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282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230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4" t="s">
        <v>283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230</v>
      </c>
    </row>
    <row r="180" spans="1:25" ht="21" customHeight="1">
      <c r="A180" s="37"/>
      <c r="B180" s="38"/>
      <c r="C180" s="38"/>
      <c r="D180" s="49"/>
      <c r="E180" s="51"/>
      <c r="F180" s="51"/>
      <c r="G180" s="52"/>
      <c r="H180" s="172"/>
      <c r="I180" s="61"/>
      <c r="J180" s="199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69"/>
      <c r="W180" s="169"/>
      <c r="X180" s="62"/>
      <c r="Y180" s="63"/>
    </row>
    <row r="181" spans="1:25" ht="21" customHeight="1">
      <c r="A181" s="37"/>
      <c r="B181" s="38"/>
      <c r="C181" s="38"/>
      <c r="D181" s="28" t="s">
        <v>236</v>
      </c>
      <c r="E181" s="29">
        <v>98</v>
      </c>
      <c r="F181" s="29">
        <f>ROUND(X181/1000,0)</f>
        <v>98</v>
      </c>
      <c r="G181" s="30">
        <f>F181-E181</f>
        <v>0</v>
      </c>
      <c r="H181" s="31">
        <f>IF(E181=0,0,G181/E181)</f>
        <v>0</v>
      </c>
      <c r="I181" s="127" t="s">
        <v>237</v>
      </c>
      <c r="J181" s="13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85" t="s">
        <v>69</v>
      </c>
      <c r="W181" s="585"/>
      <c r="X181" s="129">
        <f>ROUND(SUM(W182:X183),-3)</f>
        <v>98000</v>
      </c>
      <c r="Y181" s="130" t="s">
        <v>56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284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431">
        <v>97614</v>
      </c>
      <c r="Y182" s="47" t="s">
        <v>230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4" t="s">
        <v>285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58">
        <v>0</v>
      </c>
      <c r="Y183" s="47" t="s">
        <v>230</v>
      </c>
    </row>
    <row r="184" spans="1:25" ht="21" customHeight="1">
      <c r="A184" s="37"/>
      <c r="B184" s="38"/>
      <c r="C184" s="38"/>
      <c r="D184" s="49"/>
      <c r="E184" s="51"/>
      <c r="F184" s="51"/>
      <c r="G184" s="52"/>
      <c r="H184" s="172"/>
      <c r="I184" s="61"/>
      <c r="J184" s="199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69"/>
      <c r="W184" s="169"/>
      <c r="X184" s="62"/>
      <c r="Y184" s="63"/>
    </row>
    <row r="185" spans="1:25" ht="21" customHeight="1">
      <c r="A185" s="37"/>
      <c r="B185" s="38"/>
      <c r="C185" s="38"/>
      <c r="D185" s="38" t="s">
        <v>235</v>
      </c>
      <c r="E185" s="40">
        <v>1830</v>
      </c>
      <c r="F185" s="29">
        <f>ROUND(X185/1000,0)</f>
        <v>1385</v>
      </c>
      <c r="G185" s="30">
        <f>F185-E185</f>
        <v>-445</v>
      </c>
      <c r="H185" s="31">
        <f>IF(E185=0,0,G185/E185)</f>
        <v>-0.24316939890710382</v>
      </c>
      <c r="I185" s="127" t="s">
        <v>239</v>
      </c>
      <c r="J185" s="13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85" t="s">
        <v>69</v>
      </c>
      <c r="W185" s="585"/>
      <c r="X185" s="129">
        <f>ROUNDUP(SUM(W186:X187),-3)</f>
        <v>1385000</v>
      </c>
      <c r="Y185" s="130" t="s">
        <v>56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4" t="s">
        <v>286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432">
        <v>1384357</v>
      </c>
      <c r="Y186" s="47" t="s">
        <v>230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4" t="s">
        <v>287</v>
      </c>
      <c r="J187" s="197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229"/>
      <c r="W187" s="229"/>
      <c r="X187" s="58">
        <v>0</v>
      </c>
      <c r="Y187" s="47" t="s">
        <v>230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57"/>
      <c r="J188" s="197"/>
      <c r="K188" s="196"/>
      <c r="L188" s="196"/>
      <c r="M188" s="196"/>
      <c r="N188" s="229"/>
      <c r="O188" s="64"/>
      <c r="P188" s="59"/>
      <c r="Q188" s="64"/>
      <c r="R188" s="71"/>
      <c r="S188" s="65"/>
      <c r="T188" s="65"/>
      <c r="U188" s="229"/>
      <c r="V188" s="196"/>
      <c r="W188" s="58"/>
      <c r="X188" s="58"/>
      <c r="Y188" s="47"/>
    </row>
    <row r="189" spans="1:25" ht="21" customHeight="1">
      <c r="A189" s="37"/>
      <c r="B189" s="38"/>
      <c r="C189" s="28" t="s">
        <v>171</v>
      </c>
      <c r="D189" s="256" t="s">
        <v>109</v>
      </c>
      <c r="E189" s="189">
        <f>E190</f>
        <v>214</v>
      </c>
      <c r="F189" s="189">
        <f>F190</f>
        <v>82</v>
      </c>
      <c r="G189" s="190">
        <f>F189-E189</f>
        <v>-132</v>
      </c>
      <c r="H189" s="191">
        <f>IF(E189=0,0,G189/E189)</f>
        <v>-0.61682242990654201</v>
      </c>
      <c r="I189" s="173" t="s">
        <v>175</v>
      </c>
      <c r="J189" s="174"/>
      <c r="K189" s="175"/>
      <c r="L189" s="175"/>
      <c r="M189" s="175"/>
      <c r="N189" s="175"/>
      <c r="O189" s="175"/>
      <c r="P189" s="176"/>
      <c r="Q189" s="176"/>
      <c r="R189" s="176"/>
      <c r="S189" s="176"/>
      <c r="T189" s="176"/>
      <c r="U189" s="176"/>
      <c r="V189" s="210" t="s">
        <v>69</v>
      </c>
      <c r="W189" s="211"/>
      <c r="X189" s="211">
        <f>X190</f>
        <v>82000</v>
      </c>
      <c r="Y189" s="259" t="s">
        <v>56</v>
      </c>
    </row>
    <row r="190" spans="1:25" ht="21" customHeight="1">
      <c r="A190" s="37"/>
      <c r="B190" s="38"/>
      <c r="C190" s="38" t="s">
        <v>172</v>
      </c>
      <c r="D190" s="38" t="s">
        <v>174</v>
      </c>
      <c r="E190" s="40">
        <v>214</v>
      </c>
      <c r="F190" s="40">
        <f>ROUND(X190/1000,0)</f>
        <v>82</v>
      </c>
      <c r="G190" s="30">
        <f>F190-E190</f>
        <v>-132</v>
      </c>
      <c r="H190" s="31">
        <f>IF(E190=0,0,G190/E190)</f>
        <v>-0.61682242990654201</v>
      </c>
      <c r="I190" s="286" t="s">
        <v>288</v>
      </c>
      <c r="J190" s="13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585"/>
      <c r="W190" s="585"/>
      <c r="X190" s="129">
        <f>ROUNDUP(SUM(W191:X192),-3)</f>
        <v>82000</v>
      </c>
      <c r="Y190" s="130" t="s">
        <v>56</v>
      </c>
    </row>
    <row r="191" spans="1:25" ht="21" customHeight="1">
      <c r="A191" s="37"/>
      <c r="B191" s="38"/>
      <c r="C191" s="38" t="s">
        <v>167</v>
      </c>
      <c r="D191" s="38" t="s">
        <v>168</v>
      </c>
      <c r="E191" s="40"/>
      <c r="F191" s="40"/>
      <c r="G191" s="41"/>
      <c r="H191" s="60"/>
      <c r="I191" s="284" t="s">
        <v>311</v>
      </c>
      <c r="J191" s="197"/>
      <c r="K191" s="196"/>
      <c r="L191" s="196"/>
      <c r="M191" s="196"/>
      <c r="N191" s="196"/>
      <c r="O191" s="196"/>
      <c r="P191" s="196"/>
      <c r="Q191" s="44"/>
      <c r="R191" s="44"/>
      <c r="S191" s="44"/>
      <c r="T191" s="196"/>
      <c r="U191" s="196"/>
      <c r="V191" s="196"/>
      <c r="W191" s="58"/>
      <c r="X191" s="431">
        <v>81536</v>
      </c>
      <c r="Y191" s="47" t="s">
        <v>104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284" t="s">
        <v>312</v>
      </c>
      <c r="J192" s="292"/>
      <c r="K192" s="291"/>
      <c r="L192" s="291"/>
      <c r="M192" s="291"/>
      <c r="N192" s="291"/>
      <c r="O192" s="291"/>
      <c r="P192" s="291"/>
      <c r="Q192" s="44"/>
      <c r="R192" s="44"/>
      <c r="S192" s="44"/>
      <c r="T192" s="291"/>
      <c r="U192" s="291"/>
      <c r="V192" s="291"/>
      <c r="W192" s="58"/>
      <c r="X192" s="58">
        <v>0</v>
      </c>
      <c r="Y192" s="47" t="s">
        <v>104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60"/>
      <c r="I193" s="57"/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58"/>
      <c r="Y193" s="47"/>
    </row>
    <row r="194" spans="1:47" ht="21" customHeight="1">
      <c r="A194" s="37"/>
      <c r="B194" s="38"/>
      <c r="C194" s="28" t="s">
        <v>176</v>
      </c>
      <c r="D194" s="256" t="s">
        <v>109</v>
      </c>
      <c r="E194" s="189">
        <f>E195</f>
        <v>0</v>
      </c>
      <c r="F194" s="189">
        <f>F195</f>
        <v>0</v>
      </c>
      <c r="G194" s="190">
        <f>F194-E194</f>
        <v>0</v>
      </c>
      <c r="H194" s="191">
        <f>IF(E194=0,0,G194/E194)</f>
        <v>0</v>
      </c>
      <c r="I194" s="173" t="s">
        <v>179</v>
      </c>
      <c r="J194" s="174"/>
      <c r="K194" s="175"/>
      <c r="L194" s="175"/>
      <c r="M194" s="175"/>
      <c r="N194" s="175"/>
      <c r="O194" s="175"/>
      <c r="P194" s="176"/>
      <c r="Q194" s="176"/>
      <c r="R194" s="176"/>
      <c r="S194" s="176"/>
      <c r="T194" s="176"/>
      <c r="U194" s="176"/>
      <c r="V194" s="210" t="s">
        <v>69</v>
      </c>
      <c r="W194" s="211"/>
      <c r="X194" s="211">
        <f>ROUND(SUM(W195:X196),-3)</f>
        <v>0</v>
      </c>
      <c r="Y194" s="259" t="s">
        <v>56</v>
      </c>
    </row>
    <row r="195" spans="1:47" ht="21" customHeight="1">
      <c r="A195" s="37"/>
      <c r="B195" s="38"/>
      <c r="C195" s="38" t="s">
        <v>177</v>
      </c>
      <c r="D195" s="38" t="s">
        <v>178</v>
      </c>
      <c r="E195" s="40">
        <v>0</v>
      </c>
      <c r="F195" s="40">
        <f>ROUND(X195/1000,0)</f>
        <v>0</v>
      </c>
      <c r="G195" s="30">
        <f>F195-E195</f>
        <v>0</v>
      </c>
      <c r="H195" s="31">
        <f>IF(E195=0,0,G195/E195)</f>
        <v>0</v>
      </c>
      <c r="I195" s="57"/>
      <c r="J195" s="197"/>
      <c r="K195" s="196"/>
      <c r="L195" s="196"/>
      <c r="M195" s="196"/>
      <c r="N195" s="229"/>
      <c r="O195" s="64"/>
      <c r="P195" s="59"/>
      <c r="Q195" s="64"/>
      <c r="R195" s="71"/>
      <c r="S195" s="65"/>
      <c r="T195" s="65"/>
      <c r="U195" s="229"/>
      <c r="V195" s="196"/>
      <c r="W195" s="58"/>
      <c r="X195" s="58">
        <f>M195*P195</f>
        <v>0</v>
      </c>
      <c r="Y195" s="47" t="s">
        <v>56</v>
      </c>
    </row>
    <row r="196" spans="1:47" ht="21" customHeight="1">
      <c r="A196" s="48"/>
      <c r="B196" s="49"/>
      <c r="C196" s="49"/>
      <c r="D196" s="49"/>
      <c r="E196" s="51"/>
      <c r="F196" s="51"/>
      <c r="G196" s="52"/>
      <c r="H196" s="75"/>
      <c r="I196" s="61"/>
      <c r="J196" s="199"/>
      <c r="K196" s="198"/>
      <c r="L196" s="198"/>
      <c r="M196" s="198"/>
      <c r="N196" s="198"/>
      <c r="O196" s="198"/>
      <c r="P196" s="198"/>
      <c r="Q196" s="117"/>
      <c r="R196" s="117"/>
      <c r="S196" s="117"/>
      <c r="T196" s="198"/>
      <c r="U196" s="198"/>
      <c r="V196" s="198"/>
      <c r="W196" s="62"/>
      <c r="X196" s="62">
        <v>0</v>
      </c>
      <c r="Y196" s="63" t="s">
        <v>56</v>
      </c>
    </row>
    <row r="197" spans="1:47" s="4" customFormat="1" ht="21" customHeight="1">
      <c r="A197" s="37" t="s">
        <v>74</v>
      </c>
      <c r="B197" s="78" t="s">
        <v>16</v>
      </c>
      <c r="C197" s="583" t="s">
        <v>249</v>
      </c>
      <c r="D197" s="584"/>
      <c r="E197" s="239">
        <f>SUM(E198,E201,E210)</f>
        <v>2016</v>
      </c>
      <c r="F197" s="239">
        <f>SUM(F198,F201,F210)</f>
        <v>2636</v>
      </c>
      <c r="G197" s="240">
        <f>F197-E197</f>
        <v>620</v>
      </c>
      <c r="H197" s="241">
        <f>IF(E197=0,0,G197/E197)</f>
        <v>0.30753968253968256</v>
      </c>
      <c r="I197" s="242" t="s">
        <v>254</v>
      </c>
      <c r="J197" s="243"/>
      <c r="K197" s="244"/>
      <c r="L197" s="244"/>
      <c r="M197" s="243"/>
      <c r="N197" s="243"/>
      <c r="O197" s="243"/>
      <c r="P197" s="243"/>
      <c r="Q197" s="243" t="s">
        <v>64</v>
      </c>
      <c r="R197" s="245"/>
      <c r="S197" s="245"/>
      <c r="T197" s="245"/>
      <c r="U197" s="245"/>
      <c r="V197" s="245"/>
      <c r="W197" s="245"/>
      <c r="X197" s="255">
        <f>SUM(X198,X201,X210)</f>
        <v>2636000</v>
      </c>
      <c r="Y197" s="263" t="s">
        <v>243</v>
      </c>
      <c r="Z197" s="247"/>
      <c r="AA197" s="248"/>
      <c r="AB197" s="248"/>
      <c r="AC197" s="249"/>
      <c r="AD197" s="250"/>
      <c r="AE197" s="251"/>
      <c r="AF197" s="252"/>
      <c r="AG197" s="253"/>
      <c r="AH197" s="253"/>
      <c r="AI197" s="252"/>
      <c r="AJ197" s="252"/>
      <c r="AK197" s="252"/>
      <c r="AL197" s="252"/>
      <c r="AM197" s="252"/>
      <c r="AN197" s="251"/>
      <c r="AO197" s="251"/>
      <c r="AP197" s="251"/>
      <c r="AQ197" s="251"/>
      <c r="AR197" s="251"/>
      <c r="AS197" s="251"/>
      <c r="AT197" s="254"/>
      <c r="AU197" s="252"/>
    </row>
    <row r="198" spans="1:47" ht="21" customHeight="1">
      <c r="A198" s="37"/>
      <c r="B198" s="84"/>
      <c r="C198" s="28" t="s">
        <v>180</v>
      </c>
      <c r="D198" s="256" t="s">
        <v>109</v>
      </c>
      <c r="E198" s="189">
        <f>E199</f>
        <v>0</v>
      </c>
      <c r="F198" s="189">
        <f>F199</f>
        <v>0</v>
      </c>
      <c r="G198" s="190">
        <f>F198-E198</f>
        <v>0</v>
      </c>
      <c r="H198" s="191">
        <f>IF(E198=0,0,G198/E198)</f>
        <v>0</v>
      </c>
      <c r="I198" s="173" t="s">
        <v>189</v>
      </c>
      <c r="J198" s="174"/>
      <c r="K198" s="175"/>
      <c r="L198" s="175"/>
      <c r="M198" s="175"/>
      <c r="N198" s="175"/>
      <c r="O198" s="175"/>
      <c r="P198" s="176"/>
      <c r="Q198" s="176"/>
      <c r="R198" s="176"/>
      <c r="S198" s="176"/>
      <c r="T198" s="176"/>
      <c r="U198" s="176"/>
      <c r="V198" s="210" t="s">
        <v>69</v>
      </c>
      <c r="W198" s="211"/>
      <c r="X198" s="212">
        <f>SUM(X199:X199)</f>
        <v>0</v>
      </c>
      <c r="Y198" s="259" t="s">
        <v>56</v>
      </c>
    </row>
    <row r="199" spans="1:47" s="11" customFormat="1" ht="19.5" customHeight="1">
      <c r="A199" s="50"/>
      <c r="B199" s="86"/>
      <c r="C199" s="38" t="s">
        <v>181</v>
      </c>
      <c r="D199" s="28" t="s">
        <v>182</v>
      </c>
      <c r="E199" s="29">
        <v>0</v>
      </c>
      <c r="F199" s="40">
        <f>ROUND(X199/1000,0)</f>
        <v>0</v>
      </c>
      <c r="G199" s="30">
        <f>F199-E199</f>
        <v>0</v>
      </c>
      <c r="H199" s="31">
        <f>IF(E199=0,0,G199/E199)</f>
        <v>0</v>
      </c>
      <c r="I199" s="127" t="s">
        <v>189</v>
      </c>
      <c r="J199" s="13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585" t="s">
        <v>69</v>
      </c>
      <c r="W199" s="585"/>
      <c r="X199" s="129">
        <f>SUM(X200:X200)</f>
        <v>0</v>
      </c>
      <c r="Y199" s="130" t="s">
        <v>56</v>
      </c>
      <c r="Z199" s="6"/>
    </row>
    <row r="200" spans="1:47" s="11" customFormat="1" ht="19.5" customHeight="1">
      <c r="A200" s="50"/>
      <c r="B200" s="80"/>
      <c r="C200" s="38"/>
      <c r="D200" s="38"/>
      <c r="E200" s="40"/>
      <c r="F200" s="40"/>
      <c r="G200" s="41"/>
      <c r="H200" s="25"/>
      <c r="I200" s="57"/>
      <c r="J200" s="197"/>
      <c r="K200" s="196"/>
      <c r="L200" s="196"/>
      <c r="M200" s="196"/>
      <c r="N200" s="229"/>
      <c r="O200" s="64"/>
      <c r="P200" s="59"/>
      <c r="Q200" s="64"/>
      <c r="R200" s="71"/>
      <c r="S200" s="65"/>
      <c r="T200" s="65"/>
      <c r="U200" s="229"/>
      <c r="V200" s="196"/>
      <c r="W200" s="58"/>
      <c r="X200" s="58">
        <f>M200*P200</f>
        <v>0</v>
      </c>
      <c r="Y200" s="47" t="s">
        <v>56</v>
      </c>
      <c r="Z200" s="6"/>
    </row>
    <row r="201" spans="1:47" s="11" customFormat="1" ht="19.5" customHeight="1">
      <c r="A201" s="50"/>
      <c r="B201" s="80"/>
      <c r="C201" s="28" t="s">
        <v>183</v>
      </c>
      <c r="D201" s="256" t="s">
        <v>109</v>
      </c>
      <c r="E201" s="189">
        <f>E202</f>
        <v>29</v>
      </c>
      <c r="F201" s="189">
        <f>F202</f>
        <v>30</v>
      </c>
      <c r="G201" s="190">
        <f>F201-E201</f>
        <v>1</v>
      </c>
      <c r="H201" s="191">
        <f>IF(E201=0,0,G201/E201)</f>
        <v>3.4482758620689655E-2</v>
      </c>
      <c r="I201" s="173" t="s">
        <v>190</v>
      </c>
      <c r="J201" s="174"/>
      <c r="K201" s="175"/>
      <c r="L201" s="175"/>
      <c r="M201" s="175"/>
      <c r="N201" s="175"/>
      <c r="O201" s="175"/>
      <c r="P201" s="176"/>
      <c r="Q201" s="176"/>
      <c r="R201" s="176"/>
      <c r="S201" s="176"/>
      <c r="T201" s="176"/>
      <c r="U201" s="176"/>
      <c r="V201" s="210" t="s">
        <v>69</v>
      </c>
      <c r="W201" s="211"/>
      <c r="X201" s="211">
        <f>SUM(X202:X202)</f>
        <v>30000</v>
      </c>
      <c r="Y201" s="259" t="s">
        <v>56</v>
      </c>
      <c r="Z201" s="6"/>
    </row>
    <row r="202" spans="1:47" s="11" customFormat="1" ht="19.5" customHeight="1">
      <c r="A202" s="50"/>
      <c r="B202" s="80"/>
      <c r="C202" s="38" t="s">
        <v>184</v>
      </c>
      <c r="D202" s="38" t="s">
        <v>185</v>
      </c>
      <c r="E202" s="40">
        <v>29</v>
      </c>
      <c r="F202" s="40">
        <f>ROUND(X202/1000,0)</f>
        <v>30</v>
      </c>
      <c r="G202" s="30">
        <f>F202-E202</f>
        <v>1</v>
      </c>
      <c r="H202" s="31">
        <f>IF(E202=0,0,G202/E202)</f>
        <v>3.4482758620689655E-2</v>
      </c>
      <c r="I202" s="127" t="s">
        <v>241</v>
      </c>
      <c r="J202" s="13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585"/>
      <c r="W202" s="585"/>
      <c r="X202" s="129">
        <f>ROUND(SUM(W203:X208),-3)</f>
        <v>30000</v>
      </c>
      <c r="Y202" s="130" t="s">
        <v>56</v>
      </c>
      <c r="Z202" s="6"/>
    </row>
    <row r="203" spans="1:47" s="11" customFormat="1" ht="19.5" customHeight="1">
      <c r="A203" s="50"/>
      <c r="B203" s="80"/>
      <c r="C203" s="38" t="s">
        <v>130</v>
      </c>
      <c r="D203" s="38" t="s">
        <v>186</v>
      </c>
      <c r="E203" s="40"/>
      <c r="F203" s="40"/>
      <c r="G203" s="41"/>
      <c r="H203" s="60"/>
      <c r="I203" s="57" t="s">
        <v>315</v>
      </c>
      <c r="J203" s="197"/>
      <c r="K203" s="196"/>
      <c r="L203" s="196"/>
      <c r="M203" s="196"/>
      <c r="N203" s="196"/>
      <c r="O203" s="196"/>
      <c r="P203" s="196"/>
      <c r="Q203" s="44"/>
      <c r="R203" s="44"/>
      <c r="S203" s="44"/>
      <c r="T203" s="196"/>
      <c r="U203" s="196"/>
      <c r="V203" s="196"/>
      <c r="W203" s="58"/>
      <c r="X203" s="58">
        <v>20000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277" t="s">
        <v>532</v>
      </c>
      <c r="J204" s="274"/>
      <c r="K204" s="270"/>
      <c r="L204" s="270"/>
      <c r="M204" s="270"/>
      <c r="N204" s="270"/>
      <c r="O204" s="270"/>
      <c r="P204" s="270"/>
      <c r="Q204" s="364"/>
      <c r="R204" s="364"/>
      <c r="S204" s="364"/>
      <c r="T204" s="270"/>
      <c r="U204" s="270"/>
      <c r="V204" s="270"/>
      <c r="W204" s="275"/>
      <c r="X204" s="275">
        <v>2000</v>
      </c>
      <c r="Y204" s="299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5000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238</v>
      </c>
      <c r="J206" s="292"/>
      <c r="K206" s="291"/>
      <c r="L206" s="291"/>
      <c r="M206" s="291"/>
      <c r="N206" s="291"/>
      <c r="O206" s="291"/>
      <c r="P206" s="291"/>
      <c r="Q206" s="44"/>
      <c r="R206" s="44"/>
      <c r="S206" s="44"/>
      <c r="T206" s="291"/>
      <c r="U206" s="291"/>
      <c r="V206" s="291"/>
      <c r="W206" s="58"/>
      <c r="X206" s="58">
        <v>1000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240</v>
      </c>
      <c r="J207" s="292"/>
      <c r="K207" s="291"/>
      <c r="L207" s="291"/>
      <c r="M207" s="291"/>
      <c r="N207" s="291"/>
      <c r="O207" s="291"/>
      <c r="P207" s="291"/>
      <c r="Q207" s="44"/>
      <c r="R207" s="44"/>
      <c r="S207" s="44"/>
      <c r="T207" s="291"/>
      <c r="U207" s="291"/>
      <c r="V207" s="291"/>
      <c r="W207" s="58"/>
      <c r="X207" s="58">
        <v>2000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/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/>
      <c r="Y208" s="47"/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/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 t="s">
        <v>316</v>
      </c>
      <c r="Y209" s="47"/>
      <c r="Z209" s="6"/>
    </row>
    <row r="210" spans="1:26" s="11" customFormat="1" ht="19.5" customHeight="1">
      <c r="A210" s="50"/>
      <c r="B210" s="80"/>
      <c r="C210" s="28" t="s">
        <v>145</v>
      </c>
      <c r="D210" s="256" t="s">
        <v>255</v>
      </c>
      <c r="E210" s="189">
        <f>E211</f>
        <v>1987</v>
      </c>
      <c r="F210" s="189">
        <f>F211</f>
        <v>2606</v>
      </c>
      <c r="G210" s="190">
        <f>F210-E210</f>
        <v>619</v>
      </c>
      <c r="H210" s="191">
        <f>IF(E210=0,0,G210/E210)</f>
        <v>0.31152491192752896</v>
      </c>
      <c r="I210" s="173" t="s">
        <v>242</v>
      </c>
      <c r="J210" s="174"/>
      <c r="K210" s="175"/>
      <c r="L210" s="175"/>
      <c r="M210" s="175"/>
      <c r="N210" s="175"/>
      <c r="O210" s="175"/>
      <c r="P210" s="176"/>
      <c r="Q210" s="176"/>
      <c r="R210" s="176"/>
      <c r="S210" s="176"/>
      <c r="T210" s="176"/>
      <c r="U210" s="176"/>
      <c r="V210" s="210" t="s">
        <v>244</v>
      </c>
      <c r="W210" s="211"/>
      <c r="X210" s="211">
        <f>SUM(X211:X211)</f>
        <v>2606000</v>
      </c>
      <c r="Y210" s="259" t="s">
        <v>243</v>
      </c>
      <c r="Z210" s="6"/>
    </row>
    <row r="211" spans="1:26" s="11" customFormat="1" ht="19.5" customHeight="1">
      <c r="A211" s="50"/>
      <c r="B211" s="80"/>
      <c r="C211" s="38" t="s">
        <v>187</v>
      </c>
      <c r="D211" s="38" t="s">
        <v>188</v>
      </c>
      <c r="E211" s="40">
        <v>1987</v>
      </c>
      <c r="F211" s="40">
        <f>ROUND(X211/1000,0)</f>
        <v>2606</v>
      </c>
      <c r="G211" s="30">
        <f>F211-E211</f>
        <v>619</v>
      </c>
      <c r="H211" s="31">
        <f>IF(E211=0,0,G211/E211)</f>
        <v>0.31152491192752896</v>
      </c>
      <c r="I211" s="127" t="s">
        <v>242</v>
      </c>
      <c r="J211" s="13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585"/>
      <c r="W211" s="585"/>
      <c r="X211" s="129">
        <f>ROUND(SUM(W212:X218),-3)</f>
        <v>2606000</v>
      </c>
      <c r="Y211" s="130" t="s">
        <v>56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499" t="s">
        <v>470</v>
      </c>
      <c r="J212" s="458"/>
      <c r="K212" s="457"/>
      <c r="L212" s="457"/>
      <c r="M212" s="457"/>
      <c r="N212" s="457"/>
      <c r="O212" s="457"/>
      <c r="P212" s="457"/>
      <c r="Q212" s="457"/>
      <c r="R212" s="457"/>
      <c r="S212" s="457"/>
      <c r="T212" s="457"/>
      <c r="U212" s="457"/>
      <c r="V212" s="457"/>
      <c r="W212" s="431"/>
      <c r="X212" s="431">
        <v>0</v>
      </c>
      <c r="Y212" s="463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476" t="s">
        <v>471</v>
      </c>
      <c r="J213" s="458"/>
      <c r="K213" s="457"/>
      <c r="L213" s="457"/>
      <c r="M213" s="457"/>
      <c r="N213" s="457"/>
      <c r="O213" s="457"/>
      <c r="P213" s="457"/>
      <c r="Q213" s="457"/>
      <c r="R213" s="457"/>
      <c r="S213" s="457"/>
      <c r="T213" s="457"/>
      <c r="U213" s="457"/>
      <c r="V213" s="457"/>
      <c r="W213" s="431"/>
      <c r="X213" s="431">
        <v>1000</v>
      </c>
      <c r="Y213" s="463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476" t="s">
        <v>472</v>
      </c>
      <c r="J214" s="458"/>
      <c r="K214" s="457"/>
      <c r="L214" s="457"/>
      <c r="M214" s="457"/>
      <c r="N214" s="457"/>
      <c r="O214" s="457"/>
      <c r="P214" s="457"/>
      <c r="Q214" s="457"/>
      <c r="R214" s="457"/>
      <c r="S214" s="457"/>
      <c r="T214" s="457"/>
      <c r="U214" s="457"/>
      <c r="V214" s="457"/>
      <c r="W214" s="431"/>
      <c r="X214" s="431">
        <v>30000</v>
      </c>
      <c r="Y214" s="463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476" t="s">
        <v>473</v>
      </c>
      <c r="J215" s="458"/>
      <c r="K215" s="457"/>
      <c r="L215" s="457"/>
      <c r="M215" s="457"/>
      <c r="N215" s="457"/>
      <c r="O215" s="457"/>
      <c r="P215" s="457"/>
      <c r="Q215" s="457"/>
      <c r="R215" s="457"/>
      <c r="S215" s="457"/>
      <c r="T215" s="457"/>
      <c r="U215" s="457"/>
      <c r="V215" s="457"/>
      <c r="W215" s="431"/>
      <c r="X215" s="431">
        <v>5000</v>
      </c>
      <c r="Y215" s="463" t="s">
        <v>25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25"/>
      <c r="I216" s="500" t="s">
        <v>535</v>
      </c>
      <c r="J216" s="457"/>
      <c r="K216" s="457"/>
      <c r="L216" s="457"/>
      <c r="M216" s="457"/>
      <c r="N216" s="457"/>
      <c r="O216" s="457"/>
      <c r="P216" s="457"/>
      <c r="Q216" s="457"/>
      <c r="R216" s="457"/>
      <c r="S216" s="457"/>
      <c r="T216" s="457"/>
      <c r="U216" s="457"/>
      <c r="V216" s="457"/>
      <c r="W216" s="457"/>
      <c r="X216" s="457">
        <v>690000</v>
      </c>
      <c r="Y216" s="463" t="s">
        <v>25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476" t="s">
        <v>536</v>
      </c>
      <c r="J217" s="457"/>
      <c r="K217" s="457"/>
      <c r="L217" s="457"/>
      <c r="M217" s="457">
        <v>70000</v>
      </c>
      <c r="N217" s="457" t="s">
        <v>25</v>
      </c>
      <c r="O217" s="457" t="s">
        <v>26</v>
      </c>
      <c r="P217" s="457">
        <v>2</v>
      </c>
      <c r="Q217" s="457" t="s">
        <v>108</v>
      </c>
      <c r="R217" s="457" t="s">
        <v>26</v>
      </c>
      <c r="S217" s="457">
        <v>12</v>
      </c>
      <c r="T217" s="457" t="s">
        <v>29</v>
      </c>
      <c r="U217" s="457" t="s">
        <v>27</v>
      </c>
      <c r="V217" s="457"/>
      <c r="W217" s="457"/>
      <c r="X217" s="457">
        <f>M217*P217*S217</f>
        <v>1680000</v>
      </c>
      <c r="Y217" s="463" t="s">
        <v>25</v>
      </c>
      <c r="Z217" s="6"/>
    </row>
    <row r="218" spans="1:26" s="11" customFormat="1" ht="19.5" customHeight="1">
      <c r="A218" s="50"/>
      <c r="B218" s="80"/>
      <c r="C218" s="38"/>
      <c r="D218" s="38"/>
      <c r="E218" s="40"/>
      <c r="F218" s="40"/>
      <c r="G218" s="41"/>
      <c r="H218" s="25"/>
      <c r="I218" s="476" t="s">
        <v>537</v>
      </c>
      <c r="J218" s="457"/>
      <c r="K218" s="457"/>
      <c r="L218" s="457"/>
      <c r="M218" s="457">
        <v>200000</v>
      </c>
      <c r="N218" s="457" t="s">
        <v>25</v>
      </c>
      <c r="O218" s="457" t="s">
        <v>26</v>
      </c>
      <c r="P218" s="457">
        <v>1</v>
      </c>
      <c r="Q218" s="457" t="s">
        <v>108</v>
      </c>
      <c r="R218" s="457" t="s">
        <v>26</v>
      </c>
      <c r="S218" s="457">
        <v>1</v>
      </c>
      <c r="T218" s="457" t="s">
        <v>29</v>
      </c>
      <c r="U218" s="457" t="s">
        <v>27</v>
      </c>
      <c r="V218" s="457"/>
      <c r="W218" s="431"/>
      <c r="X218" s="457">
        <f>M218*P218*S218</f>
        <v>200000</v>
      </c>
      <c r="Y218" s="463" t="s">
        <v>25</v>
      </c>
      <c r="Z218" s="6"/>
    </row>
    <row r="219" spans="1:26" s="11" customFormat="1" ht="19.5" customHeight="1">
      <c r="A219" s="50"/>
      <c r="B219" s="80"/>
      <c r="C219" s="38"/>
      <c r="D219" s="38"/>
      <c r="E219" s="40"/>
      <c r="F219" s="40"/>
      <c r="G219" s="41"/>
      <c r="H219" s="25"/>
      <c r="Y219" s="526"/>
      <c r="Z219" s="6"/>
    </row>
    <row r="220" spans="1:26" s="11" customFormat="1" ht="19.5" customHeight="1" thickBot="1">
      <c r="A220" s="88"/>
      <c r="B220" s="89"/>
      <c r="C220" s="89"/>
      <c r="D220" s="90"/>
      <c r="E220" s="91"/>
      <c r="F220" s="91"/>
      <c r="G220" s="92"/>
      <c r="H220" s="93"/>
      <c r="I220" s="53"/>
      <c r="J220" s="55"/>
      <c r="K220" s="55"/>
      <c r="L220" s="55"/>
      <c r="M220" s="55"/>
      <c r="N220" s="55"/>
      <c r="O220" s="54"/>
      <c r="P220" s="55"/>
      <c r="Q220" s="54"/>
      <c r="R220" s="54"/>
      <c r="S220" s="55"/>
      <c r="T220" s="55"/>
      <c r="U220" s="94"/>
      <c r="V220" s="94"/>
      <c r="W220" s="54"/>
      <c r="X220" s="55"/>
      <c r="Y220" s="56"/>
      <c r="Z220" s="6"/>
    </row>
    <row r="231" spans="26:26" ht="19.5" customHeight="1">
      <c r="Z231" s="6" t="s">
        <v>61</v>
      </c>
    </row>
  </sheetData>
  <mergeCells count="29">
    <mergeCell ref="V211:W211"/>
    <mergeCell ref="V149:W149"/>
    <mergeCell ref="V169:W169"/>
    <mergeCell ref="V177:W177"/>
    <mergeCell ref="V190:W190"/>
    <mergeCell ref="V181:W181"/>
    <mergeCell ref="V185:W185"/>
    <mergeCell ref="V202:W202"/>
    <mergeCell ref="V152:W152"/>
    <mergeCell ref="V174:W174"/>
    <mergeCell ref="C197:D197"/>
    <mergeCell ref="V199:W199"/>
    <mergeCell ref="F2:F3"/>
    <mergeCell ref="C12:D12"/>
    <mergeCell ref="C144:D144"/>
    <mergeCell ref="C156:D156"/>
    <mergeCell ref="V158:W158"/>
    <mergeCell ref="C163:D163"/>
    <mergeCell ref="G2:H2"/>
    <mergeCell ref="I2:Y3"/>
    <mergeCell ref="V146:W146"/>
    <mergeCell ref="V165:W165"/>
    <mergeCell ref="V64:W64"/>
    <mergeCell ref="V125:W125"/>
    <mergeCell ref="A1:D1"/>
    <mergeCell ref="A2:D2"/>
    <mergeCell ref="E2:E3"/>
    <mergeCell ref="A4:D4"/>
    <mergeCell ref="C172:D17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16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27"/>
  <sheetViews>
    <sheetView topLeftCell="L96" workbookViewId="0">
      <selection activeCell="W116" sqref="W116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75" t="s">
        <v>506</v>
      </c>
      <c r="B1" s="575"/>
      <c r="C1" s="575"/>
      <c r="D1" s="575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6" t="s">
        <v>22</v>
      </c>
      <c r="B2" s="577"/>
      <c r="C2" s="577"/>
      <c r="D2" s="578" t="s">
        <v>504</v>
      </c>
      <c r="E2" s="602" t="s">
        <v>513</v>
      </c>
      <c r="F2" s="603"/>
      <c r="G2" s="603"/>
      <c r="H2" s="603"/>
      <c r="I2" s="603"/>
      <c r="J2" s="603"/>
      <c r="K2" s="603"/>
      <c r="L2" s="604"/>
      <c r="M2" s="586" t="s">
        <v>23</v>
      </c>
      <c r="N2" s="586"/>
      <c r="O2" s="605" t="s">
        <v>319</v>
      </c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9"/>
      <c r="E3" s="149" t="s">
        <v>320</v>
      </c>
      <c r="F3" s="149" t="s">
        <v>317</v>
      </c>
      <c r="G3" s="149" t="s">
        <v>318</v>
      </c>
      <c r="H3" s="149" t="s">
        <v>424</v>
      </c>
      <c r="I3" s="149" t="s">
        <v>321</v>
      </c>
      <c r="J3" s="149" t="s">
        <v>322</v>
      </c>
      <c r="K3" s="149" t="s">
        <v>323</v>
      </c>
      <c r="L3" s="149" t="s">
        <v>324</v>
      </c>
      <c r="M3" s="132" t="s">
        <v>325</v>
      </c>
      <c r="N3" s="96" t="s">
        <v>4</v>
      </c>
      <c r="O3" s="608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609"/>
      <c r="AB3" s="609"/>
      <c r="AC3" s="609"/>
      <c r="AD3" s="609"/>
      <c r="AE3" s="610"/>
    </row>
    <row r="4" spans="1:31" s="11" customFormat="1" ht="21" customHeight="1">
      <c r="A4" s="611" t="s">
        <v>31</v>
      </c>
      <c r="B4" s="612"/>
      <c r="C4" s="612"/>
      <c r="D4" s="305">
        <f t="shared" ref="D4:L4" si="0">SUM(D5,D122,D144,D199,D202)</f>
        <v>151939</v>
      </c>
      <c r="E4" s="305">
        <f t="shared" si="0"/>
        <v>157303</v>
      </c>
      <c r="F4" s="305">
        <f t="shared" ca="1" si="0"/>
        <v>131591</v>
      </c>
      <c r="G4" s="305">
        <f t="shared" si="0"/>
        <v>1273.5</v>
      </c>
      <c r="H4" s="305">
        <f t="shared" si="0"/>
        <v>300</v>
      </c>
      <c r="I4" s="305">
        <f t="shared" si="0"/>
        <v>624</v>
      </c>
      <c r="J4" s="305">
        <f t="shared" si="0"/>
        <v>19422</v>
      </c>
      <c r="K4" s="305">
        <f t="shared" si="0"/>
        <v>99</v>
      </c>
      <c r="L4" s="305">
        <f t="shared" si="0"/>
        <v>3993</v>
      </c>
      <c r="M4" s="306">
        <f>E4-D4</f>
        <v>5364</v>
      </c>
      <c r="N4" s="307">
        <f>IF(D4=0,0,M4/D4)</f>
        <v>3.5303641593007723E-2</v>
      </c>
      <c r="O4" s="308" t="s">
        <v>326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SUM(AD5,AD122,AD144,AD199,AD202)</f>
        <v>157303000</v>
      </c>
      <c r="AE4" s="311" t="s">
        <v>25</v>
      </c>
    </row>
    <row r="5" spans="1:31" s="11" customFormat="1" ht="21" customHeight="1">
      <c r="A5" s="101" t="s">
        <v>6</v>
      </c>
      <c r="B5" s="613" t="s">
        <v>7</v>
      </c>
      <c r="C5" s="614"/>
      <c r="D5" s="312">
        <f t="shared" ref="D5:L5" si="1">SUM(D6,D75,D84)</f>
        <v>127318</v>
      </c>
      <c r="E5" s="312">
        <f t="shared" si="1"/>
        <v>136523</v>
      </c>
      <c r="F5" s="312">
        <f>SUM(F6,F75,F84)</f>
        <v>127314</v>
      </c>
      <c r="G5" s="312">
        <f t="shared" si="1"/>
        <v>0</v>
      </c>
      <c r="H5" s="312">
        <f t="shared" si="1"/>
        <v>300</v>
      </c>
      <c r="I5" s="312">
        <f t="shared" si="1"/>
        <v>375</v>
      </c>
      <c r="J5" s="312">
        <f t="shared" si="1"/>
        <v>4442</v>
      </c>
      <c r="K5" s="312">
        <f t="shared" si="1"/>
        <v>99</v>
      </c>
      <c r="L5" s="312">
        <f t="shared" si="1"/>
        <v>3993</v>
      </c>
      <c r="M5" s="313">
        <f>E5-D5</f>
        <v>9205</v>
      </c>
      <c r="N5" s="314">
        <f>IF(D5=0,0,M5/D5)</f>
        <v>7.2299282112505692E-2</v>
      </c>
      <c r="O5" s="315" t="s">
        <v>291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SUM(AD6,AD75,AD84)</f>
        <v>136523000</v>
      </c>
      <c r="AE5" s="317" t="s">
        <v>25</v>
      </c>
    </row>
    <row r="6" spans="1:31" s="11" customFormat="1" ht="21" customHeight="1">
      <c r="A6" s="37"/>
      <c r="B6" s="28" t="s">
        <v>8</v>
      </c>
      <c r="C6" s="318" t="s">
        <v>5</v>
      </c>
      <c r="D6" s="414">
        <f t="shared" ref="D6:L6" si="2">SUM(D7,D11,D14,D35,D44,D68)</f>
        <v>116368</v>
      </c>
      <c r="E6" s="319">
        <f t="shared" si="2"/>
        <v>124599</v>
      </c>
      <c r="F6" s="319">
        <f t="shared" si="2"/>
        <v>123924</v>
      </c>
      <c r="G6" s="319">
        <f t="shared" si="2"/>
        <v>0</v>
      </c>
      <c r="H6" s="319">
        <f t="shared" si="2"/>
        <v>300</v>
      </c>
      <c r="I6" s="319">
        <f t="shared" si="2"/>
        <v>375</v>
      </c>
      <c r="J6" s="319">
        <f t="shared" si="2"/>
        <v>0</v>
      </c>
      <c r="K6" s="319">
        <f t="shared" si="2"/>
        <v>0</v>
      </c>
      <c r="L6" s="319">
        <f t="shared" si="2"/>
        <v>0</v>
      </c>
      <c r="M6" s="320">
        <f>E6-D6</f>
        <v>8231</v>
      </c>
      <c r="N6" s="321">
        <f>IF(D6=0,0,M6/D6)</f>
        <v>7.0732503781108208E-2</v>
      </c>
      <c r="O6" s="322" t="s">
        <v>301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SUM(AD7,AD11,AD14,AD35,AD44,AD68)</f>
        <v>124599000</v>
      </c>
      <c r="AE6" s="324" t="s">
        <v>25</v>
      </c>
    </row>
    <row r="7" spans="1:31" s="11" customFormat="1" ht="21" customHeight="1">
      <c r="A7" s="37"/>
      <c r="B7" s="38"/>
      <c r="C7" s="28" t="s">
        <v>32</v>
      </c>
      <c r="D7" s="135">
        <v>69105</v>
      </c>
      <c r="E7" s="103">
        <f>ROUND(AD7/1000,0)</f>
        <v>74046</v>
      </c>
      <c r="F7" s="103">
        <f>SUMIF($AB$8:$AB$10,"보조",$AD$8:$AD$10)/1000</f>
        <v>74046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4941</v>
      </c>
      <c r="N7" s="278">
        <f>IF(D7=0,0,M7/D7)</f>
        <v>7.1499891469502933E-2</v>
      </c>
      <c r="O7" s="105" t="s">
        <v>327</v>
      </c>
      <c r="P7" s="105"/>
      <c r="Q7" s="151"/>
      <c r="R7" s="151"/>
      <c r="S7" s="151"/>
      <c r="T7" s="150"/>
      <c r="U7" s="150"/>
      <c r="V7" s="150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74046000</v>
      </c>
      <c r="AE7" s="108" t="s">
        <v>328</v>
      </c>
    </row>
    <row r="8" spans="1:31" s="11" customFormat="1" ht="21" customHeight="1">
      <c r="A8" s="37"/>
      <c r="B8" s="38"/>
      <c r="C8" s="38"/>
      <c r="D8" s="435"/>
      <c r="E8" s="436"/>
      <c r="F8" s="436"/>
      <c r="G8" s="436"/>
      <c r="H8" s="436"/>
      <c r="I8" s="436"/>
      <c r="J8" s="436"/>
      <c r="K8" s="436"/>
      <c r="L8" s="436"/>
      <c r="M8" s="97"/>
      <c r="N8" s="60"/>
      <c r="O8" s="377" t="s">
        <v>510</v>
      </c>
      <c r="P8" s="377"/>
      <c r="Q8" s="377"/>
      <c r="R8" s="377"/>
      <c r="S8" s="274"/>
      <c r="T8" s="270"/>
      <c r="U8" s="270"/>
      <c r="V8" s="270"/>
      <c r="W8" s="270"/>
      <c r="X8" s="270"/>
      <c r="Y8" s="270"/>
      <c r="Z8" s="270"/>
      <c r="AA8" s="341"/>
      <c r="AB8" s="341" t="s">
        <v>329</v>
      </c>
      <c r="AC8" s="342"/>
      <c r="AD8" s="395">
        <v>74046000</v>
      </c>
      <c r="AE8" s="343" t="s">
        <v>328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7"/>
      <c r="P9" s="377"/>
      <c r="Q9" s="377"/>
      <c r="R9" s="377"/>
      <c r="S9" s="274"/>
      <c r="T9" s="270"/>
      <c r="U9" s="270"/>
      <c r="V9" s="270"/>
      <c r="W9" s="270"/>
      <c r="X9" s="270"/>
      <c r="Y9" s="270"/>
      <c r="Z9" s="270"/>
      <c r="AA9" s="341"/>
      <c r="AB9" s="341"/>
      <c r="AC9" s="342"/>
      <c r="AD9" s="395"/>
      <c r="AE9" s="343" t="s">
        <v>328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2"/>
      <c r="P10" s="292"/>
      <c r="Q10" s="292"/>
      <c r="R10" s="292"/>
      <c r="S10" s="292"/>
      <c r="T10" s="291"/>
      <c r="U10" s="291"/>
      <c r="V10" s="347"/>
      <c r="W10" s="347"/>
      <c r="X10" s="347"/>
      <c r="Y10" s="347"/>
      <c r="Z10" s="347"/>
      <c r="AA10" s="347"/>
      <c r="AB10" s="347"/>
      <c r="AC10" s="62"/>
      <c r="AD10" s="62"/>
      <c r="AE10" s="63"/>
    </row>
    <row r="11" spans="1:31" s="11" customFormat="1" ht="21" customHeight="1">
      <c r="A11" s="37"/>
      <c r="B11" s="38"/>
      <c r="C11" s="28" t="s">
        <v>334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335</v>
      </c>
      <c r="P11" s="420"/>
      <c r="Q11" s="153"/>
      <c r="R11" s="153"/>
      <c r="S11" s="153"/>
      <c r="T11" s="152"/>
      <c r="U11" s="152"/>
      <c r="V11" s="150"/>
      <c r="W11" s="87" t="s">
        <v>336</v>
      </c>
      <c r="X11" s="87"/>
      <c r="Y11" s="87"/>
      <c r="Z11" s="87"/>
      <c r="AA11" s="87"/>
      <c r="AB11" s="87"/>
      <c r="AC11" s="107"/>
      <c r="AD11" s="107">
        <v>0</v>
      </c>
      <c r="AE11" s="108" t="s">
        <v>337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1"/>
      <c r="P12" s="151"/>
      <c r="Q12" s="151"/>
      <c r="R12" s="151"/>
      <c r="S12" s="151"/>
      <c r="T12" s="150"/>
      <c r="U12" s="150"/>
      <c r="V12" s="150"/>
      <c r="W12" s="150"/>
      <c r="X12" s="150"/>
      <c r="Y12" s="150"/>
      <c r="Z12" s="150"/>
      <c r="AA12" s="150"/>
      <c r="AB12" s="150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2"/>
      <c r="P13" s="292"/>
      <c r="Q13" s="292"/>
      <c r="R13" s="292"/>
      <c r="S13" s="291"/>
      <c r="T13" s="291"/>
      <c r="U13" s="292"/>
      <c r="V13" s="291"/>
      <c r="W13" s="291"/>
      <c r="X13" s="292"/>
      <c r="Y13" s="81"/>
      <c r="Z13" s="291"/>
      <c r="AA13" s="291"/>
      <c r="AB13" s="291"/>
      <c r="AC13" s="58"/>
      <c r="AD13" s="291"/>
      <c r="AE13" s="47"/>
    </row>
    <row r="14" spans="1:31" s="11" customFormat="1" ht="21" customHeight="1">
      <c r="A14" s="37"/>
      <c r="B14" s="38"/>
      <c r="C14" s="28" t="s">
        <v>33</v>
      </c>
      <c r="D14" s="135">
        <v>28155</v>
      </c>
      <c r="E14" s="103">
        <f>ROUND(AD14/1000,0)</f>
        <v>30490</v>
      </c>
      <c r="F14" s="103">
        <f>SUMIF($AB$15:$AB$34,"보조",$AD$15:$AD$34)/1000</f>
        <v>30315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175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2335</v>
      </c>
      <c r="N14" s="109">
        <f>IF(D14=0,0,M14/D14)</f>
        <v>8.2933759545373825E-2</v>
      </c>
      <c r="O14" s="85" t="s">
        <v>34</v>
      </c>
      <c r="P14" s="420"/>
      <c r="Q14" s="153"/>
      <c r="R14" s="153"/>
      <c r="S14" s="153"/>
      <c r="T14" s="152"/>
      <c r="U14" s="152"/>
      <c r="V14" s="152"/>
      <c r="W14" s="419" t="s">
        <v>336</v>
      </c>
      <c r="X14" s="419"/>
      <c r="Y14" s="419"/>
      <c r="Z14" s="419"/>
      <c r="AA14" s="419"/>
      <c r="AB14" s="419"/>
      <c r="AC14" s="147"/>
      <c r="AD14" s="147">
        <f>명절휴가비+가족수당+연장근로수당+AD27+AD31</f>
        <v>30490000</v>
      </c>
      <c r="AE14" s="146" t="s">
        <v>328</v>
      </c>
    </row>
    <row r="15" spans="1:31" s="11" customFormat="1" ht="21" customHeight="1">
      <c r="A15" s="37"/>
      <c r="B15" s="38"/>
      <c r="C15" s="38"/>
      <c r="D15" s="433"/>
      <c r="E15" s="434"/>
      <c r="F15" s="434"/>
      <c r="G15" s="434"/>
      <c r="H15" s="434"/>
      <c r="I15" s="434"/>
      <c r="J15" s="434"/>
      <c r="K15" s="434"/>
      <c r="L15" s="434"/>
      <c r="M15" s="97"/>
      <c r="N15" s="60"/>
      <c r="O15" s="377" t="s">
        <v>338</v>
      </c>
      <c r="P15" s="274"/>
      <c r="Q15" s="274"/>
      <c r="R15" s="274"/>
      <c r="S15" s="274"/>
      <c r="T15" s="270"/>
      <c r="U15" s="270"/>
      <c r="V15" s="270"/>
      <c r="W15" s="341" t="s">
        <v>339</v>
      </c>
      <c r="X15" s="341"/>
      <c r="Y15" s="341"/>
      <c r="Z15" s="341"/>
      <c r="AA15" s="341"/>
      <c r="AB15" s="341"/>
      <c r="AC15" s="342" t="s">
        <v>340</v>
      </c>
      <c r="AD15" s="342">
        <f>ROUND(SUM(AD16:AD17),-3)</f>
        <v>7382000</v>
      </c>
      <c r="AE15" s="343" t="s">
        <v>328</v>
      </c>
    </row>
    <row r="16" spans="1:31" s="11" customFormat="1" ht="21" customHeight="1">
      <c r="A16" s="37"/>
      <c r="B16" s="38"/>
      <c r="C16" s="38"/>
      <c r="D16" s="435"/>
      <c r="E16" s="436"/>
      <c r="F16" s="436"/>
      <c r="G16" s="436"/>
      <c r="H16" s="436"/>
      <c r="I16" s="436"/>
      <c r="J16" s="436"/>
      <c r="K16" s="436"/>
      <c r="L16" s="436"/>
      <c r="M16" s="97"/>
      <c r="N16" s="60"/>
      <c r="O16" s="274" t="s">
        <v>511</v>
      </c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 t="s">
        <v>329</v>
      </c>
      <c r="AC16" s="275"/>
      <c r="AD16" s="121">
        <v>7382000</v>
      </c>
      <c r="AE16" s="299" t="s">
        <v>328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4"/>
      <c r="P17" s="274"/>
      <c r="Q17" s="274"/>
      <c r="R17" s="274"/>
      <c r="S17" s="274"/>
      <c r="T17" s="270"/>
      <c r="U17" s="270"/>
      <c r="V17" s="270"/>
      <c r="W17" s="270"/>
      <c r="X17" s="270"/>
      <c r="Y17" s="270"/>
      <c r="Z17" s="270"/>
      <c r="AA17" s="270"/>
      <c r="AB17" s="270"/>
      <c r="AC17" s="275"/>
      <c r="AD17" s="121"/>
      <c r="AE17" s="299"/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/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/>
      <c r="AC18" s="275"/>
      <c r="AD18" s="275"/>
      <c r="AE18" s="299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77" t="s">
        <v>341</v>
      </c>
      <c r="P19" s="274"/>
      <c r="Q19" s="274"/>
      <c r="R19" s="274"/>
      <c r="S19" s="274"/>
      <c r="T19" s="270"/>
      <c r="U19" s="270"/>
      <c r="V19" s="270"/>
      <c r="W19" s="341" t="s">
        <v>339</v>
      </c>
      <c r="X19" s="341"/>
      <c r="Y19" s="341"/>
      <c r="Z19" s="341"/>
      <c r="AA19" s="341"/>
      <c r="AB19" s="341"/>
      <c r="AC19" s="342" t="s">
        <v>340</v>
      </c>
      <c r="AD19" s="342">
        <f>SUM(AD20:AD21)</f>
        <v>1680000</v>
      </c>
      <c r="AE19" s="343" t="s">
        <v>328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4" t="s">
        <v>511</v>
      </c>
      <c r="P20" s="274"/>
      <c r="Q20" s="274"/>
      <c r="R20" s="274"/>
      <c r="S20" s="274"/>
      <c r="T20" s="270"/>
      <c r="U20" s="270"/>
      <c r="V20" s="270"/>
      <c r="W20" s="270"/>
      <c r="X20" s="270"/>
      <c r="Y20" s="270"/>
      <c r="Z20" s="270"/>
      <c r="AA20" s="270"/>
      <c r="AB20" s="270" t="s">
        <v>329</v>
      </c>
      <c r="AC20" s="275"/>
      <c r="AD20" s="275">
        <v>1680000</v>
      </c>
      <c r="AE20" s="299" t="s">
        <v>328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/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/>
      <c r="AC21" s="275"/>
      <c r="AD21" s="275"/>
      <c r="AE21" s="299"/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275"/>
      <c r="AE22" s="299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7" t="s">
        <v>342</v>
      </c>
      <c r="P23" s="274"/>
      <c r="Q23" s="274"/>
      <c r="R23" s="274"/>
      <c r="S23" s="274"/>
      <c r="T23" s="270"/>
      <c r="U23" s="270"/>
      <c r="V23" s="270"/>
      <c r="W23" s="341" t="s">
        <v>339</v>
      </c>
      <c r="X23" s="341"/>
      <c r="Y23" s="341"/>
      <c r="Z23" s="341"/>
      <c r="AA23" s="341"/>
      <c r="AB23" s="341"/>
      <c r="AC23" s="342" t="s">
        <v>340</v>
      </c>
      <c r="AD23" s="342">
        <f>ROUND(SUM(AD24:AD25),-3)</f>
        <v>15938000</v>
      </c>
      <c r="AE23" s="343" t="s">
        <v>328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511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329</v>
      </c>
      <c r="AC24" s="275"/>
      <c r="AD24" s="121">
        <v>15938000</v>
      </c>
      <c r="AE24" s="299" t="s">
        <v>328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299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4"/>
      <c r="P26" s="274"/>
      <c r="Q26" s="274"/>
      <c r="R26" s="274"/>
      <c r="S26" s="274"/>
      <c r="T26" s="270"/>
      <c r="U26" s="270"/>
      <c r="V26" s="270"/>
      <c r="W26" s="270"/>
      <c r="X26" s="270"/>
      <c r="Y26" s="270"/>
      <c r="Z26" s="270"/>
      <c r="AA26" s="270"/>
      <c r="AB26" s="270"/>
      <c r="AC26" s="275"/>
      <c r="AD26" s="121"/>
      <c r="AE26" s="299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77" t="s">
        <v>415</v>
      </c>
      <c r="P27" s="274"/>
      <c r="Q27" s="274"/>
      <c r="R27" s="274"/>
      <c r="S27" s="274"/>
      <c r="T27" s="270"/>
      <c r="U27" s="270"/>
      <c r="V27" s="270"/>
      <c r="W27" s="341" t="s">
        <v>339</v>
      </c>
      <c r="X27" s="341"/>
      <c r="Y27" s="341"/>
      <c r="Z27" s="341"/>
      <c r="AA27" s="341"/>
      <c r="AB27" s="341"/>
      <c r="AC27" s="342" t="s">
        <v>340</v>
      </c>
      <c r="AD27" s="342">
        <f>ROUNDUP(SUM(AD28:AD29),-3)</f>
        <v>5315000</v>
      </c>
      <c r="AE27" s="343" t="s">
        <v>328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511</v>
      </c>
      <c r="P28" s="274"/>
      <c r="Q28" s="274"/>
      <c r="R28" s="274"/>
      <c r="S28" s="274"/>
      <c r="T28" s="270"/>
      <c r="U28" s="270"/>
      <c r="V28" s="270"/>
      <c r="W28" s="270"/>
      <c r="X28" s="270"/>
      <c r="Y28" s="270"/>
      <c r="Z28" s="270"/>
      <c r="AA28" s="270"/>
      <c r="AB28" s="270" t="s">
        <v>329</v>
      </c>
      <c r="AC28" s="275"/>
      <c r="AD28" s="121">
        <v>5315000</v>
      </c>
      <c r="AE28" s="299" t="s">
        <v>328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4"/>
      <c r="T29" s="270"/>
      <c r="U29" s="270"/>
      <c r="V29" s="270"/>
      <c r="W29" s="270"/>
      <c r="X29" s="270"/>
      <c r="Y29" s="270"/>
      <c r="Z29" s="270"/>
      <c r="AA29" s="270"/>
      <c r="AB29" s="270"/>
      <c r="AC29" s="275"/>
      <c r="AD29" s="121"/>
      <c r="AE29" s="299"/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4"/>
      <c r="P30" s="274"/>
      <c r="Q30" s="274"/>
      <c r="R30" s="274"/>
      <c r="S30" s="274"/>
      <c r="T30" s="270"/>
      <c r="U30" s="270"/>
      <c r="V30" s="270"/>
      <c r="W30" s="270"/>
      <c r="X30" s="270"/>
      <c r="Y30" s="270"/>
      <c r="Z30" s="270"/>
      <c r="AA30" s="270"/>
      <c r="AB30" s="270"/>
      <c r="AC30" s="275"/>
      <c r="AD30" s="121"/>
      <c r="AE30" s="299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77" t="s">
        <v>416</v>
      </c>
      <c r="P31" s="274"/>
      <c r="Q31" s="274"/>
      <c r="R31" s="274"/>
      <c r="S31" s="274"/>
      <c r="T31" s="270"/>
      <c r="U31" s="270"/>
      <c r="V31" s="270"/>
      <c r="W31" s="341" t="s">
        <v>339</v>
      </c>
      <c r="X31" s="341"/>
      <c r="Y31" s="341"/>
      <c r="Z31" s="341"/>
      <c r="AA31" s="341"/>
      <c r="AB31" s="341"/>
      <c r="AC31" s="342" t="s">
        <v>340</v>
      </c>
      <c r="AD31" s="342">
        <f>SUM(AD32:AD33)</f>
        <v>175000</v>
      </c>
      <c r="AE31" s="343" t="s">
        <v>328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4" t="s">
        <v>343</v>
      </c>
      <c r="P32" s="274"/>
      <c r="Q32" s="274"/>
      <c r="R32" s="274"/>
      <c r="S32" s="291">
        <v>0</v>
      </c>
      <c r="T32" s="291" t="s">
        <v>328</v>
      </c>
      <c r="U32" s="292" t="s">
        <v>330</v>
      </c>
      <c r="V32" s="291">
        <v>1</v>
      </c>
      <c r="W32" s="291" t="s">
        <v>344</v>
      </c>
      <c r="X32" s="292" t="s">
        <v>330</v>
      </c>
      <c r="Y32" s="294">
        <v>9</v>
      </c>
      <c r="Z32" s="415" t="s">
        <v>331</v>
      </c>
      <c r="AA32" s="415" t="s">
        <v>332</v>
      </c>
      <c r="AB32" s="270" t="s">
        <v>333</v>
      </c>
      <c r="AC32" s="275"/>
      <c r="AD32" s="121">
        <f>S32*V32*Y32</f>
        <v>0</v>
      </c>
      <c r="AE32" s="299" t="s">
        <v>328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461" t="s">
        <v>531</v>
      </c>
      <c r="P33" s="461"/>
      <c r="Q33" s="461"/>
      <c r="R33" s="461"/>
      <c r="S33" s="460"/>
      <c r="T33" s="460"/>
      <c r="U33" s="461"/>
      <c r="V33" s="460"/>
      <c r="W33" s="460"/>
      <c r="X33" s="461"/>
      <c r="Y33" s="294"/>
      <c r="Z33" s="289"/>
      <c r="AA33" s="289"/>
      <c r="AB33" s="460" t="s">
        <v>361</v>
      </c>
      <c r="AC33" s="121"/>
      <c r="AD33" s="121">
        <v>175000</v>
      </c>
      <c r="AE33" s="122" t="s">
        <v>328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4"/>
      <c r="P34" s="274"/>
      <c r="Q34" s="274"/>
      <c r="R34" s="274"/>
      <c r="S34" s="270"/>
      <c r="T34" s="329"/>
      <c r="U34" s="379"/>
      <c r="V34" s="329"/>
      <c r="W34" s="380"/>
      <c r="X34" s="380"/>
      <c r="Y34" s="270"/>
      <c r="Z34" s="270"/>
      <c r="AA34" s="270"/>
      <c r="AB34" s="270"/>
      <c r="AC34" s="270"/>
      <c r="AD34" s="270"/>
      <c r="AE34" s="299"/>
    </row>
    <row r="35" spans="1:31" s="11" customFormat="1" ht="21" customHeight="1">
      <c r="A35" s="37"/>
      <c r="B35" s="38"/>
      <c r="C35" s="28" t="s">
        <v>9</v>
      </c>
      <c r="D35" s="135">
        <v>8105</v>
      </c>
      <c r="E35" s="103">
        <f>ROUND(AD35/1000,0)</f>
        <v>8697</v>
      </c>
      <c r="F35" s="103">
        <f>SUMIF($AB$36:$AB$43,"보조",$AD$36:$AD$43)/1000</f>
        <v>8697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592</v>
      </c>
      <c r="N35" s="109">
        <f>IF(D35=0,0,M35/D35)</f>
        <v>7.3041332510795809E-2</v>
      </c>
      <c r="O35" s="85" t="s">
        <v>35</v>
      </c>
      <c r="P35" s="420"/>
      <c r="Q35" s="153"/>
      <c r="R35" s="153"/>
      <c r="S35" s="153"/>
      <c r="T35" s="152"/>
      <c r="U35" s="152"/>
      <c r="V35" s="152"/>
      <c r="W35" s="419" t="s">
        <v>339</v>
      </c>
      <c r="X35" s="419"/>
      <c r="Y35" s="419"/>
      <c r="Z35" s="419"/>
      <c r="AA35" s="419"/>
      <c r="AB35" s="419"/>
      <c r="AC35" s="147" t="s">
        <v>340</v>
      </c>
      <c r="AD35" s="147">
        <f>SUM(AD36,AD40)</f>
        <v>8697000</v>
      </c>
      <c r="AE35" s="146" t="s">
        <v>328</v>
      </c>
    </row>
    <row r="36" spans="1:31" s="11" customFormat="1" ht="21" customHeight="1">
      <c r="A36" s="37"/>
      <c r="B36" s="38"/>
      <c r="C36" s="38"/>
      <c r="D36" s="433"/>
      <c r="E36" s="434"/>
      <c r="F36" s="434"/>
      <c r="G36" s="434"/>
      <c r="H36" s="434"/>
      <c r="I36" s="434"/>
      <c r="J36" s="434"/>
      <c r="K36" s="434"/>
      <c r="L36" s="434"/>
      <c r="M36" s="104"/>
      <c r="N36" s="60"/>
      <c r="O36" s="377" t="s">
        <v>417</v>
      </c>
      <c r="P36" s="274"/>
      <c r="Q36" s="274"/>
      <c r="R36" s="274"/>
      <c r="S36" s="274"/>
      <c r="T36" s="270"/>
      <c r="U36" s="270"/>
      <c r="V36" s="270"/>
      <c r="W36" s="341" t="s">
        <v>339</v>
      </c>
      <c r="X36" s="341"/>
      <c r="Y36" s="341"/>
      <c r="Z36" s="341"/>
      <c r="AA36" s="341"/>
      <c r="AB36" s="341"/>
      <c r="AC36" s="342"/>
      <c r="AD36" s="342">
        <f>SUM(AD37:AD38)</f>
        <v>8697000</v>
      </c>
      <c r="AE36" s="343" t="s">
        <v>328</v>
      </c>
    </row>
    <row r="37" spans="1:31" s="11" customFormat="1" ht="21" customHeight="1">
      <c r="A37" s="37"/>
      <c r="B37" s="38"/>
      <c r="C37" s="38"/>
      <c r="D37" s="435"/>
      <c r="E37" s="436"/>
      <c r="F37" s="436"/>
      <c r="G37" s="436"/>
      <c r="H37" s="436"/>
      <c r="I37" s="436"/>
      <c r="J37" s="436"/>
      <c r="K37" s="436"/>
      <c r="L37" s="436"/>
      <c r="M37" s="104"/>
      <c r="N37" s="60"/>
      <c r="O37" s="274" t="s">
        <v>512</v>
      </c>
      <c r="P37" s="274"/>
      <c r="Q37" s="274"/>
      <c r="R37" s="274"/>
      <c r="S37" s="270">
        <f>SUM(AD8,AD16,AD20,AD24, AD28)</f>
        <v>104361000</v>
      </c>
      <c r="T37" s="326" t="s">
        <v>328</v>
      </c>
      <c r="U37" s="326" t="s">
        <v>345</v>
      </c>
      <c r="V37" s="381">
        <v>12</v>
      </c>
      <c r="W37" s="325" t="s">
        <v>331</v>
      </c>
      <c r="X37" s="270"/>
      <c r="Y37" s="270"/>
      <c r="Z37" s="270"/>
      <c r="AA37" s="270" t="s">
        <v>332</v>
      </c>
      <c r="AB37" s="270" t="s">
        <v>329</v>
      </c>
      <c r="AC37" s="275"/>
      <c r="AD37" s="121">
        <f>ROUND(S37/V37,-3)</f>
        <v>8697000</v>
      </c>
      <c r="AE37" s="299" t="s">
        <v>328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4"/>
      <c r="P38" s="274"/>
      <c r="Q38" s="274"/>
      <c r="R38" s="274"/>
      <c r="S38" s="270"/>
      <c r="T38" s="326"/>
      <c r="U38" s="326"/>
      <c r="V38" s="381"/>
      <c r="W38" s="325"/>
      <c r="X38" s="270"/>
      <c r="Y38" s="270"/>
      <c r="Z38" s="270"/>
      <c r="AA38" s="270"/>
      <c r="AB38" s="270"/>
      <c r="AC38" s="275"/>
      <c r="AD38" s="121"/>
      <c r="AE38" s="299"/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4"/>
      <c r="P39" s="274"/>
      <c r="Q39" s="274"/>
      <c r="R39" s="274"/>
      <c r="S39" s="270"/>
      <c r="T39" s="326"/>
      <c r="U39" s="326"/>
      <c r="V39" s="381"/>
      <c r="W39" s="325"/>
      <c r="X39" s="270"/>
      <c r="Y39" s="270"/>
      <c r="Z39" s="270"/>
      <c r="AA39" s="270"/>
      <c r="AB39" s="270"/>
      <c r="AC39" s="275"/>
      <c r="AD39" s="121"/>
      <c r="AE39" s="299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77" t="s">
        <v>418</v>
      </c>
      <c r="P40" s="274"/>
      <c r="Q40" s="274"/>
      <c r="R40" s="274"/>
      <c r="S40" s="274"/>
      <c r="T40" s="270"/>
      <c r="U40" s="270"/>
      <c r="V40" s="270"/>
      <c r="W40" s="341" t="s">
        <v>346</v>
      </c>
      <c r="X40" s="341"/>
      <c r="Y40" s="341"/>
      <c r="Z40" s="341"/>
      <c r="AA40" s="341"/>
      <c r="AB40" s="341"/>
      <c r="AC40" s="342" t="s">
        <v>347</v>
      </c>
      <c r="AD40" s="342">
        <f>SUM(AD41:AD42)</f>
        <v>0</v>
      </c>
      <c r="AE40" s="343" t="s">
        <v>348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23" t="s">
        <v>419</v>
      </c>
      <c r="P41" s="423"/>
      <c r="Q41" s="423"/>
      <c r="R41" s="423"/>
      <c r="S41" s="422">
        <v>0</v>
      </c>
      <c r="T41" s="289" t="s">
        <v>328</v>
      </c>
      <c r="U41" s="289" t="s">
        <v>345</v>
      </c>
      <c r="V41" s="437">
        <v>12</v>
      </c>
      <c r="W41" s="388" t="s">
        <v>331</v>
      </c>
      <c r="X41" s="422"/>
      <c r="Y41" s="422"/>
      <c r="Z41" s="422"/>
      <c r="AA41" s="422" t="s">
        <v>332</v>
      </c>
      <c r="AB41" s="422" t="s">
        <v>333</v>
      </c>
      <c r="AC41" s="121"/>
      <c r="AD41" s="121">
        <f>ROUNDUP(S41/V41,-3)</f>
        <v>0</v>
      </c>
      <c r="AE41" s="122" t="s">
        <v>328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23" t="s">
        <v>349</v>
      </c>
      <c r="P42" s="423"/>
      <c r="Q42" s="423"/>
      <c r="R42" s="423"/>
      <c r="S42" s="422">
        <f>($K$7+$K$14)*1000</f>
        <v>0</v>
      </c>
      <c r="T42" s="289" t="s">
        <v>328</v>
      </c>
      <c r="U42" s="289" t="s">
        <v>345</v>
      </c>
      <c r="V42" s="437">
        <v>12</v>
      </c>
      <c r="W42" s="388" t="s">
        <v>331</v>
      </c>
      <c r="X42" s="422"/>
      <c r="Y42" s="422"/>
      <c r="Z42" s="422"/>
      <c r="AA42" s="422" t="s">
        <v>332</v>
      </c>
      <c r="AB42" s="422" t="s">
        <v>333</v>
      </c>
      <c r="AC42" s="121"/>
      <c r="AD42" s="121">
        <f>ROUND(S42/V42,-3)</f>
        <v>0</v>
      </c>
      <c r="AE42" s="122" t="s">
        <v>328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2"/>
      <c r="P43" s="151"/>
      <c r="Q43" s="151"/>
      <c r="R43" s="151"/>
      <c r="S43" s="151"/>
      <c r="T43" s="150"/>
      <c r="U43" s="150"/>
      <c r="V43" s="150"/>
      <c r="W43" s="150"/>
      <c r="X43" s="150"/>
      <c r="Y43" s="150"/>
      <c r="Z43" s="150"/>
      <c r="AA43" s="150"/>
      <c r="AB43" s="422"/>
      <c r="AC43" s="42"/>
      <c r="AD43" s="58"/>
      <c r="AE43" s="26"/>
    </row>
    <row r="44" spans="1:31" s="11" customFormat="1" ht="21" customHeight="1">
      <c r="A44" s="37"/>
      <c r="B44" s="38"/>
      <c r="C44" s="111" t="s">
        <v>350</v>
      </c>
      <c r="D44" s="135">
        <v>10053</v>
      </c>
      <c r="E44" s="103">
        <f>ROUND(AD44/1000,0)</f>
        <v>10866</v>
      </c>
      <c r="F44" s="103">
        <f>SUMIF($AB$45:$AB$67,"보조",$AD$45:$AD$67)/1000</f>
        <v>10866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813</v>
      </c>
      <c r="N44" s="109">
        <f>IF(D44=0,0,M44/D44)</f>
        <v>8.0871381677111304E-2</v>
      </c>
      <c r="O44" s="85" t="s">
        <v>36</v>
      </c>
      <c r="P44" s="420"/>
      <c r="Q44" s="153"/>
      <c r="R44" s="153"/>
      <c r="S44" s="153"/>
      <c r="T44" s="152"/>
      <c r="U44" s="152"/>
      <c r="V44" s="152"/>
      <c r="W44" s="419" t="s">
        <v>351</v>
      </c>
      <c r="X44" s="419"/>
      <c r="Y44" s="419"/>
      <c r="Z44" s="419"/>
      <c r="AA44" s="419"/>
      <c r="AB44" s="419"/>
      <c r="AC44" s="147"/>
      <c r="AD44" s="147">
        <f>SUM(AD46,AD50,AD54,AD58,AD62,AD66)</f>
        <v>10866000</v>
      </c>
      <c r="AE44" s="146" t="s">
        <v>25</v>
      </c>
    </row>
    <row r="45" spans="1:31" s="11" customFormat="1" ht="21" customHeight="1">
      <c r="A45" s="37"/>
      <c r="B45" s="38"/>
      <c r="C45" s="38" t="s">
        <v>352</v>
      </c>
      <c r="D45" s="433"/>
      <c r="E45" s="434"/>
      <c r="F45" s="434"/>
      <c r="G45" s="434"/>
      <c r="H45" s="434"/>
      <c r="I45" s="434"/>
      <c r="J45" s="434"/>
      <c r="K45" s="434"/>
      <c r="L45" s="434"/>
      <c r="M45" s="104"/>
      <c r="N45" s="60"/>
      <c r="O45" s="151"/>
      <c r="P45" s="151"/>
      <c r="Q45" s="151"/>
      <c r="R45" s="151"/>
      <c r="S45" s="151"/>
      <c r="T45" s="150"/>
      <c r="U45" s="150"/>
      <c r="V45" s="150"/>
      <c r="W45" s="150"/>
      <c r="X45" s="150"/>
      <c r="Y45" s="150"/>
      <c r="Z45" s="150"/>
      <c r="AA45" s="150"/>
      <c r="AB45" s="150"/>
      <c r="AC45" s="42"/>
      <c r="AD45" s="42"/>
      <c r="AE45" s="26"/>
    </row>
    <row r="46" spans="1:31" s="11" customFormat="1" ht="21" customHeight="1">
      <c r="A46" s="37"/>
      <c r="B46" s="38"/>
      <c r="C46" s="38"/>
      <c r="D46" s="435"/>
      <c r="E46" s="436"/>
      <c r="F46" s="436"/>
      <c r="G46" s="436"/>
      <c r="H46" s="436"/>
      <c r="I46" s="436"/>
      <c r="J46" s="436"/>
      <c r="K46" s="436"/>
      <c r="L46" s="436"/>
      <c r="M46" s="104"/>
      <c r="N46" s="60"/>
      <c r="O46" s="377" t="s">
        <v>353</v>
      </c>
      <c r="P46" s="274"/>
      <c r="Q46" s="274"/>
      <c r="R46" s="274"/>
      <c r="S46" s="274"/>
      <c r="T46" s="270"/>
      <c r="U46" s="270"/>
      <c r="V46" s="270"/>
      <c r="W46" s="341" t="s">
        <v>339</v>
      </c>
      <c r="X46" s="341"/>
      <c r="Y46" s="341"/>
      <c r="Z46" s="341"/>
      <c r="AA46" s="341"/>
      <c r="AB46" s="341"/>
      <c r="AC46" s="342"/>
      <c r="AD46" s="342">
        <f>ROUND(SUM(AD47:AD48),-3)</f>
        <v>4697000</v>
      </c>
      <c r="AE46" s="343" t="s">
        <v>328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511</v>
      </c>
      <c r="P47" s="274"/>
      <c r="Q47" s="274"/>
      <c r="R47" s="274"/>
      <c r="S47" s="270">
        <f>S37</f>
        <v>104361000</v>
      </c>
      <c r="T47" s="326" t="s">
        <v>328</v>
      </c>
      <c r="U47" s="325" t="s">
        <v>330</v>
      </c>
      <c r="V47" s="382">
        <v>0.09</v>
      </c>
      <c r="W47" s="326" t="s">
        <v>345</v>
      </c>
      <c r="X47" s="383">
        <v>2</v>
      </c>
      <c r="Y47" s="328"/>
      <c r="Z47" s="328"/>
      <c r="AA47" s="326" t="s">
        <v>332</v>
      </c>
      <c r="AB47" s="270" t="s">
        <v>329</v>
      </c>
      <c r="AC47" s="275"/>
      <c r="AD47" s="121">
        <f>ROUNDUP(S47*V47/X47,-3)</f>
        <v>4697000</v>
      </c>
      <c r="AE47" s="299" t="s">
        <v>328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270"/>
      <c r="T48" s="326"/>
      <c r="U48" s="325"/>
      <c r="V48" s="382"/>
      <c r="W48" s="326"/>
      <c r="X48" s="383"/>
      <c r="Y48" s="328"/>
      <c r="Z48" s="328"/>
      <c r="AA48" s="326"/>
      <c r="AB48" s="270"/>
      <c r="AC48" s="275"/>
      <c r="AD48" s="121"/>
      <c r="AE48" s="299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4"/>
      <c r="P49" s="274"/>
      <c r="Q49" s="274"/>
      <c r="R49" s="274"/>
      <c r="S49" s="274"/>
      <c r="T49" s="270"/>
      <c r="U49" s="270"/>
      <c r="V49" s="270"/>
      <c r="W49" s="270"/>
      <c r="X49" s="270"/>
      <c r="Y49" s="270"/>
      <c r="Z49" s="270"/>
      <c r="AA49" s="270"/>
      <c r="AB49" s="270"/>
      <c r="AC49" s="275"/>
      <c r="AD49" s="275"/>
      <c r="AE49" s="299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77" t="s">
        <v>354</v>
      </c>
      <c r="P50" s="274"/>
      <c r="Q50" s="274"/>
      <c r="R50" s="274"/>
      <c r="S50" s="274"/>
      <c r="T50" s="270"/>
      <c r="U50" s="270"/>
      <c r="V50" s="270"/>
      <c r="W50" s="341" t="s">
        <v>339</v>
      </c>
      <c r="X50" s="341"/>
      <c r="Y50" s="341"/>
      <c r="Z50" s="341"/>
      <c r="AA50" s="341"/>
      <c r="AB50" s="341"/>
      <c r="AC50" s="342" t="s">
        <v>340</v>
      </c>
      <c r="AD50" s="342">
        <f>ROUND(SUM(AD51:AD52),-3)</f>
        <v>3700000</v>
      </c>
      <c r="AE50" s="343" t="s">
        <v>328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 t="s">
        <v>511</v>
      </c>
      <c r="P51" s="274"/>
      <c r="Q51" s="274"/>
      <c r="R51" s="274"/>
      <c r="S51" s="270">
        <f>S47</f>
        <v>104361000</v>
      </c>
      <c r="T51" s="326" t="s">
        <v>328</v>
      </c>
      <c r="U51" s="325" t="s">
        <v>330</v>
      </c>
      <c r="V51" s="384">
        <v>7.0900000000000005E-2</v>
      </c>
      <c r="W51" s="326" t="s">
        <v>345</v>
      </c>
      <c r="X51" s="385">
        <v>2</v>
      </c>
      <c r="Y51" s="328"/>
      <c r="Z51" s="328"/>
      <c r="AA51" s="326" t="s">
        <v>332</v>
      </c>
      <c r="AB51" s="270" t="s">
        <v>329</v>
      </c>
      <c r="AC51" s="275"/>
      <c r="AD51" s="121">
        <f>ROUND(S51*V51/X51,-3)</f>
        <v>3700000</v>
      </c>
      <c r="AE51" s="299" t="s">
        <v>328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4"/>
      <c r="P52" s="274"/>
      <c r="Q52" s="274"/>
      <c r="R52" s="274"/>
      <c r="S52" s="270"/>
      <c r="T52" s="270"/>
      <c r="U52" s="326"/>
      <c r="V52" s="384"/>
      <c r="W52" s="270"/>
      <c r="X52" s="326"/>
      <c r="Y52" s="270"/>
      <c r="Z52" s="270"/>
      <c r="AA52" s="270"/>
      <c r="AB52" s="270"/>
      <c r="AC52" s="275"/>
      <c r="AD52" s="121"/>
      <c r="AE52" s="299"/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/>
      <c r="P53" s="274"/>
      <c r="Q53" s="274"/>
      <c r="R53" s="274"/>
      <c r="S53" s="274"/>
      <c r="T53" s="270"/>
      <c r="U53" s="270"/>
      <c r="V53" s="270"/>
      <c r="W53" s="270"/>
      <c r="X53" s="270"/>
      <c r="Y53" s="270"/>
      <c r="Z53" s="270"/>
      <c r="AA53" s="270"/>
      <c r="AB53" s="270"/>
      <c r="AC53" s="275"/>
      <c r="AD53" s="275"/>
      <c r="AE53" s="299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77" t="s">
        <v>355</v>
      </c>
      <c r="P54" s="274"/>
      <c r="Q54" s="274"/>
      <c r="R54" s="274"/>
      <c r="S54" s="274"/>
      <c r="T54" s="270"/>
      <c r="U54" s="270"/>
      <c r="V54" s="270"/>
      <c r="W54" s="341" t="s">
        <v>339</v>
      </c>
      <c r="X54" s="341"/>
      <c r="Y54" s="341"/>
      <c r="Z54" s="341"/>
      <c r="AA54" s="341"/>
      <c r="AB54" s="341"/>
      <c r="AC54" s="342" t="s">
        <v>340</v>
      </c>
      <c r="AD54" s="342">
        <f>ROUND(SUM(AD55:AD56),-3)</f>
        <v>474000</v>
      </c>
      <c r="AE54" s="343" t="s">
        <v>328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4" t="s">
        <v>511</v>
      </c>
      <c r="P55" s="274"/>
      <c r="Q55" s="274"/>
      <c r="R55" s="274"/>
      <c r="S55" s="386">
        <f>AD51</f>
        <v>3700000</v>
      </c>
      <c r="T55" s="326" t="s">
        <v>328</v>
      </c>
      <c r="U55" s="325" t="s">
        <v>330</v>
      </c>
      <c r="V55" s="384">
        <v>0.12809999999999999</v>
      </c>
      <c r="W55" s="325"/>
      <c r="X55" s="327"/>
      <c r="Y55" s="328"/>
      <c r="Z55" s="328"/>
      <c r="AA55" s="326" t="s">
        <v>332</v>
      </c>
      <c r="AB55" s="270" t="s">
        <v>329</v>
      </c>
      <c r="AC55" s="275"/>
      <c r="AD55" s="275">
        <f>ROUNDUP(S55*V55,-3)</f>
        <v>474000</v>
      </c>
      <c r="AE55" s="299" t="s">
        <v>328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386"/>
      <c r="T56" s="326"/>
      <c r="U56" s="325"/>
      <c r="V56" s="384"/>
      <c r="W56" s="325"/>
      <c r="X56" s="327"/>
      <c r="Y56" s="328"/>
      <c r="Z56" s="328"/>
      <c r="AA56" s="326"/>
      <c r="AB56" s="270"/>
      <c r="AC56" s="275"/>
      <c r="AD56" s="121"/>
      <c r="AE56" s="299"/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4"/>
      <c r="P57" s="274"/>
      <c r="Q57" s="274"/>
      <c r="R57" s="274"/>
      <c r="S57" s="274"/>
      <c r="T57" s="270"/>
      <c r="U57" s="270"/>
      <c r="V57" s="270"/>
      <c r="W57" s="270"/>
      <c r="X57" s="270"/>
      <c r="Y57" s="270"/>
      <c r="Z57" s="270"/>
      <c r="AA57" s="270"/>
      <c r="AB57" s="270"/>
      <c r="AC57" s="275"/>
      <c r="AD57" s="275"/>
      <c r="AE57" s="299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77" t="s">
        <v>356</v>
      </c>
      <c r="P58" s="274"/>
      <c r="Q58" s="274"/>
      <c r="R58" s="274"/>
      <c r="S58" s="274"/>
      <c r="T58" s="270"/>
      <c r="U58" s="270"/>
      <c r="V58" s="270"/>
      <c r="W58" s="341" t="s">
        <v>339</v>
      </c>
      <c r="X58" s="341"/>
      <c r="Y58" s="341"/>
      <c r="Z58" s="341"/>
      <c r="AA58" s="341"/>
      <c r="AB58" s="341"/>
      <c r="AC58" s="342" t="s">
        <v>340</v>
      </c>
      <c r="AD58" s="342">
        <f>ROUND(SUM(AD59:AD61),-3)</f>
        <v>1201000</v>
      </c>
      <c r="AE58" s="343" t="s">
        <v>328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4" t="s">
        <v>511</v>
      </c>
      <c r="P59" s="274"/>
      <c r="Q59" s="274"/>
      <c r="R59" s="274"/>
      <c r="S59" s="270">
        <f>S51</f>
        <v>104361000</v>
      </c>
      <c r="T59" s="326" t="s">
        <v>328</v>
      </c>
      <c r="U59" s="325" t="s">
        <v>330</v>
      </c>
      <c r="V59" s="384">
        <v>1.15E-2</v>
      </c>
      <c r="W59" s="325"/>
      <c r="X59" s="327"/>
      <c r="Y59" s="328"/>
      <c r="Z59" s="328"/>
      <c r="AA59" s="326" t="s">
        <v>332</v>
      </c>
      <c r="AB59" s="270" t="s">
        <v>329</v>
      </c>
      <c r="AC59" s="275"/>
      <c r="AD59" s="121">
        <f>ROUNDUP(S59*V59,-3)</f>
        <v>1201000</v>
      </c>
      <c r="AE59" s="299" t="s">
        <v>328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4"/>
      <c r="P60" s="274"/>
      <c r="Q60" s="274"/>
      <c r="R60" s="274"/>
      <c r="S60" s="270"/>
      <c r="T60" s="326"/>
      <c r="U60" s="325"/>
      <c r="V60" s="384"/>
      <c r="W60" s="325"/>
      <c r="X60" s="327"/>
      <c r="Y60" s="328"/>
      <c r="Z60" s="328"/>
      <c r="AA60" s="326"/>
      <c r="AB60" s="270"/>
      <c r="AC60" s="275"/>
      <c r="AD60" s="121"/>
      <c r="AE60" s="299"/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8"/>
      <c r="P61" s="438"/>
      <c r="Q61" s="438"/>
      <c r="R61" s="438"/>
      <c r="S61" s="438"/>
      <c r="T61" s="378"/>
      <c r="U61" s="378"/>
      <c r="V61" s="378"/>
      <c r="W61" s="378"/>
      <c r="X61" s="378"/>
      <c r="Y61" s="378"/>
      <c r="Z61" s="378"/>
      <c r="AA61" s="378"/>
      <c r="AB61" s="378"/>
      <c r="AC61" s="430"/>
      <c r="AD61" s="430"/>
      <c r="AE61" s="439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77" t="s">
        <v>357</v>
      </c>
      <c r="P62" s="274"/>
      <c r="Q62" s="274"/>
      <c r="R62" s="274"/>
      <c r="S62" s="274"/>
      <c r="T62" s="270"/>
      <c r="U62" s="270"/>
      <c r="V62" s="270"/>
      <c r="W62" s="341" t="s">
        <v>339</v>
      </c>
      <c r="X62" s="341"/>
      <c r="Y62" s="341"/>
      <c r="Z62" s="341"/>
      <c r="AA62" s="341"/>
      <c r="AB62" s="341"/>
      <c r="AC62" s="342" t="s">
        <v>340</v>
      </c>
      <c r="AD62" s="342">
        <f>ROUND(SUM(AD63:AD64),-3)</f>
        <v>794000</v>
      </c>
      <c r="AE62" s="343" t="s">
        <v>328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4" t="s">
        <v>511</v>
      </c>
      <c r="P63" s="274"/>
      <c r="Q63" s="274"/>
      <c r="R63" s="274"/>
      <c r="S63" s="270">
        <f>S59</f>
        <v>104361000</v>
      </c>
      <c r="T63" s="326" t="s">
        <v>328</v>
      </c>
      <c r="U63" s="325" t="s">
        <v>330</v>
      </c>
      <c r="V63" s="387">
        <v>7.6E-3</v>
      </c>
      <c r="W63" s="325"/>
      <c r="X63" s="327"/>
      <c r="Y63" s="328"/>
      <c r="Z63" s="328"/>
      <c r="AA63" s="326" t="s">
        <v>332</v>
      </c>
      <c r="AB63" s="270" t="s">
        <v>329</v>
      </c>
      <c r="AC63" s="275"/>
      <c r="AD63" s="121">
        <f>ROUNDUP(S63*V63,-3)</f>
        <v>794000</v>
      </c>
      <c r="AE63" s="299" t="s">
        <v>328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4"/>
      <c r="P64" s="274"/>
      <c r="Q64" s="274"/>
      <c r="R64" s="274"/>
      <c r="S64" s="270"/>
      <c r="T64" s="326"/>
      <c r="U64" s="325"/>
      <c r="V64" s="387"/>
      <c r="W64" s="325"/>
      <c r="X64" s="327"/>
      <c r="Y64" s="328"/>
      <c r="Z64" s="328"/>
      <c r="AA64" s="326"/>
      <c r="AB64" s="270"/>
      <c r="AC64" s="275"/>
      <c r="AD64" s="121"/>
      <c r="AE64" s="299"/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4"/>
      <c r="P65" s="274"/>
      <c r="Q65" s="274"/>
      <c r="R65" s="274"/>
      <c r="S65" s="270"/>
      <c r="T65" s="326"/>
      <c r="U65" s="325"/>
      <c r="V65" s="387"/>
      <c r="W65" s="325"/>
      <c r="X65" s="327"/>
      <c r="Y65" s="328"/>
      <c r="Z65" s="328"/>
      <c r="AA65" s="326"/>
      <c r="AB65" s="270"/>
      <c r="AC65" s="275"/>
      <c r="AD65" s="275"/>
      <c r="AE65" s="299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0" t="s">
        <v>420</v>
      </c>
      <c r="P66" s="274"/>
      <c r="Q66" s="274"/>
      <c r="R66" s="274"/>
      <c r="S66" s="270"/>
      <c r="T66" s="326"/>
      <c r="U66" s="325"/>
      <c r="V66" s="387"/>
      <c r="W66" s="454"/>
      <c r="X66" s="455"/>
      <c r="Y66" s="456"/>
      <c r="Z66" s="456"/>
      <c r="AA66" s="375"/>
      <c r="AB66" s="341" t="s">
        <v>333</v>
      </c>
      <c r="AC66" s="342"/>
      <c r="AD66" s="395">
        <v>0</v>
      </c>
      <c r="AE66" s="343" t="s">
        <v>328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4"/>
      <c r="P67" s="274"/>
      <c r="Q67" s="274"/>
      <c r="R67" s="274"/>
      <c r="S67" s="274"/>
      <c r="T67" s="270"/>
      <c r="U67" s="270"/>
      <c r="V67" s="270"/>
      <c r="W67" s="270"/>
      <c r="X67" s="270"/>
      <c r="Y67" s="270"/>
      <c r="Z67" s="270"/>
      <c r="AA67" s="270"/>
      <c r="AB67" s="270"/>
      <c r="AC67" s="275"/>
      <c r="AD67" s="275"/>
      <c r="AE67" s="299"/>
    </row>
    <row r="68" spans="1:31" s="11" customFormat="1" ht="21" customHeight="1">
      <c r="A68" s="37"/>
      <c r="B68" s="38"/>
      <c r="C68" s="28" t="s">
        <v>358</v>
      </c>
      <c r="D68" s="135">
        <v>950</v>
      </c>
      <c r="E68" s="103">
        <f>ROUND(AD68/1000,0)</f>
        <v>500</v>
      </c>
      <c r="F68" s="103">
        <f>SUMIF($AB$69:$AB$74,"보조",$AD$69:$AD$74)/1000</f>
        <v>0</v>
      </c>
      <c r="G68" s="103">
        <f>SUMIF($AB$69:$AB$74,"4종",$AD$69:$AD$74)/1000</f>
        <v>0</v>
      </c>
      <c r="H68" s="103">
        <f>SUMIF($AB$69:$AB$74,"6종",$AD$69:$AD$74)/1000</f>
        <v>300</v>
      </c>
      <c r="I68" s="103">
        <f>SUMIF($AB$69:$AB$74,"후원",$AD$69:$AD$74)/1000</f>
        <v>200</v>
      </c>
      <c r="J68" s="103">
        <f>SUMIF($AB$69:$AB$74,"입소",$AD$69:$AD$74)/1000</f>
        <v>0</v>
      </c>
      <c r="K68" s="103">
        <f>SUMIF($AB$69:$AB$74,"법인",$AD$69:$AD$74)/1000</f>
        <v>0</v>
      </c>
      <c r="L68" s="103">
        <f>SUMIF($AB$69:$AB$74,"잡수",$AD$69:$AD$74)/1000</f>
        <v>0</v>
      </c>
      <c r="M68" s="102">
        <f>E68-D68</f>
        <v>-450</v>
      </c>
      <c r="N68" s="109">
        <f>IF(D68=0,0,M68/D68)</f>
        <v>-0.47368421052631576</v>
      </c>
      <c r="O68" s="85" t="s">
        <v>359</v>
      </c>
      <c r="P68" s="420"/>
      <c r="Q68" s="153"/>
      <c r="R68" s="153"/>
      <c r="S68" s="153"/>
      <c r="T68" s="152"/>
      <c r="U68" s="152"/>
      <c r="V68" s="152"/>
      <c r="W68" s="525" t="s">
        <v>351</v>
      </c>
      <c r="X68" s="525"/>
      <c r="Y68" s="525"/>
      <c r="Z68" s="525"/>
      <c r="AA68" s="525"/>
      <c r="AB68" s="525"/>
      <c r="AC68" s="147"/>
      <c r="AD68" s="147">
        <f>SUM(AD69:AD74)</f>
        <v>500000</v>
      </c>
      <c r="AE68" s="146" t="s">
        <v>25</v>
      </c>
    </row>
    <row r="69" spans="1:31" s="11" customFormat="1" ht="21" customHeight="1">
      <c r="A69" s="37"/>
      <c r="B69" s="38"/>
      <c r="C69" s="38"/>
      <c r="D69" s="433"/>
      <c r="E69" s="434"/>
      <c r="F69" s="434"/>
      <c r="G69" s="434"/>
      <c r="H69" s="434"/>
      <c r="I69" s="434"/>
      <c r="J69" s="434"/>
      <c r="K69" s="434"/>
      <c r="L69" s="434"/>
      <c r="M69" s="97"/>
      <c r="N69" s="60"/>
      <c r="O69" s="503" t="s">
        <v>360</v>
      </c>
      <c r="P69" s="458"/>
      <c r="Q69" s="458"/>
      <c r="R69" s="458"/>
      <c r="S69" s="507">
        <v>300000</v>
      </c>
      <c r="T69" s="508" t="s">
        <v>25</v>
      </c>
      <c r="U69" s="509" t="s">
        <v>26</v>
      </c>
      <c r="V69" s="510">
        <v>1</v>
      </c>
      <c r="W69" s="509" t="s">
        <v>438</v>
      </c>
      <c r="X69" s="504"/>
      <c r="Y69" s="512"/>
      <c r="Z69" s="512"/>
      <c r="AA69" s="508" t="s">
        <v>27</v>
      </c>
      <c r="AB69" s="507" t="s">
        <v>304</v>
      </c>
      <c r="AC69" s="511"/>
      <c r="AD69" s="511">
        <f>ROUNDUP(S69*V69,-3)</f>
        <v>300000</v>
      </c>
      <c r="AE69" s="506" t="s">
        <v>25</v>
      </c>
    </row>
    <row r="70" spans="1:31" s="11" customFormat="1" ht="21" customHeight="1">
      <c r="A70" s="37"/>
      <c r="B70" s="38"/>
      <c r="C70" s="38"/>
      <c r="D70" s="435"/>
      <c r="E70" s="436"/>
      <c r="F70" s="436"/>
      <c r="G70" s="436"/>
      <c r="H70" s="436"/>
      <c r="I70" s="436"/>
      <c r="J70" s="436"/>
      <c r="K70" s="436"/>
      <c r="L70" s="436"/>
      <c r="M70" s="97"/>
      <c r="N70" s="60"/>
      <c r="O70" s="503" t="s">
        <v>474</v>
      </c>
      <c r="P70" s="503"/>
      <c r="Q70" s="503"/>
      <c r="R70" s="503"/>
      <c r="S70" s="507">
        <v>50000</v>
      </c>
      <c r="T70" s="508" t="s">
        <v>25</v>
      </c>
      <c r="U70" s="509" t="s">
        <v>26</v>
      </c>
      <c r="V70" s="510">
        <v>2</v>
      </c>
      <c r="W70" s="509" t="s">
        <v>108</v>
      </c>
      <c r="X70" s="504"/>
      <c r="Y70" s="505"/>
      <c r="Z70" s="505"/>
      <c r="AA70" s="508" t="s">
        <v>27</v>
      </c>
      <c r="AB70" s="507" t="s">
        <v>514</v>
      </c>
      <c r="AC70" s="511"/>
      <c r="AD70" s="511">
        <f>ROUND(S70*V70,-3)</f>
        <v>100000</v>
      </c>
      <c r="AE70" s="506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503" t="s">
        <v>475</v>
      </c>
      <c r="P71" s="503"/>
      <c r="Q71" s="503"/>
      <c r="R71" s="503"/>
      <c r="S71" s="507">
        <v>50000</v>
      </c>
      <c r="T71" s="508" t="s">
        <v>25</v>
      </c>
      <c r="U71" s="509" t="s">
        <v>26</v>
      </c>
      <c r="V71" s="510">
        <v>2</v>
      </c>
      <c r="W71" s="509" t="s">
        <v>108</v>
      </c>
      <c r="X71" s="504"/>
      <c r="Y71" s="505"/>
      <c r="Z71" s="505"/>
      <c r="AA71" s="508" t="s">
        <v>27</v>
      </c>
      <c r="AB71" s="507" t="s">
        <v>361</v>
      </c>
      <c r="AC71" s="511"/>
      <c r="AD71" s="511">
        <f>ROUNDUP(S71*V71,-3)</f>
        <v>100000</v>
      </c>
      <c r="AE71" s="506" t="s">
        <v>25</v>
      </c>
    </row>
    <row r="72" spans="1:31" s="11" customFormat="1" ht="21" customHeight="1">
      <c r="A72" s="37"/>
      <c r="B72" s="38"/>
      <c r="C72" s="38"/>
      <c r="D72" s="133"/>
      <c r="E72" s="97"/>
      <c r="F72" s="97"/>
      <c r="G72" s="97"/>
      <c r="H72" s="97"/>
      <c r="I72" s="97"/>
      <c r="J72" s="97"/>
      <c r="K72" s="97"/>
      <c r="L72" s="97"/>
      <c r="M72" s="97"/>
      <c r="N72" s="60"/>
      <c r="O72" s="503"/>
      <c r="P72" s="503"/>
      <c r="Q72" s="503"/>
      <c r="R72" s="503"/>
      <c r="S72" s="507"/>
      <c r="T72" s="508"/>
      <c r="U72" s="509"/>
      <c r="V72" s="510"/>
      <c r="W72" s="509"/>
      <c r="X72" s="504"/>
      <c r="Y72" s="505"/>
      <c r="Z72" s="505"/>
      <c r="AA72" s="508"/>
      <c r="AB72" s="507"/>
      <c r="AC72" s="511"/>
      <c r="AD72" s="511"/>
      <c r="AE72" s="506"/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W73" s="13"/>
      <c r="X73" s="13"/>
      <c r="Y73" s="13"/>
      <c r="Z73" s="13"/>
      <c r="AA73" s="13"/>
      <c r="AB73" s="13"/>
      <c r="AC73" s="13"/>
      <c r="AD73" s="13"/>
      <c r="AE73" s="526"/>
    </row>
    <row r="74" spans="1:31" s="11" customFormat="1" ht="21" customHeight="1">
      <c r="A74" s="37"/>
      <c r="B74" s="49"/>
      <c r="C74" s="49"/>
      <c r="D74" s="134"/>
      <c r="E74" s="100"/>
      <c r="F74" s="100"/>
      <c r="G74" s="100"/>
      <c r="H74" s="100"/>
      <c r="I74" s="100"/>
      <c r="J74" s="100"/>
      <c r="K74" s="100"/>
      <c r="L74" s="100"/>
      <c r="M74" s="100"/>
      <c r="N74" s="75"/>
      <c r="O74" s="503"/>
      <c r="P74" s="503"/>
      <c r="Q74" s="503"/>
      <c r="R74" s="503"/>
      <c r="S74" s="507"/>
      <c r="T74" s="508"/>
      <c r="U74" s="509"/>
      <c r="V74" s="510"/>
      <c r="W74" s="527"/>
      <c r="X74" s="528"/>
      <c r="Y74" s="529"/>
      <c r="Z74" s="529"/>
      <c r="AA74" s="530"/>
      <c r="AB74" s="531"/>
      <c r="AC74" s="532"/>
      <c r="AD74" s="532"/>
      <c r="AE74" s="533"/>
    </row>
    <row r="75" spans="1:31" s="11" customFormat="1" ht="21" customHeight="1">
      <c r="A75" s="37"/>
      <c r="B75" s="28" t="s">
        <v>362</v>
      </c>
      <c r="C75" s="28" t="s">
        <v>5</v>
      </c>
      <c r="D75" s="102">
        <f t="shared" ref="D75:L75" si="3">SUM(D76,D78,D80)</f>
        <v>230</v>
      </c>
      <c r="E75" s="102">
        <f t="shared" si="3"/>
        <v>230</v>
      </c>
      <c r="F75" s="102">
        <f t="shared" si="3"/>
        <v>0</v>
      </c>
      <c r="G75" s="102">
        <f t="shared" si="3"/>
        <v>0</v>
      </c>
      <c r="H75" s="102">
        <f t="shared" si="3"/>
        <v>0</v>
      </c>
      <c r="I75" s="102">
        <f t="shared" si="3"/>
        <v>0</v>
      </c>
      <c r="J75" s="102">
        <f t="shared" si="3"/>
        <v>230</v>
      </c>
      <c r="K75" s="102">
        <f t="shared" si="3"/>
        <v>0</v>
      </c>
      <c r="L75" s="102">
        <f t="shared" si="3"/>
        <v>0</v>
      </c>
      <c r="M75" s="102">
        <f>E75-D75</f>
        <v>0</v>
      </c>
      <c r="N75" s="109">
        <f>IF(D75=0,0,M75/D75)</f>
        <v>0</v>
      </c>
      <c r="O75" s="153" t="s">
        <v>363</v>
      </c>
      <c r="P75" s="153"/>
      <c r="Q75" s="153"/>
      <c r="R75" s="153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82"/>
      <c r="AD75" s="82">
        <f>SUM(AD76,AD78,AD80)</f>
        <v>230000</v>
      </c>
      <c r="AE75" s="83" t="s">
        <v>25</v>
      </c>
    </row>
    <row r="76" spans="1:31" s="11" customFormat="1" ht="21" customHeight="1">
      <c r="A76" s="37"/>
      <c r="B76" s="38" t="s">
        <v>364</v>
      </c>
      <c r="C76" s="28" t="s">
        <v>10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37</v>
      </c>
      <c r="P76" s="131"/>
      <c r="Q76" s="139"/>
      <c r="R76" s="139"/>
      <c r="S76" s="139"/>
      <c r="T76" s="79"/>
      <c r="U76" s="79"/>
      <c r="V76" s="79"/>
      <c r="W76" s="79"/>
      <c r="X76" s="79"/>
      <c r="Y76" s="419" t="s">
        <v>365</v>
      </c>
      <c r="Z76" s="419"/>
      <c r="AA76" s="419"/>
      <c r="AB76" s="419"/>
      <c r="AC76" s="147"/>
      <c r="AD76" s="147">
        <f>AD77</f>
        <v>0</v>
      </c>
      <c r="AE76" s="146" t="s">
        <v>25</v>
      </c>
    </row>
    <row r="77" spans="1:31" s="11" customFormat="1" ht="21" customHeight="1">
      <c r="A77" s="37"/>
      <c r="B77" s="38"/>
      <c r="C77" s="38"/>
      <c r="D77" s="133"/>
      <c r="E77" s="97"/>
      <c r="F77" s="97"/>
      <c r="G77" s="97"/>
      <c r="H77" s="97"/>
      <c r="I77" s="97"/>
      <c r="J77" s="97"/>
      <c r="K77" s="97"/>
      <c r="L77" s="97"/>
      <c r="M77" s="97"/>
      <c r="N77" s="60"/>
      <c r="O77" s="423" t="s">
        <v>366</v>
      </c>
      <c r="P77" s="423"/>
      <c r="Q77" s="423"/>
      <c r="R77" s="423"/>
      <c r="S77" s="422"/>
      <c r="T77" s="293"/>
      <c r="U77" s="293"/>
      <c r="V77" s="422"/>
      <c r="W77" s="423"/>
      <c r="X77" s="422"/>
      <c r="Y77" s="422"/>
      <c r="Z77" s="422"/>
      <c r="AA77" s="422"/>
      <c r="AB77" s="422" t="s">
        <v>333</v>
      </c>
      <c r="AC77" s="422"/>
      <c r="AD77" s="422">
        <v>0</v>
      </c>
      <c r="AE77" s="122" t="s">
        <v>328</v>
      </c>
    </row>
    <row r="78" spans="1:31" s="11" customFormat="1" ht="21" customHeight="1">
      <c r="A78" s="37"/>
      <c r="B78" s="38"/>
      <c r="C78" s="28" t="s">
        <v>11</v>
      </c>
      <c r="D78" s="135">
        <v>0</v>
      </c>
      <c r="E78" s="102">
        <f>AD78/1000</f>
        <v>0</v>
      </c>
      <c r="F78" s="103">
        <f>SUMIF($AB$79:$AB$79,"보조",$AD$79:$AD$79)/1000</f>
        <v>0</v>
      </c>
      <c r="G78" s="103">
        <f>SUMIF($AB$79:$AB$79,"4종",$AD$79:$AD$79)/1000</f>
        <v>0</v>
      </c>
      <c r="H78" s="103">
        <f>SUMIF($AB$79:$AB$79,"6종",$AD$79:$AD$79)/1000</f>
        <v>0</v>
      </c>
      <c r="I78" s="103">
        <f>SUMIF($AB$79:$AB$79,"후원",$AD$79:$AD$79)/1000</f>
        <v>0</v>
      </c>
      <c r="J78" s="103">
        <f>SUMIF($AB$79:$AB$79,"입소",$AD$79:$AD$79)/1000</f>
        <v>0</v>
      </c>
      <c r="K78" s="103">
        <f>SUMIF($AB$79:$AB$79,"법인",$AD$79:$AD$79)/1000</f>
        <v>0</v>
      </c>
      <c r="L78" s="103">
        <f>SUMIF($AB$79:$AB$79,"잡수",$AD$79:$AD$79)/1000</f>
        <v>0</v>
      </c>
      <c r="M78" s="102">
        <f>E78-D78</f>
        <v>0</v>
      </c>
      <c r="N78" s="109">
        <f>IF(D78=0,0,M78/D78)</f>
        <v>0</v>
      </c>
      <c r="O78" s="85" t="s">
        <v>367</v>
      </c>
      <c r="P78" s="420"/>
      <c r="Q78" s="153"/>
      <c r="R78" s="153"/>
      <c r="S78" s="153"/>
      <c r="T78" s="152"/>
      <c r="U78" s="152"/>
      <c r="V78" s="152"/>
      <c r="W78" s="152"/>
      <c r="X78" s="152"/>
      <c r="Y78" s="419" t="s">
        <v>365</v>
      </c>
      <c r="Z78" s="419"/>
      <c r="AA78" s="419"/>
      <c r="AB78" s="419"/>
      <c r="AC78" s="147"/>
      <c r="AD78" s="147">
        <v>0</v>
      </c>
      <c r="AE78" s="146" t="s">
        <v>25</v>
      </c>
    </row>
    <row r="79" spans="1:31" s="11" customFormat="1" ht="21" customHeight="1">
      <c r="A79" s="37"/>
      <c r="B79" s="38"/>
      <c r="C79" s="49"/>
      <c r="D79" s="134"/>
      <c r="E79" s="100"/>
      <c r="F79" s="100"/>
      <c r="G79" s="100"/>
      <c r="H79" s="100"/>
      <c r="I79" s="100"/>
      <c r="J79" s="100"/>
      <c r="K79" s="100"/>
      <c r="L79" s="100"/>
      <c r="M79" s="100"/>
      <c r="N79" s="75"/>
      <c r="O79" s="348"/>
      <c r="P79" s="348"/>
      <c r="Q79" s="348"/>
      <c r="R79" s="348"/>
      <c r="S79" s="347"/>
      <c r="T79" s="76"/>
      <c r="U79" s="76"/>
      <c r="V79" s="347"/>
      <c r="W79" s="348"/>
      <c r="X79" s="347"/>
      <c r="Y79" s="347"/>
      <c r="Z79" s="347"/>
      <c r="AA79" s="347"/>
      <c r="AB79" s="347"/>
      <c r="AC79" s="347"/>
      <c r="AD79" s="347"/>
      <c r="AE79" s="63"/>
    </row>
    <row r="80" spans="1:31" s="11" customFormat="1" ht="21" customHeight="1">
      <c r="A80" s="37"/>
      <c r="B80" s="38"/>
      <c r="C80" s="38" t="s">
        <v>368</v>
      </c>
      <c r="D80" s="133">
        <v>230</v>
      </c>
      <c r="E80" s="97">
        <f>AD80/1000</f>
        <v>230</v>
      </c>
      <c r="F80" s="103">
        <f>SUMIF($AB$81:$AB$83,"보조",$AD$81:$AD$83)/1000</f>
        <v>0</v>
      </c>
      <c r="G80" s="103">
        <f>SUMIF($AB$81:$AB$83,"4종",$AD$81:$AD$83)/1000</f>
        <v>0</v>
      </c>
      <c r="H80" s="103">
        <f>SUMIF($AB$81:$AB$83,"7종",$AD$81:$AD$83)/1000</f>
        <v>0</v>
      </c>
      <c r="I80" s="103">
        <f>SUMIF($AB$81:$AB$83,"후원",$AD$81:$AD$83)/1000</f>
        <v>0</v>
      </c>
      <c r="J80" s="103">
        <f>SUMIF($AB$81:$AB$83,"입소",$AD$81:$AD$83)/1000</f>
        <v>230</v>
      </c>
      <c r="K80" s="103">
        <f>SUMIF($AB$81:$AB$83,"법인",$AD$81:$AD$83)/1000</f>
        <v>0</v>
      </c>
      <c r="L80" s="103">
        <f>SUMIF($AB$81:$AB$83,"잡수",$AD$81:$AD$83)/1000</f>
        <v>0</v>
      </c>
      <c r="M80" s="97">
        <f>E80-D80</f>
        <v>0</v>
      </c>
      <c r="N80" s="60">
        <f>IF(D80=0,0,M80/D80)</f>
        <v>0</v>
      </c>
      <c r="O80" s="105" t="s">
        <v>38</v>
      </c>
      <c r="P80" s="151"/>
      <c r="Q80" s="151"/>
      <c r="R80" s="151"/>
      <c r="S80" s="151"/>
      <c r="T80" s="150"/>
      <c r="U80" s="150"/>
      <c r="V80" s="150"/>
      <c r="W80" s="150"/>
      <c r="X80" s="150"/>
      <c r="Y80" s="419" t="s">
        <v>365</v>
      </c>
      <c r="Z80" s="419"/>
      <c r="AA80" s="419"/>
      <c r="AB80" s="419"/>
      <c r="AC80" s="147"/>
      <c r="AD80" s="147">
        <f>SUM(AD81:AD83)</f>
        <v>230000</v>
      </c>
      <c r="AE80" s="146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58" t="s">
        <v>422</v>
      </c>
      <c r="P81" s="423"/>
      <c r="Q81" s="423"/>
      <c r="R81" s="423"/>
      <c r="S81" s="457">
        <v>50000</v>
      </c>
      <c r="T81" s="465" t="s">
        <v>25</v>
      </c>
      <c r="U81" s="465" t="s">
        <v>26</v>
      </c>
      <c r="V81" s="457">
        <v>3</v>
      </c>
      <c r="W81" s="457" t="s">
        <v>438</v>
      </c>
      <c r="X81" s="458" t="s">
        <v>26</v>
      </c>
      <c r="Y81" s="457">
        <v>1</v>
      </c>
      <c r="Z81" s="457" t="s">
        <v>108</v>
      </c>
      <c r="AA81" s="457"/>
      <c r="AB81" s="457" t="s">
        <v>515</v>
      </c>
      <c r="AC81" s="457"/>
      <c r="AD81" s="457">
        <f>S81*V81</f>
        <v>150000</v>
      </c>
      <c r="AE81" s="463" t="s">
        <v>25</v>
      </c>
    </row>
    <row r="82" spans="1:31" s="13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58" t="s">
        <v>423</v>
      </c>
      <c r="P82" s="423"/>
      <c r="Q82" s="423"/>
      <c r="R82" s="423"/>
      <c r="S82" s="457">
        <v>20000</v>
      </c>
      <c r="T82" s="465" t="s">
        <v>25</v>
      </c>
      <c r="U82" s="465" t="s">
        <v>26</v>
      </c>
      <c r="V82" s="457">
        <v>4</v>
      </c>
      <c r="W82" s="457" t="s">
        <v>438</v>
      </c>
      <c r="X82" s="458" t="s">
        <v>26</v>
      </c>
      <c r="Y82" s="457"/>
      <c r="Z82" s="457"/>
      <c r="AA82" s="457"/>
      <c r="AB82" s="457" t="s">
        <v>515</v>
      </c>
      <c r="AC82" s="457"/>
      <c r="AD82" s="457">
        <f>S82*V82</f>
        <v>80000</v>
      </c>
      <c r="AE82" s="463" t="s">
        <v>25</v>
      </c>
    </row>
    <row r="83" spans="1:31" s="13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23"/>
      <c r="P83" s="423"/>
      <c r="Q83" s="423"/>
      <c r="R83" s="423"/>
      <c r="S83" s="422"/>
      <c r="T83" s="293"/>
      <c r="U83" s="293"/>
      <c r="V83" s="422"/>
      <c r="W83" s="423"/>
      <c r="X83" s="422"/>
      <c r="Y83" s="422"/>
      <c r="Z83" s="422"/>
      <c r="AA83" s="422"/>
      <c r="AB83" s="422"/>
      <c r="AC83" s="422"/>
      <c r="AD83" s="422"/>
      <c r="AE83" s="122"/>
    </row>
    <row r="84" spans="1:31" s="11" customFormat="1" ht="21" customHeight="1">
      <c r="A84" s="37"/>
      <c r="B84" s="28" t="s">
        <v>12</v>
      </c>
      <c r="C84" s="143" t="s">
        <v>5</v>
      </c>
      <c r="D84" s="144">
        <f t="shared" ref="D84:L84" si="4">SUM(D85,D88,D99,D105,D111,D115)</f>
        <v>10720</v>
      </c>
      <c r="E84" s="144">
        <f t="shared" si="4"/>
        <v>11694</v>
      </c>
      <c r="F84" s="144">
        <f t="shared" si="4"/>
        <v>3390</v>
      </c>
      <c r="G84" s="144">
        <f t="shared" si="4"/>
        <v>0</v>
      </c>
      <c r="H84" s="144">
        <f t="shared" si="4"/>
        <v>0</v>
      </c>
      <c r="I84" s="144">
        <f t="shared" si="4"/>
        <v>0</v>
      </c>
      <c r="J84" s="144">
        <f t="shared" si="4"/>
        <v>4212</v>
      </c>
      <c r="K84" s="144">
        <f t="shared" si="4"/>
        <v>99</v>
      </c>
      <c r="L84" s="144">
        <f t="shared" si="4"/>
        <v>3993</v>
      </c>
      <c r="M84" s="440">
        <f>E84-D84</f>
        <v>974</v>
      </c>
      <c r="N84" s="145">
        <f>IF(D84=0,0,M84/D84)</f>
        <v>9.0858208955223882E-2</v>
      </c>
      <c r="O84" s="420" t="s">
        <v>369</v>
      </c>
      <c r="P84" s="420"/>
      <c r="Q84" s="420"/>
      <c r="R84" s="420"/>
      <c r="S84" s="419"/>
      <c r="T84" s="154"/>
      <c r="U84" s="419"/>
      <c r="V84" s="615"/>
      <c r="W84" s="616"/>
      <c r="X84" s="419"/>
      <c r="Y84" s="419"/>
      <c r="Z84" s="419"/>
      <c r="AA84" s="419"/>
      <c r="AB84" s="419"/>
      <c r="AC84" s="419"/>
      <c r="AD84" s="419">
        <f>SUM(AD85,AD88,AD99,AD105,AD111,AD115)</f>
        <v>11694000</v>
      </c>
      <c r="AE84" s="146" t="s">
        <v>25</v>
      </c>
    </row>
    <row r="85" spans="1:31" s="11" customFormat="1" ht="21" customHeight="1">
      <c r="A85" s="37"/>
      <c r="B85" s="38"/>
      <c r="C85" s="38" t="s">
        <v>370</v>
      </c>
      <c r="D85" s="133">
        <v>400</v>
      </c>
      <c r="E85" s="97">
        <f>AD85/1000</f>
        <v>0</v>
      </c>
      <c r="F85" s="103">
        <f>SUMIF($AB$86:$AB$87,"보조",$AD$86:$AD$87)/1000</f>
        <v>0</v>
      </c>
      <c r="G85" s="103">
        <f>SUMIF($AB$86:$AB$87,"7종",$AD$86:$AD$87)/1000</f>
        <v>0</v>
      </c>
      <c r="H85" s="103">
        <f>SUMIF($AB$86:$AB$87,"4종",$AD$86:$AD$87)/1000</f>
        <v>0</v>
      </c>
      <c r="I85" s="103">
        <f>SUMIF($AB$86:$AB$87,"후원",$AD$86:$AD$87)/1000</f>
        <v>0</v>
      </c>
      <c r="J85" s="103">
        <f>SUMIF($AB$86:$AB$87,"입소",$AD$86:$AD$87)/1000</f>
        <v>0</v>
      </c>
      <c r="K85" s="103">
        <f>SUMIF($AB$86:$AB$87,"법인",$AD$86:$AD$87)/1000</f>
        <v>0</v>
      </c>
      <c r="L85" s="103">
        <f>SUMIF($AB$86:$AB$87,"잡수",$AD$86:$AD$87)/1000</f>
        <v>0</v>
      </c>
      <c r="M85" s="97">
        <f>E85-D85</f>
        <v>-400</v>
      </c>
      <c r="N85" s="60">
        <f>IF(D85=0,0,M85/D85)</f>
        <v>-1</v>
      </c>
      <c r="O85" s="105" t="s">
        <v>40</v>
      </c>
      <c r="P85" s="151"/>
      <c r="Q85" s="151"/>
      <c r="R85" s="151"/>
      <c r="S85" s="151"/>
      <c r="T85" s="150"/>
      <c r="U85" s="150"/>
      <c r="V85" s="150"/>
      <c r="W85" s="150"/>
      <c r="X85" s="150"/>
      <c r="Y85" s="419" t="s">
        <v>365</v>
      </c>
      <c r="Z85" s="419"/>
      <c r="AA85" s="419"/>
      <c r="AB85" s="419"/>
      <c r="AC85" s="147"/>
      <c r="AD85" s="147">
        <f>SUM(AD86:AD87)</f>
        <v>0</v>
      </c>
      <c r="AE85" s="146" t="s">
        <v>25</v>
      </c>
    </row>
    <row r="86" spans="1:31" s="11" customFormat="1" ht="21" customHeight="1">
      <c r="A86" s="37"/>
      <c r="B86" s="38"/>
      <c r="C86" s="38"/>
      <c r="D86" s="133"/>
      <c r="E86" s="97"/>
      <c r="F86" s="97"/>
      <c r="G86" s="97"/>
      <c r="H86" s="97"/>
      <c r="I86" s="97"/>
      <c r="J86" s="97"/>
      <c r="K86" s="97"/>
      <c r="L86" s="97"/>
      <c r="M86" s="97"/>
      <c r="N86" s="60"/>
      <c r="O86" s="423" t="s">
        <v>371</v>
      </c>
      <c r="P86" s="423"/>
      <c r="Q86" s="423"/>
      <c r="R86" s="423"/>
      <c r="S86" s="457"/>
      <c r="T86" s="457" t="s">
        <v>25</v>
      </c>
      <c r="U86" s="458" t="s">
        <v>26</v>
      </c>
      <c r="V86" s="457"/>
      <c r="W86" s="457" t="s">
        <v>438</v>
      </c>
      <c r="X86" s="458" t="s">
        <v>26</v>
      </c>
      <c r="Y86" s="457"/>
      <c r="Z86" s="457" t="s">
        <v>108</v>
      </c>
      <c r="AA86" s="457" t="s">
        <v>27</v>
      </c>
      <c r="AB86" s="457" t="s">
        <v>421</v>
      </c>
      <c r="AC86" s="431"/>
      <c r="AD86" s="431">
        <f>S86*V86*Y86</f>
        <v>0</v>
      </c>
      <c r="AE86" s="463" t="s">
        <v>25</v>
      </c>
    </row>
    <row r="87" spans="1:31" s="11" customFormat="1" ht="21" customHeight="1">
      <c r="A87" s="37"/>
      <c r="B87" s="38"/>
      <c r="C87" s="38"/>
      <c r="D87" s="133"/>
      <c r="E87" s="97"/>
      <c r="F87" s="97"/>
      <c r="G87" s="97"/>
      <c r="H87" s="97"/>
      <c r="I87" s="97"/>
      <c r="J87" s="97"/>
      <c r="K87" s="97"/>
      <c r="L87" s="97"/>
      <c r="M87" s="97"/>
      <c r="N87" s="60"/>
      <c r="O87" s="423" t="s">
        <v>372</v>
      </c>
      <c r="P87" s="423"/>
      <c r="Q87" s="423"/>
      <c r="R87" s="423"/>
      <c r="S87" s="457"/>
      <c r="T87" s="457"/>
      <c r="U87" s="458"/>
      <c r="V87" s="457"/>
      <c r="W87" s="457"/>
      <c r="X87" s="458"/>
      <c r="Y87" s="457"/>
      <c r="Z87" s="457"/>
      <c r="AA87" s="457"/>
      <c r="AB87" s="457"/>
      <c r="AC87" s="431"/>
      <c r="AD87" s="431"/>
      <c r="AE87" s="463"/>
    </row>
    <row r="88" spans="1:31" s="11" customFormat="1" ht="21" customHeight="1">
      <c r="A88" s="37"/>
      <c r="B88" s="38"/>
      <c r="C88" s="28" t="s">
        <v>41</v>
      </c>
      <c r="D88" s="135">
        <v>2781</v>
      </c>
      <c r="E88" s="102">
        <f>ROUND(AD88/1000,0)</f>
        <v>2761</v>
      </c>
      <c r="F88" s="103">
        <f>SUMIF($AB$89:$AB$98,"보조",$AD$89:$AD$98)/1000</f>
        <v>1260</v>
      </c>
      <c r="G88" s="103">
        <f>SUMIF($AB$89:$AB$97,"4종",$AD$89:$AD$97)/1000</f>
        <v>0</v>
      </c>
      <c r="H88" s="103">
        <f>SUMIF($AB$89:$AB$97,"6종",$AD$89:$AD$97)/1000</f>
        <v>0</v>
      </c>
      <c r="I88" s="103">
        <f>SUMIF($AB$89:$AB$97,"후원",$AD$89:$AD$97)/1000</f>
        <v>0</v>
      </c>
      <c r="J88" s="103">
        <f>SUMIF($AB$89:$AB$98,"입소",$AD$89:$AD$98)/1000</f>
        <v>1402</v>
      </c>
      <c r="K88" s="103">
        <f>SUMIF($AB$89:$AB$98,"법인",$AD$89:$AD$98)/1000</f>
        <v>99</v>
      </c>
      <c r="L88" s="103">
        <f>SUMIF($AB$89:$AB$98,"잡수",$AD$89:$AD$98)/1000</f>
        <v>0</v>
      </c>
      <c r="M88" s="112">
        <f>E88-D88</f>
        <v>-20</v>
      </c>
      <c r="N88" s="109">
        <f>IF(D88=0,0,M88/D88)</f>
        <v>-7.1916576770945703E-3</v>
      </c>
      <c r="O88" s="300" t="s">
        <v>42</v>
      </c>
      <c r="P88" s="301"/>
      <c r="Q88" s="301"/>
      <c r="R88" s="301"/>
      <c r="S88" s="301"/>
      <c r="T88" s="302"/>
      <c r="U88" s="302"/>
      <c r="V88" s="302"/>
      <c r="W88" s="302"/>
      <c r="X88" s="302"/>
      <c r="Y88" s="303" t="s">
        <v>28</v>
      </c>
      <c r="Z88" s="303"/>
      <c r="AA88" s="303"/>
      <c r="AB88" s="303"/>
      <c r="AC88" s="304"/>
      <c r="AD88" s="304">
        <f>SUM(AD89:AD98)</f>
        <v>2761000</v>
      </c>
      <c r="AE88" s="146" t="s">
        <v>25</v>
      </c>
    </row>
    <row r="89" spans="1:31" s="11" customFormat="1" ht="21" customHeight="1">
      <c r="A89" s="37"/>
      <c r="B89" s="38"/>
      <c r="C89" s="38" t="s">
        <v>373</v>
      </c>
      <c r="D89" s="433"/>
      <c r="E89" s="434"/>
      <c r="F89" s="434"/>
      <c r="G89" s="434"/>
      <c r="H89" s="434"/>
      <c r="I89" s="434"/>
      <c r="J89" s="434"/>
      <c r="K89" s="434"/>
      <c r="L89" s="434"/>
      <c r="M89" s="97"/>
      <c r="N89" s="60"/>
      <c r="O89" s="467" t="s">
        <v>476</v>
      </c>
      <c r="P89" s="458"/>
      <c r="Q89" s="458"/>
      <c r="R89" s="458"/>
      <c r="S89" s="457"/>
      <c r="T89" s="462"/>
      <c r="U89" s="457"/>
      <c r="V89" s="464"/>
      <c r="W89" s="465"/>
      <c r="X89" s="465"/>
      <c r="Y89" s="464"/>
      <c r="Z89" s="466"/>
      <c r="AA89" s="464"/>
      <c r="AB89" s="513" t="s">
        <v>430</v>
      </c>
      <c r="AC89" s="513"/>
      <c r="AD89" s="457">
        <v>200000</v>
      </c>
      <c r="AE89" s="514" t="s">
        <v>25</v>
      </c>
    </row>
    <row r="90" spans="1:31" s="11" customFormat="1" ht="21" customHeight="1">
      <c r="A90" s="37"/>
      <c r="B90" s="38"/>
      <c r="C90" s="38"/>
      <c r="D90" s="435"/>
      <c r="E90" s="436"/>
      <c r="F90" s="436"/>
      <c r="G90" s="436"/>
      <c r="H90" s="436"/>
      <c r="I90" s="436"/>
      <c r="J90" s="436"/>
      <c r="K90" s="436"/>
      <c r="L90" s="436"/>
      <c r="M90" s="97"/>
      <c r="N90" s="60"/>
      <c r="O90" s="458" t="s">
        <v>431</v>
      </c>
      <c r="P90" s="458"/>
      <c r="Q90" s="458"/>
      <c r="R90" s="458"/>
      <c r="S90" s="457"/>
      <c r="T90" s="462"/>
      <c r="U90" s="462"/>
      <c r="V90" s="457"/>
      <c r="W90" s="457"/>
      <c r="X90" s="457"/>
      <c r="Y90" s="457"/>
      <c r="Z90" s="457"/>
      <c r="AA90" s="457"/>
      <c r="AB90" s="457" t="s">
        <v>516</v>
      </c>
      <c r="AC90" s="457"/>
      <c r="AD90" s="457">
        <v>290000</v>
      </c>
      <c r="AE90" s="463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8" t="s">
        <v>429</v>
      </c>
      <c r="P91" s="458"/>
      <c r="Q91" s="458"/>
      <c r="R91" s="458"/>
      <c r="S91" s="457"/>
      <c r="T91" s="462"/>
      <c r="U91" s="462"/>
      <c r="V91" s="457">
        <v>31000</v>
      </c>
      <c r="W91" s="457" t="s">
        <v>25</v>
      </c>
      <c r="X91" s="457" t="s">
        <v>26</v>
      </c>
      <c r="Y91" s="457">
        <v>11</v>
      </c>
      <c r="Z91" s="457" t="s">
        <v>29</v>
      </c>
      <c r="AA91" s="457" t="s">
        <v>27</v>
      </c>
      <c r="AB91" s="457" t="s">
        <v>430</v>
      </c>
      <c r="AC91" s="457"/>
      <c r="AD91" s="457">
        <f>V91*Y91</f>
        <v>341000</v>
      </c>
      <c r="AE91" s="463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8" t="s">
        <v>529</v>
      </c>
      <c r="P92" s="458"/>
      <c r="Q92" s="458"/>
      <c r="R92" s="458"/>
      <c r="S92" s="457"/>
      <c r="T92" s="462"/>
      <c r="U92" s="462"/>
      <c r="V92" s="457">
        <v>31000</v>
      </c>
      <c r="W92" s="457" t="s">
        <v>25</v>
      </c>
      <c r="X92" s="457" t="s">
        <v>26</v>
      </c>
      <c r="Y92" s="457">
        <v>1</v>
      </c>
      <c r="Z92" s="457" t="s">
        <v>29</v>
      </c>
      <c r="AA92" s="457" t="s">
        <v>27</v>
      </c>
      <c r="AB92" s="457" t="s">
        <v>374</v>
      </c>
      <c r="AC92" s="457"/>
      <c r="AD92" s="457">
        <f>V92*Y92</f>
        <v>31000</v>
      </c>
      <c r="AE92" s="463" t="s">
        <v>25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58" t="s">
        <v>477</v>
      </c>
      <c r="P93" s="458"/>
      <c r="Q93" s="458"/>
      <c r="R93" s="458"/>
      <c r="S93" s="457"/>
      <c r="T93" s="462"/>
      <c r="U93" s="462"/>
      <c r="V93" s="457">
        <v>39000</v>
      </c>
      <c r="W93" s="457" t="s">
        <v>25</v>
      </c>
      <c r="X93" s="457" t="s">
        <v>26</v>
      </c>
      <c r="Y93" s="457">
        <v>11</v>
      </c>
      <c r="Z93" s="457" t="s">
        <v>29</v>
      </c>
      <c r="AA93" s="457" t="s">
        <v>27</v>
      </c>
      <c r="AB93" s="457" t="s">
        <v>329</v>
      </c>
      <c r="AC93" s="457"/>
      <c r="AD93" s="457">
        <f>V93*Y93</f>
        <v>429000</v>
      </c>
      <c r="AE93" s="463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58" t="s">
        <v>477</v>
      </c>
      <c r="P94" s="458"/>
      <c r="Q94" s="458"/>
      <c r="R94" s="458"/>
      <c r="S94" s="457"/>
      <c r="T94" s="462"/>
      <c r="U94" s="462"/>
      <c r="V94" s="457">
        <v>39000</v>
      </c>
      <c r="W94" s="457" t="s">
        <v>25</v>
      </c>
      <c r="X94" s="457" t="s">
        <v>26</v>
      </c>
      <c r="Y94" s="457">
        <v>1</v>
      </c>
      <c r="Z94" s="457" t="s">
        <v>29</v>
      </c>
      <c r="AA94" s="457" t="s">
        <v>27</v>
      </c>
      <c r="AB94" s="457" t="s">
        <v>374</v>
      </c>
      <c r="AC94" s="457"/>
      <c r="AD94" s="457">
        <f>V94*Y94</f>
        <v>39000</v>
      </c>
      <c r="AE94" s="463" t="s">
        <v>25</v>
      </c>
    </row>
    <row r="95" spans="1:31" s="11" customFormat="1" ht="21" customHeight="1">
      <c r="A95" s="37"/>
      <c r="B95" s="38"/>
      <c r="C95" s="38"/>
      <c r="D95" s="133"/>
      <c r="E95" s="97"/>
      <c r="F95" s="97"/>
      <c r="G95" s="97"/>
      <c r="H95" s="97"/>
      <c r="I95" s="97"/>
      <c r="J95" s="97"/>
      <c r="K95" s="97"/>
      <c r="L95" s="97"/>
      <c r="M95" s="97"/>
      <c r="N95" s="60"/>
      <c r="O95" s="458" t="s">
        <v>517</v>
      </c>
      <c r="P95" s="458"/>
      <c r="Q95" s="458"/>
      <c r="R95" s="458"/>
      <c r="S95" s="457"/>
      <c r="T95" s="462"/>
      <c r="U95" s="462"/>
      <c r="V95" s="457">
        <v>55000</v>
      </c>
      <c r="W95" s="457" t="s">
        <v>25</v>
      </c>
      <c r="X95" s="457" t="s">
        <v>26</v>
      </c>
      <c r="Y95" s="457">
        <v>4</v>
      </c>
      <c r="Z95" s="457" t="s">
        <v>70</v>
      </c>
      <c r="AA95" s="457" t="s">
        <v>27</v>
      </c>
      <c r="AB95" s="457" t="s">
        <v>421</v>
      </c>
      <c r="AC95" s="457"/>
      <c r="AD95" s="457">
        <f>V95*Y95</f>
        <v>220000</v>
      </c>
      <c r="AE95" s="463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58" t="s">
        <v>518</v>
      </c>
      <c r="P96" s="458"/>
      <c r="Q96" s="458"/>
      <c r="R96" s="458"/>
      <c r="S96" s="457"/>
      <c r="T96" s="462"/>
      <c r="U96" s="462"/>
      <c r="V96" s="457"/>
      <c r="W96" s="457"/>
      <c r="X96" s="457"/>
      <c r="Y96" s="457"/>
      <c r="Z96" s="457"/>
      <c r="AA96" s="457"/>
      <c r="AB96" s="457" t="s">
        <v>421</v>
      </c>
      <c r="AC96" s="457"/>
      <c r="AD96" s="457">
        <v>512000</v>
      </c>
      <c r="AE96" s="463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58" t="s">
        <v>519</v>
      </c>
      <c r="P97" s="458"/>
      <c r="Q97" s="458"/>
      <c r="R97" s="458"/>
      <c r="S97" s="457"/>
      <c r="T97" s="462"/>
      <c r="U97" s="462"/>
      <c r="V97" s="457"/>
      <c r="W97" s="457"/>
      <c r="X97" s="457"/>
      <c r="Y97" s="457"/>
      <c r="Z97" s="457"/>
      <c r="AA97" s="457"/>
      <c r="AB97" s="457" t="s">
        <v>374</v>
      </c>
      <c r="AC97" s="457"/>
      <c r="AD97" s="457">
        <v>600000</v>
      </c>
      <c r="AE97" s="463" t="s">
        <v>25</v>
      </c>
    </row>
    <row r="98" spans="1:31" s="11" customFormat="1" ht="21" customHeight="1">
      <c r="A98" s="37"/>
      <c r="B98" s="38"/>
      <c r="C98" s="49"/>
      <c r="D98" s="134"/>
      <c r="E98" s="100"/>
      <c r="F98" s="100"/>
      <c r="G98" s="100"/>
      <c r="H98" s="100"/>
      <c r="I98" s="100"/>
      <c r="J98" s="100"/>
      <c r="K98" s="100"/>
      <c r="L98" s="100"/>
      <c r="M98" s="100"/>
      <c r="N98" s="75"/>
      <c r="O98" s="536" t="s">
        <v>432</v>
      </c>
      <c r="P98" s="537"/>
      <c r="Q98" s="537"/>
      <c r="R98" s="537"/>
      <c r="S98" s="501"/>
      <c r="T98" s="538"/>
      <c r="U98" s="538"/>
      <c r="V98" s="539"/>
      <c r="W98" s="540"/>
      <c r="X98" s="540"/>
      <c r="Y98" s="539"/>
      <c r="Z98" s="541"/>
      <c r="AA98" s="539"/>
      <c r="AB98" s="501" t="s">
        <v>528</v>
      </c>
      <c r="AC98" s="501"/>
      <c r="AD98" s="501">
        <v>99000</v>
      </c>
      <c r="AE98" s="543" t="s">
        <v>25</v>
      </c>
    </row>
    <row r="99" spans="1:31" s="11" customFormat="1" ht="21" customHeight="1">
      <c r="A99" s="37"/>
      <c r="B99" s="38"/>
      <c r="C99" s="38" t="s">
        <v>39</v>
      </c>
      <c r="D99" s="133">
        <v>4349</v>
      </c>
      <c r="E99" s="97">
        <f>ROUND(AD99/1000,0)</f>
        <v>5563</v>
      </c>
      <c r="F99" s="103">
        <f>SUMIF($AB$100:$AB$104,"보조",$AD$100:$AD$104)/1000</f>
        <v>2130</v>
      </c>
      <c r="G99" s="103">
        <f>SUMIF($AB$100:$AB$104,"4종",$AD$100:$AD$104)/1000</f>
        <v>0</v>
      </c>
      <c r="H99" s="103">
        <f>SUMIF($AB$100:$AB$104,"6종",$AD$100:$AD$104)/1000</f>
        <v>0</v>
      </c>
      <c r="I99" s="103">
        <f>SUMIF($AB$100:$AB$104,"후원",$AD$100:$AD$104)/1000</f>
        <v>0</v>
      </c>
      <c r="J99" s="103">
        <f>SUMIF($AB$100:$AB$104,"입소",$AD$100:$AD$104)/1000</f>
        <v>1200</v>
      </c>
      <c r="K99" s="103">
        <f>SUMIF($AB$100:$AB$104,"법인",$AD$100:$AD$104)/1000</f>
        <v>0</v>
      </c>
      <c r="L99" s="103">
        <f>SUMIF($AB$100:$AB$104,"잡수",$AD$100:$AD$104)/1000</f>
        <v>2233</v>
      </c>
      <c r="M99" s="411">
        <f>E99-D99</f>
        <v>1214</v>
      </c>
      <c r="N99" s="60">
        <f>IF(D99=0,0,M99/D99)</f>
        <v>0.27914463094964359</v>
      </c>
      <c r="O99" s="330" t="s">
        <v>43</v>
      </c>
      <c r="P99" s="331"/>
      <c r="Q99" s="331"/>
      <c r="R99" s="331"/>
      <c r="S99" s="331"/>
      <c r="T99" s="332"/>
      <c r="U99" s="332"/>
      <c r="V99" s="332"/>
      <c r="W99" s="332"/>
      <c r="X99" s="332"/>
      <c r="Y99" s="534" t="s">
        <v>365</v>
      </c>
      <c r="Z99" s="534"/>
      <c r="AA99" s="534"/>
      <c r="AB99" s="534"/>
      <c r="AC99" s="535"/>
      <c r="AD99" s="535">
        <f>ROUND(SUM(AD100:AD104),-3)</f>
        <v>5563000</v>
      </c>
      <c r="AE99" s="542" t="s">
        <v>25</v>
      </c>
    </row>
    <row r="100" spans="1:31" s="11" customFormat="1" ht="21" customHeight="1">
      <c r="A100" s="37"/>
      <c r="B100" s="38"/>
      <c r="C100" s="38"/>
      <c r="D100" s="433"/>
      <c r="E100" s="434"/>
      <c r="F100" s="434"/>
      <c r="G100" s="434"/>
      <c r="H100" s="434"/>
      <c r="I100" s="434"/>
      <c r="J100" s="434"/>
      <c r="K100" s="434"/>
      <c r="L100" s="434"/>
      <c r="M100" s="97"/>
      <c r="N100" s="60"/>
      <c r="O100" s="467" t="s">
        <v>433</v>
      </c>
      <c r="P100" s="458"/>
      <c r="Q100" s="458"/>
      <c r="R100" s="458"/>
      <c r="S100" s="457">
        <v>30000</v>
      </c>
      <c r="T100" s="465" t="s">
        <v>25</v>
      </c>
      <c r="U100" s="465" t="s">
        <v>26</v>
      </c>
      <c r="V100" s="464">
        <v>11</v>
      </c>
      <c r="W100" s="466" t="s">
        <v>29</v>
      </c>
      <c r="X100" s="464" t="s">
        <v>27</v>
      </c>
      <c r="Y100" s="457"/>
      <c r="Z100" s="457"/>
      <c r="AA100" s="457"/>
      <c r="AB100" s="457" t="s">
        <v>430</v>
      </c>
      <c r="AC100" s="457"/>
      <c r="AD100" s="457">
        <f>S100*V100</f>
        <v>330000</v>
      </c>
      <c r="AE100" s="463" t="s">
        <v>25</v>
      </c>
    </row>
    <row r="101" spans="1:31" s="11" customFormat="1" ht="21" customHeight="1">
      <c r="A101" s="37"/>
      <c r="B101" s="38"/>
      <c r="C101" s="38"/>
      <c r="D101" s="435"/>
      <c r="E101" s="436"/>
      <c r="F101" s="436"/>
      <c r="G101" s="436"/>
      <c r="H101" s="436"/>
      <c r="I101" s="436"/>
      <c r="J101" s="436"/>
      <c r="K101" s="436"/>
      <c r="L101" s="436"/>
      <c r="M101" s="97"/>
      <c r="N101" s="60"/>
      <c r="O101" s="458" t="s">
        <v>434</v>
      </c>
      <c r="P101" s="458"/>
      <c r="Q101" s="458"/>
      <c r="R101" s="458"/>
      <c r="S101" s="457">
        <v>360000</v>
      </c>
      <c r="T101" s="462" t="s">
        <v>25</v>
      </c>
      <c r="U101" s="462" t="s">
        <v>26</v>
      </c>
      <c r="V101" s="457">
        <v>5</v>
      </c>
      <c r="W101" s="458" t="s">
        <v>29</v>
      </c>
      <c r="X101" s="457" t="s">
        <v>27</v>
      </c>
      <c r="Y101" s="457"/>
      <c r="Z101" s="457"/>
      <c r="AA101" s="457"/>
      <c r="AB101" s="457" t="s">
        <v>430</v>
      </c>
      <c r="AC101" s="457"/>
      <c r="AD101" s="457">
        <f>S101*V101</f>
        <v>1800000</v>
      </c>
      <c r="AE101" s="463" t="s">
        <v>25</v>
      </c>
    </row>
    <row r="102" spans="1:31" s="13" customFormat="1" ht="21" customHeight="1">
      <c r="A102" s="37"/>
      <c r="B102" s="38"/>
      <c r="C102" s="38"/>
      <c r="D102" s="133"/>
      <c r="E102" s="97"/>
      <c r="F102" s="97"/>
      <c r="G102" s="97"/>
      <c r="H102" s="97"/>
      <c r="I102" s="97"/>
      <c r="J102" s="97"/>
      <c r="K102" s="97"/>
      <c r="L102" s="97"/>
      <c r="M102" s="97"/>
      <c r="N102" s="60"/>
      <c r="O102" s="458"/>
      <c r="P102" s="458"/>
      <c r="Q102" s="458"/>
      <c r="R102" s="458"/>
      <c r="S102" s="457">
        <v>430000</v>
      </c>
      <c r="T102" s="462" t="s">
        <v>25</v>
      </c>
      <c r="U102" s="462" t="s">
        <v>26</v>
      </c>
      <c r="V102" s="457">
        <v>5</v>
      </c>
      <c r="W102" s="458" t="s">
        <v>29</v>
      </c>
      <c r="X102" s="457" t="s">
        <v>27</v>
      </c>
      <c r="Y102" s="457"/>
      <c r="Z102" s="457"/>
      <c r="AA102" s="457"/>
      <c r="AB102" s="457" t="s">
        <v>435</v>
      </c>
      <c r="AC102" s="457"/>
      <c r="AD102" s="457">
        <f>S102*V102</f>
        <v>2150000</v>
      </c>
      <c r="AE102" s="463" t="s">
        <v>25</v>
      </c>
    </row>
    <row r="103" spans="1:31" s="13" customFormat="1" ht="21" customHeight="1">
      <c r="A103" s="37"/>
      <c r="B103" s="38"/>
      <c r="C103" s="38"/>
      <c r="D103" s="133"/>
      <c r="E103" s="97"/>
      <c r="F103" s="97"/>
      <c r="G103" s="97"/>
      <c r="H103" s="97"/>
      <c r="I103" s="97"/>
      <c r="J103" s="97"/>
      <c r="K103" s="97"/>
      <c r="L103" s="97"/>
      <c r="M103" s="97"/>
      <c r="N103" s="60"/>
      <c r="O103" s="458"/>
      <c r="P103" s="458"/>
      <c r="Q103" s="458"/>
      <c r="R103" s="458"/>
      <c r="S103" s="457">
        <v>600000</v>
      </c>
      <c r="T103" s="462" t="s">
        <v>25</v>
      </c>
      <c r="U103" s="462" t="s">
        <v>26</v>
      </c>
      <c r="V103" s="457">
        <v>2</v>
      </c>
      <c r="W103" s="458" t="s">
        <v>29</v>
      </c>
      <c r="X103" s="457" t="s">
        <v>27</v>
      </c>
      <c r="Y103" s="457"/>
      <c r="Z103" s="457"/>
      <c r="AA103" s="457"/>
      <c r="AB103" s="457" t="s">
        <v>515</v>
      </c>
      <c r="AC103" s="457"/>
      <c r="AD103" s="457">
        <f>S103*V103</f>
        <v>1200000</v>
      </c>
      <c r="AE103" s="463" t="s">
        <v>25</v>
      </c>
    </row>
    <row r="104" spans="1:31" s="13" customFormat="1" ht="21" customHeight="1">
      <c r="A104" s="37"/>
      <c r="B104" s="38"/>
      <c r="C104" s="38"/>
      <c r="D104" s="133"/>
      <c r="E104" s="97"/>
      <c r="F104" s="97"/>
      <c r="G104" s="97"/>
      <c r="H104" s="97"/>
      <c r="I104" s="97"/>
      <c r="J104" s="97"/>
      <c r="K104" s="97"/>
      <c r="L104" s="97"/>
      <c r="M104" s="97"/>
      <c r="N104" s="60"/>
      <c r="O104" s="458" t="s">
        <v>436</v>
      </c>
      <c r="P104" s="458"/>
      <c r="Q104" s="458"/>
      <c r="R104" s="458"/>
      <c r="S104" s="457"/>
      <c r="T104" s="462"/>
      <c r="U104" s="462"/>
      <c r="V104" s="457"/>
      <c r="W104" s="458"/>
      <c r="X104" s="457"/>
      <c r="Y104" s="457"/>
      <c r="Z104" s="457"/>
      <c r="AA104" s="457"/>
      <c r="AB104" s="457" t="s">
        <v>435</v>
      </c>
      <c r="AC104" s="457"/>
      <c r="AD104" s="457">
        <v>83000</v>
      </c>
      <c r="AE104" s="463" t="s">
        <v>25</v>
      </c>
    </row>
    <row r="105" spans="1:31" ht="21" customHeight="1">
      <c r="A105" s="37"/>
      <c r="B105" s="38"/>
      <c r="C105" s="28" t="s">
        <v>15</v>
      </c>
      <c r="D105" s="135">
        <v>490</v>
      </c>
      <c r="E105" s="102">
        <f>ROUND(AD105/1000,0)</f>
        <v>490</v>
      </c>
      <c r="F105" s="103">
        <f>SUMIF($AB$106:$AB$110,"보조",$AD$106:$AD$110)/1000</f>
        <v>0</v>
      </c>
      <c r="G105" s="103">
        <f>SUMIF($AB$106:$AB$110,"4종",$AD$106:$AD$110)/1000</f>
        <v>0</v>
      </c>
      <c r="H105" s="103">
        <f>SUMIF($AB$106:$AB$110,"6종",$AD$106:$AD$110)/1000</f>
        <v>0</v>
      </c>
      <c r="I105" s="103">
        <f>SUMIF($AB$106:$AB$110,"후원",$AD$106:$AD$110)/1000</f>
        <v>0</v>
      </c>
      <c r="J105" s="103">
        <f>SUMIF($AB$106:$AB$110,"입소",$AD$106:$AD$110)/1000</f>
        <v>410</v>
      </c>
      <c r="K105" s="103">
        <f>SUMIF($AB$106:$AB$110,"법인",$AD$106:$AD$110)/1000</f>
        <v>0</v>
      </c>
      <c r="L105" s="103">
        <f>SUMIF($AB$106:$AB$110,"잡수",$AD$106:$AD$110)/1000</f>
        <v>80</v>
      </c>
      <c r="M105" s="155">
        <f>E105-D105</f>
        <v>0</v>
      </c>
      <c r="N105" s="109">
        <f>IF(D105=0,0,M105/D105)</f>
        <v>0</v>
      </c>
      <c r="O105" s="336" t="s">
        <v>44</v>
      </c>
      <c r="P105" s="337"/>
      <c r="Q105" s="337"/>
      <c r="R105" s="337"/>
      <c r="S105" s="337"/>
      <c r="T105" s="338"/>
      <c r="U105" s="338"/>
      <c r="V105" s="338"/>
      <c r="W105" s="338"/>
      <c r="X105" s="338"/>
      <c r="Y105" s="333" t="s">
        <v>365</v>
      </c>
      <c r="Z105" s="333"/>
      <c r="AA105" s="333"/>
      <c r="AB105" s="333"/>
      <c r="AC105" s="334"/>
      <c r="AD105" s="334">
        <f>SUM(AD106:AD110)</f>
        <v>490000</v>
      </c>
      <c r="AE105" s="335" t="s">
        <v>25</v>
      </c>
    </row>
    <row r="106" spans="1:31" s="11" customFormat="1" ht="21" customHeight="1">
      <c r="A106" s="37"/>
      <c r="B106" s="38"/>
      <c r="C106" s="38"/>
      <c r="D106" s="433"/>
      <c r="E106" s="434"/>
      <c r="F106" s="434"/>
      <c r="G106" s="434"/>
      <c r="H106" s="434"/>
      <c r="I106" s="434"/>
      <c r="J106" s="434"/>
      <c r="K106" s="434"/>
      <c r="L106" s="434"/>
      <c r="M106" s="97"/>
      <c r="N106" s="60"/>
      <c r="O106" s="458" t="s">
        <v>437</v>
      </c>
      <c r="P106" s="468"/>
      <c r="Q106" s="468"/>
      <c r="R106" s="468"/>
      <c r="S106" s="457">
        <v>30000</v>
      </c>
      <c r="T106" s="462" t="s">
        <v>25</v>
      </c>
      <c r="U106" s="462" t="s">
        <v>26</v>
      </c>
      <c r="V106" s="457">
        <v>2</v>
      </c>
      <c r="W106" s="458" t="s">
        <v>520</v>
      </c>
      <c r="X106" s="459"/>
      <c r="Y106" s="470"/>
      <c r="Z106" s="457"/>
      <c r="AA106" s="457" t="s">
        <v>27</v>
      </c>
      <c r="AB106" s="457" t="s">
        <v>421</v>
      </c>
      <c r="AC106" s="457"/>
      <c r="AD106" s="457">
        <f>S106*V106</f>
        <v>60000</v>
      </c>
      <c r="AE106" s="463" t="s">
        <v>25</v>
      </c>
    </row>
    <row r="107" spans="1:31" s="11" customFormat="1" ht="21" customHeight="1">
      <c r="A107" s="37"/>
      <c r="B107" s="38"/>
      <c r="C107" s="38"/>
      <c r="D107" s="435"/>
      <c r="E107" s="436"/>
      <c r="F107" s="436"/>
      <c r="G107" s="436"/>
      <c r="H107" s="436"/>
      <c r="I107" s="436"/>
      <c r="J107" s="436"/>
      <c r="K107" s="436"/>
      <c r="L107" s="436"/>
      <c r="M107" s="97"/>
      <c r="N107" s="60"/>
      <c r="O107" s="458" t="s">
        <v>439</v>
      </c>
      <c r="P107" s="468"/>
      <c r="Q107" s="468"/>
      <c r="R107" s="468"/>
      <c r="S107" s="457">
        <v>600000</v>
      </c>
      <c r="T107" s="462" t="s">
        <v>25</v>
      </c>
      <c r="U107" s="462" t="s">
        <v>26</v>
      </c>
      <c r="V107" s="457">
        <v>1</v>
      </c>
      <c r="W107" s="458" t="s">
        <v>438</v>
      </c>
      <c r="X107" s="459" t="s">
        <v>106</v>
      </c>
      <c r="Y107" s="470">
        <v>3</v>
      </c>
      <c r="Z107" s="457"/>
      <c r="AA107" s="457" t="s">
        <v>27</v>
      </c>
      <c r="AB107" s="457" t="s">
        <v>421</v>
      </c>
      <c r="AC107" s="457"/>
      <c r="AD107" s="457">
        <f>ROUNDDOWN(S107*V107/Y107,-4)</f>
        <v>200000</v>
      </c>
      <c r="AE107" s="463" t="s">
        <v>25</v>
      </c>
    </row>
    <row r="108" spans="1:31" s="11" customFormat="1" ht="21" customHeight="1">
      <c r="A108" s="37"/>
      <c r="B108" s="38"/>
      <c r="C108" s="38"/>
      <c r="D108" s="133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58" t="s">
        <v>498</v>
      </c>
      <c r="P108" s="468"/>
      <c r="Q108" s="468"/>
      <c r="R108" s="468"/>
      <c r="S108" s="457">
        <v>150000</v>
      </c>
      <c r="T108" s="462" t="s">
        <v>25</v>
      </c>
      <c r="U108" s="462" t="s">
        <v>26</v>
      </c>
      <c r="V108" s="457">
        <v>1</v>
      </c>
      <c r="W108" s="458" t="s">
        <v>438</v>
      </c>
      <c r="X108" s="459"/>
      <c r="Y108" s="470"/>
      <c r="Z108" s="457"/>
      <c r="AA108" s="457" t="s">
        <v>27</v>
      </c>
      <c r="AB108" s="457" t="s">
        <v>421</v>
      </c>
      <c r="AC108" s="457"/>
      <c r="AD108" s="457">
        <f>S108*V108</f>
        <v>150000</v>
      </c>
      <c r="AE108" s="463" t="s">
        <v>25</v>
      </c>
    </row>
    <row r="109" spans="1:31" s="11" customFormat="1" ht="21" customHeight="1">
      <c r="A109" s="37"/>
      <c r="B109" s="38"/>
      <c r="C109" s="38"/>
      <c r="D109" s="133"/>
      <c r="E109" s="97"/>
      <c r="F109" s="97"/>
      <c r="G109" s="97"/>
      <c r="H109" s="97"/>
      <c r="I109" s="97"/>
      <c r="J109" s="97"/>
      <c r="K109" s="97"/>
      <c r="L109" s="97"/>
      <c r="M109" s="97"/>
      <c r="N109" s="60"/>
      <c r="O109" s="458" t="s">
        <v>479</v>
      </c>
      <c r="P109" s="468"/>
      <c r="Q109" s="468"/>
      <c r="R109" s="468"/>
      <c r="S109" s="458"/>
      <c r="T109" s="431"/>
      <c r="U109" s="469"/>
      <c r="V109" s="464"/>
      <c r="W109" s="465"/>
      <c r="X109" s="465"/>
      <c r="Y109" s="464"/>
      <c r="Z109" s="466"/>
      <c r="AA109" s="464" t="s">
        <v>27</v>
      </c>
      <c r="AB109" s="457" t="s">
        <v>435</v>
      </c>
      <c r="AC109" s="457"/>
      <c r="AD109" s="457">
        <v>80000</v>
      </c>
      <c r="AE109" s="463" t="s">
        <v>25</v>
      </c>
    </row>
    <row r="110" spans="1:31" s="11" customFormat="1" ht="21" customHeight="1">
      <c r="A110" s="37"/>
      <c r="B110" s="38"/>
      <c r="C110" s="38"/>
      <c r="D110" s="133"/>
      <c r="E110" s="97"/>
      <c r="F110" s="97"/>
      <c r="G110" s="97"/>
      <c r="H110" s="97"/>
      <c r="I110" s="97"/>
      <c r="J110" s="97"/>
      <c r="K110" s="97"/>
      <c r="L110" s="97"/>
      <c r="M110" s="97"/>
      <c r="N110" s="60"/>
      <c r="O110" s="274"/>
      <c r="P110" s="421"/>
      <c r="Q110" s="421"/>
      <c r="R110" s="421"/>
      <c r="S110" s="421"/>
      <c r="T110" s="275"/>
      <c r="U110" s="339"/>
      <c r="V110" s="274"/>
      <c r="W110" s="329"/>
      <c r="X110" s="270"/>
      <c r="Y110" s="270"/>
      <c r="Z110" s="270"/>
      <c r="AA110" s="274"/>
      <c r="AB110" s="274"/>
      <c r="AC110" s="270"/>
      <c r="AD110" s="270"/>
      <c r="AE110" s="122"/>
    </row>
    <row r="111" spans="1:31" s="11" customFormat="1" ht="21" customHeight="1">
      <c r="A111" s="37"/>
      <c r="B111" s="38"/>
      <c r="C111" s="28" t="s">
        <v>45</v>
      </c>
      <c r="D111" s="135">
        <v>680</v>
      </c>
      <c r="E111" s="102">
        <f>ROUND(AD111/1000,0)</f>
        <v>780</v>
      </c>
      <c r="F111" s="103">
        <f>SUMIF($AB$112:$AB$114,"보조",$AD$112:$AD$114)/1000</f>
        <v>0</v>
      </c>
      <c r="G111" s="103">
        <f>SUMIF($AB$112:$AB$114,"4종",$AD$112:$AD$114)/1000</f>
        <v>0</v>
      </c>
      <c r="H111" s="103">
        <f>SUMIF($AB$112:$AB$114,"6종",$AD$112:$AD$114)/1000</f>
        <v>0</v>
      </c>
      <c r="I111" s="103">
        <f>SUMIF($AB$112:$AB$114,"후원",$AD$112:$AD$114)/1000</f>
        <v>0</v>
      </c>
      <c r="J111" s="103">
        <f>SUMIF($AB$112:$AB$114,"입소",$AD$112:$AD$114)/1000</f>
        <v>780</v>
      </c>
      <c r="K111" s="103">
        <f>SUMIF($AB$112:$AB$114,"법인",$AD$112:$AD$114)/1000</f>
        <v>0</v>
      </c>
      <c r="L111" s="103">
        <f>SUMIF($AB$112:$AB$114,"잡수",$AD$112:$AD$114)/1000</f>
        <v>0</v>
      </c>
      <c r="M111" s="155">
        <f>E111-D111</f>
        <v>100</v>
      </c>
      <c r="N111" s="109">
        <f>IF(D111=0,0,M111/D111)</f>
        <v>0.14705882352941177</v>
      </c>
      <c r="O111" s="85" t="s">
        <v>46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419" t="s">
        <v>365</v>
      </c>
      <c r="Z111" s="419"/>
      <c r="AA111" s="419"/>
      <c r="AB111" s="303"/>
      <c r="AC111" s="304"/>
      <c r="AD111" s="304">
        <f>SUM(AD112:AD113)</f>
        <v>780000</v>
      </c>
      <c r="AE111" s="146" t="s">
        <v>25</v>
      </c>
    </row>
    <row r="112" spans="1:31" s="11" customFormat="1" ht="21" customHeight="1">
      <c r="A112" s="37"/>
      <c r="B112" s="38"/>
      <c r="C112" s="38"/>
      <c r="D112" s="433"/>
      <c r="E112" s="434"/>
      <c r="F112" s="434"/>
      <c r="G112" s="434"/>
      <c r="H112" s="434"/>
      <c r="I112" s="434"/>
      <c r="J112" s="434"/>
      <c r="K112" s="434"/>
      <c r="L112" s="434"/>
      <c r="M112" s="97"/>
      <c r="N112" s="60"/>
      <c r="O112" s="458" t="s">
        <v>440</v>
      </c>
      <c r="P112" s="458"/>
      <c r="Q112" s="458"/>
      <c r="R112" s="458"/>
      <c r="S112" s="457">
        <v>40000</v>
      </c>
      <c r="T112" s="462" t="s">
        <v>25</v>
      </c>
      <c r="U112" s="462" t="s">
        <v>26</v>
      </c>
      <c r="V112" s="457">
        <v>12</v>
      </c>
      <c r="W112" s="458" t="s">
        <v>29</v>
      </c>
      <c r="X112" s="457" t="s">
        <v>27</v>
      </c>
      <c r="Y112" s="457"/>
      <c r="Z112" s="457"/>
      <c r="AA112" s="457"/>
      <c r="AB112" s="457" t="s">
        <v>421</v>
      </c>
      <c r="AC112" s="457"/>
      <c r="AD112" s="457">
        <f>S112*V112</f>
        <v>480000</v>
      </c>
      <c r="AE112" s="463" t="s">
        <v>25</v>
      </c>
    </row>
    <row r="113" spans="1:31" s="11" customFormat="1" ht="21" customHeight="1">
      <c r="A113" s="37"/>
      <c r="B113" s="38"/>
      <c r="C113" s="38"/>
      <c r="D113" s="435"/>
      <c r="E113" s="436"/>
      <c r="F113" s="436"/>
      <c r="G113" s="436"/>
      <c r="H113" s="436"/>
      <c r="I113" s="436"/>
      <c r="J113" s="436"/>
      <c r="K113" s="436"/>
      <c r="L113" s="436"/>
      <c r="M113" s="97"/>
      <c r="N113" s="60"/>
      <c r="O113" s="458" t="s">
        <v>441</v>
      </c>
      <c r="P113" s="458"/>
      <c r="Q113" s="458"/>
      <c r="R113" s="458"/>
      <c r="S113" s="457"/>
      <c r="T113" s="462"/>
      <c r="U113" s="462"/>
      <c r="V113" s="457"/>
      <c r="W113" s="458"/>
      <c r="X113" s="457"/>
      <c r="Y113" s="457"/>
      <c r="Z113" s="457"/>
      <c r="AA113" s="457"/>
      <c r="AB113" s="457" t="s">
        <v>421</v>
      </c>
      <c r="AC113" s="457"/>
      <c r="AD113" s="457">
        <v>300000</v>
      </c>
      <c r="AE113" s="463" t="s">
        <v>25</v>
      </c>
    </row>
    <row r="114" spans="1:31" s="11" customFormat="1" ht="21" customHeight="1">
      <c r="A114" s="37"/>
      <c r="B114" s="38"/>
      <c r="C114" s="49"/>
      <c r="D114" s="114"/>
      <c r="E114" s="100"/>
      <c r="F114" s="100"/>
      <c r="G114" s="100"/>
      <c r="H114" s="100"/>
      <c r="I114" s="100"/>
      <c r="J114" s="100"/>
      <c r="K114" s="100"/>
      <c r="L114" s="100"/>
      <c r="M114" s="100"/>
      <c r="N114" s="75"/>
      <c r="O114" s="418"/>
      <c r="P114" s="418"/>
      <c r="Q114" s="418"/>
      <c r="R114" s="418"/>
      <c r="S114" s="417"/>
      <c r="T114" s="389"/>
      <c r="U114" s="417"/>
      <c r="V114" s="600"/>
      <c r="W114" s="601"/>
      <c r="X114" s="417"/>
      <c r="Y114" s="417"/>
      <c r="Z114" s="417"/>
      <c r="AA114" s="417"/>
      <c r="AB114" s="417"/>
      <c r="AC114" s="417"/>
      <c r="AD114" s="417"/>
      <c r="AE114" s="390"/>
    </row>
    <row r="115" spans="1:31" s="11" customFormat="1" ht="21" customHeight="1">
      <c r="A115" s="37"/>
      <c r="B115" s="38"/>
      <c r="C115" s="28" t="s">
        <v>375</v>
      </c>
      <c r="D115" s="115">
        <v>2020</v>
      </c>
      <c r="E115" s="102">
        <f>ROUND(AD115/1000,0)</f>
        <v>2100</v>
      </c>
      <c r="F115" s="103">
        <f>SUMIF($AB$117:$AB$121,"보조",$AD$117:$AD$121)/1000</f>
        <v>0</v>
      </c>
      <c r="G115" s="103">
        <f>SUMIF($AB$117:$AB$121,"4종",$AD$117:$AD$121)/1000</f>
        <v>0</v>
      </c>
      <c r="H115" s="103">
        <f>SUMIF($AB$117:$AB$121,"6종",$AD$117:$AD$121)/1000</f>
        <v>0</v>
      </c>
      <c r="I115" s="103">
        <f>SUMIF($AB$117:$AB$121,"후원",$AD$117:$AD$121)/1000</f>
        <v>0</v>
      </c>
      <c r="J115" s="103">
        <f>SUMIF($AB$117:$AB$121,"입소",$AD$117:$AD$121)/1000</f>
        <v>420</v>
      </c>
      <c r="K115" s="103">
        <f>SUMIF($AB$117:$AB$121,"법인",$AD$117:$AD$121)/1000</f>
        <v>0</v>
      </c>
      <c r="L115" s="103">
        <f>SUMIF($AB$117:$AB$121,"잡수",$AD$117:$AD$121)/1000</f>
        <v>1680</v>
      </c>
      <c r="M115" s="112">
        <f>E115-D115</f>
        <v>80</v>
      </c>
      <c r="N115" s="109">
        <f>IF(D115=0,0,M115/D115)</f>
        <v>3.9603960396039604E-2</v>
      </c>
      <c r="O115" s="105" t="s">
        <v>376</v>
      </c>
      <c r="P115" s="153"/>
      <c r="Q115" s="153"/>
      <c r="R115" s="153"/>
      <c r="S115" s="153"/>
      <c r="T115" s="152"/>
      <c r="U115" s="152"/>
      <c r="V115" s="152"/>
      <c r="W115" s="152"/>
      <c r="X115" s="152"/>
      <c r="Y115" s="419" t="s">
        <v>377</v>
      </c>
      <c r="Z115" s="419"/>
      <c r="AA115" s="419"/>
      <c r="AB115" s="419"/>
      <c r="AC115" s="147"/>
      <c r="AD115" s="147">
        <f>SUM(AD116,AD118,AD120)</f>
        <v>2100000</v>
      </c>
      <c r="AE115" s="146" t="s">
        <v>25</v>
      </c>
    </row>
    <row r="116" spans="1:31" s="11" customFormat="1" ht="21" customHeight="1">
      <c r="A116" s="37"/>
      <c r="B116" s="38"/>
      <c r="C116" s="38"/>
      <c r="D116" s="433"/>
      <c r="E116" s="434"/>
      <c r="F116" s="434"/>
      <c r="G116" s="434"/>
      <c r="H116" s="434"/>
      <c r="I116" s="434"/>
      <c r="J116" s="434"/>
      <c r="K116" s="434"/>
      <c r="L116" s="434"/>
      <c r="M116" s="97"/>
      <c r="N116" s="60"/>
      <c r="O116" s="458" t="s">
        <v>442</v>
      </c>
      <c r="P116" s="471"/>
      <c r="Q116" s="471"/>
      <c r="R116" s="471"/>
      <c r="S116" s="471"/>
      <c r="T116" s="472"/>
      <c r="U116" s="472"/>
      <c r="V116" s="472"/>
      <c r="W116" s="472"/>
      <c r="X116" s="472"/>
      <c r="Y116" s="473" t="s">
        <v>365</v>
      </c>
      <c r="Z116" s="473"/>
      <c r="AA116" s="473"/>
      <c r="AB116" s="473"/>
      <c r="AC116" s="474"/>
      <c r="AD116" s="474">
        <f>AD117</f>
        <v>300000</v>
      </c>
      <c r="AE116" s="146" t="s">
        <v>25</v>
      </c>
    </row>
    <row r="117" spans="1:31" s="11" customFormat="1" ht="20.25" customHeight="1">
      <c r="A117" s="37"/>
      <c r="B117" s="38"/>
      <c r="C117" s="38"/>
      <c r="D117" s="433"/>
      <c r="E117" s="434"/>
      <c r="F117" s="434"/>
      <c r="G117" s="436"/>
      <c r="H117" s="434"/>
      <c r="I117" s="434"/>
      <c r="J117" s="436"/>
      <c r="K117" s="434"/>
      <c r="L117" s="434"/>
      <c r="M117" s="97"/>
      <c r="N117" s="60"/>
      <c r="O117" s="458" t="s">
        <v>527</v>
      </c>
      <c r="P117" s="458"/>
      <c r="Q117" s="458"/>
      <c r="R117" s="458"/>
      <c r="S117" s="457">
        <v>50000</v>
      </c>
      <c r="T117" s="457" t="s">
        <v>25</v>
      </c>
      <c r="U117" s="475" t="s">
        <v>26</v>
      </c>
      <c r="V117" s="457">
        <v>6</v>
      </c>
      <c r="W117" s="457" t="s">
        <v>438</v>
      </c>
      <c r="X117" s="475"/>
      <c r="Y117" s="457"/>
      <c r="Z117" s="457"/>
      <c r="AA117" s="457" t="s">
        <v>27</v>
      </c>
      <c r="AB117" s="457" t="s">
        <v>421</v>
      </c>
      <c r="AC117" s="431"/>
      <c r="AD117" s="431">
        <v>300000</v>
      </c>
      <c r="AE117" s="463" t="s">
        <v>25</v>
      </c>
    </row>
    <row r="118" spans="1:31" s="11" customFormat="1" ht="20.25" customHeight="1">
      <c r="A118" s="37"/>
      <c r="B118" s="38"/>
      <c r="C118" s="38"/>
      <c r="D118" s="435"/>
      <c r="E118" s="436"/>
      <c r="F118" s="436"/>
      <c r="G118" s="436"/>
      <c r="H118" s="436"/>
      <c r="I118" s="436"/>
      <c r="J118" s="436"/>
      <c r="K118" s="436"/>
      <c r="L118" s="436"/>
      <c r="M118" s="97"/>
      <c r="N118" s="60"/>
      <c r="O118" s="458" t="s">
        <v>443</v>
      </c>
      <c r="P118" s="458"/>
      <c r="Q118" s="458"/>
      <c r="R118" s="458"/>
      <c r="S118" s="457"/>
      <c r="T118" s="457"/>
      <c r="U118" s="475"/>
      <c r="V118" s="457"/>
      <c r="W118" s="457"/>
      <c r="X118" s="475"/>
      <c r="Y118" s="473" t="s">
        <v>365</v>
      </c>
      <c r="Z118" s="473"/>
      <c r="AA118" s="473"/>
      <c r="AB118" s="473"/>
      <c r="AC118" s="474"/>
      <c r="AD118" s="474">
        <f>AD119</f>
        <v>1680000</v>
      </c>
      <c r="AE118" s="146" t="s">
        <v>25</v>
      </c>
    </row>
    <row r="119" spans="1:31" s="11" customFormat="1" ht="20.25" customHeight="1">
      <c r="A119" s="37"/>
      <c r="B119" s="38"/>
      <c r="C119" s="38"/>
      <c r="D119" s="116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76" t="s">
        <v>444</v>
      </c>
      <c r="P119" s="458"/>
      <c r="Q119" s="458"/>
      <c r="R119" s="458"/>
      <c r="S119" s="457">
        <v>140000</v>
      </c>
      <c r="T119" s="457" t="s">
        <v>25</v>
      </c>
      <c r="U119" s="475" t="s">
        <v>26</v>
      </c>
      <c r="V119" s="457">
        <v>12</v>
      </c>
      <c r="W119" s="457" t="s">
        <v>438</v>
      </c>
      <c r="X119" s="475"/>
      <c r="Y119" s="457"/>
      <c r="Z119" s="457"/>
      <c r="AA119" s="457" t="s">
        <v>27</v>
      </c>
      <c r="AB119" s="457" t="s">
        <v>379</v>
      </c>
      <c r="AC119" s="431"/>
      <c r="AD119" s="431">
        <f>S119*V119</f>
        <v>1680000</v>
      </c>
      <c r="AE119" s="463" t="s">
        <v>25</v>
      </c>
    </row>
    <row r="120" spans="1:31" s="11" customFormat="1" ht="20.25" customHeight="1">
      <c r="A120" s="37"/>
      <c r="B120" s="38"/>
      <c r="C120" s="38"/>
      <c r="D120" s="116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58" t="s">
        <v>526</v>
      </c>
      <c r="P120" s="458"/>
      <c r="Q120" s="458"/>
      <c r="R120" s="458"/>
      <c r="S120" s="457"/>
      <c r="T120" s="457"/>
      <c r="U120" s="475"/>
      <c r="V120" s="457"/>
      <c r="W120" s="457"/>
      <c r="X120" s="457"/>
      <c r="Y120" s="457"/>
      <c r="Z120" s="457"/>
      <c r="AA120" s="457"/>
      <c r="AB120" s="457" t="s">
        <v>515</v>
      </c>
      <c r="AC120" s="457"/>
      <c r="AD120" s="457">
        <v>120000</v>
      </c>
      <c r="AE120" s="463" t="s">
        <v>25</v>
      </c>
    </row>
    <row r="121" spans="1:31" s="11" customFormat="1" ht="21" customHeight="1">
      <c r="A121" s="37"/>
      <c r="B121" s="49"/>
      <c r="C121" s="99"/>
      <c r="D121" s="134"/>
      <c r="E121" s="100"/>
      <c r="F121" s="100"/>
      <c r="G121" s="100"/>
      <c r="H121" s="100"/>
      <c r="I121" s="100"/>
      <c r="J121" s="100"/>
      <c r="K121" s="100"/>
      <c r="L121" s="100"/>
      <c r="M121" s="100"/>
      <c r="N121" s="75"/>
      <c r="O121" s="348"/>
      <c r="P121" s="348"/>
      <c r="Q121" s="348"/>
      <c r="R121" s="348"/>
      <c r="S121" s="347"/>
      <c r="T121" s="348"/>
      <c r="U121" s="347"/>
      <c r="V121" s="117"/>
      <c r="W121" s="117"/>
      <c r="X121" s="347"/>
      <c r="Y121" s="347"/>
      <c r="Z121" s="347"/>
      <c r="AA121" s="347"/>
      <c r="AB121" s="347"/>
      <c r="AC121" s="347"/>
      <c r="AD121" s="347"/>
      <c r="AE121" s="63"/>
    </row>
    <row r="122" spans="1:31" s="11" customFormat="1" ht="21" customHeight="1">
      <c r="A122" s="101" t="s">
        <v>47</v>
      </c>
      <c r="B122" s="593" t="s">
        <v>20</v>
      </c>
      <c r="C122" s="593"/>
      <c r="D122" s="158">
        <f>D123</f>
        <v>5600</v>
      </c>
      <c r="E122" s="158">
        <f>E123</f>
        <v>2600</v>
      </c>
      <c r="F122" s="158">
        <f t="shared" ref="F122:L122" si="5">F123</f>
        <v>0</v>
      </c>
      <c r="G122" s="158">
        <f t="shared" si="5"/>
        <v>0</v>
      </c>
      <c r="H122" s="158">
        <f t="shared" si="5"/>
        <v>0</v>
      </c>
      <c r="I122" s="158">
        <f t="shared" si="5"/>
        <v>0</v>
      </c>
      <c r="J122" s="158">
        <f t="shared" si="5"/>
        <v>2600</v>
      </c>
      <c r="K122" s="158">
        <f t="shared" si="5"/>
        <v>0</v>
      </c>
      <c r="L122" s="158">
        <f t="shared" si="5"/>
        <v>0</v>
      </c>
      <c r="M122" s="442">
        <f>E122-D122</f>
        <v>-3000</v>
      </c>
      <c r="N122" s="141">
        <f>IF(D122=0,0,M122/D122)</f>
        <v>-0.5357142857142857</v>
      </c>
      <c r="O122" s="151" t="s">
        <v>380</v>
      </c>
      <c r="P122" s="151"/>
      <c r="Q122" s="151"/>
      <c r="R122" s="151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>
        <f>AD123</f>
        <v>2600000</v>
      </c>
      <c r="AE122" s="26" t="s">
        <v>25</v>
      </c>
    </row>
    <row r="123" spans="1:31" s="11" customFormat="1" ht="21" customHeight="1">
      <c r="A123" s="157" t="s">
        <v>381</v>
      </c>
      <c r="B123" s="38" t="s">
        <v>17</v>
      </c>
      <c r="C123" s="38" t="s">
        <v>382</v>
      </c>
      <c r="D123" s="97">
        <f t="shared" ref="D123:L123" si="6">SUM(D124,D126,D138)</f>
        <v>5600</v>
      </c>
      <c r="E123" s="97">
        <f t="shared" si="6"/>
        <v>2600</v>
      </c>
      <c r="F123" s="97">
        <f t="shared" si="6"/>
        <v>0</v>
      </c>
      <c r="G123" s="97">
        <f t="shared" si="6"/>
        <v>0</v>
      </c>
      <c r="H123" s="97">
        <f t="shared" si="6"/>
        <v>0</v>
      </c>
      <c r="I123" s="97">
        <f t="shared" si="6"/>
        <v>0</v>
      </c>
      <c r="J123" s="97">
        <f t="shared" si="6"/>
        <v>2600</v>
      </c>
      <c r="K123" s="97">
        <f t="shared" si="6"/>
        <v>0</v>
      </c>
      <c r="L123" s="97">
        <f t="shared" si="6"/>
        <v>0</v>
      </c>
      <c r="M123" s="97">
        <f>E123-D123</f>
        <v>-3000</v>
      </c>
      <c r="N123" s="60">
        <f>IF(D123=0,0,M123/D123)</f>
        <v>-0.5357142857142857</v>
      </c>
      <c r="O123" s="153" t="s">
        <v>383</v>
      </c>
      <c r="P123" s="153"/>
      <c r="Q123" s="153"/>
      <c r="R123" s="153"/>
      <c r="S123" s="153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82"/>
      <c r="AD123" s="82">
        <f>AD124+AD126+AD138</f>
        <v>2600000</v>
      </c>
      <c r="AE123" s="83" t="s">
        <v>25</v>
      </c>
    </row>
    <row r="124" spans="1:31" s="11" customFormat="1" ht="21" customHeight="1">
      <c r="A124" s="37"/>
      <c r="B124" s="38"/>
      <c r="C124" s="28" t="s">
        <v>383</v>
      </c>
      <c r="D124" s="155">
        <v>0</v>
      </c>
      <c r="E124" s="155">
        <f>ROUND(AD124/1000,0)</f>
        <v>0</v>
      </c>
      <c r="F124" s="103">
        <f>SUMIF($AB$125:$AB$125,"보조",$AD$125:$AD$125)/1000</f>
        <v>0</v>
      </c>
      <c r="G124" s="103">
        <f>SUMIF($AB$125:$AB$125,"4종",$AD$125:$AD$125)/1000</f>
        <v>0</v>
      </c>
      <c r="H124" s="103">
        <f>SUMIF($AB$125:$AB$125,"6종",$AD$125:$AD$125)/1000</f>
        <v>0</v>
      </c>
      <c r="I124" s="103">
        <v>0</v>
      </c>
      <c r="J124" s="103">
        <f>SUMIF($AB$125:$AB$125,"입소",$AD$125:$AD$125)/1000</f>
        <v>0</v>
      </c>
      <c r="K124" s="103">
        <f>SUMIF($AB$125:$AB$125,"법인",$AD$125:$AD$125)/1000</f>
        <v>0</v>
      </c>
      <c r="L124" s="103">
        <f>SUMIF($AB$125:$AB$125,"잡수",$AD$125:$AD$125)/1000</f>
        <v>0</v>
      </c>
      <c r="M124" s="155">
        <f>E124-D124</f>
        <v>0</v>
      </c>
      <c r="N124" s="156">
        <f>IF(D124=0,0,M124/D124)</f>
        <v>0</v>
      </c>
      <c r="O124" s="85" t="s">
        <v>48</v>
      </c>
      <c r="P124" s="153"/>
      <c r="Q124" s="153"/>
      <c r="R124" s="153"/>
      <c r="S124" s="153"/>
      <c r="T124" s="152"/>
      <c r="U124" s="152"/>
      <c r="V124" s="152"/>
      <c r="W124" s="152"/>
      <c r="X124" s="152"/>
      <c r="Y124" s="419" t="s">
        <v>382</v>
      </c>
      <c r="Z124" s="419"/>
      <c r="AA124" s="419"/>
      <c r="AB124" s="419"/>
      <c r="AC124" s="147"/>
      <c r="AD124" s="147">
        <v>0</v>
      </c>
      <c r="AE124" s="146" t="s">
        <v>25</v>
      </c>
    </row>
    <row r="125" spans="1:31" s="11" customFormat="1" ht="21" customHeight="1">
      <c r="A125" s="37"/>
      <c r="B125" s="38"/>
      <c r="C125" s="38"/>
      <c r="D125" s="133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 t="s">
        <v>333</v>
      </c>
      <c r="AC125" s="106"/>
      <c r="AD125" s="392">
        <v>0</v>
      </c>
      <c r="AE125" s="396" t="s">
        <v>328</v>
      </c>
    </row>
    <row r="126" spans="1:31" s="11" customFormat="1" ht="21" customHeight="1">
      <c r="A126" s="37"/>
      <c r="B126" s="38"/>
      <c r="C126" s="28" t="s">
        <v>18</v>
      </c>
      <c r="D126" s="135">
        <v>2500</v>
      </c>
      <c r="E126" s="102">
        <f>ROUND(AD126/1000,0)</f>
        <v>500</v>
      </c>
      <c r="F126" s="103">
        <f>SUMIF($AB$127:$AB$137,"보조",$AD$127:$AD$137)/1000</f>
        <v>0</v>
      </c>
      <c r="G126" s="103">
        <f>SUMIF($AB$127:$AB$137,"4종",$AD$127:$AD$137)/1000</f>
        <v>0</v>
      </c>
      <c r="H126" s="103">
        <f>SUMIF($AB$127:$AB$137,"6종",$AD$127:$AD$137)/1000</f>
        <v>0</v>
      </c>
      <c r="I126" s="103">
        <f>SUMIF($AB$127:$AB$137,"후원",$AD$127:$AD$137)/1000</f>
        <v>0</v>
      </c>
      <c r="J126" s="103">
        <f>SUMIF($AB$127:$AB$137,"입소",$AD$127:$AD$137)/1000</f>
        <v>500</v>
      </c>
      <c r="K126" s="103">
        <f>SUMIF($AB$127:$AB$137,"법인",$AD$127:$AD$137)/1000</f>
        <v>0</v>
      </c>
      <c r="L126" s="103">
        <f>SUMIF($AB$127:$AB$137,"잡수",$AD$127:$AD$137)/1000</f>
        <v>0</v>
      </c>
      <c r="M126" s="155">
        <f>E126-D126</f>
        <v>-2000</v>
      </c>
      <c r="N126" s="109">
        <f>IF(D126=0,0,M126/D126)</f>
        <v>-0.8</v>
      </c>
      <c r="O126" s="85" t="s">
        <v>49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19" t="s">
        <v>365</v>
      </c>
      <c r="Z126" s="419"/>
      <c r="AA126" s="419"/>
      <c r="AB126" s="419"/>
      <c r="AC126" s="147"/>
      <c r="AD126" s="304">
        <f>SUM(AD127:AD137)</f>
        <v>500000</v>
      </c>
      <c r="AE126" s="146" t="s">
        <v>25</v>
      </c>
    </row>
    <row r="127" spans="1:31" s="11" customFormat="1" ht="21" customHeight="1">
      <c r="A127" s="37"/>
      <c r="B127" s="38"/>
      <c r="C127" s="38"/>
      <c r="D127" s="433"/>
      <c r="E127" s="434"/>
      <c r="F127" s="434"/>
      <c r="G127" s="434"/>
      <c r="H127" s="434"/>
      <c r="I127" s="434"/>
      <c r="J127" s="434"/>
      <c r="K127" s="434"/>
      <c r="L127" s="434"/>
      <c r="M127" s="97"/>
      <c r="N127" s="60"/>
      <c r="O127" s="598" t="s">
        <v>480</v>
      </c>
      <c r="P127" s="599"/>
      <c r="Q127" s="599"/>
      <c r="R127" s="599"/>
      <c r="S127" s="457"/>
      <c r="T127" s="462"/>
      <c r="U127" s="462"/>
      <c r="V127" s="457"/>
      <c r="W127" s="458"/>
      <c r="X127" s="457"/>
      <c r="Y127" s="457"/>
      <c r="Z127" s="457"/>
      <c r="AA127" s="457"/>
      <c r="AB127" s="457" t="s">
        <v>481</v>
      </c>
      <c r="AC127" s="457"/>
      <c r="AD127" s="457"/>
      <c r="AE127" s="463" t="s">
        <v>25</v>
      </c>
    </row>
    <row r="128" spans="1:31" s="11" customFormat="1" ht="21" customHeight="1">
      <c r="A128" s="37"/>
      <c r="B128" s="38"/>
      <c r="C128" s="38"/>
      <c r="D128" s="435"/>
      <c r="E128" s="436"/>
      <c r="F128" s="436"/>
      <c r="G128" s="436"/>
      <c r="H128" s="436"/>
      <c r="I128" s="436"/>
      <c r="J128" s="436"/>
      <c r="K128" s="436"/>
      <c r="L128" s="436"/>
      <c r="M128" s="97"/>
      <c r="N128" s="60"/>
      <c r="O128" s="458" t="s">
        <v>530</v>
      </c>
      <c r="P128" s="458"/>
      <c r="Q128" s="458"/>
      <c r="R128" s="471"/>
      <c r="S128" s="471"/>
      <c r="T128" s="472"/>
      <c r="U128" s="472"/>
      <c r="V128" s="472"/>
      <c r="W128" s="472"/>
      <c r="X128" s="472"/>
      <c r="Y128" s="472"/>
      <c r="Z128" s="472"/>
      <c r="AA128" s="472"/>
      <c r="AB128" s="457" t="s">
        <v>421</v>
      </c>
      <c r="AC128" s="477"/>
      <c r="AD128" s="431">
        <v>500000</v>
      </c>
      <c r="AE128" s="463" t="s">
        <v>25</v>
      </c>
    </row>
    <row r="129" spans="1:31" s="11" customFormat="1" ht="2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23"/>
      <c r="P129" s="423"/>
      <c r="Q129" s="423"/>
      <c r="R129" s="423"/>
      <c r="S129" s="422"/>
      <c r="T129" s="391"/>
      <c r="U129" s="293"/>
      <c r="V129" s="121"/>
      <c r="W129" s="121"/>
      <c r="X129" s="422"/>
      <c r="Y129" s="422"/>
      <c r="Z129" s="422"/>
      <c r="AA129" s="422"/>
      <c r="AB129" s="422"/>
      <c r="AC129" s="422"/>
      <c r="AD129" s="422"/>
      <c r="AE129" s="122"/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23"/>
      <c r="P130" s="423"/>
      <c r="Q130" s="423"/>
      <c r="R130" s="423"/>
      <c r="S130" s="422"/>
      <c r="T130" s="293"/>
      <c r="U130" s="293"/>
      <c r="V130" s="422"/>
      <c r="W130" s="423"/>
      <c r="X130" s="422"/>
      <c r="Y130" s="422"/>
      <c r="Z130" s="422"/>
      <c r="AA130" s="422"/>
      <c r="AB130" s="422" t="s">
        <v>361</v>
      </c>
      <c r="AC130" s="422"/>
      <c r="AD130" s="422"/>
      <c r="AE130" s="122" t="s">
        <v>328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3"/>
      <c r="P131" s="423"/>
      <c r="Q131" s="423"/>
      <c r="R131" s="423"/>
      <c r="S131" s="422"/>
      <c r="T131" s="391"/>
      <c r="U131" s="293"/>
      <c r="V131" s="121"/>
      <c r="W131" s="121"/>
      <c r="X131" s="422"/>
      <c r="Y131" s="422"/>
      <c r="Z131" s="422"/>
      <c r="AA131" s="422"/>
      <c r="AB131" s="422" t="s">
        <v>361</v>
      </c>
      <c r="AC131" s="422"/>
      <c r="AD131" s="422"/>
      <c r="AE131" s="122" t="s">
        <v>328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23"/>
      <c r="P132" s="423"/>
      <c r="Q132" s="423"/>
      <c r="R132" s="423"/>
      <c r="S132" s="422"/>
      <c r="T132" s="391"/>
      <c r="U132" s="293"/>
      <c r="V132" s="121"/>
      <c r="W132" s="121"/>
      <c r="X132" s="422"/>
      <c r="Y132" s="422"/>
      <c r="Z132" s="422"/>
      <c r="AA132" s="422"/>
      <c r="AB132" s="422" t="s">
        <v>361</v>
      </c>
      <c r="AC132" s="422"/>
      <c r="AD132" s="422"/>
      <c r="AE132" s="122" t="s">
        <v>328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23"/>
      <c r="P133" s="423"/>
      <c r="Q133" s="423"/>
      <c r="R133" s="423"/>
      <c r="S133" s="422"/>
      <c r="T133" s="391"/>
      <c r="U133" s="293"/>
      <c r="V133" s="121"/>
      <c r="W133" s="121"/>
      <c r="X133" s="422"/>
      <c r="Y133" s="422"/>
      <c r="Z133" s="422"/>
      <c r="AA133" s="422"/>
      <c r="AB133" s="422" t="s">
        <v>361</v>
      </c>
      <c r="AC133" s="422"/>
      <c r="AD133" s="422"/>
      <c r="AE133" s="122" t="s">
        <v>328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23"/>
      <c r="P134" s="423"/>
      <c r="Q134" s="423"/>
      <c r="R134" s="423"/>
      <c r="S134" s="422"/>
      <c r="T134" s="391"/>
      <c r="U134" s="293"/>
      <c r="V134" s="121"/>
      <c r="W134" s="121"/>
      <c r="X134" s="422"/>
      <c r="Y134" s="422"/>
      <c r="Z134" s="422"/>
      <c r="AA134" s="422"/>
      <c r="AB134" s="422" t="s">
        <v>361</v>
      </c>
      <c r="AC134" s="422"/>
      <c r="AD134" s="422"/>
      <c r="AE134" s="122" t="s">
        <v>328</v>
      </c>
    </row>
    <row r="135" spans="1:31" s="11" customFormat="1" ht="21" hidden="1" customHeight="1">
      <c r="A135" s="37"/>
      <c r="B135" s="38"/>
      <c r="C135" s="38"/>
      <c r="D135" s="98"/>
      <c r="E135" s="97"/>
      <c r="F135" s="97"/>
      <c r="G135" s="97"/>
      <c r="H135" s="97"/>
      <c r="I135" s="97"/>
      <c r="J135" s="97"/>
      <c r="K135" s="97"/>
      <c r="L135" s="97"/>
      <c r="M135" s="97"/>
      <c r="N135" s="60"/>
      <c r="O135" s="423"/>
      <c r="P135" s="423"/>
      <c r="Q135" s="423"/>
      <c r="R135" s="423"/>
      <c r="S135" s="422"/>
      <c r="T135" s="391"/>
      <c r="U135" s="293"/>
      <c r="V135" s="121"/>
      <c r="W135" s="121"/>
      <c r="X135" s="422"/>
      <c r="Y135" s="422"/>
      <c r="Z135" s="422"/>
      <c r="AA135" s="422"/>
      <c r="AB135" s="422" t="s">
        <v>361</v>
      </c>
      <c r="AC135" s="422"/>
      <c r="AD135" s="422"/>
      <c r="AE135" s="122" t="s">
        <v>328</v>
      </c>
    </row>
    <row r="136" spans="1:31" s="11" customFormat="1" ht="21" hidden="1" customHeight="1">
      <c r="A136" s="37"/>
      <c r="B136" s="38"/>
      <c r="C136" s="38"/>
      <c r="D136" s="98"/>
      <c r="E136" s="97"/>
      <c r="F136" s="97"/>
      <c r="G136" s="97"/>
      <c r="H136" s="97"/>
      <c r="I136" s="97"/>
      <c r="J136" s="97"/>
      <c r="K136" s="97"/>
      <c r="L136" s="97"/>
      <c r="M136" s="97"/>
      <c r="N136" s="60"/>
      <c r="O136" s="423"/>
      <c r="P136" s="423"/>
      <c r="Q136" s="423"/>
      <c r="R136" s="423"/>
      <c r="S136" s="422"/>
      <c r="T136" s="391"/>
      <c r="U136" s="293"/>
      <c r="V136" s="121"/>
      <c r="W136" s="121"/>
      <c r="X136" s="422"/>
      <c r="Y136" s="422"/>
      <c r="Z136" s="422"/>
      <c r="AA136" s="422"/>
      <c r="AB136" s="422" t="s">
        <v>361</v>
      </c>
      <c r="AC136" s="422"/>
      <c r="AD136" s="422"/>
      <c r="AE136" s="122" t="s">
        <v>328</v>
      </c>
    </row>
    <row r="137" spans="1:31" s="11" customFormat="1" ht="21" hidden="1" customHeight="1">
      <c r="A137" s="37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23"/>
      <c r="P137" s="423"/>
      <c r="Q137" s="423"/>
      <c r="R137" s="423"/>
      <c r="S137" s="422"/>
      <c r="T137" s="391"/>
      <c r="U137" s="293"/>
      <c r="V137" s="121"/>
      <c r="W137" s="121"/>
      <c r="X137" s="422"/>
      <c r="Y137" s="422"/>
      <c r="Z137" s="422"/>
      <c r="AA137" s="422"/>
      <c r="AB137" s="422" t="s">
        <v>361</v>
      </c>
      <c r="AC137" s="422"/>
      <c r="AD137" s="422"/>
      <c r="AE137" s="122" t="s">
        <v>328</v>
      </c>
    </row>
    <row r="138" spans="1:31" s="11" customFormat="1" ht="21" customHeight="1">
      <c r="A138" s="37"/>
      <c r="B138" s="38"/>
      <c r="C138" s="28" t="s">
        <v>50</v>
      </c>
      <c r="D138" s="135">
        <v>3100</v>
      </c>
      <c r="E138" s="102">
        <f>ROUND(AD138/1000,0)</f>
        <v>2100</v>
      </c>
      <c r="F138" s="103">
        <f>SUMIF($AB$139:$AB$143,"보조",$AD$139:$AD$143)/1000</f>
        <v>0</v>
      </c>
      <c r="G138" s="103">
        <f>SUMIF($AB$139:$AB$143,"4종",$AD$139:$AD$143)/1000</f>
        <v>0</v>
      </c>
      <c r="H138" s="103">
        <f>SUMIF($AB$139:$AB$143,"6종",$AD$139:$AD$143)/1000</f>
        <v>0</v>
      </c>
      <c r="I138" s="103">
        <f>SUMIF($AB$139:$AB$143,"후원",$AD$139:$AD$143)/1000</f>
        <v>0</v>
      </c>
      <c r="J138" s="103">
        <f>SUMIF($AB$139:$AB$143,"입소",$AD$139:$AD$143)/1000</f>
        <v>2100</v>
      </c>
      <c r="K138" s="103">
        <f>SUMIF($AB$139:$AB$143,"법인",$AD$139:$AD$143)/1000</f>
        <v>0</v>
      </c>
      <c r="L138" s="103">
        <f>SUMIF($AB$139:$AB$143,"잡수",$AD$139:$AD$143)/1000</f>
        <v>0</v>
      </c>
      <c r="M138" s="112">
        <f>E138-D138</f>
        <v>-1000</v>
      </c>
      <c r="N138" s="109">
        <f>IF(D138=0,0,M138/D138)</f>
        <v>-0.32258064516129031</v>
      </c>
      <c r="O138" s="85" t="s">
        <v>51</v>
      </c>
      <c r="P138" s="153"/>
      <c r="Q138" s="153"/>
      <c r="R138" s="153"/>
      <c r="S138" s="153"/>
      <c r="T138" s="152"/>
      <c r="U138" s="152"/>
      <c r="V138" s="152"/>
      <c r="W138" s="152"/>
      <c r="X138" s="152"/>
      <c r="Y138" s="419" t="s">
        <v>365</v>
      </c>
      <c r="Z138" s="419"/>
      <c r="AA138" s="419"/>
      <c r="AB138" s="419"/>
      <c r="AC138" s="147"/>
      <c r="AD138" s="147">
        <f>SUM(AD139:AD143)</f>
        <v>2100000</v>
      </c>
      <c r="AE138" s="146" t="s">
        <v>25</v>
      </c>
    </row>
    <row r="139" spans="1:31" s="1" customFormat="1" ht="21" customHeight="1">
      <c r="A139" s="37"/>
      <c r="B139" s="38"/>
      <c r="C139" s="38" t="s">
        <v>384</v>
      </c>
      <c r="D139" s="433"/>
      <c r="E139" s="434"/>
      <c r="F139" s="434"/>
      <c r="G139" s="434"/>
      <c r="H139" s="434"/>
      <c r="I139" s="434"/>
      <c r="J139" s="434"/>
      <c r="K139" s="434"/>
      <c r="L139" s="434"/>
      <c r="M139" s="97"/>
      <c r="N139" s="60"/>
      <c r="O139" s="458" t="s">
        <v>480</v>
      </c>
      <c r="P139" s="458"/>
      <c r="Q139" s="458"/>
      <c r="R139" s="458"/>
      <c r="S139" s="457"/>
      <c r="T139" s="462"/>
      <c r="U139" s="462"/>
      <c r="V139" s="457"/>
      <c r="W139" s="458"/>
      <c r="X139" s="457"/>
      <c r="Y139" s="457"/>
      <c r="Z139" s="457"/>
      <c r="AA139" s="457"/>
      <c r="AB139" s="457" t="s">
        <v>481</v>
      </c>
      <c r="AC139" s="457"/>
      <c r="AD139" s="457">
        <v>0</v>
      </c>
      <c r="AE139" s="463" t="s">
        <v>25</v>
      </c>
    </row>
    <row r="140" spans="1:31" s="1" customFormat="1" ht="21" customHeight="1">
      <c r="A140" s="37"/>
      <c r="B140" s="38"/>
      <c r="C140" s="38"/>
      <c r="D140" s="435"/>
      <c r="E140" s="436"/>
      <c r="F140" s="436"/>
      <c r="G140" s="436"/>
      <c r="H140" s="436"/>
      <c r="I140" s="436"/>
      <c r="J140" s="436"/>
      <c r="K140" s="436"/>
      <c r="L140" s="436"/>
      <c r="M140" s="97"/>
      <c r="N140" s="60"/>
      <c r="O140" s="458" t="s">
        <v>445</v>
      </c>
      <c r="P140" s="458"/>
      <c r="Q140" s="458"/>
      <c r="R140" s="458"/>
      <c r="S140" s="457"/>
      <c r="T140" s="462"/>
      <c r="U140" s="462"/>
      <c r="V140" s="457"/>
      <c r="W140" s="458"/>
      <c r="X140" s="457"/>
      <c r="Y140" s="457"/>
      <c r="Z140" s="457"/>
      <c r="AA140" s="457"/>
      <c r="AB140" s="457" t="s">
        <v>421</v>
      </c>
      <c r="AC140" s="457"/>
      <c r="AD140" s="457">
        <v>2000000</v>
      </c>
      <c r="AE140" s="463" t="s">
        <v>25</v>
      </c>
    </row>
    <row r="141" spans="1:31" s="1" customFormat="1" ht="21" customHeight="1">
      <c r="A141" s="37"/>
      <c r="B141" s="38"/>
      <c r="C141" s="38"/>
      <c r="D141" s="133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58" t="s">
        <v>446</v>
      </c>
      <c r="P141" s="458"/>
      <c r="Q141" s="458"/>
      <c r="R141" s="458"/>
      <c r="S141" s="457"/>
      <c r="T141" s="462"/>
      <c r="U141" s="462"/>
      <c r="V141" s="457">
        <v>60000</v>
      </c>
      <c r="W141" s="458" t="s">
        <v>25</v>
      </c>
      <c r="X141" s="457" t="s">
        <v>26</v>
      </c>
      <c r="Y141" s="457">
        <v>1</v>
      </c>
      <c r="Z141" s="457" t="s">
        <v>438</v>
      </c>
      <c r="AA141" s="457" t="s">
        <v>27</v>
      </c>
      <c r="AB141" s="457" t="s">
        <v>421</v>
      </c>
      <c r="AC141" s="457"/>
      <c r="AD141" s="457">
        <f>V141*Y141</f>
        <v>60000</v>
      </c>
      <c r="AE141" s="463" t="s">
        <v>25</v>
      </c>
    </row>
    <row r="142" spans="1:31" s="1" customFormat="1" ht="21" customHeight="1">
      <c r="A142" s="37"/>
      <c r="B142" s="38"/>
      <c r="C142" s="38"/>
      <c r="D142" s="133"/>
      <c r="E142" s="97"/>
      <c r="F142" s="97"/>
      <c r="G142" s="97"/>
      <c r="H142" s="97"/>
      <c r="I142" s="97"/>
      <c r="J142" s="97"/>
      <c r="K142" s="97"/>
      <c r="L142" s="97"/>
      <c r="M142" s="97"/>
      <c r="N142" s="60"/>
      <c r="O142" s="458" t="s">
        <v>447</v>
      </c>
      <c r="P142" s="458"/>
      <c r="Q142" s="458"/>
      <c r="R142" s="458"/>
      <c r="S142" s="457"/>
      <c r="T142" s="462"/>
      <c r="U142" s="462"/>
      <c r="V142" s="457">
        <v>40000</v>
      </c>
      <c r="W142" s="458" t="s">
        <v>25</v>
      </c>
      <c r="X142" s="457" t="s">
        <v>26</v>
      </c>
      <c r="Y142" s="457">
        <v>1</v>
      </c>
      <c r="Z142" s="457" t="s">
        <v>438</v>
      </c>
      <c r="AA142" s="457" t="s">
        <v>27</v>
      </c>
      <c r="AB142" s="457" t="s">
        <v>421</v>
      </c>
      <c r="AC142" s="457"/>
      <c r="AD142" s="457">
        <f>V142*Y142</f>
        <v>40000</v>
      </c>
      <c r="AE142" s="463" t="s">
        <v>25</v>
      </c>
    </row>
    <row r="143" spans="1:31" s="1" customFormat="1" ht="21" customHeight="1">
      <c r="A143" s="37"/>
      <c r="B143" s="38"/>
      <c r="C143" s="38"/>
      <c r="D143" s="133"/>
      <c r="E143" s="97"/>
      <c r="F143" s="97"/>
      <c r="G143" s="97"/>
      <c r="H143" s="97"/>
      <c r="I143" s="97"/>
      <c r="J143" s="97"/>
      <c r="K143" s="97"/>
      <c r="L143" s="97"/>
      <c r="M143" s="97"/>
      <c r="N143" s="60"/>
      <c r="O143" s="423"/>
      <c r="P143" s="423"/>
      <c r="Q143" s="423"/>
      <c r="R143" s="423"/>
      <c r="S143" s="422"/>
      <c r="T143" s="293"/>
      <c r="U143" s="293"/>
      <c r="V143" s="422"/>
      <c r="W143" s="423"/>
      <c r="X143" s="422"/>
      <c r="Y143" s="422"/>
      <c r="Z143" s="422"/>
      <c r="AA143" s="422"/>
      <c r="AB143" s="422"/>
      <c r="AC143" s="422"/>
      <c r="AD143" s="422"/>
      <c r="AE143" s="122"/>
    </row>
    <row r="144" spans="1:31" s="11" customFormat="1" ht="21" customHeight="1">
      <c r="A144" s="159" t="s">
        <v>19</v>
      </c>
      <c r="B144" s="594" t="s">
        <v>20</v>
      </c>
      <c r="C144" s="595"/>
      <c r="D144" s="160">
        <f t="shared" ref="D144:M144" si="7">SUM(D145,D170)</f>
        <v>19001</v>
      </c>
      <c r="E144" s="160">
        <f t="shared" si="7"/>
        <v>18118</v>
      </c>
      <c r="F144" s="160">
        <f t="shared" ca="1" si="7"/>
        <v>4257</v>
      </c>
      <c r="G144" s="160">
        <f t="shared" si="7"/>
        <v>1231.5</v>
      </c>
      <c r="H144" s="160">
        <f t="shared" si="7"/>
        <v>0</v>
      </c>
      <c r="I144" s="160">
        <f t="shared" si="7"/>
        <v>249</v>
      </c>
      <c r="J144" s="160">
        <f t="shared" si="7"/>
        <v>12380</v>
      </c>
      <c r="K144" s="160">
        <f t="shared" si="7"/>
        <v>0</v>
      </c>
      <c r="L144" s="160">
        <f t="shared" si="7"/>
        <v>0</v>
      </c>
      <c r="M144" s="160">
        <f t="shared" si="7"/>
        <v>-883</v>
      </c>
      <c r="N144" s="161">
        <f>IF(D144=0,0,M144/D144)</f>
        <v>-4.6471238355876007E-2</v>
      </c>
      <c r="O144" s="153" t="s">
        <v>385</v>
      </c>
      <c r="P144" s="153"/>
      <c r="Q144" s="153"/>
      <c r="R144" s="153"/>
      <c r="S144" s="153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302">
        <f>SUM(AD145,AD170)</f>
        <v>18118000</v>
      </c>
      <c r="AE144" s="83" t="s">
        <v>25</v>
      </c>
    </row>
    <row r="145" spans="1:31" s="11" customFormat="1" ht="21" customHeight="1">
      <c r="A145" s="38"/>
      <c r="B145" s="28" t="s">
        <v>386</v>
      </c>
      <c r="C145" s="28" t="s">
        <v>387</v>
      </c>
      <c r="D145" s="102">
        <f t="shared" ref="D145:L145" si="8">SUM(D146,D155,D159,D162,D167)</f>
        <v>14081</v>
      </c>
      <c r="E145" s="102">
        <f t="shared" si="8"/>
        <v>14318</v>
      </c>
      <c r="F145" s="102">
        <f t="shared" si="8"/>
        <v>4257</v>
      </c>
      <c r="G145" s="102">
        <f t="shared" si="8"/>
        <v>1231.5</v>
      </c>
      <c r="H145" s="102">
        <f t="shared" si="8"/>
        <v>0</v>
      </c>
      <c r="I145" s="102">
        <f t="shared" si="8"/>
        <v>249</v>
      </c>
      <c r="J145" s="102">
        <f t="shared" si="8"/>
        <v>8580</v>
      </c>
      <c r="K145" s="102">
        <f t="shared" si="8"/>
        <v>0</v>
      </c>
      <c r="L145" s="102">
        <f t="shared" si="8"/>
        <v>0</v>
      </c>
      <c r="M145" s="102">
        <f>E145-D145</f>
        <v>237</v>
      </c>
      <c r="N145" s="109">
        <f>IF(D145=0,0,M145/D145)</f>
        <v>1.6831190966550672E-2</v>
      </c>
      <c r="O145" s="153"/>
      <c r="P145" s="153"/>
      <c r="Q145" s="153"/>
      <c r="R145" s="153"/>
      <c r="S145" s="153"/>
      <c r="T145" s="152"/>
      <c r="U145" s="152"/>
      <c r="V145" s="152"/>
      <c r="W145" s="152"/>
      <c r="X145" s="152"/>
      <c r="Y145" s="152" t="s">
        <v>28</v>
      </c>
      <c r="Z145" s="152"/>
      <c r="AA145" s="152"/>
      <c r="AB145" s="152"/>
      <c r="AC145" s="82"/>
      <c r="AD145" s="444">
        <f>SUM(AD146,AD155,AD159,AD162,AD167)</f>
        <v>14318000</v>
      </c>
      <c r="AE145" s="83" t="s">
        <v>25</v>
      </c>
    </row>
    <row r="146" spans="1:31" s="11" customFormat="1" ht="21" customHeight="1">
      <c r="A146" s="38"/>
      <c r="B146" s="38"/>
      <c r="C146" s="28" t="s">
        <v>388</v>
      </c>
      <c r="D146" s="135">
        <v>10912</v>
      </c>
      <c r="E146" s="102">
        <f>AD146/1000</f>
        <v>12239</v>
      </c>
      <c r="F146" s="103">
        <f>SUMIF($AB$147:$AB$154,"보조",$AD$147:$AD$154)/1000</f>
        <v>4257</v>
      </c>
      <c r="G146" s="103">
        <f>SUMIF($AB$147:$AB$154,"4종",$AD$147:$AD$154)/1000</f>
        <v>871.5</v>
      </c>
      <c r="H146" s="103">
        <f>SUMIF($AB$147:$AB$154,"6종",$AD$147:$AD$154)/1000</f>
        <v>0</v>
      </c>
      <c r="I146" s="103">
        <f>SUMIF($AB$147:$AB$154,"후원",$AD$147:$AD$154)/1000</f>
        <v>150</v>
      </c>
      <c r="J146" s="103">
        <f>SUMIF($AB$147:$AB$154,"입소",$AD$147:$AD$154)/1000</f>
        <v>6960</v>
      </c>
      <c r="K146" s="103">
        <f>SUMIF($AB$147:$AB$154,"법인",$AD$147:$AD$154)/1000</f>
        <v>0</v>
      </c>
      <c r="L146" s="103">
        <f>SUMIF($AB$147:$AB$154,"잡수",$AD$147:$AD$154)/1000</f>
        <v>0</v>
      </c>
      <c r="M146" s="155">
        <f>E146-D146</f>
        <v>1327</v>
      </c>
      <c r="N146" s="109">
        <f>IF(D146=0,0,M146/D146)</f>
        <v>0.12160923753665689</v>
      </c>
      <c r="O146" s="85" t="s">
        <v>389</v>
      </c>
      <c r="P146" s="153"/>
      <c r="Q146" s="153"/>
      <c r="R146" s="153"/>
      <c r="S146" s="153"/>
      <c r="T146" s="152"/>
      <c r="U146" s="152"/>
      <c r="V146" s="152"/>
      <c r="W146" s="152"/>
      <c r="X146" s="152"/>
      <c r="Y146" s="419" t="s">
        <v>390</v>
      </c>
      <c r="Z146" s="419"/>
      <c r="AA146" s="419"/>
      <c r="AB146" s="419"/>
      <c r="AC146" s="147"/>
      <c r="AD146" s="334">
        <f>ROUND(SUM(AD147:AD153),-3)</f>
        <v>12239000</v>
      </c>
      <c r="AE146" s="146" t="s">
        <v>25</v>
      </c>
    </row>
    <row r="147" spans="1:31" s="11" customFormat="1" ht="21" customHeight="1">
      <c r="A147" s="38"/>
      <c r="B147" s="38"/>
      <c r="C147" s="38"/>
      <c r="D147" s="433"/>
      <c r="E147" s="434"/>
      <c r="F147" s="434"/>
      <c r="G147" s="434"/>
      <c r="H147" s="434"/>
      <c r="I147" s="434"/>
      <c r="J147" s="434"/>
      <c r="K147" s="434"/>
      <c r="L147" s="434"/>
      <c r="M147" s="97"/>
      <c r="N147" s="60"/>
      <c r="O147" s="458" t="s">
        <v>448</v>
      </c>
      <c r="P147" s="458"/>
      <c r="Q147" s="457"/>
      <c r="R147" s="457"/>
      <c r="S147" s="457">
        <v>236500</v>
      </c>
      <c r="T147" s="462" t="s">
        <v>25</v>
      </c>
      <c r="U147" s="462" t="s">
        <v>26</v>
      </c>
      <c r="V147" s="457">
        <v>6</v>
      </c>
      <c r="W147" s="458" t="s">
        <v>29</v>
      </c>
      <c r="X147" s="458" t="s">
        <v>26</v>
      </c>
      <c r="Y147" s="478">
        <v>3</v>
      </c>
      <c r="Z147" s="459" t="s">
        <v>108</v>
      </c>
      <c r="AA147" s="459" t="s">
        <v>27</v>
      </c>
      <c r="AB147" s="457" t="s">
        <v>430</v>
      </c>
      <c r="AC147" s="431"/>
      <c r="AD147" s="483">
        <f>S147*V147*Y147</f>
        <v>4257000</v>
      </c>
      <c r="AE147" s="463" t="s">
        <v>25</v>
      </c>
    </row>
    <row r="148" spans="1:31" s="11" customFormat="1" ht="21" customHeight="1">
      <c r="A148" s="38"/>
      <c r="B148" s="38"/>
      <c r="C148" s="38"/>
      <c r="D148" s="435"/>
      <c r="E148" s="436"/>
      <c r="F148" s="436"/>
      <c r="G148" s="436"/>
      <c r="H148" s="436"/>
      <c r="I148" s="436"/>
      <c r="J148" s="436"/>
      <c r="K148" s="436"/>
      <c r="L148" s="436"/>
      <c r="M148" s="97"/>
      <c r="N148" s="60"/>
      <c r="O148" s="458" t="s">
        <v>448</v>
      </c>
      <c r="P148" s="458"/>
      <c r="Q148" s="458"/>
      <c r="R148" s="458"/>
      <c r="S148" s="457">
        <v>250000</v>
      </c>
      <c r="T148" s="462" t="s">
        <v>25</v>
      </c>
      <c r="U148" s="462" t="s">
        <v>26</v>
      </c>
      <c r="V148" s="457">
        <v>6</v>
      </c>
      <c r="W148" s="458" t="s">
        <v>29</v>
      </c>
      <c r="X148" s="458" t="s">
        <v>26</v>
      </c>
      <c r="Y148" s="478">
        <v>4</v>
      </c>
      <c r="Z148" s="459" t="s">
        <v>108</v>
      </c>
      <c r="AA148" s="459" t="s">
        <v>27</v>
      </c>
      <c r="AB148" s="457" t="s">
        <v>421</v>
      </c>
      <c r="AC148" s="431"/>
      <c r="AD148" s="431">
        <f>S148*V148*Y148</f>
        <v>6000000</v>
      </c>
      <c r="AE148" s="463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8" t="s">
        <v>449</v>
      </c>
      <c r="P149" s="458"/>
      <c r="Q149" s="457"/>
      <c r="R149" s="457"/>
      <c r="S149" s="457">
        <v>182500</v>
      </c>
      <c r="T149" s="462" t="s">
        <v>25</v>
      </c>
      <c r="U149" s="462" t="s">
        <v>26</v>
      </c>
      <c r="V149" s="457"/>
      <c r="W149" s="458"/>
      <c r="X149" s="458"/>
      <c r="Y149" s="478">
        <v>3</v>
      </c>
      <c r="Z149" s="459" t="s">
        <v>108</v>
      </c>
      <c r="AA149" s="459" t="s">
        <v>27</v>
      </c>
      <c r="AB149" s="457" t="s">
        <v>290</v>
      </c>
      <c r="AC149" s="431"/>
      <c r="AD149" s="431">
        <f>S149*Y149</f>
        <v>547500</v>
      </c>
      <c r="AE149" s="463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479" t="s">
        <v>450</v>
      </c>
      <c r="P150" s="479"/>
      <c r="Q150" s="479"/>
      <c r="R150" s="479"/>
      <c r="S150" s="432">
        <v>20000</v>
      </c>
      <c r="T150" s="480" t="s">
        <v>25</v>
      </c>
      <c r="U150" s="480" t="s">
        <v>26</v>
      </c>
      <c r="V150" s="432">
        <v>12</v>
      </c>
      <c r="W150" s="479" t="s">
        <v>29</v>
      </c>
      <c r="X150" s="479" t="s">
        <v>26</v>
      </c>
      <c r="Y150" s="481">
        <v>4</v>
      </c>
      <c r="Z150" s="482" t="s">
        <v>108</v>
      </c>
      <c r="AA150" s="482" t="s">
        <v>27</v>
      </c>
      <c r="AB150" s="432" t="s">
        <v>421</v>
      </c>
      <c r="AC150" s="483"/>
      <c r="AD150" s="483">
        <f>S150*V150*Y150</f>
        <v>960000</v>
      </c>
      <c r="AE150" s="484" t="s">
        <v>25</v>
      </c>
    </row>
    <row r="151" spans="1:31" s="11" customFormat="1" ht="21" customHeight="1">
      <c r="A151" s="38"/>
      <c r="B151" s="38"/>
      <c r="C151" s="38"/>
      <c r="D151" s="98"/>
      <c r="E151" s="97"/>
      <c r="F151" s="97"/>
      <c r="G151" s="97"/>
      <c r="H151" s="97"/>
      <c r="I151" s="97"/>
      <c r="J151" s="97"/>
      <c r="K151" s="97"/>
      <c r="L151" s="97"/>
      <c r="M151" s="97"/>
      <c r="N151" s="60"/>
      <c r="O151" s="458" t="s">
        <v>451</v>
      </c>
      <c r="P151" s="458"/>
      <c r="Q151" s="457"/>
      <c r="R151" s="457"/>
      <c r="S151" s="457">
        <v>60000</v>
      </c>
      <c r="T151" s="462" t="s">
        <v>25</v>
      </c>
      <c r="U151" s="462" t="s">
        <v>26</v>
      </c>
      <c r="V151" s="457"/>
      <c r="W151" s="458"/>
      <c r="X151" s="458"/>
      <c r="Y151" s="478">
        <v>3</v>
      </c>
      <c r="Z151" s="459" t="s">
        <v>108</v>
      </c>
      <c r="AA151" s="459" t="s">
        <v>27</v>
      </c>
      <c r="AB151" s="457" t="s">
        <v>290</v>
      </c>
      <c r="AC151" s="431"/>
      <c r="AD151" s="431">
        <f>S151*Y151</f>
        <v>180000</v>
      </c>
      <c r="AE151" s="463" t="s">
        <v>25</v>
      </c>
    </row>
    <row r="152" spans="1:31" s="11" customFormat="1" ht="21" customHeight="1">
      <c r="A152" s="38"/>
      <c r="B152" s="38"/>
      <c r="C152" s="38"/>
      <c r="D152" s="98"/>
      <c r="E152" s="97"/>
      <c r="F152" s="97"/>
      <c r="G152" s="97"/>
      <c r="H152" s="97"/>
      <c r="I152" s="97"/>
      <c r="J152" s="97"/>
      <c r="K152" s="97"/>
      <c r="L152" s="97"/>
      <c r="M152" s="97"/>
      <c r="N152" s="60"/>
      <c r="O152" s="458" t="s">
        <v>452</v>
      </c>
      <c r="P152" s="458"/>
      <c r="Q152" s="457"/>
      <c r="R152" s="457"/>
      <c r="S152" s="457"/>
      <c r="T152" s="462"/>
      <c r="U152" s="462"/>
      <c r="V152" s="457"/>
      <c r="W152" s="458"/>
      <c r="X152" s="458"/>
      <c r="Y152" s="478"/>
      <c r="Z152" s="459"/>
      <c r="AA152" s="459"/>
      <c r="AB152" s="457" t="s">
        <v>514</v>
      </c>
      <c r="AC152" s="431"/>
      <c r="AD152" s="431">
        <v>150000</v>
      </c>
      <c r="AE152" s="463" t="s">
        <v>25</v>
      </c>
    </row>
    <row r="153" spans="1:31" s="11" customFormat="1" ht="21" customHeight="1">
      <c r="A153" s="38"/>
      <c r="B153" s="38"/>
      <c r="C153" s="38"/>
      <c r="D153" s="98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58" t="s">
        <v>453</v>
      </c>
      <c r="P153" s="458"/>
      <c r="Q153" s="457"/>
      <c r="R153" s="457"/>
      <c r="S153" s="457">
        <v>48000</v>
      </c>
      <c r="T153" s="462" t="s">
        <v>25</v>
      </c>
      <c r="U153" s="462" t="s">
        <v>26</v>
      </c>
      <c r="V153" s="457"/>
      <c r="W153" s="458"/>
      <c r="X153" s="458"/>
      <c r="Y153" s="478">
        <v>3</v>
      </c>
      <c r="Z153" s="459" t="s">
        <v>108</v>
      </c>
      <c r="AA153" s="459" t="s">
        <v>27</v>
      </c>
      <c r="AB153" s="457" t="s">
        <v>290</v>
      </c>
      <c r="AC153" s="431"/>
      <c r="AD153" s="431">
        <f>S153*Y153</f>
        <v>144000</v>
      </c>
      <c r="AE153" s="463" t="s">
        <v>25</v>
      </c>
    </row>
    <row r="154" spans="1:31" s="11" customFormat="1" ht="21" customHeight="1">
      <c r="A154" s="38"/>
      <c r="B154" s="38"/>
      <c r="C154" s="49"/>
      <c r="D154" s="134"/>
      <c r="E154" s="100"/>
      <c r="F154" s="100"/>
      <c r="G154" s="100"/>
      <c r="H154" s="100"/>
      <c r="I154" s="100"/>
      <c r="J154" s="100"/>
      <c r="K154" s="100"/>
      <c r="L154" s="100"/>
      <c r="M154" s="100"/>
      <c r="N154" s="75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392"/>
      <c r="AE154" s="113"/>
    </row>
    <row r="155" spans="1:31" s="11" customFormat="1" ht="21" customHeight="1">
      <c r="A155" s="38"/>
      <c r="B155" s="38"/>
      <c r="C155" s="38" t="s">
        <v>391</v>
      </c>
      <c r="D155" s="133">
        <v>1105</v>
      </c>
      <c r="E155" s="97">
        <f>ROUND(AD155/1000,0)</f>
        <v>499</v>
      </c>
      <c r="F155" s="103">
        <f>SUMIF($AB$156:$AB$158,"보조",$AD$156:$AD$158)/1000</f>
        <v>0</v>
      </c>
      <c r="G155" s="103">
        <f>SUMIF($AB$156:$AB$158,"4종",$AD$156:$AD$158)/1000</f>
        <v>0</v>
      </c>
      <c r="H155" s="103">
        <f>SUMIF($AB$156:$AB$158,"6종",$AD$156:$AD$158)/1000</f>
        <v>0</v>
      </c>
      <c r="I155" s="103">
        <f>SUMIF($AB$156:$AB$158,"후원",$AD$156:$AD$158)/1000</f>
        <v>99</v>
      </c>
      <c r="J155" s="103">
        <f>SUMIF($AB$156:$AB$158,"입소",$AD$156:$AD$158)/1000</f>
        <v>400</v>
      </c>
      <c r="K155" s="103">
        <f>SUMIF($AB$156:$AB$158,"법인",$AD$156:$AD$158)/1000</f>
        <v>0</v>
      </c>
      <c r="L155" s="103">
        <f>SUMIF($AB$156:$AB$158,"잡수",$AD$156:$AD$158)/1000</f>
        <v>0</v>
      </c>
      <c r="M155" s="97">
        <f>E155-D155</f>
        <v>-606</v>
      </c>
      <c r="N155" s="60">
        <f>IF(D155=0,0,M155/D155)</f>
        <v>-0.54841628959276023</v>
      </c>
      <c r="O155" s="85" t="s">
        <v>392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19" t="s">
        <v>378</v>
      </c>
      <c r="Z155" s="419"/>
      <c r="AA155" s="419"/>
      <c r="AB155" s="419"/>
      <c r="AC155" s="147"/>
      <c r="AD155" s="304">
        <f>SUM(AD156:AD158)</f>
        <v>499000</v>
      </c>
      <c r="AE155" s="146" t="s">
        <v>25</v>
      </c>
    </row>
    <row r="156" spans="1:31" s="11" customFormat="1" ht="21" customHeight="1">
      <c r="A156" s="38"/>
      <c r="B156" s="38"/>
      <c r="C156" s="38" t="s">
        <v>393</v>
      </c>
      <c r="D156" s="433"/>
      <c r="E156" s="434"/>
      <c r="F156" s="434"/>
      <c r="G156" s="434"/>
      <c r="H156" s="434"/>
      <c r="I156" s="434"/>
      <c r="J156" s="434"/>
      <c r="K156" s="434"/>
      <c r="L156" s="434"/>
      <c r="M156" s="97"/>
      <c r="N156" s="60"/>
      <c r="O156" s="458" t="s">
        <v>454</v>
      </c>
      <c r="P156" s="458"/>
      <c r="Q156" s="458"/>
      <c r="R156" s="458"/>
      <c r="S156" s="457"/>
      <c r="T156" s="462"/>
      <c r="U156" s="462"/>
      <c r="V156" s="457"/>
      <c r="W156" s="457"/>
      <c r="X156" s="457"/>
      <c r="Y156" s="457"/>
      <c r="Z156" s="457"/>
      <c r="AA156" s="457"/>
      <c r="AB156" s="457" t="s">
        <v>455</v>
      </c>
      <c r="AC156" s="457"/>
      <c r="AD156" s="457">
        <v>99000</v>
      </c>
      <c r="AE156" s="463" t="s">
        <v>25</v>
      </c>
    </row>
    <row r="157" spans="1:31" s="11" customFormat="1" ht="21" customHeight="1">
      <c r="A157" s="38"/>
      <c r="B157" s="38"/>
      <c r="C157" s="38"/>
      <c r="D157" s="435"/>
      <c r="E157" s="436"/>
      <c r="F157" s="436"/>
      <c r="G157" s="436"/>
      <c r="H157" s="436"/>
      <c r="I157" s="436"/>
      <c r="J157" s="436"/>
      <c r="K157" s="436"/>
      <c r="L157" s="436"/>
      <c r="M157" s="97"/>
      <c r="N157" s="60"/>
      <c r="O157" s="458" t="s">
        <v>456</v>
      </c>
      <c r="P157" s="458"/>
      <c r="Q157" s="458"/>
      <c r="R157" s="458"/>
      <c r="S157" s="457"/>
      <c r="T157" s="462"/>
      <c r="U157" s="462"/>
      <c r="V157" s="457"/>
      <c r="W157" s="457"/>
      <c r="X157" s="457"/>
      <c r="Y157" s="457"/>
      <c r="Z157" s="457"/>
      <c r="AA157" s="457"/>
      <c r="AB157" s="457" t="s">
        <v>421</v>
      </c>
      <c r="AC157" s="457"/>
      <c r="AD157" s="457">
        <v>400000</v>
      </c>
      <c r="AE157" s="463" t="s">
        <v>25</v>
      </c>
    </row>
    <row r="158" spans="1:31" s="11" customFormat="1" ht="21" customHeight="1">
      <c r="A158" s="38"/>
      <c r="B158" s="38"/>
      <c r="C158" s="38"/>
      <c r="D158" s="133"/>
      <c r="E158" s="97"/>
      <c r="F158" s="97"/>
      <c r="G158" s="97"/>
      <c r="H158" s="97"/>
      <c r="I158" s="97"/>
      <c r="J158" s="97"/>
      <c r="K158" s="97"/>
      <c r="L158" s="97"/>
      <c r="M158" s="97"/>
      <c r="N158" s="60"/>
      <c r="O158" s="276"/>
      <c r="P158" s="276"/>
      <c r="Q158" s="276"/>
      <c r="R158" s="276"/>
      <c r="S158" s="295"/>
      <c r="T158" s="296"/>
      <c r="U158" s="282"/>
      <c r="V158" s="297"/>
      <c r="W158" s="295"/>
      <c r="X158" s="295"/>
      <c r="Y158" s="295"/>
      <c r="Z158" s="295"/>
      <c r="AA158" s="295"/>
      <c r="AB158" s="295"/>
      <c r="AC158" s="295"/>
      <c r="AD158" s="295"/>
      <c r="AE158" s="298"/>
    </row>
    <row r="159" spans="1:31" s="11" customFormat="1" ht="21" customHeight="1">
      <c r="A159" s="38"/>
      <c r="B159" s="38"/>
      <c r="C159" s="28" t="s">
        <v>394</v>
      </c>
      <c r="D159" s="135">
        <v>1420</v>
      </c>
      <c r="E159" s="102">
        <f>ROUND(AD159/1000,0)</f>
        <v>940</v>
      </c>
      <c r="F159" s="103">
        <f>SUMIF($AB$160:$AB$161,"보조",$AD$160:$AD$161)/1000</f>
        <v>0</v>
      </c>
      <c r="G159" s="103">
        <f>SUMIF($AB$160:$AB$161,"4종",$AD$160:$AD$161)/1000</f>
        <v>240</v>
      </c>
      <c r="H159" s="103">
        <f>SUMIF($AB$160:$AB$161,"6종",$AD$160:$AD$161)/1000</f>
        <v>0</v>
      </c>
      <c r="I159" s="103">
        <f>SUMIF($AB$160:$AB$161,"후원",$AD$160:$AD$161)/1000</f>
        <v>0</v>
      </c>
      <c r="J159" s="103">
        <f>SUMIF($AB$160:$AB$161,"입소",$AD$160:$AD$161)/1000</f>
        <v>700</v>
      </c>
      <c r="K159" s="103">
        <f>SUMIF($AB$160:$AB$161,"법인",$AD$160:$AD$161)/1000</f>
        <v>0</v>
      </c>
      <c r="L159" s="103">
        <f>SUMIF($AB$160:$AB$161,"잡수",$AD$160:$AD$161)/1000</f>
        <v>0</v>
      </c>
      <c r="M159" s="102">
        <f>E159-D159</f>
        <v>-480</v>
      </c>
      <c r="N159" s="109">
        <f>IF(D159=0,0,M159/D159)</f>
        <v>-0.3380281690140845</v>
      </c>
      <c r="O159" s="85" t="s">
        <v>105</v>
      </c>
      <c r="P159" s="420"/>
      <c r="Q159" s="153"/>
      <c r="R159" s="153"/>
      <c r="S159" s="153"/>
      <c r="T159" s="152"/>
      <c r="U159" s="152"/>
      <c r="V159" s="152"/>
      <c r="W159" s="152"/>
      <c r="X159" s="152"/>
      <c r="Y159" s="419" t="s">
        <v>378</v>
      </c>
      <c r="Z159" s="419"/>
      <c r="AA159" s="419"/>
      <c r="AB159" s="419"/>
      <c r="AC159" s="147"/>
      <c r="AD159" s="147">
        <f>SUM(AD160:AD161)</f>
        <v>940000</v>
      </c>
      <c r="AE159" s="146" t="s">
        <v>25</v>
      </c>
    </row>
    <row r="160" spans="1:31" s="11" customFormat="1" ht="21" customHeight="1">
      <c r="A160" s="38"/>
      <c r="B160" s="38"/>
      <c r="C160" s="38"/>
      <c r="D160" s="98"/>
      <c r="E160" s="97"/>
      <c r="F160" s="97"/>
      <c r="G160" s="97"/>
      <c r="H160" s="97"/>
      <c r="I160" s="97"/>
      <c r="J160" s="97"/>
      <c r="K160" s="97"/>
      <c r="L160" s="97"/>
      <c r="M160" s="97"/>
      <c r="N160" s="60"/>
      <c r="O160" s="458" t="s">
        <v>457</v>
      </c>
      <c r="P160" s="458"/>
      <c r="Q160" s="457"/>
      <c r="R160" s="457"/>
      <c r="S160" s="457">
        <v>175000</v>
      </c>
      <c r="T160" s="457" t="s">
        <v>25</v>
      </c>
      <c r="U160" s="458" t="s">
        <v>26</v>
      </c>
      <c r="V160" s="457">
        <v>4</v>
      </c>
      <c r="W160" s="457" t="s">
        <v>108</v>
      </c>
      <c r="X160" s="458"/>
      <c r="Y160" s="457"/>
      <c r="Z160" s="457"/>
      <c r="AA160" s="457" t="s">
        <v>27</v>
      </c>
      <c r="AB160" s="457" t="s">
        <v>421</v>
      </c>
      <c r="AC160" s="431"/>
      <c r="AD160" s="431">
        <f>S160*V160</f>
        <v>700000</v>
      </c>
      <c r="AE160" s="463" t="s">
        <v>25</v>
      </c>
    </row>
    <row r="161" spans="1:31" s="11" customFormat="1" ht="21" customHeight="1">
      <c r="A161" s="38"/>
      <c r="B161" s="38"/>
      <c r="C161" s="38"/>
      <c r="D161" s="133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58"/>
      <c r="P161" s="458"/>
      <c r="Q161" s="457"/>
      <c r="R161" s="457"/>
      <c r="S161" s="457">
        <v>80000</v>
      </c>
      <c r="T161" s="457" t="s">
        <v>25</v>
      </c>
      <c r="U161" s="458" t="s">
        <v>26</v>
      </c>
      <c r="V161" s="457">
        <v>3</v>
      </c>
      <c r="W161" s="457" t="s">
        <v>108</v>
      </c>
      <c r="X161" s="458"/>
      <c r="Y161" s="457"/>
      <c r="Z161" s="457"/>
      <c r="AA161" s="457" t="s">
        <v>27</v>
      </c>
      <c r="AB161" s="457" t="s">
        <v>290</v>
      </c>
      <c r="AC161" s="431"/>
      <c r="AD161" s="431">
        <f>S161*V161</f>
        <v>240000</v>
      </c>
      <c r="AE161" s="463" t="s">
        <v>25</v>
      </c>
    </row>
    <row r="162" spans="1:31" s="11" customFormat="1" ht="21" customHeight="1">
      <c r="A162" s="38"/>
      <c r="B162" s="38"/>
      <c r="C162" s="28" t="s">
        <v>395</v>
      </c>
      <c r="D162" s="135">
        <v>620</v>
      </c>
      <c r="E162" s="102">
        <f>ROUND(AD162/1000,0)</f>
        <v>580</v>
      </c>
      <c r="F162" s="103">
        <f>SUMIF($AB$163:$AB$166,"보조",$AD$163:$AD$166)/1000</f>
        <v>0</v>
      </c>
      <c r="G162" s="103">
        <f>SUMIF($AB$163:$AB$166,"4종",$AD$163:$AD$166)/1000</f>
        <v>120</v>
      </c>
      <c r="H162" s="103">
        <f>SUMIF($AB$163:$AB$166,"6종",$AD$163:$AD$166)/1000</f>
        <v>0</v>
      </c>
      <c r="I162" s="103">
        <f>SUMIF($AB$163:$AB$166,"후원",$AD$163:$AD$166)/1000</f>
        <v>0</v>
      </c>
      <c r="J162" s="103">
        <f>SUMIF($AB$163:$AB$166,"입소",$AD$163:$AD$166)/1000</f>
        <v>460</v>
      </c>
      <c r="K162" s="103">
        <f>SUMIF($AB$163:$AB$166,"법인",$AD$163:$AD$166)/1000</f>
        <v>0</v>
      </c>
      <c r="L162" s="103">
        <f>SUMIF($AB$163:$AB$166,"잡수",$AD$163:$AD$166)/1000</f>
        <v>0</v>
      </c>
      <c r="M162" s="102">
        <f>E162-D162</f>
        <v>-40</v>
      </c>
      <c r="N162" s="109">
        <f>IF(D162=0,0,M162/D162)</f>
        <v>-6.4516129032258063E-2</v>
      </c>
      <c r="O162" s="85" t="s">
        <v>396</v>
      </c>
      <c r="P162" s="420"/>
      <c r="Q162" s="153"/>
      <c r="R162" s="153"/>
      <c r="S162" s="153"/>
      <c r="T162" s="152"/>
      <c r="U162" s="152"/>
      <c r="V162" s="152"/>
      <c r="W162" s="152"/>
      <c r="X162" s="152"/>
      <c r="Y162" s="419" t="s">
        <v>397</v>
      </c>
      <c r="Z162" s="419"/>
      <c r="AA162" s="419"/>
      <c r="AB162" s="419"/>
      <c r="AC162" s="147"/>
      <c r="AD162" s="147">
        <f>SUM(AD163:AD165)</f>
        <v>580000</v>
      </c>
      <c r="AE162" s="146" t="s">
        <v>25</v>
      </c>
    </row>
    <row r="163" spans="1:31" s="13" customFormat="1" ht="21" customHeight="1">
      <c r="A163" s="38"/>
      <c r="B163" s="38"/>
      <c r="C163" s="38"/>
      <c r="D163" s="433"/>
      <c r="E163" s="434"/>
      <c r="F163" s="434"/>
      <c r="G163" s="434"/>
      <c r="H163" s="434"/>
      <c r="I163" s="434"/>
      <c r="J163" s="434"/>
      <c r="K163" s="434"/>
      <c r="L163" s="434"/>
      <c r="M163" s="97"/>
      <c r="N163" s="60"/>
      <c r="O163" s="458" t="s">
        <v>458</v>
      </c>
      <c r="P163" s="458"/>
      <c r="Q163" s="457"/>
      <c r="R163" s="457"/>
      <c r="S163" s="457">
        <v>40000</v>
      </c>
      <c r="T163" s="457" t="s">
        <v>25</v>
      </c>
      <c r="U163" s="458" t="s">
        <v>26</v>
      </c>
      <c r="V163" s="457">
        <v>1</v>
      </c>
      <c r="W163" s="457" t="s">
        <v>438</v>
      </c>
      <c r="X163" s="458" t="s">
        <v>26</v>
      </c>
      <c r="Y163" s="457">
        <v>4</v>
      </c>
      <c r="Z163" s="457" t="s">
        <v>108</v>
      </c>
      <c r="AA163" s="457" t="s">
        <v>27</v>
      </c>
      <c r="AB163" s="457" t="s">
        <v>421</v>
      </c>
      <c r="AC163" s="431"/>
      <c r="AD163" s="431">
        <f>S163*V163*Y163</f>
        <v>160000</v>
      </c>
      <c r="AE163" s="463" t="s">
        <v>25</v>
      </c>
    </row>
    <row r="164" spans="1:31" s="13" customFormat="1" ht="21" customHeight="1">
      <c r="A164" s="38"/>
      <c r="B164" s="38"/>
      <c r="C164" s="38"/>
      <c r="D164" s="435"/>
      <c r="E164" s="436"/>
      <c r="F164" s="436"/>
      <c r="G164" s="436"/>
      <c r="H164" s="436"/>
      <c r="I164" s="436"/>
      <c r="J164" s="436"/>
      <c r="K164" s="436"/>
      <c r="L164" s="436"/>
      <c r="M164" s="97"/>
      <c r="N164" s="273"/>
      <c r="O164" s="476" t="s">
        <v>482</v>
      </c>
      <c r="P164" s="458"/>
      <c r="Q164" s="458"/>
      <c r="R164" s="458"/>
      <c r="S164" s="457">
        <v>40000</v>
      </c>
      <c r="T164" s="457" t="s">
        <v>25</v>
      </c>
      <c r="U164" s="458" t="s">
        <v>26</v>
      </c>
      <c r="V164" s="457"/>
      <c r="W164" s="457"/>
      <c r="X164" s="458"/>
      <c r="Y164" s="457">
        <v>3</v>
      </c>
      <c r="Z164" s="457" t="s">
        <v>108</v>
      </c>
      <c r="AA164" s="459"/>
      <c r="AB164" s="457" t="s">
        <v>290</v>
      </c>
      <c r="AC164" s="431"/>
      <c r="AD164" s="457">
        <f>S164*Y164</f>
        <v>120000</v>
      </c>
      <c r="AE164" s="463" t="s">
        <v>25</v>
      </c>
    </row>
    <row r="165" spans="1:31" s="13" customFormat="1" ht="21" customHeight="1">
      <c r="A165" s="38"/>
      <c r="B165" s="38"/>
      <c r="C165" s="38"/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76" t="s">
        <v>459</v>
      </c>
      <c r="P165" s="458"/>
      <c r="Q165" s="458"/>
      <c r="R165" s="458"/>
      <c r="S165" s="457"/>
      <c r="T165" s="457"/>
      <c r="U165" s="458"/>
      <c r="V165" s="457"/>
      <c r="W165" s="457"/>
      <c r="X165" s="458"/>
      <c r="Y165" s="478"/>
      <c r="Z165" s="459"/>
      <c r="AA165" s="459"/>
      <c r="AB165" s="457" t="s">
        <v>421</v>
      </c>
      <c r="AC165" s="431"/>
      <c r="AD165" s="457">
        <v>300000</v>
      </c>
      <c r="AE165" s="463" t="s">
        <v>25</v>
      </c>
    </row>
    <row r="166" spans="1:31" s="11" customFormat="1" ht="21" customHeight="1">
      <c r="A166" s="38"/>
      <c r="B166" s="38"/>
      <c r="C166" s="49"/>
      <c r="D166" s="134"/>
      <c r="E166" s="140"/>
      <c r="F166" s="140"/>
      <c r="G166" s="140"/>
      <c r="H166" s="140"/>
      <c r="I166" s="140"/>
      <c r="J166" s="140"/>
      <c r="K166" s="140"/>
      <c r="L166" s="140"/>
      <c r="M166" s="118"/>
      <c r="N166" s="75"/>
      <c r="O166" s="393"/>
      <c r="P166" s="393"/>
      <c r="Q166" s="393"/>
      <c r="R166" s="393"/>
      <c r="S166" s="393"/>
      <c r="T166" s="119"/>
      <c r="U166" s="422"/>
      <c r="V166" s="289"/>
      <c r="W166" s="422"/>
      <c r="X166" s="422"/>
      <c r="Y166" s="422"/>
      <c r="Z166" s="422"/>
      <c r="AA166" s="422"/>
      <c r="AB166" s="422"/>
      <c r="AC166" s="422"/>
      <c r="AD166" s="422"/>
      <c r="AE166" s="122"/>
    </row>
    <row r="167" spans="1:31" s="11" customFormat="1" ht="21" customHeight="1">
      <c r="A167" s="38"/>
      <c r="B167" s="38"/>
      <c r="C167" s="38" t="s">
        <v>398</v>
      </c>
      <c r="D167" s="116">
        <v>24</v>
      </c>
      <c r="E167" s="97">
        <f>ROUND(AD167/1000,0)</f>
        <v>60</v>
      </c>
      <c r="F167" s="103">
        <f>SUMIF($AB$168:$AB$169,"보조",$AD$168:$AD$169)/1000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60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97">
        <f>E167-D167</f>
        <v>36</v>
      </c>
      <c r="N167" s="60">
        <f>IF(D167=0,0,M167/D167)</f>
        <v>1.5</v>
      </c>
      <c r="O167" s="85" t="s">
        <v>399</v>
      </c>
      <c r="P167" s="153"/>
      <c r="Q167" s="153"/>
      <c r="R167" s="153"/>
      <c r="S167" s="153"/>
      <c r="T167" s="152"/>
      <c r="U167" s="152"/>
      <c r="V167" s="152"/>
      <c r="W167" s="152"/>
      <c r="X167" s="152"/>
      <c r="Y167" s="419" t="s">
        <v>397</v>
      </c>
      <c r="Z167" s="419"/>
      <c r="AA167" s="419"/>
      <c r="AB167" s="419"/>
      <c r="AC167" s="147"/>
      <c r="AD167" s="147">
        <f>SUM(AD168:AD169)</f>
        <v>60000</v>
      </c>
      <c r="AE167" s="146" t="s">
        <v>25</v>
      </c>
    </row>
    <row r="168" spans="1:31" s="11" customFormat="1" ht="21" customHeight="1">
      <c r="A168" s="38"/>
      <c r="B168" s="38"/>
      <c r="C168" s="38"/>
      <c r="D168" s="433"/>
      <c r="E168" s="434"/>
      <c r="F168" s="434"/>
      <c r="G168" s="434"/>
      <c r="H168" s="434"/>
      <c r="I168" s="434"/>
      <c r="J168" s="434"/>
      <c r="K168" s="434"/>
      <c r="L168" s="434"/>
      <c r="M168" s="97"/>
      <c r="N168" s="60"/>
      <c r="O168" s="458" t="s">
        <v>460</v>
      </c>
      <c r="P168" s="458"/>
      <c r="Q168" s="458"/>
      <c r="R168" s="458"/>
      <c r="S168" s="457">
        <v>10000</v>
      </c>
      <c r="T168" s="462" t="s">
        <v>25</v>
      </c>
      <c r="U168" s="462" t="s">
        <v>26</v>
      </c>
      <c r="V168" s="457">
        <v>6</v>
      </c>
      <c r="W168" s="457" t="s">
        <v>29</v>
      </c>
      <c r="X168" s="459"/>
      <c r="Y168" s="485"/>
      <c r="Z168" s="486"/>
      <c r="AA168" s="487" t="s">
        <v>27</v>
      </c>
      <c r="AB168" s="457" t="s">
        <v>421</v>
      </c>
      <c r="AC168" s="457"/>
      <c r="AD168" s="457">
        <f>S168*V168</f>
        <v>60000</v>
      </c>
      <c r="AE168" s="463" t="s">
        <v>25</v>
      </c>
    </row>
    <row r="169" spans="1:31" s="11" customFormat="1" ht="21" customHeight="1">
      <c r="A169" s="38"/>
      <c r="B169" s="38"/>
      <c r="C169" s="38"/>
      <c r="D169" s="133"/>
      <c r="E169" s="97"/>
      <c r="F169" s="97"/>
      <c r="G169" s="97"/>
      <c r="H169" s="97"/>
      <c r="I169" s="97"/>
      <c r="J169" s="97"/>
      <c r="K169" s="97"/>
      <c r="L169" s="97"/>
      <c r="M169" s="97"/>
      <c r="N169" s="60"/>
      <c r="O169" s="423"/>
      <c r="P169" s="423"/>
      <c r="Q169" s="423"/>
      <c r="R169" s="423"/>
      <c r="S169" s="422"/>
      <c r="T169" s="293"/>
      <c r="U169" s="423"/>
      <c r="V169" s="422"/>
      <c r="W169" s="423"/>
      <c r="X169" s="422"/>
      <c r="Y169" s="422"/>
      <c r="Z169" s="422"/>
      <c r="AA169" s="422"/>
      <c r="AB169" s="422"/>
      <c r="AC169" s="422"/>
      <c r="AD169" s="422"/>
      <c r="AE169" s="122"/>
    </row>
    <row r="170" spans="1:31" s="11" customFormat="1" ht="21" customHeight="1">
      <c r="A170" s="38"/>
      <c r="B170" s="28" t="s">
        <v>400</v>
      </c>
      <c r="C170" s="143" t="s">
        <v>401</v>
      </c>
      <c r="D170" s="144">
        <f t="shared" ref="D170:M170" si="9">SUM(D171,D175,D176,D178,D181,D187,D192,D195)</f>
        <v>4920</v>
      </c>
      <c r="E170" s="144">
        <f t="shared" si="9"/>
        <v>3800</v>
      </c>
      <c r="F170" s="144">
        <f t="shared" ca="1" si="9"/>
        <v>0</v>
      </c>
      <c r="G170" s="144">
        <f t="shared" si="9"/>
        <v>0</v>
      </c>
      <c r="H170" s="144">
        <f t="shared" si="9"/>
        <v>0</v>
      </c>
      <c r="I170" s="144">
        <f t="shared" si="9"/>
        <v>0</v>
      </c>
      <c r="J170" s="144">
        <f t="shared" si="9"/>
        <v>3800</v>
      </c>
      <c r="K170" s="144">
        <f t="shared" si="9"/>
        <v>0</v>
      </c>
      <c r="L170" s="144">
        <f t="shared" si="9"/>
        <v>0</v>
      </c>
      <c r="M170" s="144">
        <f t="shared" si="9"/>
        <v>-1120</v>
      </c>
      <c r="N170" s="145">
        <f>IF(D170=0,0,M170/D170)</f>
        <v>-0.22764227642276422</v>
      </c>
      <c r="O170" s="420"/>
      <c r="P170" s="420"/>
      <c r="Q170" s="420"/>
      <c r="R170" s="420"/>
      <c r="S170" s="420"/>
      <c r="T170" s="419"/>
      <c r="U170" s="419"/>
      <c r="V170" s="419"/>
      <c r="W170" s="419"/>
      <c r="X170" s="419"/>
      <c r="Y170" s="419" t="s">
        <v>28</v>
      </c>
      <c r="Z170" s="419"/>
      <c r="AA170" s="419"/>
      <c r="AB170" s="419"/>
      <c r="AC170" s="147"/>
      <c r="AD170" s="147">
        <f>SUM(AD171,AD175,AD178,AD181,AD187,AD192,AD195)</f>
        <v>3800000</v>
      </c>
      <c r="AE170" s="146" t="s">
        <v>25</v>
      </c>
    </row>
    <row r="171" spans="1:31" s="11" customFormat="1" ht="21" customHeight="1">
      <c r="A171" s="38"/>
      <c r="B171" s="38" t="s">
        <v>402</v>
      </c>
      <c r="C171" s="28" t="s">
        <v>463</v>
      </c>
      <c r="D171" s="135">
        <v>580</v>
      </c>
      <c r="E171" s="97">
        <f>ROUND(AD171/1000,0)</f>
        <v>510</v>
      </c>
      <c r="F171" s="103">
        <f>SUMIF($AB$172:$AB$174,"보조",$AD$172:$AD$174)/1000</f>
        <v>0</v>
      </c>
      <c r="G171" s="103">
        <f>SUMIF($AB$172:$AB$174,"4종",$AD$172:$AD$174)/1000</f>
        <v>0</v>
      </c>
      <c r="H171" s="103">
        <f>SUMIF($AB$172:$AB$174,"6종",$AD$172:$AD$174)/1000</f>
        <v>0</v>
      </c>
      <c r="I171" s="103">
        <f>SUMIF($AB$172:$AB$174,"후원",$AD$172:$AD$174)/1000</f>
        <v>0</v>
      </c>
      <c r="J171" s="103">
        <f>SUMIF($AB$172:$AB$174,"입소",$AD$172:$AD$174)/1000</f>
        <v>510</v>
      </c>
      <c r="K171" s="103">
        <f>SUMIF($AB$172:$AB$174,"법인",$AD$172:$AD$174)/1000</f>
        <v>0</v>
      </c>
      <c r="L171" s="103">
        <f>SUMIF($AB$172:$AB$174,"잡수",$AD$172:$AD$174)/1000</f>
        <v>0</v>
      </c>
      <c r="M171" s="97">
        <f>E171-D171</f>
        <v>-70</v>
      </c>
      <c r="N171" s="60">
        <f>IF(D171=0,0,M171/D171)</f>
        <v>-0.1206896551724138</v>
      </c>
      <c r="O171" s="85"/>
      <c r="P171" s="153"/>
      <c r="Q171" s="153"/>
      <c r="R171" s="153"/>
      <c r="S171" s="153"/>
      <c r="T171" s="152"/>
      <c r="U171" s="152"/>
      <c r="V171" s="152"/>
      <c r="W171" s="152"/>
      <c r="X171" s="152"/>
      <c r="Y171" s="419" t="s">
        <v>397</v>
      </c>
      <c r="Z171" s="419"/>
      <c r="AA171" s="419"/>
      <c r="AB171" s="419"/>
      <c r="AC171" s="147"/>
      <c r="AD171" s="147">
        <f>SUM(AD172:AD174)</f>
        <v>510000</v>
      </c>
      <c r="AE171" s="146" t="s">
        <v>25</v>
      </c>
    </row>
    <row r="172" spans="1:31" s="11" customFormat="1" ht="21" customHeight="1">
      <c r="A172" s="38"/>
      <c r="B172" s="38"/>
      <c r="C172" s="38" t="s">
        <v>405</v>
      </c>
      <c r="D172" s="433"/>
      <c r="E172" s="434"/>
      <c r="F172" s="434"/>
      <c r="G172" s="434"/>
      <c r="H172" s="434"/>
      <c r="I172" s="434"/>
      <c r="J172" s="434"/>
      <c r="K172" s="434"/>
      <c r="L172" s="434"/>
      <c r="M172" s="97"/>
      <c r="N172" s="60"/>
      <c r="O172" s="458" t="s">
        <v>461</v>
      </c>
      <c r="P172" s="458"/>
      <c r="Q172" s="458"/>
      <c r="R172" s="458"/>
      <c r="S172" s="457">
        <v>70000</v>
      </c>
      <c r="T172" s="462" t="s">
        <v>25</v>
      </c>
      <c r="U172" s="462" t="s">
        <v>26</v>
      </c>
      <c r="V172" s="457">
        <v>3</v>
      </c>
      <c r="W172" s="457" t="s">
        <v>108</v>
      </c>
      <c r="X172" s="459"/>
      <c r="Y172" s="485"/>
      <c r="Z172" s="486"/>
      <c r="AA172" s="487" t="s">
        <v>27</v>
      </c>
      <c r="AB172" s="457" t="s">
        <v>421</v>
      </c>
      <c r="AC172" s="457"/>
      <c r="AD172" s="457">
        <f>S172*V172</f>
        <v>210000</v>
      </c>
      <c r="AE172" s="463" t="s">
        <v>25</v>
      </c>
    </row>
    <row r="173" spans="1:31" s="11" customFormat="1" ht="21" customHeight="1">
      <c r="A173" s="38"/>
      <c r="B173" s="38"/>
      <c r="C173" s="38"/>
      <c r="D173" s="435"/>
      <c r="E173" s="436"/>
      <c r="F173" s="436"/>
      <c r="G173" s="436"/>
      <c r="H173" s="436"/>
      <c r="I173" s="436"/>
      <c r="J173" s="436"/>
      <c r="K173" s="436"/>
      <c r="L173" s="436"/>
      <c r="M173" s="97"/>
      <c r="N173" s="60"/>
      <c r="O173" s="458" t="s">
        <v>462</v>
      </c>
      <c r="P173" s="458"/>
      <c r="Q173" s="458"/>
      <c r="R173" s="458"/>
      <c r="S173" s="457">
        <v>50000</v>
      </c>
      <c r="T173" s="462" t="s">
        <v>25</v>
      </c>
      <c r="U173" s="462" t="s">
        <v>26</v>
      </c>
      <c r="V173" s="457">
        <v>6</v>
      </c>
      <c r="W173" s="457" t="s">
        <v>438</v>
      </c>
      <c r="X173" s="459"/>
      <c r="Y173" s="485"/>
      <c r="Z173" s="486"/>
      <c r="AA173" s="487" t="s">
        <v>27</v>
      </c>
      <c r="AB173" s="457" t="s">
        <v>421</v>
      </c>
      <c r="AC173" s="457"/>
      <c r="AD173" s="457">
        <f>S173*V173</f>
        <v>300000</v>
      </c>
      <c r="AE173" s="463" t="s">
        <v>25</v>
      </c>
    </row>
    <row r="174" spans="1:31" s="11" customFormat="1" ht="21" customHeight="1">
      <c r="A174" s="38"/>
      <c r="B174" s="38"/>
      <c r="C174" s="38"/>
      <c r="D174" s="133"/>
      <c r="E174" s="97"/>
      <c r="F174" s="97"/>
      <c r="G174" s="97"/>
      <c r="H174" s="97"/>
      <c r="I174" s="97"/>
      <c r="J174" s="97"/>
      <c r="K174" s="97"/>
      <c r="L174" s="97"/>
      <c r="M174" s="97"/>
      <c r="N174" s="60"/>
      <c r="O174" s="423"/>
      <c r="P174" s="393"/>
      <c r="Q174" s="393"/>
      <c r="R174" s="393"/>
      <c r="S174" s="393"/>
      <c r="T174" s="393"/>
      <c r="U174" s="393"/>
      <c r="V174" s="393"/>
      <c r="W174" s="393"/>
      <c r="X174" s="393"/>
      <c r="Y174" s="393"/>
      <c r="Z174" s="393"/>
      <c r="AA174" s="393"/>
      <c r="AB174" s="393"/>
      <c r="AC174" s="393"/>
      <c r="AD174" s="393"/>
      <c r="AE174" s="394"/>
    </row>
    <row r="175" spans="1:31" s="11" customFormat="1" ht="21" customHeight="1">
      <c r="A175" s="38"/>
      <c r="B175" s="38"/>
      <c r="C175" s="28" t="s">
        <v>404</v>
      </c>
      <c r="D175" s="135">
        <v>100</v>
      </c>
      <c r="E175" s="102">
        <f>ROUND(AD175/1000,0)</f>
        <v>0</v>
      </c>
      <c r="F175" s="103">
        <f>SUMIF($AB$177:$AB$177,"보조",$AD$177:$AD$177)/1000</f>
        <v>0</v>
      </c>
      <c r="G175" s="103">
        <f>SUMIF($AB$177:$AB$177,"4종",$AD$177:$AD$177)/1000</f>
        <v>0</v>
      </c>
      <c r="H175" s="103">
        <f>SUMIF($AB$177:$AB$177,"6종",$AD$177:$AD$177)/1000</f>
        <v>0</v>
      </c>
      <c r="I175" s="103">
        <f>SUMIF($AB$177:$AB$177,"후원",$AD$177:$AD$177)/1000</f>
        <v>0</v>
      </c>
      <c r="J175" s="103">
        <f>SUMIF($AB$176:$AB$177,"입소",$AD$176:$AD$177)/1000</f>
        <v>0</v>
      </c>
      <c r="K175" s="103">
        <f>SUMIF($AB$177:$AB$177,"법인",$AD$177:$AD$177)/1000</f>
        <v>0</v>
      </c>
      <c r="L175" s="103">
        <f>SUMIF($AB$177:$AB$177,"잡수",$AD$177:$AD$177)/1000</f>
        <v>0</v>
      </c>
      <c r="M175" s="441">
        <f>E175-D175</f>
        <v>-100</v>
      </c>
      <c r="N175" s="109">
        <f>IF(D175=0,0,M175/D175)</f>
        <v>-1</v>
      </c>
      <c r="O175" s="287"/>
      <c r="P175" s="301"/>
      <c r="Q175" s="301"/>
      <c r="R175" s="446"/>
      <c r="S175" s="446"/>
      <c r="T175" s="446"/>
      <c r="U175" s="446"/>
      <c r="V175" s="446"/>
      <c r="W175" s="447" t="s">
        <v>403</v>
      </c>
      <c r="X175" s="447"/>
      <c r="Y175" s="447"/>
      <c r="Z175" s="447"/>
      <c r="AA175" s="447"/>
      <c r="AB175" s="447"/>
      <c r="AC175" s="448"/>
      <c r="AD175" s="449">
        <f>SUM(AD176:AD177)</f>
        <v>0</v>
      </c>
      <c r="AE175" s="450" t="s">
        <v>25</v>
      </c>
    </row>
    <row r="176" spans="1:31" s="11" customFormat="1" ht="21" customHeight="1">
      <c r="A176" s="38"/>
      <c r="B176" s="38"/>
      <c r="C176" s="38" t="s">
        <v>103</v>
      </c>
      <c r="D176" s="133"/>
      <c r="E176" s="97"/>
      <c r="F176" s="97"/>
      <c r="G176" s="97"/>
      <c r="H176" s="97"/>
      <c r="I176" s="97"/>
      <c r="J176" s="97"/>
      <c r="K176" s="97"/>
      <c r="L176" s="97"/>
      <c r="M176" s="97"/>
      <c r="N176" s="60"/>
      <c r="O176" s="458" t="s">
        <v>521</v>
      </c>
      <c r="P176" s="458"/>
      <c r="Q176" s="458"/>
      <c r="R176" s="458"/>
      <c r="S176" s="457"/>
      <c r="T176" s="462"/>
      <c r="U176" s="462"/>
      <c r="V176" s="457"/>
      <c r="W176" s="458"/>
      <c r="X176" s="457"/>
      <c r="Y176" s="488"/>
      <c r="Z176" s="488"/>
      <c r="AA176" s="488"/>
      <c r="AB176" s="488" t="s">
        <v>374</v>
      </c>
      <c r="AC176" s="488"/>
      <c r="AD176" s="489">
        <v>0</v>
      </c>
      <c r="AE176" s="490" t="s">
        <v>25</v>
      </c>
    </row>
    <row r="177" spans="1:31" s="11" customFormat="1" ht="24" customHeight="1">
      <c r="A177" s="38"/>
      <c r="B177" s="38"/>
      <c r="C177" s="38"/>
      <c r="D177" s="133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3"/>
      <c r="P177" s="393"/>
      <c r="Q177" s="393"/>
      <c r="R177" s="393"/>
      <c r="S177" s="393"/>
      <c r="T177" s="393"/>
      <c r="U177" s="393"/>
      <c r="V177" s="393"/>
      <c r="W177" s="393"/>
      <c r="X177" s="393"/>
      <c r="Y177" s="393"/>
      <c r="Z177" s="393"/>
      <c r="AA177" s="393"/>
      <c r="AB177" s="393"/>
      <c r="AC177" s="393"/>
      <c r="AD177" s="393"/>
      <c r="AE177" s="394"/>
    </row>
    <row r="178" spans="1:31" s="14" customFormat="1" ht="24" customHeight="1">
      <c r="A178" s="38"/>
      <c r="B178" s="38"/>
      <c r="C178" s="28" t="s">
        <v>465</v>
      </c>
      <c r="D178" s="451">
        <v>450</v>
      </c>
      <c r="E178" s="102">
        <f>ROUND(AD178/1000,0)</f>
        <v>450</v>
      </c>
      <c r="F178" s="103">
        <f ca="1">SUMIF($AB$179:$AB$180,"보조",$AD$177:$AD$177)/1000</f>
        <v>0</v>
      </c>
      <c r="G178" s="103">
        <f>SUMIF($AB$179:$AB$180,"4종",$AD$179:$AD$180)/1000</f>
        <v>0</v>
      </c>
      <c r="H178" s="103">
        <f>SUMIF($AB$179:$AB$180,"6종",$AD$179:$AD$180)/1000</f>
        <v>0</v>
      </c>
      <c r="I178" s="103">
        <f>SUMIF($AB$179:$AB$180,"후원",$AD$179:$AD$180)/1000</f>
        <v>0</v>
      </c>
      <c r="J178" s="103">
        <f>SUMIF($AB$179:$AB$180,"입소",$AD$179:$AD$180)/1000</f>
        <v>450</v>
      </c>
      <c r="K178" s="103">
        <f>SUMIF($AB$179:$AB$180,"법인",$AD$179:$AD$180)/1000</f>
        <v>0</v>
      </c>
      <c r="L178" s="103">
        <f>SUMIF($AB$179:$AB$180,"잡수",$AD$179:$AD$180)/1000</f>
        <v>0</v>
      </c>
      <c r="M178" s="102">
        <f>E178-D178</f>
        <v>0</v>
      </c>
      <c r="N178" s="109">
        <f>IF(D178=0,0,M178/D178)</f>
        <v>0</v>
      </c>
      <c r="O178" s="452"/>
      <c r="P178" s="139"/>
      <c r="Q178" s="139"/>
      <c r="R178" s="139"/>
      <c r="S178" s="139"/>
      <c r="T178" s="79"/>
      <c r="U178" s="79"/>
      <c r="V178" s="79"/>
      <c r="W178" s="128" t="s">
        <v>403</v>
      </c>
      <c r="X178" s="128"/>
      <c r="Y178" s="128"/>
      <c r="Z178" s="128"/>
      <c r="AA178" s="128"/>
      <c r="AB178" s="128"/>
      <c r="AC178" s="129"/>
      <c r="AD178" s="453">
        <f>SUM(AD179:AD180)</f>
        <v>450000</v>
      </c>
      <c r="AE178" s="130" t="s">
        <v>25</v>
      </c>
    </row>
    <row r="179" spans="1:31" s="14" customFormat="1" ht="24" customHeight="1">
      <c r="A179" s="38"/>
      <c r="B179" s="38"/>
      <c r="C179" s="38" t="s">
        <v>405</v>
      </c>
      <c r="D179" s="433"/>
      <c r="E179" s="434"/>
      <c r="F179" s="434"/>
      <c r="G179" s="434"/>
      <c r="H179" s="434"/>
      <c r="I179" s="434"/>
      <c r="J179" s="434"/>
      <c r="K179" s="434"/>
      <c r="L179" s="434"/>
      <c r="M179" s="97"/>
      <c r="N179" s="60"/>
      <c r="O179" s="458" t="s">
        <v>464</v>
      </c>
      <c r="P179" s="471"/>
      <c r="Q179" s="471"/>
      <c r="R179" s="468"/>
      <c r="S179" s="457">
        <v>15000</v>
      </c>
      <c r="T179" s="457" t="s">
        <v>25</v>
      </c>
      <c r="U179" s="458" t="s">
        <v>26</v>
      </c>
      <c r="V179" s="457">
        <v>5</v>
      </c>
      <c r="W179" s="457" t="s">
        <v>108</v>
      </c>
      <c r="X179" s="458" t="s">
        <v>26</v>
      </c>
      <c r="Y179" s="478">
        <v>6</v>
      </c>
      <c r="Z179" s="459" t="s">
        <v>438</v>
      </c>
      <c r="AA179" s="459" t="s">
        <v>27</v>
      </c>
      <c r="AB179" s="457" t="s">
        <v>421</v>
      </c>
      <c r="AC179" s="431"/>
      <c r="AD179" s="457">
        <f>S179*V179*Y179</f>
        <v>450000</v>
      </c>
      <c r="AE179" s="463" t="s">
        <v>25</v>
      </c>
    </row>
    <row r="180" spans="1:31" s="14" customFormat="1" ht="24" customHeight="1">
      <c r="A180" s="38"/>
      <c r="B180" s="38"/>
      <c r="C180" s="38"/>
      <c r="D180" s="435"/>
      <c r="E180" s="436"/>
      <c r="F180" s="436"/>
      <c r="G180" s="436"/>
      <c r="H180" s="436"/>
      <c r="I180" s="436"/>
      <c r="J180" s="436"/>
      <c r="K180" s="436"/>
      <c r="L180" s="436"/>
      <c r="M180" s="97"/>
      <c r="N180" s="60"/>
      <c r="O180" s="423"/>
      <c r="P180" s="423"/>
      <c r="Q180" s="423"/>
      <c r="R180" s="423"/>
      <c r="S180" s="423"/>
      <c r="T180" s="422"/>
      <c r="U180" s="422"/>
      <c r="V180" s="422"/>
      <c r="W180" s="422"/>
      <c r="X180" s="422"/>
      <c r="Y180" s="422"/>
      <c r="Z180" s="422"/>
      <c r="AA180" s="422"/>
      <c r="AB180" s="422"/>
      <c r="AC180" s="430"/>
      <c r="AD180" s="393"/>
      <c r="AE180" s="122"/>
    </row>
    <row r="181" spans="1:31" s="14" customFormat="1" ht="24" customHeight="1">
      <c r="A181" s="38"/>
      <c r="B181" s="38"/>
      <c r="C181" s="28" t="s">
        <v>467</v>
      </c>
      <c r="D181" s="135">
        <v>490</v>
      </c>
      <c r="E181" s="102">
        <f>ROUND(AD181/1000,0)</f>
        <v>490</v>
      </c>
      <c r="F181" s="103">
        <f>SUMIF($AB$182:$AB$186,"보조",$AD$182:$AD$186)/1000</f>
        <v>0</v>
      </c>
      <c r="G181" s="103">
        <f>SUMIF($AB$182:$AB$186,"4종",$AD$182:$AD$186)/1000</f>
        <v>0</v>
      </c>
      <c r="H181" s="103">
        <f>SUMIF($AB$182:$AB$186,"6종",$AD$182:$AD$186)/1000</f>
        <v>0</v>
      </c>
      <c r="I181" s="103">
        <f>SUMIF($AB$182:$AB$186,"후원",$AD$182:$AD$186)/1000</f>
        <v>0</v>
      </c>
      <c r="J181" s="103">
        <f>SUMIF($AB$182:$AB$186,"입소",$AD$182:$AD$186)/1000</f>
        <v>490</v>
      </c>
      <c r="K181" s="103">
        <f>SUMIF($AB$182:$AB$186,"법인",$AD$182:$AD$186)/1000</f>
        <v>0</v>
      </c>
      <c r="L181" s="103">
        <f>SUMIF($AB$182:$AB$186,"잡수",$AD$182:$AD$186)/1000</f>
        <v>0</v>
      </c>
      <c r="M181" s="102">
        <f>E181-D181</f>
        <v>0</v>
      </c>
      <c r="N181" s="109">
        <f>IF(D181=0,0,M181/D181)</f>
        <v>0</v>
      </c>
      <c r="O181" s="287"/>
      <c r="P181" s="301"/>
      <c r="Q181" s="301"/>
      <c r="R181" s="446"/>
      <c r="S181" s="446"/>
      <c r="T181" s="446"/>
      <c r="U181" s="446"/>
      <c r="V181" s="446"/>
      <c r="W181" s="447" t="s">
        <v>403</v>
      </c>
      <c r="X181" s="447"/>
      <c r="Y181" s="447"/>
      <c r="Z181" s="447"/>
      <c r="AA181" s="447"/>
      <c r="AB181" s="447"/>
      <c r="AC181" s="448"/>
      <c r="AD181" s="449">
        <f>SUM(AD182:AD186)</f>
        <v>490000</v>
      </c>
      <c r="AE181" s="450" t="s">
        <v>25</v>
      </c>
    </row>
    <row r="182" spans="1:31" s="14" customFormat="1" ht="24" customHeight="1">
      <c r="A182" s="38"/>
      <c r="B182" s="38"/>
      <c r="C182" s="38" t="s">
        <v>405</v>
      </c>
      <c r="D182" s="433"/>
      <c r="E182" s="434"/>
      <c r="F182" s="434"/>
      <c r="G182" s="434"/>
      <c r="H182" s="434"/>
      <c r="I182" s="434"/>
      <c r="J182" s="434"/>
      <c r="K182" s="434"/>
      <c r="L182" s="434"/>
      <c r="M182" s="97"/>
      <c r="N182" s="60"/>
      <c r="O182" s="458" t="s">
        <v>486</v>
      </c>
      <c r="P182" s="491"/>
      <c r="Q182" s="491"/>
      <c r="R182" s="491"/>
      <c r="S182" s="457">
        <v>5000</v>
      </c>
      <c r="T182" s="462" t="s">
        <v>25</v>
      </c>
      <c r="U182" s="462" t="s">
        <v>26</v>
      </c>
      <c r="V182" s="457">
        <v>4</v>
      </c>
      <c r="W182" s="458" t="s">
        <v>55</v>
      </c>
      <c r="X182" s="458"/>
      <c r="Y182" s="478">
        <v>10</v>
      </c>
      <c r="Z182" s="459" t="s">
        <v>438</v>
      </c>
      <c r="AA182" s="488" t="s">
        <v>27</v>
      </c>
      <c r="AB182" s="488" t="s">
        <v>421</v>
      </c>
      <c r="AC182" s="488"/>
      <c r="AD182" s="489">
        <f>S182*V182*Y182</f>
        <v>200000</v>
      </c>
      <c r="AE182" s="490" t="s">
        <v>25</v>
      </c>
    </row>
    <row r="183" spans="1:31" s="14" customFormat="1" ht="24" customHeight="1">
      <c r="A183" s="38"/>
      <c r="B183" s="38"/>
      <c r="C183" s="38"/>
      <c r="D183" s="433"/>
      <c r="E183" s="434"/>
      <c r="F183" s="434"/>
      <c r="G183" s="434"/>
      <c r="H183" s="434"/>
      <c r="I183" s="434"/>
      <c r="J183" s="434"/>
      <c r="K183" s="434"/>
      <c r="L183" s="434"/>
      <c r="M183" s="97"/>
      <c r="N183" s="60"/>
      <c r="O183" s="458" t="s">
        <v>522</v>
      </c>
      <c r="P183" s="458"/>
      <c r="Q183" s="458"/>
      <c r="R183" s="458"/>
      <c r="S183" s="457">
        <v>46000</v>
      </c>
      <c r="T183" s="462" t="s">
        <v>25</v>
      </c>
      <c r="U183" s="462" t="s">
        <v>26</v>
      </c>
      <c r="V183" s="457">
        <v>5</v>
      </c>
      <c r="W183" s="458" t="s">
        <v>108</v>
      </c>
      <c r="X183" s="458"/>
      <c r="Y183" s="478"/>
      <c r="Z183" s="459"/>
      <c r="AA183" s="491" t="s">
        <v>27</v>
      </c>
      <c r="AB183" s="491" t="s">
        <v>421</v>
      </c>
      <c r="AC183" s="431"/>
      <c r="AD183" s="489">
        <f>S183*V183</f>
        <v>230000</v>
      </c>
      <c r="AE183" s="490" t="s">
        <v>56</v>
      </c>
    </row>
    <row r="184" spans="1:31" s="14" customFormat="1" ht="24" customHeight="1">
      <c r="A184" s="38"/>
      <c r="B184" s="38"/>
      <c r="C184" s="38"/>
      <c r="D184" s="433"/>
      <c r="E184" s="434"/>
      <c r="F184" s="434"/>
      <c r="G184" s="434"/>
      <c r="H184" s="434"/>
      <c r="I184" s="434"/>
      <c r="J184" s="434"/>
      <c r="K184" s="434"/>
      <c r="L184" s="434"/>
      <c r="M184" s="97"/>
      <c r="N184" s="60"/>
      <c r="O184" s="458" t="s">
        <v>487</v>
      </c>
      <c r="P184" s="491"/>
      <c r="Q184" s="491"/>
      <c r="R184" s="491"/>
      <c r="S184" s="457">
        <v>30000</v>
      </c>
      <c r="T184" s="462" t="s">
        <v>25</v>
      </c>
      <c r="U184" s="462" t="s">
        <v>26</v>
      </c>
      <c r="V184" s="457">
        <v>2</v>
      </c>
      <c r="W184" s="458" t="s">
        <v>70</v>
      </c>
      <c r="X184" s="458"/>
      <c r="Y184" s="478"/>
      <c r="Z184" s="459"/>
      <c r="AA184" s="488" t="s">
        <v>27</v>
      </c>
      <c r="AB184" s="488" t="s">
        <v>421</v>
      </c>
      <c r="AC184" s="488"/>
      <c r="AD184" s="489">
        <f>S184*V184</f>
        <v>60000</v>
      </c>
      <c r="AE184" s="490" t="s">
        <v>56</v>
      </c>
    </row>
    <row r="185" spans="1:31" s="14" customFormat="1" ht="24" customHeight="1">
      <c r="A185" s="38"/>
      <c r="B185" s="38"/>
      <c r="C185" s="38"/>
      <c r="D185" s="435"/>
      <c r="E185" s="436"/>
      <c r="F185" s="436"/>
      <c r="G185" s="436"/>
      <c r="H185" s="436"/>
      <c r="I185" s="436"/>
      <c r="J185" s="436"/>
      <c r="K185" s="436"/>
      <c r="L185" s="436"/>
      <c r="M185" s="97"/>
      <c r="N185" s="60"/>
      <c r="O185" s="458"/>
      <c r="P185" s="458"/>
      <c r="Q185" s="458"/>
      <c r="R185" s="458"/>
      <c r="S185" s="457"/>
      <c r="T185" s="462"/>
      <c r="U185" s="462"/>
      <c r="V185" s="457"/>
      <c r="W185" s="458"/>
      <c r="X185" s="458"/>
      <c r="Y185" s="478"/>
      <c r="Z185" s="459"/>
      <c r="AA185" s="491"/>
      <c r="AB185" s="491"/>
      <c r="AC185" s="431"/>
      <c r="AD185" s="492"/>
      <c r="AE185" s="490"/>
    </row>
    <row r="186" spans="1:31" s="14" customFormat="1" ht="24" customHeight="1">
      <c r="A186" s="38"/>
      <c r="B186" s="38"/>
      <c r="C186" s="38"/>
      <c r="D186" s="136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23"/>
      <c r="P186" s="423"/>
      <c r="Q186" s="423"/>
      <c r="R186" s="423"/>
      <c r="S186" s="423"/>
      <c r="T186" s="422"/>
      <c r="U186" s="422"/>
      <c r="V186" s="422"/>
      <c r="W186" s="422"/>
      <c r="X186" s="422"/>
      <c r="Y186" s="422"/>
      <c r="Z186" s="422"/>
      <c r="AA186" s="422"/>
      <c r="AB186" s="422"/>
      <c r="AC186" s="121"/>
      <c r="AD186" s="460"/>
      <c r="AE186" s="122"/>
    </row>
    <row r="187" spans="1:31" s="14" customFormat="1" ht="24" customHeight="1">
      <c r="A187" s="38"/>
      <c r="B187" s="38"/>
      <c r="C187" s="28" t="s">
        <v>466</v>
      </c>
      <c r="D187" s="451">
        <v>2450</v>
      </c>
      <c r="E187" s="102">
        <f>ROUND(AD187/1000,0)</f>
        <v>1500</v>
      </c>
      <c r="F187" s="103">
        <f>SUMIF($AB$188:$AB$191,"보조",$AD$188:$AD$191)/1000</f>
        <v>0</v>
      </c>
      <c r="G187" s="103">
        <f>SUMIF($AB$188:$AB$191,"4종",$AD$188:$AD$191)/1000</f>
        <v>0</v>
      </c>
      <c r="H187" s="103">
        <f>SUMIF($AB$188:$AB$191,"6종",$AD$188:$AD$191)/1000</f>
        <v>0</v>
      </c>
      <c r="I187" s="103">
        <f>SUMIF($AB$188:$AB$191,"후원",$AD$188:$AD$191)/1000</f>
        <v>0</v>
      </c>
      <c r="J187" s="103">
        <f>SUMIF($AB$188:$AB$191,"입소",$AD$188:$AD$191)/1000</f>
        <v>1500</v>
      </c>
      <c r="K187" s="103">
        <f>SUMIF($AB$188:$AB$191,"법인",$AD$188:$AD$191)/1000</f>
        <v>0</v>
      </c>
      <c r="L187" s="103">
        <f>SUMIF($AB$188:$AB$191,"잡수",$AD$188:$AD$191)/1000</f>
        <v>0</v>
      </c>
      <c r="M187" s="102">
        <f>E187-D187</f>
        <v>-950</v>
      </c>
      <c r="N187" s="109">
        <f>IF(D187=0,0,M187/D187)</f>
        <v>-0.38775510204081631</v>
      </c>
      <c r="O187" s="287"/>
      <c r="P187" s="301"/>
      <c r="Q187" s="301"/>
      <c r="R187" s="446"/>
      <c r="S187" s="446"/>
      <c r="T187" s="446"/>
      <c r="U187" s="446"/>
      <c r="V187" s="446"/>
      <c r="W187" s="447" t="s">
        <v>403</v>
      </c>
      <c r="X187" s="447"/>
      <c r="Y187" s="447"/>
      <c r="Z187" s="447"/>
      <c r="AA187" s="447"/>
      <c r="AB187" s="447"/>
      <c r="AC187" s="448"/>
      <c r="AD187" s="449">
        <f>SUM(AD188:AD191)</f>
        <v>1500000</v>
      </c>
      <c r="AE187" s="450" t="s">
        <v>25</v>
      </c>
    </row>
    <row r="188" spans="1:31" s="14" customFormat="1" ht="24" customHeight="1">
      <c r="A188" s="38"/>
      <c r="B188" s="38"/>
      <c r="C188" s="38"/>
      <c r="D188" s="433"/>
      <c r="E188" s="434"/>
      <c r="F188" s="434"/>
      <c r="G188" s="434"/>
      <c r="H188" s="434"/>
      <c r="I188" s="434"/>
      <c r="J188" s="434"/>
      <c r="K188" s="434"/>
      <c r="L188" s="434"/>
      <c r="M188" s="97"/>
      <c r="N188" s="60"/>
      <c r="O188" s="491" t="s">
        <v>483</v>
      </c>
      <c r="P188" s="491"/>
      <c r="Q188" s="491"/>
      <c r="R188" s="491"/>
      <c r="S188" s="457">
        <v>15000</v>
      </c>
      <c r="T188" s="462" t="s">
        <v>25</v>
      </c>
      <c r="U188" s="462" t="s">
        <v>26</v>
      </c>
      <c r="V188" s="457">
        <v>5</v>
      </c>
      <c r="W188" s="458" t="s">
        <v>108</v>
      </c>
      <c r="X188" s="457"/>
      <c r="Y188" s="488"/>
      <c r="Z188" s="488"/>
      <c r="AA188" s="488" t="s">
        <v>27</v>
      </c>
      <c r="AB188" s="488" t="s">
        <v>421</v>
      </c>
      <c r="AC188" s="488"/>
      <c r="AD188" s="489">
        <f>S188*V188</f>
        <v>75000</v>
      </c>
      <c r="AE188" s="490" t="s">
        <v>25</v>
      </c>
    </row>
    <row r="189" spans="1:31" s="14" customFormat="1" ht="24" customHeight="1">
      <c r="A189" s="38"/>
      <c r="B189" s="38"/>
      <c r="C189" s="38"/>
      <c r="D189" s="435"/>
      <c r="E189" s="436"/>
      <c r="F189" s="436"/>
      <c r="G189" s="436"/>
      <c r="H189" s="436"/>
      <c r="I189" s="436"/>
      <c r="J189" s="436"/>
      <c r="K189" s="436"/>
      <c r="L189" s="436"/>
      <c r="M189" s="97"/>
      <c r="N189" s="60"/>
      <c r="O189" s="491" t="s">
        <v>484</v>
      </c>
      <c r="P189" s="491"/>
      <c r="Q189" s="491"/>
      <c r="R189" s="491"/>
      <c r="S189" s="457">
        <v>24000</v>
      </c>
      <c r="T189" s="462" t="s">
        <v>25</v>
      </c>
      <c r="U189" s="462" t="s">
        <v>26</v>
      </c>
      <c r="V189" s="457">
        <v>5</v>
      </c>
      <c r="W189" s="458" t="s">
        <v>108</v>
      </c>
      <c r="X189" s="457"/>
      <c r="Y189" s="488"/>
      <c r="Z189" s="488"/>
      <c r="AA189" s="488" t="s">
        <v>27</v>
      </c>
      <c r="AB189" s="488" t="s">
        <v>421</v>
      </c>
      <c r="AC189" s="488"/>
      <c r="AD189" s="489">
        <f>S189*V189</f>
        <v>120000</v>
      </c>
      <c r="AE189" s="490" t="s">
        <v>25</v>
      </c>
    </row>
    <row r="190" spans="1:31" s="14" customFormat="1" ht="24" customHeight="1">
      <c r="A190" s="38"/>
      <c r="B190" s="38"/>
      <c r="C190" s="38"/>
      <c r="D190" s="435"/>
      <c r="E190" s="436"/>
      <c r="F190" s="436"/>
      <c r="G190" s="436"/>
      <c r="H190" s="436"/>
      <c r="I190" s="436"/>
      <c r="J190" s="436"/>
      <c r="K190" s="436"/>
      <c r="L190" s="436"/>
      <c r="M190" s="97"/>
      <c r="N190" s="60"/>
      <c r="O190" s="491" t="s">
        <v>485</v>
      </c>
      <c r="P190" s="491"/>
      <c r="Q190" s="491"/>
      <c r="R190" s="491"/>
      <c r="S190" s="457">
        <v>217500</v>
      </c>
      <c r="T190" s="462" t="s">
        <v>25</v>
      </c>
      <c r="U190" s="462" t="s">
        <v>26</v>
      </c>
      <c r="V190" s="457">
        <v>6</v>
      </c>
      <c r="W190" s="458" t="s">
        <v>108</v>
      </c>
      <c r="X190" s="457"/>
      <c r="Y190" s="491"/>
      <c r="Z190" s="491"/>
      <c r="AA190" s="491" t="s">
        <v>27</v>
      </c>
      <c r="AB190" s="491" t="s">
        <v>421</v>
      </c>
      <c r="AC190" s="491"/>
      <c r="AD190" s="492">
        <f>S190*V190</f>
        <v>1305000</v>
      </c>
      <c r="AE190" s="490" t="s">
        <v>56</v>
      </c>
    </row>
    <row r="191" spans="1:31" s="14" customFormat="1" ht="24" customHeight="1">
      <c r="A191" s="38"/>
      <c r="B191" s="38"/>
      <c r="C191" s="38"/>
      <c r="D191" s="136"/>
      <c r="E191" s="97"/>
      <c r="F191" s="97"/>
      <c r="G191" s="97"/>
      <c r="H191" s="97"/>
      <c r="I191" s="97"/>
      <c r="J191" s="97"/>
      <c r="K191" s="97"/>
      <c r="L191" s="97"/>
      <c r="M191" s="97"/>
      <c r="N191" s="60"/>
      <c r="O191" s="491"/>
      <c r="P191" s="515"/>
      <c r="Q191" s="515"/>
      <c r="R191" s="515"/>
      <c r="S191" s="457"/>
      <c r="T191" s="462"/>
      <c r="U191" s="462"/>
      <c r="V191" s="457"/>
      <c r="W191" s="458"/>
      <c r="X191" s="501"/>
      <c r="Y191" s="515"/>
      <c r="Z191" s="515"/>
      <c r="AA191" s="488"/>
      <c r="AB191" s="488"/>
      <c r="AC191" s="515"/>
      <c r="AD191" s="489"/>
      <c r="AE191" s="516"/>
    </row>
    <row r="192" spans="1:31" s="14" customFormat="1" ht="24" customHeight="1">
      <c r="A192" s="38"/>
      <c r="B192" s="38"/>
      <c r="C192" s="28" t="s">
        <v>468</v>
      </c>
      <c r="D192" s="135">
        <v>150</v>
      </c>
      <c r="E192" s="102">
        <f>ROUND(AD192/1000,0)</f>
        <v>150</v>
      </c>
      <c r="F192" s="103">
        <f>SUMIF($AB$193:$AB$197,"보조",$AD$193:$AD$197)/1000</f>
        <v>0</v>
      </c>
      <c r="G192" s="103">
        <f>SUMIF($AB$193:$AB$197,"4종",$AD$193:$AD$197)/1000</f>
        <v>0</v>
      </c>
      <c r="H192" s="103">
        <f>SUMIF($AB$193:$AB$197,"6종",$AD$193:$AD$197)/1000</f>
        <v>0</v>
      </c>
      <c r="I192" s="103">
        <f>SUMIF($AB$193:$AB$194,"후원",$AD$193:$AD$194)/1000</f>
        <v>0</v>
      </c>
      <c r="J192" s="103">
        <f>SUMIF($AB$193:$AB$193,"입소",$AD$193:$AD$193)/1000</f>
        <v>150</v>
      </c>
      <c r="K192" s="103">
        <f>SUMIF($AB$193:$AB$197,"법인",$AD$193:$AD$197)/1000</f>
        <v>0</v>
      </c>
      <c r="L192" s="103">
        <f>SUMIF($AB$193:$AB$197,"잡수",$AD$193:$AD$197)/1000</f>
        <v>0</v>
      </c>
      <c r="M192" s="102">
        <f>E192-D192</f>
        <v>0</v>
      </c>
      <c r="N192" s="109">
        <f>IF(D192=0,0,M192/D192)</f>
        <v>0</v>
      </c>
      <c r="O192" s="287"/>
      <c r="P192" s="301"/>
      <c r="Q192" s="301"/>
      <c r="R192" s="446"/>
      <c r="S192" s="446"/>
      <c r="T192" s="446"/>
      <c r="U192" s="446"/>
      <c r="V192" s="446"/>
      <c r="W192" s="447" t="s">
        <v>403</v>
      </c>
      <c r="X192" s="447"/>
      <c r="Y192" s="447"/>
      <c r="Z192" s="447"/>
      <c r="AA192" s="447"/>
      <c r="AB192" s="447"/>
      <c r="AC192" s="448"/>
      <c r="AD192" s="449">
        <f>SUM(AD193:AD194)</f>
        <v>150000</v>
      </c>
      <c r="AE192" s="450" t="s">
        <v>25</v>
      </c>
    </row>
    <row r="193" spans="1:31" s="14" customFormat="1" ht="24" customHeight="1">
      <c r="A193" s="38"/>
      <c r="B193" s="38"/>
      <c r="C193" s="38" t="s">
        <v>103</v>
      </c>
      <c r="D193" s="433"/>
      <c r="E193" s="434"/>
      <c r="F193" s="434"/>
      <c r="G193" s="434"/>
      <c r="H193" s="434"/>
      <c r="I193" s="434"/>
      <c r="J193" s="434"/>
      <c r="K193" s="434"/>
      <c r="L193" s="434"/>
      <c r="M193" s="97"/>
      <c r="N193" s="60"/>
      <c r="O193" s="458" t="s">
        <v>523</v>
      </c>
      <c r="P193" s="458"/>
      <c r="Q193" s="458"/>
      <c r="R193" s="458"/>
      <c r="S193" s="457">
        <v>10000</v>
      </c>
      <c r="T193" s="457" t="s">
        <v>25</v>
      </c>
      <c r="U193" s="458" t="s">
        <v>26</v>
      </c>
      <c r="V193" s="457">
        <v>5</v>
      </c>
      <c r="W193" s="457" t="s">
        <v>108</v>
      </c>
      <c r="X193" s="458" t="s">
        <v>26</v>
      </c>
      <c r="Y193" s="478">
        <v>3</v>
      </c>
      <c r="Z193" s="459" t="s">
        <v>438</v>
      </c>
      <c r="AA193" s="459" t="s">
        <v>27</v>
      </c>
      <c r="AB193" s="457" t="s">
        <v>421</v>
      </c>
      <c r="AC193" s="431"/>
      <c r="AD193" s="457">
        <f>S193*V193*Y193</f>
        <v>150000</v>
      </c>
      <c r="AE193" s="463" t="s">
        <v>25</v>
      </c>
    </row>
    <row r="194" spans="1:31" s="14" customFormat="1" ht="24" customHeight="1">
      <c r="A194" s="38"/>
      <c r="B194" s="38"/>
      <c r="C194" s="38"/>
      <c r="D194" s="133"/>
      <c r="E194" s="97"/>
      <c r="F194" s="97"/>
      <c r="G194" s="97"/>
      <c r="H194" s="97"/>
      <c r="I194" s="97"/>
      <c r="J194" s="97"/>
      <c r="K194" s="97"/>
      <c r="L194" s="97"/>
      <c r="M194" s="97"/>
      <c r="N194" s="60"/>
      <c r="O194" s="393"/>
      <c r="P194" s="393"/>
      <c r="Q194" s="393"/>
      <c r="R194" s="393"/>
      <c r="S194" s="422"/>
      <c r="T194" s="293"/>
      <c r="U194" s="293"/>
      <c r="V194" s="422"/>
      <c r="W194" s="423"/>
      <c r="X194" s="422"/>
      <c r="Y194" s="393"/>
      <c r="Z194" s="393"/>
      <c r="AA194" s="393"/>
      <c r="AB194" s="393"/>
      <c r="AC194" s="393"/>
      <c r="AD194" s="445"/>
      <c r="AE194" s="394"/>
    </row>
    <row r="195" spans="1:31" s="14" customFormat="1" ht="24" customHeight="1">
      <c r="A195" s="38"/>
      <c r="B195" s="38"/>
      <c r="C195" s="28" t="s">
        <v>469</v>
      </c>
      <c r="D195" s="135">
        <v>700</v>
      </c>
      <c r="E195" s="102">
        <f>ROUND(AD195/1000,0)</f>
        <v>700</v>
      </c>
      <c r="F195" s="103">
        <f>SUMIF($AB$193:$AB$197,"보조",$AD$193:$AD$197)/1000</f>
        <v>0</v>
      </c>
      <c r="G195" s="103">
        <f>SUMIF($AB$193:$AB$197,"4종",$AD$193:$AD$197)/1000</f>
        <v>0</v>
      </c>
      <c r="H195" s="103">
        <f>SUMIF($AB$193:$AB$197,"6종",$AD$193:$AD$197)/1000</f>
        <v>0</v>
      </c>
      <c r="I195" s="103">
        <f>SUMIF($AB$196:$AB$197,"후원",$AD$196:$AD$197)/1000</f>
        <v>0</v>
      </c>
      <c r="J195" s="103">
        <f>SUMIF($AB$196:$AB$198,"입소",$AD$196:$AD$198)/1000</f>
        <v>700</v>
      </c>
      <c r="K195" s="103">
        <f>SUMIF($AB$193:$AB$197,"법인",$AD$193:$AD$197)/1000</f>
        <v>0</v>
      </c>
      <c r="L195" s="103">
        <f>SUMIF($AB$193:$AB$197,"잡수",$AD$193:$AD$197)/1000</f>
        <v>0</v>
      </c>
      <c r="M195" s="102">
        <f>E195-D195</f>
        <v>0</v>
      </c>
      <c r="N195" s="109">
        <f>IF(D195=0,0,M195/D195)</f>
        <v>0</v>
      </c>
      <c r="O195" s="287"/>
      <c r="P195" s="301"/>
      <c r="Q195" s="301"/>
      <c r="R195" s="446"/>
      <c r="S195" s="446"/>
      <c r="T195" s="446"/>
      <c r="U195" s="446"/>
      <c r="V195" s="446"/>
      <c r="W195" s="447" t="s">
        <v>403</v>
      </c>
      <c r="X195" s="447"/>
      <c r="Y195" s="447"/>
      <c r="Z195" s="447"/>
      <c r="AA195" s="447"/>
      <c r="AB195" s="447"/>
      <c r="AC195" s="448"/>
      <c r="AD195" s="449">
        <f>SUM(AD196:AD198)</f>
        <v>700000</v>
      </c>
      <c r="AE195" s="450" t="s">
        <v>25</v>
      </c>
    </row>
    <row r="196" spans="1:31" s="14" customFormat="1" ht="24" customHeight="1">
      <c r="A196" s="38"/>
      <c r="B196" s="38"/>
      <c r="C196" s="38" t="s">
        <v>400</v>
      </c>
      <c r="D196" s="133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458" t="s">
        <v>524</v>
      </c>
      <c r="P196" s="471"/>
      <c r="Q196" s="471"/>
      <c r="R196" s="468"/>
      <c r="S196" s="457">
        <v>500000</v>
      </c>
      <c r="T196" s="462" t="s">
        <v>25</v>
      </c>
      <c r="U196" s="462" t="s">
        <v>26</v>
      </c>
      <c r="V196" s="457">
        <v>1</v>
      </c>
      <c r="W196" s="458" t="s">
        <v>438</v>
      </c>
      <c r="X196" s="457"/>
      <c r="Y196" s="491"/>
      <c r="Z196" s="491" t="s">
        <v>27</v>
      </c>
      <c r="AA196" s="491"/>
      <c r="AB196" s="491" t="s">
        <v>421</v>
      </c>
      <c r="AC196" s="491"/>
      <c r="AD196" s="492">
        <f>S196*V196</f>
        <v>500000</v>
      </c>
      <c r="AE196" s="490" t="s">
        <v>25</v>
      </c>
    </row>
    <row r="197" spans="1:31" s="14" customFormat="1" ht="24" customHeight="1">
      <c r="A197" s="38"/>
      <c r="B197" s="38"/>
      <c r="C197" s="38"/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58" t="s">
        <v>525</v>
      </c>
      <c r="P197" s="471"/>
      <c r="Q197" s="471"/>
      <c r="R197" s="468"/>
      <c r="S197" s="457">
        <v>100000</v>
      </c>
      <c r="T197" s="462" t="s">
        <v>25</v>
      </c>
      <c r="U197" s="462" t="s">
        <v>26</v>
      </c>
      <c r="V197" s="457">
        <v>1</v>
      </c>
      <c r="W197" s="458" t="s">
        <v>438</v>
      </c>
      <c r="X197" s="457"/>
      <c r="Y197" s="491"/>
      <c r="Z197" s="491" t="s">
        <v>27</v>
      </c>
      <c r="AA197" s="491"/>
      <c r="AB197" s="491" t="s">
        <v>421</v>
      </c>
      <c r="AC197" s="491"/>
      <c r="AD197" s="492">
        <f>S197*V197</f>
        <v>100000</v>
      </c>
      <c r="AE197" s="490" t="s">
        <v>25</v>
      </c>
    </row>
    <row r="198" spans="1:31" s="14" customFormat="1" ht="24" customHeight="1">
      <c r="A198" s="38"/>
      <c r="B198" s="38"/>
      <c r="C198" s="39"/>
      <c r="D198" s="133"/>
      <c r="E198" s="97"/>
      <c r="F198" s="443"/>
      <c r="G198" s="443"/>
      <c r="H198" s="443"/>
      <c r="I198" s="443"/>
      <c r="J198" s="443"/>
      <c r="K198" s="443"/>
      <c r="L198" s="443"/>
      <c r="M198" s="493"/>
      <c r="N198" s="60"/>
      <c r="O198" s="458" t="s">
        <v>488</v>
      </c>
      <c r="P198" s="471"/>
      <c r="Q198" s="471"/>
      <c r="R198" s="517"/>
      <c r="S198" s="457"/>
      <c r="T198" s="462"/>
      <c r="U198" s="462"/>
      <c r="V198" s="457"/>
      <c r="W198" s="458"/>
      <c r="X198" s="457"/>
      <c r="Y198" s="491"/>
      <c r="Z198" s="491" t="s">
        <v>27</v>
      </c>
      <c r="AA198" s="491"/>
      <c r="AB198" s="491" t="s">
        <v>421</v>
      </c>
      <c r="AC198" s="502"/>
      <c r="AD198" s="492">
        <v>100000</v>
      </c>
      <c r="AE198" s="490" t="s">
        <v>25</v>
      </c>
    </row>
    <row r="199" spans="1:31" s="11" customFormat="1" ht="21" customHeight="1">
      <c r="A199" s="27" t="s">
        <v>412</v>
      </c>
      <c r="B199" s="596" t="s">
        <v>20</v>
      </c>
      <c r="C199" s="597"/>
      <c r="D199" s="144">
        <f>D200</f>
        <v>0</v>
      </c>
      <c r="E199" s="144">
        <f>E200</f>
        <v>0</v>
      </c>
      <c r="F199" s="144">
        <f t="shared" ref="F199:L199" si="10">F200</f>
        <v>0</v>
      </c>
      <c r="G199" s="144">
        <f t="shared" si="10"/>
        <v>0</v>
      </c>
      <c r="H199" s="144">
        <f t="shared" si="10"/>
        <v>0</v>
      </c>
      <c r="I199" s="144">
        <f t="shared" si="10"/>
        <v>0</v>
      </c>
      <c r="J199" s="144">
        <f t="shared" si="10"/>
        <v>0</v>
      </c>
      <c r="K199" s="144">
        <f t="shared" si="10"/>
        <v>0</v>
      </c>
      <c r="L199" s="144">
        <f t="shared" si="10"/>
        <v>0</v>
      </c>
      <c r="M199" s="144">
        <f>E199-D199</f>
        <v>0</v>
      </c>
      <c r="N199" s="145">
        <f>IF(D199=0,0,M199/D199)</f>
        <v>0</v>
      </c>
      <c r="O199" s="420" t="s">
        <v>413</v>
      </c>
      <c r="P199" s="420"/>
      <c r="Q199" s="420"/>
      <c r="R199" s="420"/>
      <c r="S199" s="419"/>
      <c r="T199" s="419"/>
      <c r="U199" s="419"/>
      <c r="V199" s="419"/>
      <c r="W199" s="419"/>
      <c r="X199" s="419"/>
      <c r="Y199" s="419"/>
      <c r="Z199" s="419"/>
      <c r="AA199" s="419"/>
      <c r="AB199" s="419"/>
      <c r="AC199" s="419"/>
      <c r="AD199" s="419">
        <f>SUM(AD200)</f>
        <v>0</v>
      </c>
      <c r="AE199" s="146" t="s">
        <v>25</v>
      </c>
    </row>
    <row r="200" spans="1:31" s="11" customFormat="1" ht="21" customHeight="1">
      <c r="A200" s="37"/>
      <c r="B200" s="38" t="s">
        <v>412</v>
      </c>
      <c r="C200" s="38" t="s">
        <v>412</v>
      </c>
      <c r="D200" s="133">
        <v>0</v>
      </c>
      <c r="E200" s="97">
        <f>AD200/1000</f>
        <v>0</v>
      </c>
      <c r="F200" s="103">
        <f>SUMIF($AB$201:$AB$201,"보조",$AD$201:$AD$201)/1000</f>
        <v>0</v>
      </c>
      <c r="G200" s="103">
        <f>SUMIF($AB$201:$AB$201,"4종",$AD$201:$AD$201)/1000</f>
        <v>0</v>
      </c>
      <c r="H200" s="103">
        <f>SUMIF($AB$201:$AB$201,"6종",$AD$201:$AD$201)/1000</f>
        <v>0</v>
      </c>
      <c r="I200" s="103">
        <f>SUMIF($AB$201:$AB$201,"후원",$AD$201:$AD$201)/1000</f>
        <v>0</v>
      </c>
      <c r="J200" s="103">
        <f>SUMIF($AB$201:$AB$201,"입소",$AD$201:$AD$201)/1000</f>
        <v>0</v>
      </c>
      <c r="K200" s="103">
        <f>SUMIF($AB$201:$AB$201,"법인",$AD$201:$AD$201)/1000</f>
        <v>0</v>
      </c>
      <c r="L200" s="103">
        <f>SUMIF($AB$201:$AB$201,"잡수",$AD$201:$AD$201)/1000</f>
        <v>0</v>
      </c>
      <c r="M200" s="97">
        <f>E200-D200</f>
        <v>0</v>
      </c>
      <c r="N200" s="60">
        <f>IF(D200=0,0,M200/D200)</f>
        <v>0</v>
      </c>
      <c r="O200" s="105" t="s">
        <v>414</v>
      </c>
      <c r="P200" s="151"/>
      <c r="Q200" s="151"/>
      <c r="R200" s="151"/>
      <c r="S200" s="151"/>
      <c r="T200" s="150"/>
      <c r="U200" s="150"/>
      <c r="V200" s="150"/>
      <c r="W200" s="150"/>
      <c r="X200" s="150"/>
      <c r="Y200" s="419" t="s">
        <v>378</v>
      </c>
      <c r="Z200" s="87"/>
      <c r="AA200" s="87"/>
      <c r="AB200" s="87"/>
      <c r="AC200" s="107"/>
      <c r="AD200" s="107">
        <v>0</v>
      </c>
      <c r="AE200" s="108" t="s">
        <v>25</v>
      </c>
    </row>
    <row r="201" spans="1:31" s="1" customFormat="1" ht="21" customHeight="1">
      <c r="A201" s="48"/>
      <c r="B201" s="49"/>
      <c r="C201" s="49"/>
      <c r="D201" s="134"/>
      <c r="E201" s="100"/>
      <c r="F201" s="100"/>
      <c r="G201" s="100"/>
      <c r="H201" s="100"/>
      <c r="I201" s="100"/>
      <c r="J201" s="100"/>
      <c r="K201" s="100"/>
      <c r="L201" s="100"/>
      <c r="M201" s="100"/>
      <c r="N201" s="75"/>
      <c r="O201" s="348"/>
      <c r="P201" s="348"/>
      <c r="Q201" s="348"/>
      <c r="R201" s="348"/>
      <c r="S201" s="348"/>
      <c r="T201" s="348"/>
      <c r="U201" s="348"/>
      <c r="V201" s="348"/>
      <c r="W201" s="348"/>
      <c r="X201" s="348"/>
      <c r="Y201" s="348"/>
      <c r="Z201" s="348"/>
      <c r="AA201" s="348"/>
      <c r="AB201" s="348"/>
      <c r="AC201" s="348"/>
      <c r="AD201" s="348"/>
      <c r="AE201" s="520"/>
    </row>
    <row r="202" spans="1:31" s="11" customFormat="1" ht="21" customHeight="1">
      <c r="A202" s="37" t="s">
        <v>21</v>
      </c>
      <c r="B202" s="591" t="s">
        <v>20</v>
      </c>
      <c r="C202" s="592"/>
      <c r="D202" s="100">
        <f t="shared" ref="D202:L202" si="11">SUM(D203)+D213</f>
        <v>20</v>
      </c>
      <c r="E202" s="100">
        <f t="shared" si="11"/>
        <v>62</v>
      </c>
      <c r="F202" s="100">
        <f t="shared" si="11"/>
        <v>20</v>
      </c>
      <c r="G202" s="100">
        <f t="shared" si="11"/>
        <v>42</v>
      </c>
      <c r="H202" s="100">
        <f t="shared" si="11"/>
        <v>0</v>
      </c>
      <c r="I202" s="100">
        <f t="shared" si="11"/>
        <v>0</v>
      </c>
      <c r="J202" s="100">
        <f t="shared" si="11"/>
        <v>0</v>
      </c>
      <c r="K202" s="100">
        <f t="shared" si="11"/>
        <v>0</v>
      </c>
      <c r="L202" s="100">
        <f t="shared" si="11"/>
        <v>0</v>
      </c>
      <c r="M202" s="100">
        <f>E202-D202</f>
        <v>42</v>
      </c>
      <c r="N202" s="75">
        <f>IF(D202=0,0,M202/D202)</f>
        <v>2.1</v>
      </c>
      <c r="O202" s="494" t="s">
        <v>21</v>
      </c>
      <c r="P202" s="105"/>
      <c r="Q202" s="105"/>
      <c r="R202" s="105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>
        <f>AD203+AD213</f>
        <v>62000</v>
      </c>
      <c r="AE202" s="108" t="s">
        <v>25</v>
      </c>
    </row>
    <row r="203" spans="1:31" s="11" customFormat="1" ht="21" customHeight="1">
      <c r="A203" s="37"/>
      <c r="B203" s="38" t="s">
        <v>21</v>
      </c>
      <c r="C203" s="38" t="s">
        <v>21</v>
      </c>
      <c r="D203" s="97">
        <v>0</v>
      </c>
      <c r="E203" s="102">
        <f>AD203/1000</f>
        <v>0</v>
      </c>
      <c r="F203" s="103">
        <f>SUMIF($AB$203:$AB$211,"보조",$AD$203:$AD$211)/1000</f>
        <v>0</v>
      </c>
      <c r="G203" s="103">
        <f>SUMIF($AB$203:$AB$211,"4종",$AD$203:$AD$211)/1000</f>
        <v>0</v>
      </c>
      <c r="H203" s="103">
        <f>SUMIF($AB$203:$AB$211,"6종",$AD$203:$AD$211)/1000</f>
        <v>0</v>
      </c>
      <c r="I203" s="103">
        <f>SUMIF($AB$203:$AB$211,"후원",$AD$203:$AD$211)/1000</f>
        <v>0</v>
      </c>
      <c r="J203" s="103">
        <f>SUMIF($AB$203:$AB$211,"입소",$AD$203:$AD$211)/1000</f>
        <v>0</v>
      </c>
      <c r="K203" s="103">
        <f>SUMIF($AB$203:$AB$211,"법인",$AD$203:$AD$211)/1000</f>
        <v>0</v>
      </c>
      <c r="L203" s="103">
        <f>SUMIF($AB$203:$AB$211,"잡수",$AD$203:$AD$211)/1000</f>
        <v>0</v>
      </c>
      <c r="M203" s="97">
        <f>E203-D203</f>
        <v>0</v>
      </c>
      <c r="N203" s="60">
        <f>IF(D203=0,0,M203/D203)</f>
        <v>0</v>
      </c>
      <c r="O203" s="105" t="s">
        <v>52</v>
      </c>
      <c r="P203" s="151"/>
      <c r="Q203" s="151"/>
      <c r="R203" s="151"/>
      <c r="S203" s="151"/>
      <c r="T203" s="150"/>
      <c r="U203" s="150"/>
      <c r="V203" s="150"/>
      <c r="W203" s="150"/>
      <c r="X203" s="150"/>
      <c r="Y203" s="419" t="s">
        <v>365</v>
      </c>
      <c r="Z203" s="87"/>
      <c r="AA203" s="87"/>
      <c r="AB203" s="87"/>
      <c r="AC203" s="107"/>
      <c r="AD203" s="107">
        <f>SUM(AD204:AD211)</f>
        <v>0</v>
      </c>
      <c r="AE203" s="108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443"/>
      <c r="G204" s="443"/>
      <c r="H204" s="443"/>
      <c r="I204" s="443"/>
      <c r="J204" s="443"/>
      <c r="K204" s="443"/>
      <c r="L204" s="443"/>
      <c r="M204" s="97"/>
      <c r="N204" s="60"/>
      <c r="O204" s="458" t="s">
        <v>489</v>
      </c>
      <c r="P204" s="458"/>
      <c r="Q204" s="458"/>
      <c r="R204" s="458"/>
      <c r="S204" s="458"/>
      <c r="T204" s="457"/>
      <c r="U204" s="457"/>
      <c r="V204" s="457"/>
      <c r="W204" s="457"/>
      <c r="X204" s="457"/>
      <c r="Y204" s="457"/>
      <c r="Z204" s="457"/>
      <c r="AA204" s="457"/>
      <c r="AB204" s="457" t="s">
        <v>478</v>
      </c>
      <c r="AC204" s="431"/>
      <c r="AD204" s="431">
        <v>0</v>
      </c>
      <c r="AE204" s="463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443"/>
      <c r="G205" s="443"/>
      <c r="H205" s="443"/>
      <c r="I205" s="443"/>
      <c r="J205" s="443"/>
      <c r="K205" s="443"/>
      <c r="L205" s="443"/>
      <c r="M205" s="97"/>
      <c r="N205" s="60"/>
      <c r="O205" s="458" t="s">
        <v>490</v>
      </c>
      <c r="P205" s="458"/>
      <c r="Q205" s="458"/>
      <c r="R205" s="458"/>
      <c r="S205" s="458"/>
      <c r="T205" s="457"/>
      <c r="U205" s="457"/>
      <c r="V205" s="457"/>
      <c r="W205" s="457"/>
      <c r="X205" s="457"/>
      <c r="Y205" s="457"/>
      <c r="Z205" s="457"/>
      <c r="AA205" s="457"/>
      <c r="AB205" s="457" t="s">
        <v>478</v>
      </c>
      <c r="AC205" s="431"/>
      <c r="AD205" s="431">
        <v>0</v>
      </c>
      <c r="AE205" s="463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443"/>
      <c r="G206" s="443"/>
      <c r="H206" s="443"/>
      <c r="I206" s="443"/>
      <c r="J206" s="443"/>
      <c r="K206" s="443"/>
      <c r="L206" s="443"/>
      <c r="M206" s="97"/>
      <c r="N206" s="60"/>
      <c r="O206" s="458" t="s">
        <v>491</v>
      </c>
      <c r="P206" s="458"/>
      <c r="Q206" s="458"/>
      <c r="R206" s="458"/>
      <c r="S206" s="458"/>
      <c r="T206" s="457"/>
      <c r="U206" s="457"/>
      <c r="V206" s="457"/>
      <c r="W206" s="457"/>
      <c r="X206" s="457"/>
      <c r="Y206" s="457"/>
      <c r="Z206" s="457"/>
      <c r="AA206" s="457"/>
      <c r="AB206" s="457" t="s">
        <v>421</v>
      </c>
      <c r="AC206" s="431"/>
      <c r="AD206" s="431">
        <v>0</v>
      </c>
      <c r="AE206" s="463" t="s">
        <v>25</v>
      </c>
    </row>
    <row r="207" spans="1:31" s="11" customFormat="1" ht="21" customHeight="1">
      <c r="A207" s="37"/>
      <c r="B207" s="38"/>
      <c r="C207" s="38"/>
      <c r="D207" s="133"/>
      <c r="E207" s="97"/>
      <c r="F207" s="443"/>
      <c r="G207" s="443"/>
      <c r="H207" s="443"/>
      <c r="I207" s="443"/>
      <c r="J207" s="443"/>
      <c r="K207" s="443"/>
      <c r="L207" s="443"/>
      <c r="M207" s="97"/>
      <c r="N207" s="60"/>
      <c r="O207" s="458" t="s">
        <v>492</v>
      </c>
      <c r="P207" s="458"/>
      <c r="Q207" s="458"/>
      <c r="R207" s="458"/>
      <c r="S207" s="458"/>
      <c r="T207" s="457"/>
      <c r="U207" s="457"/>
      <c r="V207" s="457"/>
      <c r="W207" s="457"/>
      <c r="X207" s="457"/>
      <c r="Y207" s="457"/>
      <c r="Z207" s="457"/>
      <c r="AA207" s="457"/>
      <c r="AB207" s="457" t="s">
        <v>421</v>
      </c>
      <c r="AC207" s="431"/>
      <c r="AD207" s="431">
        <v>0</v>
      </c>
      <c r="AE207" s="463" t="s">
        <v>25</v>
      </c>
    </row>
    <row r="208" spans="1:31" s="11" customFormat="1" ht="21" customHeight="1">
      <c r="A208" s="37"/>
      <c r="B208" s="38"/>
      <c r="C208" s="38"/>
      <c r="D208" s="133"/>
      <c r="E208" s="97"/>
      <c r="F208" s="443"/>
      <c r="G208" s="443"/>
      <c r="H208" s="443"/>
      <c r="I208" s="443"/>
      <c r="J208" s="443"/>
      <c r="K208" s="443"/>
      <c r="L208" s="443"/>
      <c r="M208" s="97"/>
      <c r="N208" s="60"/>
      <c r="O208" s="458" t="s">
        <v>493</v>
      </c>
      <c r="P208" s="458"/>
      <c r="Q208" s="458"/>
      <c r="R208" s="458"/>
      <c r="S208" s="458"/>
      <c r="T208" s="457"/>
      <c r="U208" s="457"/>
      <c r="V208" s="457"/>
      <c r="W208" s="457"/>
      <c r="X208" s="457"/>
      <c r="Y208" s="457"/>
      <c r="Z208" s="457"/>
      <c r="AA208" s="457"/>
      <c r="AB208" s="457" t="s">
        <v>435</v>
      </c>
      <c r="AC208" s="431"/>
      <c r="AD208" s="431">
        <v>0</v>
      </c>
      <c r="AE208" s="463" t="s">
        <v>25</v>
      </c>
    </row>
    <row r="209" spans="1:31" s="11" customFormat="1" ht="21" customHeight="1">
      <c r="A209" s="37"/>
      <c r="B209" s="38"/>
      <c r="C209" s="38"/>
      <c r="D209" s="133"/>
      <c r="E209" s="97"/>
      <c r="F209" s="443"/>
      <c r="G209" s="443"/>
      <c r="H209" s="443"/>
      <c r="I209" s="443"/>
      <c r="J209" s="443"/>
      <c r="K209" s="443"/>
      <c r="L209" s="443"/>
      <c r="M209" s="97"/>
      <c r="N209" s="60"/>
      <c r="O209" s="458" t="s">
        <v>494</v>
      </c>
      <c r="P209" s="458"/>
      <c r="Q209" s="458"/>
      <c r="R209" s="458"/>
      <c r="S209" s="458"/>
      <c r="T209" s="457"/>
      <c r="U209" s="457"/>
      <c r="V209" s="457"/>
      <c r="W209" s="457"/>
      <c r="X209" s="457"/>
      <c r="Y209" s="457"/>
      <c r="Z209" s="457"/>
      <c r="AA209" s="457"/>
      <c r="AB209" s="457" t="s">
        <v>435</v>
      </c>
      <c r="AC209" s="431"/>
      <c r="AD209" s="431">
        <v>0</v>
      </c>
      <c r="AE209" s="463" t="s">
        <v>25</v>
      </c>
    </row>
    <row r="210" spans="1:31" s="11" customFormat="1" ht="21" customHeight="1">
      <c r="A210" s="37"/>
      <c r="B210" s="38"/>
      <c r="C210" s="38"/>
      <c r="D210" s="133"/>
      <c r="E210" s="97"/>
      <c r="F210" s="443"/>
      <c r="G210" s="443"/>
      <c r="H210" s="443"/>
      <c r="I210" s="443"/>
      <c r="J210" s="443"/>
      <c r="K210" s="443"/>
      <c r="L210" s="443"/>
      <c r="M210" s="97"/>
      <c r="N210" s="60"/>
      <c r="O210" s="458" t="s">
        <v>495</v>
      </c>
      <c r="P210" s="458"/>
      <c r="Q210" s="458"/>
      <c r="R210" s="458"/>
      <c r="S210" s="458"/>
      <c r="T210" s="457"/>
      <c r="U210" s="457"/>
      <c r="V210" s="457"/>
      <c r="W210" s="457"/>
      <c r="X210" s="457"/>
      <c r="Y210" s="457"/>
      <c r="Z210" s="457"/>
      <c r="AA210" s="457"/>
      <c r="AB210" s="457" t="s">
        <v>455</v>
      </c>
      <c r="AC210" s="431"/>
      <c r="AD210" s="431">
        <v>0</v>
      </c>
      <c r="AE210" s="463" t="s">
        <v>25</v>
      </c>
    </row>
    <row r="211" spans="1:31" s="11" customFormat="1" ht="21" customHeight="1">
      <c r="A211" s="37"/>
      <c r="B211" s="38"/>
      <c r="C211" s="38"/>
      <c r="D211" s="133"/>
      <c r="E211" s="97"/>
      <c r="F211" s="443"/>
      <c r="G211" s="443"/>
      <c r="H211" s="443"/>
      <c r="I211" s="443"/>
      <c r="J211" s="443"/>
      <c r="K211" s="443"/>
      <c r="L211" s="443"/>
      <c r="M211" s="97"/>
      <c r="N211" s="60"/>
      <c r="O211" s="458" t="s">
        <v>496</v>
      </c>
      <c r="P211" s="458"/>
      <c r="Q211" s="458"/>
      <c r="R211" s="458"/>
      <c r="S211" s="458"/>
      <c r="T211" s="457"/>
      <c r="U211" s="457"/>
      <c r="V211" s="457"/>
      <c r="W211" s="457"/>
      <c r="X211" s="457"/>
      <c r="Y211" s="457"/>
      <c r="Z211" s="457"/>
      <c r="AA211" s="457"/>
      <c r="AB211" s="457" t="s">
        <v>455</v>
      </c>
      <c r="AC211" s="431"/>
      <c r="AD211" s="431">
        <v>0</v>
      </c>
      <c r="AE211" s="463" t="s">
        <v>25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58"/>
      <c r="P212" s="458"/>
      <c r="Q212" s="458"/>
      <c r="R212" s="458"/>
      <c r="S212" s="458"/>
      <c r="T212" s="457"/>
      <c r="U212" s="457"/>
      <c r="V212" s="457"/>
      <c r="W212" s="457"/>
      <c r="X212" s="457"/>
      <c r="Y212" s="457"/>
      <c r="Z212" s="457"/>
      <c r="AA212" s="457"/>
      <c r="AB212" s="457"/>
      <c r="AC212" s="431"/>
      <c r="AD212" s="431"/>
      <c r="AE212" s="463"/>
    </row>
    <row r="213" spans="1:31" s="11" customFormat="1" ht="21" customHeight="1">
      <c r="A213" s="37"/>
      <c r="B213" s="38"/>
      <c r="C213" s="28" t="s">
        <v>132</v>
      </c>
      <c r="D213" s="135">
        <v>20</v>
      </c>
      <c r="E213" s="102">
        <f>AD213/1000</f>
        <v>62</v>
      </c>
      <c r="F213" s="103">
        <f>SUMIF($AB$214:$AB$220,"보조",$AD$214:$AD$220)/1000</f>
        <v>20</v>
      </c>
      <c r="G213" s="103">
        <f>SUMIF($AB$214:$AB$220,"4종",$AD$214:$AD$220)/1000</f>
        <v>42</v>
      </c>
      <c r="H213" s="103">
        <f>SUMIF($AB$214:$AB$220,"6종",$AD$214:$AD$220)/1000</f>
        <v>0</v>
      </c>
      <c r="I213" s="103">
        <f>SUMIF($AB$214:$AB$220,"후원",$AD$214:$AD$220)/1000</f>
        <v>0</v>
      </c>
      <c r="J213" s="103">
        <f>SUMIF($AB$214:$AB$220,"입소",$AD$214:$AD$220)/1000</f>
        <v>0</v>
      </c>
      <c r="K213" s="103">
        <f>SUMIF($AB$214:$AB$220,"법인",$AD$214:$AD$220)/1000</f>
        <v>0</v>
      </c>
      <c r="L213" s="103">
        <f>SUMIF($AB$214:$AB$219,"잡수",$AD$214:$AD$219)/1000</f>
        <v>0</v>
      </c>
      <c r="M213" s="102">
        <f>E213-D213</f>
        <v>42</v>
      </c>
      <c r="N213" s="109">
        <f>IF(D213=0,0,M213/D213)</f>
        <v>2.1</v>
      </c>
      <c r="O213" s="300" t="s">
        <v>407</v>
      </c>
      <c r="P213" s="153"/>
      <c r="Q213" s="153"/>
      <c r="R213" s="153"/>
      <c r="S213" s="153"/>
      <c r="T213" s="152"/>
      <c r="U213" s="152"/>
      <c r="V213" s="152"/>
      <c r="W213" s="152"/>
      <c r="X213" s="152"/>
      <c r="Y213" s="519" t="s">
        <v>365</v>
      </c>
      <c r="Z213" s="519"/>
      <c r="AA213" s="519"/>
      <c r="AB213" s="519"/>
      <c r="AC213" s="147"/>
      <c r="AD213" s="304">
        <f>ROUNDDOWN(SUM(AD214:AD220),-3)</f>
        <v>62000</v>
      </c>
      <c r="AE213" s="146" t="s">
        <v>25</v>
      </c>
    </row>
    <row r="214" spans="1:31" s="11" customFormat="1" ht="21" customHeight="1">
      <c r="A214" s="37"/>
      <c r="B214" s="38"/>
      <c r="C214" s="38" t="s">
        <v>406</v>
      </c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61" t="s">
        <v>408</v>
      </c>
      <c r="P214" s="461"/>
      <c r="Q214" s="461"/>
      <c r="R214" s="461"/>
      <c r="S214" s="460"/>
      <c r="T214" s="460"/>
      <c r="U214" s="460"/>
      <c r="V214" s="460"/>
      <c r="W214" s="460"/>
      <c r="X214" s="460"/>
      <c r="Y214" s="460"/>
      <c r="Z214" s="460"/>
      <c r="AA214" s="460"/>
      <c r="AB214" s="460" t="s">
        <v>329</v>
      </c>
      <c r="AC214" s="460"/>
      <c r="AD214" s="121">
        <v>0</v>
      </c>
      <c r="AE214" s="122" t="s">
        <v>25</v>
      </c>
    </row>
    <row r="215" spans="1:31" s="11" customFormat="1" ht="21" customHeight="1">
      <c r="A215" s="37"/>
      <c r="B215" s="38"/>
      <c r="C215" s="38"/>
      <c r="D215" s="133"/>
      <c r="E215" s="97"/>
      <c r="F215" s="97"/>
      <c r="G215" s="97"/>
      <c r="H215" s="97"/>
      <c r="I215" s="97"/>
      <c r="J215" s="97"/>
      <c r="K215" s="97"/>
      <c r="L215" s="97"/>
      <c r="M215" s="97"/>
      <c r="N215" s="60"/>
      <c r="O215" s="461" t="s">
        <v>409</v>
      </c>
      <c r="P215" s="461"/>
      <c r="Q215" s="461"/>
      <c r="R215" s="461"/>
      <c r="S215" s="460"/>
      <c r="T215" s="460"/>
      <c r="U215" s="460"/>
      <c r="V215" s="460"/>
      <c r="W215" s="460"/>
      <c r="X215" s="460"/>
      <c r="Y215" s="460"/>
      <c r="Z215" s="460"/>
      <c r="AA215" s="460"/>
      <c r="AB215" s="460" t="s">
        <v>329</v>
      </c>
      <c r="AC215" s="460"/>
      <c r="AD215" s="275">
        <v>20000</v>
      </c>
      <c r="AE215" s="122" t="s">
        <v>56</v>
      </c>
    </row>
    <row r="216" spans="1:31" s="11" customFormat="1" ht="21" customHeight="1">
      <c r="A216" s="37"/>
      <c r="B216" s="38"/>
      <c r="C216" s="38"/>
      <c r="D216" s="133"/>
      <c r="E216" s="97"/>
      <c r="F216" s="97"/>
      <c r="G216" s="97"/>
      <c r="H216" s="97"/>
      <c r="I216" s="97"/>
      <c r="J216" s="97"/>
      <c r="K216" s="97"/>
      <c r="L216" s="97"/>
      <c r="M216" s="97"/>
      <c r="N216" s="60"/>
      <c r="O216" s="461" t="s">
        <v>410</v>
      </c>
      <c r="P216" s="461"/>
      <c r="Q216" s="461"/>
      <c r="R216" s="461"/>
      <c r="S216" s="460"/>
      <c r="T216" s="460"/>
      <c r="U216" s="460"/>
      <c r="V216" s="460"/>
      <c r="W216" s="460"/>
      <c r="X216" s="460"/>
      <c r="Y216" s="460"/>
      <c r="Z216" s="460"/>
      <c r="AA216" s="460"/>
      <c r="AB216" s="460" t="s">
        <v>290</v>
      </c>
      <c r="AC216" s="460"/>
      <c r="AD216" s="121">
        <v>40000</v>
      </c>
      <c r="AE216" s="122" t="s">
        <v>25</v>
      </c>
    </row>
    <row r="217" spans="1:31" s="11" customFormat="1" ht="21" customHeight="1">
      <c r="A217" s="37"/>
      <c r="B217" s="38"/>
      <c r="C217" s="38"/>
      <c r="D217" s="133"/>
      <c r="E217" s="97"/>
      <c r="F217" s="97"/>
      <c r="G217" s="97"/>
      <c r="H217" s="97"/>
      <c r="I217" s="97"/>
      <c r="J217" s="97"/>
      <c r="K217" s="97"/>
      <c r="L217" s="97"/>
      <c r="M217" s="97"/>
      <c r="N217" s="60"/>
      <c r="O217" s="461" t="s">
        <v>411</v>
      </c>
      <c r="P217" s="461"/>
      <c r="Q217" s="461"/>
      <c r="R217" s="461"/>
      <c r="S217" s="460"/>
      <c r="T217" s="460"/>
      <c r="U217" s="460"/>
      <c r="V217" s="460"/>
      <c r="W217" s="460"/>
      <c r="X217" s="460"/>
      <c r="Y217" s="460"/>
      <c r="Z217" s="460"/>
      <c r="AA217" s="460"/>
      <c r="AB217" s="460" t="s">
        <v>290</v>
      </c>
      <c r="AC217" s="460"/>
      <c r="AD217" s="275">
        <v>2000</v>
      </c>
      <c r="AE217" s="122" t="s">
        <v>56</v>
      </c>
    </row>
    <row r="218" spans="1:31" s="11" customFormat="1" ht="21" customHeight="1">
      <c r="A218" s="37"/>
      <c r="B218" s="38"/>
      <c r="C218" s="38"/>
      <c r="D218" s="133"/>
      <c r="E218" s="97"/>
      <c r="F218" s="97"/>
      <c r="G218" s="97"/>
      <c r="H218" s="97"/>
      <c r="I218" s="97"/>
      <c r="J218" s="97"/>
      <c r="K218" s="97"/>
      <c r="L218" s="97"/>
      <c r="M218" s="97"/>
      <c r="N218" s="60"/>
      <c r="O218" s="461" t="s">
        <v>425</v>
      </c>
      <c r="P218" s="461"/>
      <c r="Q218" s="461"/>
      <c r="R218" s="461"/>
      <c r="S218" s="460"/>
      <c r="T218" s="460"/>
      <c r="U218" s="460"/>
      <c r="V218" s="460"/>
      <c r="W218" s="460"/>
      <c r="X218" s="460"/>
      <c r="Y218" s="460"/>
      <c r="Z218" s="460"/>
      <c r="AA218" s="460"/>
      <c r="AB218" s="460" t="s">
        <v>304</v>
      </c>
      <c r="AC218" s="460"/>
      <c r="AD218" s="121">
        <v>0</v>
      </c>
      <c r="AE218" s="122" t="s">
        <v>25</v>
      </c>
    </row>
    <row r="219" spans="1:31" s="11" customFormat="1" ht="21" customHeight="1">
      <c r="A219" s="37"/>
      <c r="B219" s="38"/>
      <c r="C219" s="38"/>
      <c r="D219" s="133"/>
      <c r="E219" s="97"/>
      <c r="F219" s="97"/>
      <c r="G219" s="97"/>
      <c r="H219" s="97"/>
      <c r="I219" s="97"/>
      <c r="J219" s="97"/>
      <c r="K219" s="97"/>
      <c r="L219" s="97"/>
      <c r="M219" s="97"/>
      <c r="N219" s="60"/>
      <c r="O219" s="461" t="s">
        <v>426</v>
      </c>
      <c r="P219" s="461"/>
      <c r="Q219" s="461"/>
      <c r="R219" s="461"/>
      <c r="S219" s="460"/>
      <c r="T219" s="460"/>
      <c r="U219" s="460"/>
      <c r="V219" s="460"/>
      <c r="W219" s="460"/>
      <c r="X219" s="460"/>
      <c r="Y219" s="460"/>
      <c r="Z219" s="460"/>
      <c r="AA219" s="460"/>
      <c r="AB219" s="460" t="s">
        <v>304</v>
      </c>
      <c r="AC219" s="460"/>
      <c r="AD219" s="430"/>
      <c r="AE219" s="122" t="s">
        <v>56</v>
      </c>
    </row>
    <row r="220" spans="1:31" s="1" customFormat="1" ht="21" customHeight="1" thickBot="1">
      <c r="A220" s="123"/>
      <c r="B220" s="90"/>
      <c r="C220" s="90"/>
      <c r="D220" s="138"/>
      <c r="E220" s="124"/>
      <c r="F220" s="124"/>
      <c r="G220" s="124"/>
      <c r="H220" s="124"/>
      <c r="I220" s="124"/>
      <c r="J220" s="124"/>
      <c r="K220" s="124"/>
      <c r="L220" s="124"/>
      <c r="M220" s="124"/>
      <c r="N220" s="125"/>
      <c r="O220" s="397"/>
      <c r="P220" s="397"/>
      <c r="Q220" s="397"/>
      <c r="R220" s="397"/>
      <c r="S220" s="398"/>
      <c r="T220" s="398"/>
      <c r="U220" s="398"/>
      <c r="V220" s="398"/>
      <c r="W220" s="398"/>
      <c r="X220" s="398"/>
      <c r="Y220" s="398"/>
      <c r="Z220" s="398"/>
      <c r="AA220" s="398"/>
      <c r="AB220" s="398"/>
      <c r="AC220" s="398"/>
      <c r="AD220" s="398"/>
      <c r="AE220" s="399"/>
    </row>
    <row r="222" spans="1:31" ht="21" customHeight="1">
      <c r="E222" s="290"/>
      <c r="F222" s="290"/>
    </row>
    <row r="223" spans="1:31" ht="21" customHeight="1">
      <c r="E223" s="290"/>
      <c r="F223" s="290"/>
    </row>
    <row r="224" spans="1:31" ht="21" customHeight="1">
      <c r="F224" s="290"/>
    </row>
    <row r="225" spans="5:6" ht="21" customHeight="1">
      <c r="E225" s="290"/>
      <c r="F225" s="290"/>
    </row>
    <row r="226" spans="5:6" ht="21" customHeight="1">
      <c r="E226" s="290"/>
      <c r="F226" s="290"/>
    </row>
    <row r="227" spans="5:6" ht="21" customHeight="1">
      <c r="E227" s="290"/>
      <c r="F227" s="290"/>
    </row>
  </sheetData>
  <mergeCells count="15">
    <mergeCell ref="V114:W114"/>
    <mergeCell ref="A1:D1"/>
    <mergeCell ref="A2:C2"/>
    <mergeCell ref="D2:D3"/>
    <mergeCell ref="E2:L2"/>
    <mergeCell ref="M2:N2"/>
    <mergeCell ref="O2:AE3"/>
    <mergeCell ref="A4:C4"/>
    <mergeCell ref="B5:C5"/>
    <mergeCell ref="V84:W84"/>
    <mergeCell ref="B202:C202"/>
    <mergeCell ref="B122:C122"/>
    <mergeCell ref="B144:C144"/>
    <mergeCell ref="B199:C199"/>
    <mergeCell ref="O127:R12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2023-08-16T10:27:03Z</cp:lastPrinted>
  <dcterms:created xsi:type="dcterms:W3CDTF">2003-12-18T04:11:57Z</dcterms:created>
  <dcterms:modified xsi:type="dcterms:W3CDTF">2023-09-26T03:13:47Z</dcterms:modified>
</cp:coreProperties>
</file>