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10" yWindow="-15" windowWidth="16710" windowHeight="12510" tabRatio="869"/>
  </bookViews>
  <sheets>
    <sheet name="세입세출총괄표" sheetId="18" r:id="rId1"/>
    <sheet name="세입" sheetId="29" r:id="rId2"/>
    <sheet name="세출" sheetId="45" r:id="rId3"/>
  </sheets>
  <externalReferences>
    <externalReference r:id="rId4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#REF!</definedName>
    <definedName name="가족수당" localSheetId="2">세출!$AD$32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#REF!</definedName>
    <definedName name="명절휴가비" localSheetId="2">세출!$AD$25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#REF!</definedName>
    <definedName name="수정제수당총액">#REF!</definedName>
    <definedName name="연장근로수당" localSheetId="2">세출!$AD$37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#REF!</definedName>
    <definedName name="직원급식비">#REF!</definedName>
    <definedName name="직책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#REF!</definedName>
    <definedName name="프로그램지원금" localSheetId="1">세입!#REF!</definedName>
    <definedName name="호봉">#REF!</definedName>
  </definedNames>
  <calcPr calcId="125725"/>
</workbook>
</file>

<file path=xl/calcChain.xml><?xml version="1.0" encoding="utf-8"?>
<calcChain xmlns="http://schemas.openxmlformats.org/spreadsheetml/2006/main">
  <c r="X4" i="29"/>
  <c r="J26" i="18" l="1"/>
  <c r="D6" i="45"/>
  <c r="D5" s="1"/>
  <c r="D111"/>
  <c r="D120"/>
  <c r="D197"/>
  <c r="D196" s="1"/>
  <c r="D243"/>
  <c r="D242" s="1"/>
  <c r="D283"/>
  <c r="D389"/>
  <c r="X302" i="29"/>
  <c r="X347"/>
  <c r="X368" l="1"/>
  <c r="L396" i="45"/>
  <c r="K396"/>
  <c r="J396"/>
  <c r="I396"/>
  <c r="H396"/>
  <c r="G396"/>
  <c r="F396"/>
  <c r="AG408" l="1"/>
  <c r="AG407"/>
  <c r="AG406"/>
  <c r="AG405"/>
  <c r="AG404"/>
  <c r="AG403"/>
  <c r="AG402"/>
  <c r="AG401"/>
  <c r="AG400"/>
  <c r="AG399"/>
  <c r="AG398"/>
  <c r="AG397"/>
  <c r="AD396"/>
  <c r="E396" s="1"/>
  <c r="AD100"/>
  <c r="AG100" s="1"/>
  <c r="AG8"/>
  <c r="AG9"/>
  <c r="AG10"/>
  <c r="AG11"/>
  <c r="AG12"/>
  <c r="AG13"/>
  <c r="AG14"/>
  <c r="AG18"/>
  <c r="AG20"/>
  <c r="AG23"/>
  <c r="AG26"/>
  <c r="AG27"/>
  <c r="AG28"/>
  <c r="AG29"/>
  <c r="AG30"/>
  <c r="AG31"/>
  <c r="AG33"/>
  <c r="AG34"/>
  <c r="AG35"/>
  <c r="AG36"/>
  <c r="AG38"/>
  <c r="AG39"/>
  <c r="AG40"/>
  <c r="AG41"/>
  <c r="AG43"/>
  <c r="AG46"/>
  <c r="AG47"/>
  <c r="AG51"/>
  <c r="AG52"/>
  <c r="AG53"/>
  <c r="AG56"/>
  <c r="AG59"/>
  <c r="AG63"/>
  <c r="AG65"/>
  <c r="AG71"/>
  <c r="AG77"/>
  <c r="AG83"/>
  <c r="AG89"/>
  <c r="AG95"/>
  <c r="AG96"/>
  <c r="AG97"/>
  <c r="AG99"/>
  <c r="AG101"/>
  <c r="AG102"/>
  <c r="AG103"/>
  <c r="AG105"/>
  <c r="AG107"/>
  <c r="AG108"/>
  <c r="AG109"/>
  <c r="AG110"/>
  <c r="AG113"/>
  <c r="AG114"/>
  <c r="AG115"/>
  <c r="AG117"/>
  <c r="AG119"/>
  <c r="AG122"/>
  <c r="AG123"/>
  <c r="AG130"/>
  <c r="AG133"/>
  <c r="AG134"/>
  <c r="AG135"/>
  <c r="AG136"/>
  <c r="AG137"/>
  <c r="AG138"/>
  <c r="AG140"/>
  <c r="AG141"/>
  <c r="AG144"/>
  <c r="AG145"/>
  <c r="AG146"/>
  <c r="AG153"/>
  <c r="AG154"/>
  <c r="AG156"/>
  <c r="AG159"/>
  <c r="AG160"/>
  <c r="AG161"/>
  <c r="AG162"/>
  <c r="AG163"/>
  <c r="AG164"/>
  <c r="AG165"/>
  <c r="AG166"/>
  <c r="AG170"/>
  <c r="AG171"/>
  <c r="AG172"/>
  <c r="AG173"/>
  <c r="AG176"/>
  <c r="AG179"/>
  <c r="AG180"/>
  <c r="AG181"/>
  <c r="AG183"/>
  <c r="AG185"/>
  <c r="AG188"/>
  <c r="AG189"/>
  <c r="AG195"/>
  <c r="AG200"/>
  <c r="AG203"/>
  <c r="AG204"/>
  <c r="AG205"/>
  <c r="AG206"/>
  <c r="AG208"/>
  <c r="AG209"/>
  <c r="AG210"/>
  <c r="AG211"/>
  <c r="AG212"/>
  <c r="AG213"/>
  <c r="AG214"/>
  <c r="AG215"/>
  <c r="AG216"/>
  <c r="AG217"/>
  <c r="AG218"/>
  <c r="AG219"/>
  <c r="AG220"/>
  <c r="AG221"/>
  <c r="AG228"/>
  <c r="AG229"/>
  <c r="AG230"/>
  <c r="AG231"/>
  <c r="AG232"/>
  <c r="AG233"/>
  <c r="AG234"/>
  <c r="AG235"/>
  <c r="AG236"/>
  <c r="AG237"/>
  <c r="AG238"/>
  <c r="AG239"/>
  <c r="AG240"/>
  <c r="AG241"/>
  <c r="AG256"/>
  <c r="AG257"/>
  <c r="AG260"/>
  <c r="AG261"/>
  <c r="AG262"/>
  <c r="AG264"/>
  <c r="AG265"/>
  <c r="AG266"/>
  <c r="AG269"/>
  <c r="AG277"/>
  <c r="AG281"/>
  <c r="AG282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2"/>
  <c r="AG303"/>
  <c r="AG304"/>
  <c r="AG305"/>
  <c r="AG306"/>
  <c r="AG307"/>
  <c r="AG308"/>
  <c r="AG309"/>
  <c r="AG310"/>
  <c r="AG311"/>
  <c r="AG312"/>
  <c r="AG314"/>
  <c r="AG315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9"/>
  <c r="AG340"/>
  <c r="AG341"/>
  <c r="AG342"/>
  <c r="AG343"/>
  <c r="AG344"/>
  <c r="AG345"/>
  <c r="AG346"/>
  <c r="AG347"/>
  <c r="AG348"/>
  <c r="AG349"/>
  <c r="AG350"/>
  <c r="AG352"/>
  <c r="AG353"/>
  <c r="AG354"/>
  <c r="AG355"/>
  <c r="AG356"/>
  <c r="AG357"/>
  <c r="AG358"/>
  <c r="AG359"/>
  <c r="AG360"/>
  <c r="AG362"/>
  <c r="AG363"/>
  <c r="AG364"/>
  <c r="AG365"/>
  <c r="AG366"/>
  <c r="AG368"/>
  <c r="AG369"/>
  <c r="AG370"/>
  <c r="AG372"/>
  <c r="AG373"/>
  <c r="AG374"/>
  <c r="AG375"/>
  <c r="AG376"/>
  <c r="AG377"/>
  <c r="AG379"/>
  <c r="AG380"/>
  <c r="AG381"/>
  <c r="AG382"/>
  <c r="AG383"/>
  <c r="AG384"/>
  <c r="AG385"/>
  <c r="AG387"/>
  <c r="AG388"/>
  <c r="AG391"/>
  <c r="AG392"/>
  <c r="AG393"/>
  <c r="AG394"/>
  <c r="AG395"/>
  <c r="AD127"/>
  <c r="AG127" s="1"/>
  <c r="AD131"/>
  <c r="AG131" s="1"/>
  <c r="L367"/>
  <c r="K367"/>
  <c r="J367"/>
  <c r="I367"/>
  <c r="H367"/>
  <c r="G367"/>
  <c r="F367"/>
  <c r="L361"/>
  <c r="K361"/>
  <c r="H361"/>
  <c r="G361"/>
  <c r="I361"/>
  <c r="J361"/>
  <c r="F361"/>
  <c r="F316"/>
  <c r="H316"/>
  <c r="K316"/>
  <c r="L316"/>
  <c r="G316"/>
  <c r="AD177"/>
  <c r="AG177" s="1"/>
  <c r="M396" l="1"/>
  <c r="N396" s="1"/>
  <c r="AG396"/>
  <c r="X361" i="29"/>
  <c r="X309"/>
  <c r="AD201" i="45" l="1"/>
  <c r="AG201" s="1"/>
  <c r="X329" i="29"/>
  <c r="X305"/>
  <c r="M318"/>
  <c r="X318" s="1"/>
  <c r="X310"/>
  <c r="X313"/>
  <c r="X319"/>
  <c r="X324"/>
  <c r="X312"/>
  <c r="X333"/>
  <c r="AD227" i="45" l="1"/>
  <c r="AD225"/>
  <c r="X384" i="29"/>
  <c r="X382" s="1"/>
  <c r="I198" i="45"/>
  <c r="AD224"/>
  <c r="AG224" s="1"/>
  <c r="X235" i="29"/>
  <c r="AD390" i="45"/>
  <c r="AG390" l="1"/>
  <c r="AD389"/>
  <c r="X239" i="29"/>
  <c r="AD42" i="45" l="1"/>
  <c r="AG42" s="1"/>
  <c r="AD22"/>
  <c r="AG22" s="1"/>
  <c r="AG389"/>
  <c r="N390"/>
  <c r="L390"/>
  <c r="L389" s="1"/>
  <c r="K390"/>
  <c r="K389" s="1"/>
  <c r="J390"/>
  <c r="J389" s="1"/>
  <c r="I390"/>
  <c r="I389" s="1"/>
  <c r="H390"/>
  <c r="H389" s="1"/>
  <c r="G390"/>
  <c r="G389" s="1"/>
  <c r="F390"/>
  <c r="F389" s="1"/>
  <c r="N387"/>
  <c r="L387"/>
  <c r="L386" s="1"/>
  <c r="K387"/>
  <c r="K386" s="1"/>
  <c r="J387"/>
  <c r="J386" s="1"/>
  <c r="I387"/>
  <c r="I386" s="1"/>
  <c r="H387"/>
  <c r="H386" s="1"/>
  <c r="G387"/>
  <c r="G386" s="1"/>
  <c r="F387"/>
  <c r="F386" s="1"/>
  <c r="E387"/>
  <c r="M387" s="1"/>
  <c r="AD386"/>
  <c r="AG386" s="1"/>
  <c r="E386"/>
  <c r="D386"/>
  <c r="AD378"/>
  <c r="AG378" s="1"/>
  <c r="L378"/>
  <c r="K378"/>
  <c r="J378"/>
  <c r="I378"/>
  <c r="H378"/>
  <c r="G378"/>
  <c r="F378"/>
  <c r="AD371"/>
  <c r="AG371" s="1"/>
  <c r="L371"/>
  <c r="K371"/>
  <c r="J371"/>
  <c r="I371"/>
  <c r="H371"/>
  <c r="G371"/>
  <c r="F371"/>
  <c r="E371"/>
  <c r="AD367"/>
  <c r="AG367" s="1"/>
  <c r="AD361"/>
  <c r="AG361" s="1"/>
  <c r="AD351"/>
  <c r="AG351" s="1"/>
  <c r="L351"/>
  <c r="K351"/>
  <c r="J351"/>
  <c r="I351"/>
  <c r="H351"/>
  <c r="G351"/>
  <c r="F351"/>
  <c r="AD338"/>
  <c r="AG338" s="1"/>
  <c r="L338"/>
  <c r="K338"/>
  <c r="J338"/>
  <c r="I338"/>
  <c r="H338"/>
  <c r="G338"/>
  <c r="F338"/>
  <c r="AD316"/>
  <c r="AG316" s="1"/>
  <c r="J316"/>
  <c r="I316"/>
  <c r="E316"/>
  <c r="M316" s="1"/>
  <c r="N316" s="1"/>
  <c r="AD313"/>
  <c r="AG313" s="1"/>
  <c r="L313"/>
  <c r="K313"/>
  <c r="J313"/>
  <c r="I313"/>
  <c r="H313"/>
  <c r="G313"/>
  <c r="F313"/>
  <c r="AD301"/>
  <c r="AG301" s="1"/>
  <c r="L301"/>
  <c r="K301"/>
  <c r="J301"/>
  <c r="I301"/>
  <c r="H301"/>
  <c r="G301"/>
  <c r="F301"/>
  <c r="E301"/>
  <c r="AD284"/>
  <c r="AG284" s="1"/>
  <c r="L284"/>
  <c r="K284"/>
  <c r="J284"/>
  <c r="I284"/>
  <c r="H284"/>
  <c r="G284"/>
  <c r="F284"/>
  <c r="AD280"/>
  <c r="AG280" s="1"/>
  <c r="AD279"/>
  <c r="AG279" s="1"/>
  <c r="L278"/>
  <c r="K278"/>
  <c r="J278"/>
  <c r="I278"/>
  <c r="H278"/>
  <c r="G278"/>
  <c r="AD276"/>
  <c r="AG276" s="1"/>
  <c r="AD275"/>
  <c r="AG275" s="1"/>
  <c r="AD274"/>
  <c r="AG274" s="1"/>
  <c r="AD273"/>
  <c r="AG273" s="1"/>
  <c r="AD272"/>
  <c r="AG272" s="1"/>
  <c r="AD271"/>
  <c r="AG271" s="1"/>
  <c r="L270"/>
  <c r="K270"/>
  <c r="J270"/>
  <c r="AD268"/>
  <c r="L267"/>
  <c r="K267"/>
  <c r="J267"/>
  <c r="I267"/>
  <c r="G267"/>
  <c r="F267"/>
  <c r="AD263"/>
  <c r="AG263" s="1"/>
  <c r="L263"/>
  <c r="K263"/>
  <c r="J263"/>
  <c r="I263"/>
  <c r="H263"/>
  <c r="G263"/>
  <c r="F263"/>
  <c r="AD259"/>
  <c r="AG259" s="1"/>
  <c r="AD258"/>
  <c r="AG258" s="1"/>
  <c r="AD255"/>
  <c r="AG255" s="1"/>
  <c r="AD254"/>
  <c r="AG254" s="1"/>
  <c r="AD253"/>
  <c r="AG253" s="1"/>
  <c r="AD252"/>
  <c r="AG252" s="1"/>
  <c r="AD251"/>
  <c r="AG251" s="1"/>
  <c r="AD250"/>
  <c r="AG250" s="1"/>
  <c r="AD249"/>
  <c r="AG249" s="1"/>
  <c r="AD248"/>
  <c r="AG248" s="1"/>
  <c r="AD247"/>
  <c r="AG247" s="1"/>
  <c r="AD246"/>
  <c r="AG246" s="1"/>
  <c r="AD245"/>
  <c r="AG245" s="1"/>
  <c r="K244"/>
  <c r="I244"/>
  <c r="G244"/>
  <c r="AD226"/>
  <c r="AG226" s="1"/>
  <c r="AD223"/>
  <c r="AG223" s="1"/>
  <c r="L222"/>
  <c r="K222"/>
  <c r="J222"/>
  <c r="I222"/>
  <c r="H222"/>
  <c r="G222"/>
  <c r="AD207"/>
  <c r="AG207" s="1"/>
  <c r="L207"/>
  <c r="K207"/>
  <c r="J207"/>
  <c r="I207"/>
  <c r="H207"/>
  <c r="G207"/>
  <c r="F207"/>
  <c r="AD202"/>
  <c r="AG202" s="1"/>
  <c r="AD199"/>
  <c r="AG199" s="1"/>
  <c r="L198"/>
  <c r="K198"/>
  <c r="J198"/>
  <c r="H198"/>
  <c r="G198"/>
  <c r="F198"/>
  <c r="AD194"/>
  <c r="AG194" s="1"/>
  <c r="AD193"/>
  <c r="AG193" s="1"/>
  <c r="AD192"/>
  <c r="AG192" s="1"/>
  <c r="AD191"/>
  <c r="AG191" s="1"/>
  <c r="AD190"/>
  <c r="AG190" s="1"/>
  <c r="AD187"/>
  <c r="AG187" s="1"/>
  <c r="AD184"/>
  <c r="AG184" s="1"/>
  <c r="AD182"/>
  <c r="AG182" s="1"/>
  <c r="AD178"/>
  <c r="AG178" s="1"/>
  <c r="J174"/>
  <c r="I174"/>
  <c r="H174"/>
  <c r="G174"/>
  <c r="F174"/>
  <c r="AD169"/>
  <c r="AG169" s="1"/>
  <c r="AD168"/>
  <c r="AG168" s="1"/>
  <c r="L167"/>
  <c r="K167"/>
  <c r="J167"/>
  <c r="I167"/>
  <c r="H167"/>
  <c r="G167"/>
  <c r="AD158"/>
  <c r="AG158" s="1"/>
  <c r="AD157"/>
  <c r="AG157" s="1"/>
  <c r="L155"/>
  <c r="K155"/>
  <c r="J155"/>
  <c r="I155"/>
  <c r="H155"/>
  <c r="G155"/>
  <c r="AD152"/>
  <c r="AG152" s="1"/>
  <c r="AD151"/>
  <c r="AG151" s="1"/>
  <c r="AD150"/>
  <c r="AG150" s="1"/>
  <c r="AD149"/>
  <c r="AG149" s="1"/>
  <c r="AD148"/>
  <c r="AG148" s="1"/>
  <c r="L147"/>
  <c r="K147"/>
  <c r="J147"/>
  <c r="I147"/>
  <c r="H147"/>
  <c r="G147"/>
  <c r="AD143"/>
  <c r="AG143" s="1"/>
  <c r="AD142"/>
  <c r="AG142" s="1"/>
  <c r="AD139"/>
  <c r="AG139" s="1"/>
  <c r="AD132"/>
  <c r="AG132" s="1"/>
  <c r="AD129"/>
  <c r="AG129" s="1"/>
  <c r="AD128"/>
  <c r="AG128" s="1"/>
  <c r="AD126"/>
  <c r="AG126" s="1"/>
  <c r="AD125"/>
  <c r="AG125" s="1"/>
  <c r="L124"/>
  <c r="K124"/>
  <c r="J124"/>
  <c r="H124"/>
  <c r="G124"/>
  <c r="AD121"/>
  <c r="AG121" s="1"/>
  <c r="L121"/>
  <c r="K121"/>
  <c r="J121"/>
  <c r="I121"/>
  <c r="H121"/>
  <c r="G121"/>
  <c r="F121"/>
  <c r="AD118"/>
  <c r="AG118" s="1"/>
  <c r="L116"/>
  <c r="J116"/>
  <c r="I116"/>
  <c r="H116"/>
  <c r="G116"/>
  <c r="F116"/>
  <c r="L114"/>
  <c r="K114"/>
  <c r="J114"/>
  <c r="I114"/>
  <c r="H114"/>
  <c r="G114"/>
  <c r="F114"/>
  <c r="E114"/>
  <c r="M114" s="1"/>
  <c r="N114" s="1"/>
  <c r="AD112"/>
  <c r="AG112" s="1"/>
  <c r="L112"/>
  <c r="K112"/>
  <c r="J112"/>
  <c r="I112"/>
  <c r="H112"/>
  <c r="G112"/>
  <c r="F112"/>
  <c r="AD106"/>
  <c r="AG106" s="1"/>
  <c r="AD104"/>
  <c r="AG104" s="1"/>
  <c r="L98"/>
  <c r="J98"/>
  <c r="I98"/>
  <c r="H98"/>
  <c r="F98"/>
  <c r="L64"/>
  <c r="J64"/>
  <c r="I64"/>
  <c r="H64"/>
  <c r="S58"/>
  <c r="S75" s="1"/>
  <c r="S55"/>
  <c r="S68" s="1"/>
  <c r="S50"/>
  <c r="S67" s="1"/>
  <c r="L48"/>
  <c r="J48"/>
  <c r="I48"/>
  <c r="H48"/>
  <c r="AD45"/>
  <c r="AG45" s="1"/>
  <c r="AD37"/>
  <c r="AG37" s="1"/>
  <c r="AD32"/>
  <c r="AG32" s="1"/>
  <c r="AD25"/>
  <c r="AG25" s="1"/>
  <c r="L24"/>
  <c r="J24"/>
  <c r="I24"/>
  <c r="H24"/>
  <c r="G24"/>
  <c r="F24"/>
  <c r="AD21"/>
  <c r="AG21" s="1"/>
  <c r="L19"/>
  <c r="K19"/>
  <c r="J19"/>
  <c r="I19"/>
  <c r="H19"/>
  <c r="F19"/>
  <c r="AD17"/>
  <c r="AG17" s="1"/>
  <c r="AD16"/>
  <c r="AG16" s="1"/>
  <c r="L7"/>
  <c r="J7"/>
  <c r="I7"/>
  <c r="H7"/>
  <c r="G7"/>
  <c r="F7"/>
  <c r="M72" i="29"/>
  <c r="X216"/>
  <c r="X215"/>
  <c r="X213"/>
  <c r="M214" s="1"/>
  <c r="X214" s="1"/>
  <c r="X164"/>
  <c r="M159"/>
  <c r="M160"/>
  <c r="M158"/>
  <c r="M156"/>
  <c r="M75"/>
  <c r="M76"/>
  <c r="M74"/>
  <c r="X19"/>
  <c r="M86"/>
  <c r="M85"/>
  <c r="M83"/>
  <c r="M82"/>
  <c r="X82" s="1"/>
  <c r="M32"/>
  <c r="X32" s="1"/>
  <c r="M30"/>
  <c r="M78" s="1"/>
  <c r="N386" i="45" l="1"/>
  <c r="D4"/>
  <c r="H267"/>
  <c r="AG268"/>
  <c r="E367"/>
  <c r="M367" s="1"/>
  <c r="N367" s="1"/>
  <c r="J111"/>
  <c r="H270"/>
  <c r="AD222"/>
  <c r="AG222" s="1"/>
  <c r="K24"/>
  <c r="L244"/>
  <c r="L243" s="1"/>
  <c r="AD124"/>
  <c r="AG124" s="1"/>
  <c r="I124"/>
  <c r="E207"/>
  <c r="AD283"/>
  <c r="AG283" s="1"/>
  <c r="G98"/>
  <c r="E263"/>
  <c r="J18" i="18" s="1"/>
  <c r="E284" i="45"/>
  <c r="M284" s="1"/>
  <c r="E361"/>
  <c r="M361" s="1"/>
  <c r="N361" s="1"/>
  <c r="K174"/>
  <c r="K120" s="1"/>
  <c r="J244"/>
  <c r="J243" s="1"/>
  <c r="E351"/>
  <c r="M351" s="1"/>
  <c r="N351" s="1"/>
  <c r="E338"/>
  <c r="F167"/>
  <c r="E313"/>
  <c r="M313" s="1"/>
  <c r="N313" s="1"/>
  <c r="E378"/>
  <c r="M378" s="1"/>
  <c r="N378" s="1"/>
  <c r="L111"/>
  <c r="F222"/>
  <c r="K98"/>
  <c r="F270"/>
  <c r="G19"/>
  <c r="I270"/>
  <c r="S61"/>
  <c r="AD61" s="1"/>
  <c r="AG61" s="1"/>
  <c r="L174"/>
  <c r="AD267"/>
  <c r="AG267" s="1"/>
  <c r="G270"/>
  <c r="AD186"/>
  <c r="AG186" s="1"/>
  <c r="H244"/>
  <c r="H243" s="1"/>
  <c r="AD198"/>
  <c r="AG198" s="1"/>
  <c r="H111"/>
  <c r="J120"/>
  <c r="H120"/>
  <c r="G197"/>
  <c r="G196" s="1"/>
  <c r="G120"/>
  <c r="AD50"/>
  <c r="AG50" s="1"/>
  <c r="K7"/>
  <c r="E390"/>
  <c r="F155"/>
  <c r="AD98"/>
  <c r="AG98" s="1"/>
  <c r="F124"/>
  <c r="K197"/>
  <c r="K196" s="1"/>
  <c r="I111"/>
  <c r="AD244"/>
  <c r="AG244" s="1"/>
  <c r="AD19"/>
  <c r="AG19" s="1"/>
  <c r="K243"/>
  <c r="F244"/>
  <c r="M386"/>
  <c r="S69"/>
  <c r="AD69" s="1"/>
  <c r="AG69" s="1"/>
  <c r="F147"/>
  <c r="AD167"/>
  <c r="AG167" s="1"/>
  <c r="G111"/>
  <c r="F111"/>
  <c r="J283"/>
  <c r="I283"/>
  <c r="J6"/>
  <c r="H6"/>
  <c r="M162" i="29"/>
  <c r="F283" i="45"/>
  <c r="AD75"/>
  <c r="AG75" s="1"/>
  <c r="S87"/>
  <c r="S74"/>
  <c r="AD68"/>
  <c r="AG68" s="1"/>
  <c r="AD67"/>
  <c r="AG67" s="1"/>
  <c r="S73"/>
  <c r="AD55"/>
  <c r="AG55" s="1"/>
  <c r="AD175"/>
  <c r="AG175" s="1"/>
  <c r="L197"/>
  <c r="L196" s="1"/>
  <c r="G283"/>
  <c r="AD15"/>
  <c r="AG15" s="1"/>
  <c r="M301"/>
  <c r="N301" s="1"/>
  <c r="AD44"/>
  <c r="AG44" s="1"/>
  <c r="E112"/>
  <c r="AD116"/>
  <c r="AG116" s="1"/>
  <c r="E121"/>
  <c r="J197"/>
  <c r="J196" s="1"/>
  <c r="AD270"/>
  <c r="AG270" s="1"/>
  <c r="AD278"/>
  <c r="AG278" s="1"/>
  <c r="L6"/>
  <c r="I197"/>
  <c r="I196" s="1"/>
  <c r="F278"/>
  <c r="L283"/>
  <c r="AD58"/>
  <c r="AG58" s="1"/>
  <c r="AD147"/>
  <c r="AG147" s="1"/>
  <c r="AD155"/>
  <c r="AG155" s="1"/>
  <c r="H197"/>
  <c r="H196" s="1"/>
  <c r="K283"/>
  <c r="M371"/>
  <c r="N371" s="1"/>
  <c r="I6"/>
  <c r="K116"/>
  <c r="K111" s="1"/>
  <c r="H283"/>
  <c r="M390" l="1"/>
  <c r="E389"/>
  <c r="M389" s="1"/>
  <c r="N389" s="1"/>
  <c r="S70"/>
  <c r="S94"/>
  <c r="AD94" s="1"/>
  <c r="AG94" s="1"/>
  <c r="M207"/>
  <c r="N207" s="1"/>
  <c r="J14" i="18"/>
  <c r="I120" i="45"/>
  <c r="I5" s="1"/>
  <c r="M338"/>
  <c r="N338" s="1"/>
  <c r="E283"/>
  <c r="J22" i="18" s="1"/>
  <c r="H242" i="45"/>
  <c r="M263"/>
  <c r="N263" s="1"/>
  <c r="G243"/>
  <c r="G242" s="1"/>
  <c r="K242"/>
  <c r="F197"/>
  <c r="F196" s="1"/>
  <c r="E98"/>
  <c r="M98" s="1"/>
  <c r="N98" s="1"/>
  <c r="I243"/>
  <c r="I242" s="1"/>
  <c r="AD7"/>
  <c r="E7" s="1"/>
  <c r="E267"/>
  <c r="E244"/>
  <c r="J17" i="18" s="1"/>
  <c r="J5" i="45"/>
  <c r="L120"/>
  <c r="L5" s="1"/>
  <c r="E222"/>
  <c r="J15" i="18" s="1"/>
  <c r="E270" i="45"/>
  <c r="AD197"/>
  <c r="E278"/>
  <c r="E19"/>
  <c r="M19" s="1"/>
  <c r="N19" s="1"/>
  <c r="AD24"/>
  <c r="AG24" s="1"/>
  <c r="E198"/>
  <c r="J13" i="18" s="1"/>
  <c r="AD57" i="45"/>
  <c r="AG57" s="1"/>
  <c r="AD174"/>
  <c r="E147"/>
  <c r="M147" s="1"/>
  <c r="N147" s="1"/>
  <c r="E116"/>
  <c r="M116" s="1"/>
  <c r="N116" s="1"/>
  <c r="E167"/>
  <c r="E155"/>
  <c r="M155" s="1"/>
  <c r="N155" s="1"/>
  <c r="E124"/>
  <c r="S62"/>
  <c r="AD62" s="1"/>
  <c r="AG62" s="1"/>
  <c r="F120"/>
  <c r="H5"/>
  <c r="S88"/>
  <c r="AD88" s="1"/>
  <c r="AG88" s="1"/>
  <c r="S76"/>
  <c r="AD76" s="1"/>
  <c r="AG76" s="1"/>
  <c r="J242"/>
  <c r="L242"/>
  <c r="K48"/>
  <c r="M121"/>
  <c r="N121" s="1"/>
  <c r="S93"/>
  <c r="AD93" s="1"/>
  <c r="AG93" s="1"/>
  <c r="AD87"/>
  <c r="AG87" s="1"/>
  <c r="N284"/>
  <c r="M283"/>
  <c r="AD74"/>
  <c r="AG74" s="1"/>
  <c r="S86"/>
  <c r="AD86" s="1"/>
  <c r="AG86" s="1"/>
  <c r="AD243"/>
  <c r="AG243" s="1"/>
  <c r="AD54"/>
  <c r="AG54" s="1"/>
  <c r="G48"/>
  <c r="F243"/>
  <c r="F242" s="1"/>
  <c r="AD73"/>
  <c r="AG73" s="1"/>
  <c r="S85"/>
  <c r="AD85" s="1"/>
  <c r="AG85" s="1"/>
  <c r="S81"/>
  <c r="AD81" s="1"/>
  <c r="AG81" s="1"/>
  <c r="F48"/>
  <c r="AD49"/>
  <c r="AG49" s="1"/>
  <c r="M112"/>
  <c r="N112" s="1"/>
  <c r="AD111"/>
  <c r="AG111" s="1"/>
  <c r="J4" l="1"/>
  <c r="L4"/>
  <c r="H4"/>
  <c r="I4"/>
  <c r="AD120"/>
  <c r="AG120" s="1"/>
  <c r="AG174"/>
  <c r="AD196"/>
  <c r="AG196" s="1"/>
  <c r="AG197"/>
  <c r="M244"/>
  <c r="N244" s="1"/>
  <c r="AD70"/>
  <c r="N283"/>
  <c r="M270"/>
  <c r="N270" s="1"/>
  <c r="J20" i="18"/>
  <c r="M267" i="45"/>
  <c r="N267" s="1"/>
  <c r="J19" i="18"/>
  <c r="M278" i="45"/>
  <c r="N278" s="1"/>
  <c r="J21" i="18"/>
  <c r="E111" i="45"/>
  <c r="M198"/>
  <c r="N198" s="1"/>
  <c r="E24"/>
  <c r="E243"/>
  <c r="M243" s="1"/>
  <c r="E197"/>
  <c r="E196" s="1"/>
  <c r="AD60"/>
  <c r="AG60" s="1"/>
  <c r="E174"/>
  <c r="AD242"/>
  <c r="AG242" s="1"/>
  <c r="M222"/>
  <c r="N222" s="1"/>
  <c r="S82"/>
  <c r="M167"/>
  <c r="N167" s="1"/>
  <c r="M124"/>
  <c r="N124" s="1"/>
  <c r="S79"/>
  <c r="AD79" s="1"/>
  <c r="AG79" s="1"/>
  <c r="AD72"/>
  <c r="AG72" s="1"/>
  <c r="S91"/>
  <c r="AD91" s="1"/>
  <c r="AG91" s="1"/>
  <c r="M7"/>
  <c r="N7" s="1"/>
  <c r="S92"/>
  <c r="S80"/>
  <c r="AD80" s="1"/>
  <c r="AG80" s="1"/>
  <c r="AD66" l="1"/>
  <c r="AG66" s="1"/>
  <c r="AG70"/>
  <c r="AD82"/>
  <c r="AG82" s="1"/>
  <c r="M196"/>
  <c r="N196" s="1"/>
  <c r="M111"/>
  <c r="N111" s="1"/>
  <c r="J10" i="18"/>
  <c r="K64" i="45"/>
  <c r="K6" s="1"/>
  <c r="K5" s="1"/>
  <c r="K4" s="1"/>
  <c r="AD48"/>
  <c r="AG48" s="1"/>
  <c r="M24"/>
  <c r="N24" s="1"/>
  <c r="E242"/>
  <c r="M197"/>
  <c r="N197" s="1"/>
  <c r="F64"/>
  <c r="M174"/>
  <c r="N174" s="1"/>
  <c r="E120"/>
  <c r="AD92"/>
  <c r="AG92" s="1"/>
  <c r="AD84"/>
  <c r="AG84" s="1"/>
  <c r="M242"/>
  <c r="N242" s="1"/>
  <c r="N243"/>
  <c r="AD78"/>
  <c r="AG78" s="1"/>
  <c r="G64"/>
  <c r="M120" l="1"/>
  <c r="N120" s="1"/>
  <c r="J11" i="18"/>
  <c r="E48" i="45"/>
  <c r="M48" s="1"/>
  <c r="N48" s="1"/>
  <c r="AD90"/>
  <c r="AG90" s="1"/>
  <c r="F6"/>
  <c r="F5" s="1"/>
  <c r="F4" s="1"/>
  <c r="G6"/>
  <c r="G5" s="1"/>
  <c r="G4" s="1"/>
  <c r="AD64" l="1"/>
  <c r="AG64" s="1"/>
  <c r="AD6" l="1"/>
  <c r="AD5" s="1"/>
  <c r="AD4" s="1"/>
  <c r="E64"/>
  <c r="E6" s="1"/>
  <c r="M6" l="1"/>
  <c r="N6" s="1"/>
  <c r="J9" i="18"/>
  <c r="M64" i="45"/>
  <c r="N64" s="1"/>
  <c r="E5"/>
  <c r="E4" s="1"/>
  <c r="M4" l="1"/>
  <c r="N4" s="1"/>
  <c r="M5"/>
  <c r="N5" s="1"/>
  <c r="F382" i="29" l="1"/>
  <c r="X379"/>
  <c r="F379" s="1"/>
  <c r="E368"/>
  <c r="X344" l="1"/>
  <c r="X345"/>
  <c r="X343" l="1"/>
  <c r="X339"/>
  <c r="X338"/>
  <c r="X337"/>
  <c r="X342"/>
  <c r="X336"/>
  <c r="X16"/>
  <c r="X308" l="1"/>
  <c r="X104"/>
  <c r="X153"/>
  <c r="X152"/>
  <c r="X151"/>
  <c r="X150"/>
  <c r="X149"/>
  <c r="X148"/>
  <c r="X69"/>
  <c r="X68"/>
  <c r="X67"/>
  <c r="X66"/>
  <c r="X65"/>
  <c r="X64"/>
  <c r="X20"/>
  <c r="X18"/>
  <c r="X17"/>
  <c r="X307" l="1"/>
  <c r="M167"/>
  <c r="X167" s="1"/>
  <c r="X80"/>
  <c r="X76"/>
  <c r="X28"/>
  <c r="X27"/>
  <c r="X26"/>
  <c r="X7"/>
  <c r="M169" l="1"/>
  <c r="X169" s="1"/>
  <c r="M170"/>
  <c r="X162"/>
  <c r="X161" s="1"/>
  <c r="M166"/>
  <c r="X166" s="1"/>
  <c r="X83"/>
  <c r="X210" l="1"/>
  <c r="D9" i="18" l="1"/>
  <c r="X328" i="29" l="1"/>
  <c r="M108"/>
  <c r="X108" s="1"/>
  <c r="X123"/>
  <c r="X45"/>
  <c r="X41"/>
  <c r="X24"/>
  <c r="X426"/>
  <c r="X425" s="1"/>
  <c r="F425" s="1"/>
  <c r="G425" s="1"/>
  <c r="H425" s="1"/>
  <c r="X424"/>
  <c r="X423"/>
  <c r="X422"/>
  <c r="X421"/>
  <c r="X420"/>
  <c r="E418"/>
  <c r="X405"/>
  <c r="X404" s="1"/>
  <c r="E404"/>
  <c r="X401"/>
  <c r="F401" s="1"/>
  <c r="E400"/>
  <c r="F396"/>
  <c r="G396" s="1"/>
  <c r="H396" s="1"/>
  <c r="X388"/>
  <c r="X387" s="1"/>
  <c r="E387"/>
  <c r="G382"/>
  <c r="H382" s="1"/>
  <c r="G379"/>
  <c r="H379" s="1"/>
  <c r="X375"/>
  <c r="F375" s="1"/>
  <c r="G375" s="1"/>
  <c r="H375" s="1"/>
  <c r="X372"/>
  <c r="F372" s="1"/>
  <c r="G372" s="1"/>
  <c r="H372" s="1"/>
  <c r="X369"/>
  <c r="F369" s="1"/>
  <c r="G369" s="1"/>
  <c r="H369" s="1"/>
  <c r="X304"/>
  <c r="X303" s="1"/>
  <c r="M317" s="1"/>
  <c r="X317" s="1"/>
  <c r="E302"/>
  <c r="X294"/>
  <c r="X292"/>
  <c r="X290"/>
  <c r="X288"/>
  <c r="X287" s="1"/>
  <c r="X281"/>
  <c r="X280"/>
  <c r="X279"/>
  <c r="X278"/>
  <c r="X274"/>
  <c r="X272"/>
  <c r="X271"/>
  <c r="X270"/>
  <c r="X263"/>
  <c r="H262"/>
  <c r="E261"/>
  <c r="H261" s="1"/>
  <c r="H258"/>
  <c r="F258"/>
  <c r="F257" s="1"/>
  <c r="X257"/>
  <c r="E257"/>
  <c r="H257" s="1"/>
  <c r="X255"/>
  <c r="F255" s="1"/>
  <c r="H255"/>
  <c r="E254"/>
  <c r="H254" s="1"/>
  <c r="X251"/>
  <c r="X250" s="1"/>
  <c r="E249"/>
  <c r="X247"/>
  <c r="X246"/>
  <c r="X233"/>
  <c r="E232"/>
  <c r="F229"/>
  <c r="F228" s="1"/>
  <c r="X228"/>
  <c r="E228"/>
  <c r="X226"/>
  <c r="X225"/>
  <c r="X224"/>
  <c r="X221"/>
  <c r="X220"/>
  <c r="X219"/>
  <c r="X208"/>
  <c r="X207"/>
  <c r="X206"/>
  <c r="X204"/>
  <c r="X203"/>
  <c r="X202"/>
  <c r="X197"/>
  <c r="X196"/>
  <c r="X195"/>
  <c r="X194"/>
  <c r="X193"/>
  <c r="M190"/>
  <c r="X190" s="1"/>
  <c r="M177"/>
  <c r="X177" s="1"/>
  <c r="M176"/>
  <c r="X176" s="1"/>
  <c r="M175"/>
  <c r="X175" s="1"/>
  <c r="M173"/>
  <c r="X173" s="1"/>
  <c r="X160"/>
  <c r="X159"/>
  <c r="X158"/>
  <c r="X156"/>
  <c r="E146"/>
  <c r="X144"/>
  <c r="X143"/>
  <c r="X140"/>
  <c r="X139"/>
  <c r="X138"/>
  <c r="M129"/>
  <c r="X129" s="1"/>
  <c r="X127"/>
  <c r="X126"/>
  <c r="X125"/>
  <c r="X122"/>
  <c r="X121"/>
  <c r="X116"/>
  <c r="X114"/>
  <c r="X113"/>
  <c r="X112"/>
  <c r="X111"/>
  <c r="X105"/>
  <c r="M189"/>
  <c r="X189" s="1"/>
  <c r="M93"/>
  <c r="X93" s="1"/>
  <c r="M92"/>
  <c r="X92" s="1"/>
  <c r="M91"/>
  <c r="X91" s="1"/>
  <c r="M89"/>
  <c r="X89" s="1"/>
  <c r="X75"/>
  <c r="X72"/>
  <c r="E62"/>
  <c r="X60"/>
  <c r="X59" s="1"/>
  <c r="X57"/>
  <c r="X56"/>
  <c r="X52"/>
  <c r="X44"/>
  <c r="X43"/>
  <c r="X21"/>
  <c r="E14"/>
  <c r="X11"/>
  <c r="F11" s="1"/>
  <c r="G11" s="1"/>
  <c r="H11"/>
  <c r="X9"/>
  <c r="F9" s="1"/>
  <c r="G9" s="1"/>
  <c r="H9" s="1"/>
  <c r="X8"/>
  <c r="X6"/>
  <c r="X316" l="1"/>
  <c r="M322"/>
  <c r="X254"/>
  <c r="X253" s="1"/>
  <c r="M135"/>
  <c r="X135" s="1"/>
  <c r="X128"/>
  <c r="M35"/>
  <c r="X35" s="1"/>
  <c r="M36" s="1"/>
  <c r="X36" s="1"/>
  <c r="X30"/>
  <c r="X29" s="1"/>
  <c r="X245"/>
  <c r="F245" s="1"/>
  <c r="G245" s="1"/>
  <c r="H245" s="1"/>
  <c r="G257"/>
  <c r="E399"/>
  <c r="X5"/>
  <c r="G258"/>
  <c r="E253"/>
  <c r="H253" s="1"/>
  <c r="X63"/>
  <c r="F63" s="1"/>
  <c r="X103"/>
  <c r="F103" s="1"/>
  <c r="G103" s="1"/>
  <c r="H103" s="1"/>
  <c r="X277"/>
  <c r="X137"/>
  <c r="X55"/>
  <c r="F55" s="1"/>
  <c r="G55" s="1"/>
  <c r="H55" s="1"/>
  <c r="E260"/>
  <c r="X400"/>
  <c r="X192"/>
  <c r="F192" s="1"/>
  <c r="G192" s="1"/>
  <c r="H192" s="1"/>
  <c r="X110"/>
  <c r="F110" s="1"/>
  <c r="G110" s="1"/>
  <c r="H110" s="1"/>
  <c r="X15"/>
  <c r="F15" s="1"/>
  <c r="E231"/>
  <c r="X269"/>
  <c r="G228"/>
  <c r="X223"/>
  <c r="F223" s="1"/>
  <c r="G223" s="1"/>
  <c r="H223" s="1"/>
  <c r="F388"/>
  <c r="G388" s="1"/>
  <c r="H388" s="1"/>
  <c r="X419"/>
  <c r="F419" s="1"/>
  <c r="G229"/>
  <c r="H229" s="1"/>
  <c r="X218"/>
  <c r="X142"/>
  <c r="F142" s="1"/>
  <c r="G142" s="1"/>
  <c r="H142" s="1"/>
  <c r="X124"/>
  <c r="X120"/>
  <c r="X201"/>
  <c r="M134"/>
  <c r="X134" s="1"/>
  <c r="M95"/>
  <c r="M101" s="1"/>
  <c r="X101" s="1"/>
  <c r="X90"/>
  <c r="X42"/>
  <c r="X49"/>
  <c r="X53"/>
  <c r="X50"/>
  <c r="X51" s="1"/>
  <c r="X25"/>
  <c r="X157"/>
  <c r="M38"/>
  <c r="X38" s="1"/>
  <c r="M37"/>
  <c r="X37" s="1"/>
  <c r="M34"/>
  <c r="X34" s="1"/>
  <c r="X74"/>
  <c r="X73" s="1"/>
  <c r="E367"/>
  <c r="G401"/>
  <c r="H401" s="1"/>
  <c r="F400"/>
  <c r="F233"/>
  <c r="H228"/>
  <c r="X188"/>
  <c r="F188" s="1"/>
  <c r="G188" s="1"/>
  <c r="H188" s="1"/>
  <c r="G255"/>
  <c r="F254"/>
  <c r="X147"/>
  <c r="X205"/>
  <c r="X249"/>
  <c r="F250"/>
  <c r="X174"/>
  <c r="X47"/>
  <c r="X46" s="1"/>
  <c r="M179"/>
  <c r="X367"/>
  <c r="F368"/>
  <c r="M132"/>
  <c r="X132" s="1"/>
  <c r="M133" s="1"/>
  <c r="X133" s="1"/>
  <c r="E13"/>
  <c r="F405"/>
  <c r="M131"/>
  <c r="X131" s="1"/>
  <c r="M323" l="1"/>
  <c r="X323" s="1"/>
  <c r="X322"/>
  <c r="M326"/>
  <c r="X326" s="1"/>
  <c r="M325"/>
  <c r="X325" s="1"/>
  <c r="F5"/>
  <c r="X232"/>
  <c r="X231" s="1"/>
  <c r="M84"/>
  <c r="X84" s="1"/>
  <c r="X262"/>
  <c r="X261" s="1"/>
  <c r="X86"/>
  <c r="X78"/>
  <c r="X77" s="1"/>
  <c r="X85"/>
  <c r="X48"/>
  <c r="X40" s="1"/>
  <c r="F40" s="1"/>
  <c r="G40" s="1"/>
  <c r="H40" s="1"/>
  <c r="F387"/>
  <c r="G387" s="1"/>
  <c r="H387" s="1"/>
  <c r="X418"/>
  <c r="X399" s="1"/>
  <c r="X130"/>
  <c r="X119" s="1"/>
  <c r="X118" s="1"/>
  <c r="F118" s="1"/>
  <c r="G118" s="1"/>
  <c r="H118" s="1"/>
  <c r="M97"/>
  <c r="M100"/>
  <c r="X100" s="1"/>
  <c r="M98"/>
  <c r="X98" s="1"/>
  <c r="M99" s="1"/>
  <c r="X99" s="1"/>
  <c r="X95"/>
  <c r="X94" s="1"/>
  <c r="X33"/>
  <c r="X23" s="1"/>
  <c r="F23" s="1"/>
  <c r="G23" s="1"/>
  <c r="H23" s="1"/>
  <c r="X170"/>
  <c r="G400"/>
  <c r="H400" s="1"/>
  <c r="F249"/>
  <c r="G250"/>
  <c r="H250" s="1"/>
  <c r="G254"/>
  <c r="F253"/>
  <c r="G253" s="1"/>
  <c r="F232"/>
  <c r="G233"/>
  <c r="H233" s="1"/>
  <c r="G368"/>
  <c r="H368" s="1"/>
  <c r="F147"/>
  <c r="G15"/>
  <c r="H15" s="1"/>
  <c r="X212"/>
  <c r="X209"/>
  <c r="F418"/>
  <c r="G418" s="1"/>
  <c r="H418" s="1"/>
  <c r="G419"/>
  <c r="H419" s="1"/>
  <c r="M182"/>
  <c r="X182" s="1"/>
  <c r="M183" s="1"/>
  <c r="X183" s="1"/>
  <c r="M184"/>
  <c r="X184" s="1"/>
  <c r="M181"/>
  <c r="X181" s="1"/>
  <c r="M185"/>
  <c r="X185" s="1"/>
  <c r="X179"/>
  <c r="X178" s="1"/>
  <c r="G405"/>
  <c r="H405" s="1"/>
  <c r="F404"/>
  <c r="G404" s="1"/>
  <c r="H404" s="1"/>
  <c r="E4"/>
  <c r="G63"/>
  <c r="H63" s="1"/>
  <c r="X321" l="1"/>
  <c r="F262"/>
  <c r="G262" s="1"/>
  <c r="G5"/>
  <c r="H5" s="1"/>
  <c r="X81"/>
  <c r="X71" s="1"/>
  <c r="F71" s="1"/>
  <c r="X97"/>
  <c r="X96" s="1"/>
  <c r="X88" s="1"/>
  <c r="G249"/>
  <c r="H249" s="1"/>
  <c r="E19" i="18"/>
  <c r="F367" i="29"/>
  <c r="F14"/>
  <c r="G14" s="1"/>
  <c r="H14" s="1"/>
  <c r="X14"/>
  <c r="F399"/>
  <c r="X180"/>
  <c r="X172" s="1"/>
  <c r="F172" s="1"/>
  <c r="G172" s="1"/>
  <c r="H172" s="1"/>
  <c r="G147"/>
  <c r="H147" s="1"/>
  <c r="F231"/>
  <c r="G231" s="1"/>
  <c r="H231" s="1"/>
  <c r="G232"/>
  <c r="H232" s="1"/>
  <c r="F303" l="1"/>
  <c r="G303" s="1"/>
  <c r="H303" s="1"/>
  <c r="F261"/>
  <c r="M168"/>
  <c r="F88"/>
  <c r="G88" s="1"/>
  <c r="H88" s="1"/>
  <c r="X62"/>
  <c r="G367"/>
  <c r="H367" s="1"/>
  <c r="E23" i="18"/>
  <c r="G399" i="29"/>
  <c r="H399" s="1"/>
  <c r="E25" i="18"/>
  <c r="G71" i="29"/>
  <c r="H71" s="1"/>
  <c r="X260" l="1"/>
  <c r="F302"/>
  <c r="G302" s="1"/>
  <c r="H302" s="1"/>
  <c r="G261"/>
  <c r="X211"/>
  <c r="X200" s="1"/>
  <c r="X199" s="1"/>
  <c r="F199" s="1"/>
  <c r="G199" s="1"/>
  <c r="H199" s="1"/>
  <c r="X168"/>
  <c r="X165" s="1"/>
  <c r="X155" s="1"/>
  <c r="F62"/>
  <c r="G62" s="1"/>
  <c r="H62" s="1"/>
  <c r="F260" l="1"/>
  <c r="E21" i="18" s="1"/>
  <c r="F155" i="29"/>
  <c r="X146"/>
  <c r="X13" s="1"/>
  <c r="G260" l="1"/>
  <c r="H260" s="1"/>
  <c r="F146"/>
  <c r="G155"/>
  <c r="H155" s="1"/>
  <c r="G146" l="1"/>
  <c r="H146" s="1"/>
  <c r="F13"/>
  <c r="F4" s="1"/>
  <c r="G13" l="1"/>
  <c r="G4" l="1"/>
  <c r="H4" s="1"/>
  <c r="H13"/>
  <c r="D10" i="18" l="1"/>
  <c r="K26" l="1"/>
  <c r="K24"/>
  <c r="J5" l="1"/>
  <c r="I5"/>
  <c r="D12"/>
  <c r="D17"/>
  <c r="D20"/>
  <c r="D22"/>
  <c r="D24"/>
  <c r="I25" l="1"/>
  <c r="I16"/>
  <c r="I12"/>
  <c r="I8"/>
  <c r="D8"/>
  <c r="D7" s="1"/>
  <c r="I7" l="1"/>
  <c r="E16" l="1"/>
  <c r="F16" s="1"/>
  <c r="E11" l="1"/>
  <c r="E9"/>
  <c r="F9" s="1"/>
  <c r="E10" l="1"/>
  <c r="F10" s="1"/>
  <c r="F11"/>
  <c r="F19"/>
  <c r="E18"/>
  <c r="F18" s="1"/>
  <c r="E17" l="1"/>
  <c r="F17" s="1"/>
  <c r="F23"/>
  <c r="E22" l="1"/>
  <c r="F22" s="1"/>
  <c r="F25"/>
  <c r="E13"/>
  <c r="F13" s="1"/>
  <c r="E24" l="1"/>
  <c r="F24" s="1"/>
  <c r="E14"/>
  <c r="F14" s="1"/>
  <c r="E15"/>
  <c r="F15" s="1"/>
  <c r="E12" l="1"/>
  <c r="F12" s="1"/>
  <c r="J25" l="1"/>
  <c r="K25" s="1"/>
  <c r="J23"/>
  <c r="K23" s="1"/>
  <c r="E8"/>
  <c r="F8" s="1"/>
  <c r="K22" l="1"/>
  <c r="K13" l="1"/>
  <c r="K19" l="1"/>
  <c r="K17" l="1"/>
  <c r="K15"/>
  <c r="K14" l="1"/>
  <c r="K18"/>
  <c r="K20"/>
  <c r="J12" l="1"/>
  <c r="K12" s="1"/>
  <c r="K21"/>
  <c r="J16" l="1"/>
  <c r="K16" s="1"/>
  <c r="K10"/>
  <c r="K9" l="1"/>
  <c r="K11"/>
  <c r="J8" l="1"/>
  <c r="J7" s="1"/>
  <c r="K8"/>
  <c r="K7" s="1"/>
  <c r="F21" l="1"/>
  <c r="E20" l="1"/>
  <c r="E7" l="1"/>
  <c r="F20"/>
  <c r="F7" s="1"/>
</calcChain>
</file>

<file path=xl/sharedStrings.xml><?xml version="1.0" encoding="utf-8"?>
<sst xmlns="http://schemas.openxmlformats.org/spreadsheetml/2006/main" count="3417" uniqueCount="825">
  <si>
    <t>월</t>
    <phoneticPr fontId="14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</si>
  <si>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</si>
  <si>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</si>
  <si>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</si>
  <si>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</si>
  <si>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</si>
  <si>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</si>
  <si>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</si>
  <si>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</si>
  <si>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</si>
  <si>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</si>
  <si>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</si>
  <si>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</si>
  <si>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</si>
  <si>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</si>
  <si>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</si>
  <si>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</si>
  <si>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</si>
  <si>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</si>
  <si>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</si>
  <si>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</si>
  <si>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</si>
  <si>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</si>
  <si>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</si>
  <si>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</si>
  <si>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</si>
  <si>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</si>
  <si>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</si>
  <si>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</si>
  <si>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</si>
  <si>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</si>
  <si>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</si>
  <si>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</si>
  <si>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</si>
  <si>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</si>
  <si>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</si>
  <si>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</si>
  <si>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</si>
  <si>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</si>
  <si>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</si>
  <si>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</si>
  <si>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</si>
  <si>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</si>
  <si>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</si>
  <si>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</si>
  <si>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</si>
  <si>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</si>
  <si>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</si>
  <si>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</si>
  <si>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</si>
  <si>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</si>
  <si>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</si>
  <si>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</si>
  <si>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4" type="noConversion"/>
  </si>
  <si>
    <t>산              출               기              초</t>
    <phoneticPr fontId="14" type="noConversion"/>
  </si>
  <si>
    <t>명</t>
    <phoneticPr fontId="14" type="noConversion"/>
  </si>
  <si>
    <t>원</t>
    <phoneticPr fontId="14" type="noConversion"/>
  </si>
  <si>
    <t>×</t>
    <phoneticPr fontId="14" type="noConversion"/>
  </si>
  <si>
    <t>생계비</t>
    <phoneticPr fontId="14" type="noConversion"/>
  </si>
  <si>
    <t>후원금</t>
    <phoneticPr fontId="14" type="noConversion"/>
  </si>
  <si>
    <t>잡수입</t>
    <phoneticPr fontId="14" type="noConversion"/>
  </si>
  <si>
    <t>÷</t>
    <phoneticPr fontId="14" type="noConversion"/>
  </si>
  <si>
    <t>회</t>
    <phoneticPr fontId="14" type="noConversion"/>
  </si>
  <si>
    <t>일용잡급</t>
    <phoneticPr fontId="14" type="noConversion"/>
  </si>
  <si>
    <t>※기본급</t>
    <phoneticPr fontId="14" type="noConversion"/>
  </si>
  <si>
    <t>※ 일용잡급</t>
    <phoneticPr fontId="14" type="noConversion"/>
  </si>
  <si>
    <t>사회보험</t>
    <phoneticPr fontId="14" type="noConversion"/>
  </si>
  <si>
    <t>기타후생</t>
    <phoneticPr fontId="14" type="noConversion"/>
  </si>
  <si>
    <t>※ 기타후생경비</t>
    <phoneticPr fontId="14" type="noConversion"/>
  </si>
  <si>
    <t>회  의  비</t>
    <phoneticPr fontId="14" type="noConversion"/>
  </si>
  <si>
    <t>여    비</t>
    <phoneticPr fontId="14" type="noConversion"/>
  </si>
  <si>
    <t>보조</t>
    <phoneticPr fontId="14" type="noConversion"/>
  </si>
  <si>
    <t>기타운영비</t>
    <phoneticPr fontId="14" type="noConversion"/>
  </si>
  <si>
    <t>※ 직원 교육훈련비</t>
    <phoneticPr fontId="14" type="noConversion"/>
  </si>
  <si>
    <t>피복비</t>
    <phoneticPr fontId="14" type="noConversion"/>
  </si>
  <si>
    <t>의료비</t>
    <phoneticPr fontId="14" type="noConversion"/>
  </si>
  <si>
    <t>연료비</t>
    <phoneticPr fontId="14" type="noConversion"/>
  </si>
  <si>
    <t>운영비</t>
    <phoneticPr fontId="14" type="noConversion"/>
  </si>
  <si>
    <t>※ 생계비</t>
    <phoneticPr fontId="14" type="noConversion"/>
  </si>
  <si>
    <t>수용기관</t>
    <phoneticPr fontId="14" type="noConversion"/>
  </si>
  <si>
    <t>※ 수용기관경비</t>
    <phoneticPr fontId="14" type="noConversion"/>
  </si>
  <si>
    <t>※ 연료비</t>
    <phoneticPr fontId="14" type="noConversion"/>
  </si>
  <si>
    <t>프로그램</t>
    <phoneticPr fontId="14" type="noConversion"/>
  </si>
  <si>
    <t>잡지출</t>
    <phoneticPr fontId="14" type="noConversion"/>
  </si>
  <si>
    <t>※ 잡지출</t>
    <phoneticPr fontId="14" type="noConversion"/>
  </si>
  <si>
    <t>일</t>
    <phoneticPr fontId="14" type="noConversion"/>
  </si>
  <si>
    <t>잡수</t>
    <phoneticPr fontId="14" type="noConversion"/>
  </si>
  <si>
    <t>1.외부교육</t>
    <phoneticPr fontId="14" type="noConversion"/>
  </si>
  <si>
    <t>운      영      비</t>
    <phoneticPr fontId="31" type="noConversion"/>
  </si>
  <si>
    <t>재산조성비</t>
    <phoneticPr fontId="31" type="noConversion"/>
  </si>
  <si>
    <t>시      설      비</t>
    <phoneticPr fontId="31" type="noConversion"/>
  </si>
  <si>
    <t>후원금  수입</t>
    <phoneticPr fontId="31" type="noConversion"/>
  </si>
  <si>
    <t>지정      후원금</t>
    <phoneticPr fontId="31" type="noConversion"/>
  </si>
  <si>
    <t>자 산   취 득 비</t>
    <phoneticPr fontId="31" type="noConversion"/>
  </si>
  <si>
    <t>비지정   후원금</t>
    <phoneticPr fontId="31" type="noConversion"/>
  </si>
  <si>
    <t>시설장비유지비</t>
    <phoneticPr fontId="31" type="noConversion"/>
  </si>
  <si>
    <t>전    입    금</t>
    <phoneticPr fontId="31" type="noConversion"/>
  </si>
  <si>
    <t>법인      전입금</t>
    <phoneticPr fontId="31" type="noConversion"/>
  </si>
  <si>
    <t>사   업   비</t>
    <phoneticPr fontId="31" type="noConversion"/>
  </si>
  <si>
    <t>생      계      비</t>
    <phoneticPr fontId="31" type="noConversion"/>
  </si>
  <si>
    <t>이    월    금</t>
    <phoneticPr fontId="31" type="noConversion"/>
  </si>
  <si>
    <t>전년도   이월금</t>
    <phoneticPr fontId="31" type="noConversion"/>
  </si>
  <si>
    <t>잡    수    입</t>
    <phoneticPr fontId="31" type="noConversion"/>
  </si>
  <si>
    <t>잡      수      입</t>
    <phoneticPr fontId="31" type="noConversion"/>
  </si>
  <si>
    <t>피      복      비</t>
    <phoneticPr fontId="31" type="noConversion"/>
  </si>
  <si>
    <t>의      료      비</t>
    <phoneticPr fontId="31" type="noConversion"/>
  </si>
  <si>
    <t>연      료      비</t>
    <phoneticPr fontId="31" type="noConversion"/>
  </si>
  <si>
    <t>프로그램사업비</t>
    <phoneticPr fontId="31" type="noConversion"/>
  </si>
  <si>
    <t>잡   지   출</t>
    <phoneticPr fontId="31" type="noConversion"/>
  </si>
  <si>
    <t>잡      지      출</t>
    <phoneticPr fontId="31" type="noConversion"/>
  </si>
  <si>
    <t>예   비   비</t>
    <phoneticPr fontId="31" type="noConversion"/>
  </si>
  <si>
    <t>입소자
부담금</t>
    <phoneticPr fontId="14" type="noConversion"/>
  </si>
  <si>
    <t>비  용</t>
  </si>
  <si>
    <t>보조금
(4종)</t>
    <phoneticPr fontId="14" type="noConversion"/>
  </si>
  <si>
    <t>법인
전입금</t>
    <phoneticPr fontId="14" type="noConversion"/>
  </si>
  <si>
    <t>계
(B)</t>
    <phoneticPr fontId="14" type="noConversion"/>
  </si>
  <si>
    <t>금액
(B-A)</t>
    <phoneticPr fontId="14" type="noConversion"/>
  </si>
  <si>
    <t>합  계 :</t>
    <phoneticPr fontId="14" type="noConversion"/>
  </si>
  <si>
    <t>부담금</t>
    <phoneticPr fontId="14" type="noConversion"/>
  </si>
  <si>
    <t>업   무</t>
    <phoneticPr fontId="14" type="noConversion"/>
  </si>
  <si>
    <t>사업비</t>
    <phoneticPr fontId="14" type="noConversion"/>
  </si>
  <si>
    <t>소  계 :</t>
    <phoneticPr fontId="14" type="noConversion"/>
  </si>
  <si>
    <t>※ 피복비</t>
  </si>
  <si>
    <t>※ 의료비</t>
    <phoneticPr fontId="14" type="noConversion"/>
  </si>
  <si>
    <t>÷</t>
  </si>
  <si>
    <t>추진비</t>
    <phoneticPr fontId="14" type="noConversion"/>
  </si>
  <si>
    <t>업무추진비</t>
    <phoneticPr fontId="14" type="noConversion"/>
  </si>
  <si>
    <t>※ 직책보조비</t>
    <phoneticPr fontId="14" type="noConversion"/>
  </si>
  <si>
    <t>소계:</t>
    <phoneticPr fontId="14" type="noConversion"/>
  </si>
  <si>
    <t>명</t>
  </si>
  <si>
    <t>재산조성비</t>
    <phoneticPr fontId="14" type="noConversion"/>
  </si>
  <si>
    <t>계</t>
    <phoneticPr fontId="14" type="noConversion"/>
  </si>
  <si>
    <t>시설비</t>
    <phoneticPr fontId="14" type="noConversion"/>
  </si>
  <si>
    <t>수수료</t>
    <phoneticPr fontId="14" type="noConversion"/>
  </si>
  <si>
    <t>경비</t>
    <phoneticPr fontId="14" type="noConversion"/>
  </si>
  <si>
    <t>조성비</t>
    <phoneticPr fontId="14" type="noConversion"/>
  </si>
  <si>
    <t>보조금</t>
    <phoneticPr fontId="14" type="noConversion"/>
  </si>
  <si>
    <t>반환금</t>
    <phoneticPr fontId="14" type="noConversion"/>
  </si>
  <si>
    <t>후원</t>
    <phoneticPr fontId="14" type="noConversion"/>
  </si>
  <si>
    <t>보조금
(운영/생계)</t>
    <phoneticPr fontId="14" type="noConversion"/>
  </si>
  <si>
    <t>보조금
(7종/재활)</t>
    <phoneticPr fontId="14" type="noConversion"/>
  </si>
  <si>
    <t>유지비</t>
    <phoneticPr fontId="14" type="noConversion"/>
  </si>
  <si>
    <t>세       입</t>
    <phoneticPr fontId="31" type="noConversion"/>
  </si>
  <si>
    <t>세       출</t>
    <phoneticPr fontId="31" type="noConversion"/>
  </si>
  <si>
    <t>구        분</t>
    <phoneticPr fontId="31" type="noConversion"/>
  </si>
  <si>
    <t>증감</t>
    <phoneticPr fontId="31" type="noConversion"/>
  </si>
  <si>
    <t>합        계</t>
    <phoneticPr fontId="31" type="noConversion"/>
  </si>
  <si>
    <t>입소비용수입</t>
    <phoneticPr fontId="31" type="noConversion"/>
  </si>
  <si>
    <t>입소비용   수입</t>
    <phoneticPr fontId="31" type="noConversion"/>
  </si>
  <si>
    <t>사   무   비</t>
    <phoneticPr fontId="31" type="noConversion"/>
  </si>
  <si>
    <t>인      건      비</t>
    <phoneticPr fontId="31" type="noConversion"/>
  </si>
  <si>
    <t>보조금  수입</t>
    <phoneticPr fontId="31" type="noConversion"/>
  </si>
  <si>
    <t>업 무   추 진 비</t>
    <phoneticPr fontId="31" type="noConversion"/>
  </si>
  <si>
    <t>법인</t>
    <phoneticPr fontId="14" type="noConversion"/>
  </si>
  <si>
    <t>합    계 :</t>
    <phoneticPr fontId="14" type="noConversion"/>
  </si>
  <si>
    <t xml:space="preserve"> </t>
    <phoneticPr fontId="14" type="noConversion"/>
  </si>
  <si>
    <t>국고보조금</t>
    <phoneticPr fontId="31" type="noConversion"/>
  </si>
  <si>
    <t>시도보조금</t>
    <phoneticPr fontId="31" type="noConversion"/>
  </si>
  <si>
    <t>시군구보조금</t>
    <phoneticPr fontId="31" type="noConversion"/>
  </si>
  <si>
    <t>4종</t>
    <phoneticPr fontId="14" type="noConversion"/>
  </si>
  <si>
    <t>1.출산휴가 대체인건비(7종)</t>
    <phoneticPr fontId="14" type="noConversion"/>
  </si>
  <si>
    <t>1.협회비</t>
    <phoneticPr fontId="14" type="noConversion"/>
  </si>
  <si>
    <t xml:space="preserve"> ① 한국장애인복지시설협회비</t>
    <phoneticPr fontId="14" type="noConversion"/>
  </si>
  <si>
    <t xml:space="preserve"> ② 경기도장애인복지시설협회비</t>
    <phoneticPr fontId="14" type="noConversion"/>
  </si>
  <si>
    <t>2.보험료 및 세금</t>
    <phoneticPr fontId="14" type="noConversion"/>
  </si>
  <si>
    <t>세출총계</t>
    <phoneticPr fontId="14" type="noConversion"/>
  </si>
  <si>
    <t>사무비</t>
    <phoneticPr fontId="14" type="noConversion"/>
  </si>
  <si>
    <t>인건비</t>
    <phoneticPr fontId="14" type="noConversion"/>
  </si>
  <si>
    <t>2.인건비지원(7종) : 운전원, 생활지도원, 조리보조원 3명</t>
    <phoneticPr fontId="14" type="noConversion"/>
  </si>
  <si>
    <t>1.명절휴가비</t>
    <phoneticPr fontId="14" type="noConversion"/>
  </si>
  <si>
    <t xml:space="preserve"> B.인건비지원(7종 : 운전원, 생활지도원, 조리보조원 3명)</t>
    <phoneticPr fontId="14" type="noConversion"/>
  </si>
  <si>
    <t>2.가족수당</t>
    <phoneticPr fontId="14" type="noConversion"/>
  </si>
  <si>
    <t>3.연장근로수당</t>
    <phoneticPr fontId="14" type="noConversion"/>
  </si>
  <si>
    <t>2.인건비지원(7종)</t>
    <phoneticPr fontId="14" type="noConversion"/>
  </si>
  <si>
    <t>1.국민연금부담금</t>
    <phoneticPr fontId="14" type="noConversion"/>
  </si>
  <si>
    <t xml:space="preserve"> B.인건비지원(7종)</t>
    <phoneticPr fontId="14" type="noConversion"/>
  </si>
  <si>
    <t>2.국민건강보험부담금</t>
    <phoneticPr fontId="14" type="noConversion"/>
  </si>
  <si>
    <t>3.장기요양보험부담금</t>
    <phoneticPr fontId="14" type="noConversion"/>
  </si>
  <si>
    <t>4.고용보험부담금</t>
    <phoneticPr fontId="14" type="noConversion"/>
  </si>
  <si>
    <t>5.산업재해보험부담금</t>
    <phoneticPr fontId="14" type="noConversion"/>
  </si>
  <si>
    <t>* 주방직원 건강진단비</t>
    <phoneticPr fontId="14" type="noConversion"/>
  </si>
  <si>
    <t>2. 운영위원회 참석수당</t>
    <phoneticPr fontId="14" type="noConversion"/>
  </si>
  <si>
    <t>1. 사무용품비(문구류 )</t>
    <phoneticPr fontId="14" type="noConversion"/>
  </si>
  <si>
    <t>2. 복사용지 구입</t>
    <phoneticPr fontId="14" type="noConversion"/>
  </si>
  <si>
    <t>2.차량 점검 및 정비비 등</t>
    <phoneticPr fontId="14" type="noConversion"/>
  </si>
  <si>
    <t>1. 생활용품구입비</t>
    <phoneticPr fontId="14" type="noConversion"/>
  </si>
  <si>
    <t>1. 심야전력요금</t>
    <phoneticPr fontId="14" type="noConversion"/>
  </si>
  <si>
    <t>2.보조금 운영비 예금이자</t>
    <phoneticPr fontId="14" type="noConversion"/>
  </si>
  <si>
    <t>4.보조금 생계비 예금이자</t>
    <phoneticPr fontId="14" type="noConversion"/>
  </si>
  <si>
    <t>6.보조금(4종) 예금이자</t>
    <phoneticPr fontId="14" type="noConversion"/>
  </si>
  <si>
    <t>8.보조금(7종) 예금이자</t>
    <phoneticPr fontId="14" type="noConversion"/>
  </si>
  <si>
    <t>소계</t>
    <phoneticPr fontId="14" type="noConversion"/>
  </si>
  <si>
    <t>4. 상하수도요금</t>
    <phoneticPr fontId="14" type="noConversion"/>
  </si>
  <si>
    <t xml:space="preserve"> A.경상보조금 34명</t>
    <phoneticPr fontId="14" type="noConversion"/>
  </si>
  <si>
    <t>2. 일반전기요금</t>
    <phoneticPr fontId="14" type="noConversion"/>
  </si>
  <si>
    <t>1. 전화료(체험홈, 유선방송 포함)</t>
    <phoneticPr fontId="14" type="noConversion"/>
  </si>
  <si>
    <t xml:space="preserve"> ③ 기타 협회비(영양사협회,방화관리자 외)</t>
    <phoneticPr fontId="14" type="noConversion"/>
  </si>
  <si>
    <t>3. 연료비 자부담 보충액</t>
    <phoneticPr fontId="14" type="noConversion"/>
  </si>
  <si>
    <t>질보장</t>
    <phoneticPr fontId="14" type="noConversion"/>
  </si>
  <si>
    <t>지역사회</t>
    <phoneticPr fontId="14" type="noConversion"/>
  </si>
  <si>
    <t>후원/자원</t>
    <phoneticPr fontId="14" type="noConversion"/>
  </si>
  <si>
    <t>체험홈</t>
    <phoneticPr fontId="14" type="noConversion"/>
  </si>
  <si>
    <t>2. 자치회의</t>
    <phoneticPr fontId="14" type="noConversion"/>
  </si>
  <si>
    <t>2. 예금이자(후원금)</t>
    <phoneticPr fontId="14" type="noConversion"/>
  </si>
  <si>
    <t>3. 예금이자(법인전입금)</t>
    <phoneticPr fontId="14" type="noConversion"/>
  </si>
  <si>
    <t>4. 예금이자(잡수입)</t>
    <phoneticPr fontId="14" type="noConversion"/>
  </si>
  <si>
    <t>1.보조금 운영비 잔액</t>
    <phoneticPr fontId="14" type="noConversion"/>
  </si>
  <si>
    <t>3.보조금 생계비 잔액</t>
    <phoneticPr fontId="14" type="noConversion"/>
  </si>
  <si>
    <t>5.보조금(4종) 잔액</t>
    <phoneticPr fontId="14" type="noConversion"/>
  </si>
  <si>
    <t>7.보조금(7종) 잔액</t>
    <phoneticPr fontId="14" type="noConversion"/>
  </si>
  <si>
    <t>5. 인쇄비(소식지, 사업계획 및 평가서, 연하장, 감사장, 리플렛 등)</t>
    <phoneticPr fontId="14" type="noConversion"/>
  </si>
  <si>
    <t>6. 소규모수선비(시설잡자재, 비품 수리, 전산장비 등)</t>
    <phoneticPr fontId="14" type="noConversion"/>
  </si>
  <si>
    <t>7.주방 소모품비, 주방식기세척기 린스, 세제, 유지방분해 제 등</t>
    <phoneticPr fontId="14" type="noConversion"/>
  </si>
  <si>
    <t>8.홈페이지 유지관리(도메인/호스트/ 보안서버/유지보수비)</t>
    <phoneticPr fontId="14" type="noConversion"/>
  </si>
  <si>
    <t>잡수입이월금</t>
  </si>
  <si>
    <t>회</t>
  </si>
  <si>
    <t>*특별위로금(설날,추석)</t>
  </si>
  <si>
    <t>*월동대책비(10월신청)</t>
  </si>
  <si>
    <t>기타 보조금</t>
    <phoneticPr fontId="31" type="noConversion"/>
  </si>
  <si>
    <t>7종</t>
    <phoneticPr fontId="14" type="noConversion"/>
  </si>
  <si>
    <t>입소</t>
    <phoneticPr fontId="14" type="noConversion"/>
  </si>
  <si>
    <t>6. 체험홈 APT관리비</t>
    <phoneticPr fontId="14" type="noConversion"/>
  </si>
  <si>
    <t>4. 주방식기류 및 그릇보강</t>
    <phoneticPr fontId="14" type="noConversion"/>
  </si>
  <si>
    <t>9.재활프로그램 보조금 잔액</t>
    <phoneticPr fontId="14" type="noConversion"/>
  </si>
  <si>
    <t xml:space="preserve">                (7종)</t>
    <phoneticPr fontId="14" type="noConversion"/>
  </si>
  <si>
    <t xml:space="preserve"> ① CMS 이용료</t>
    <phoneticPr fontId="14" type="noConversion"/>
  </si>
  <si>
    <t xml:space="preserve"> ② CMS 이체수수료</t>
    <phoneticPr fontId="14" type="noConversion"/>
  </si>
  <si>
    <t xml:space="preserve"> ③ 보증보험료</t>
    <phoneticPr fontId="14" type="noConversion"/>
  </si>
  <si>
    <t>②자동차세/환경개선부담금(시설,자동차분)</t>
    <phoneticPr fontId="14" type="noConversion"/>
  </si>
  <si>
    <t>③복지시설 손해배상책임공제 가입(영업배상, 화재 등)</t>
    <phoneticPr fontId="14" type="noConversion"/>
  </si>
  <si>
    <t>1.차량유류대/정비(운영비)</t>
    <phoneticPr fontId="14" type="noConversion"/>
  </si>
  <si>
    <t xml:space="preserve"> 1)직무교육</t>
    <phoneticPr fontId="14" type="noConversion"/>
  </si>
  <si>
    <t xml:space="preserve"> 2)보수교육</t>
    <phoneticPr fontId="14" type="noConversion"/>
  </si>
  <si>
    <t>2.내부교육</t>
    <phoneticPr fontId="14" type="noConversion"/>
  </si>
  <si>
    <t>3. 송년회</t>
    <phoneticPr fontId="14" type="noConversion"/>
  </si>
  <si>
    <t>4. 사회적응/여가활동</t>
    <phoneticPr fontId="14" type="noConversion"/>
  </si>
  <si>
    <t>1. 건강관리(경기마라톤)</t>
    <phoneticPr fontId="14" type="noConversion"/>
  </si>
  <si>
    <t>※ 기타운영비</t>
    <phoneticPr fontId="14" type="noConversion"/>
  </si>
  <si>
    <t>8. 거주시설 직원급식비(김장비 포함)</t>
    <phoneticPr fontId="14" type="noConversion"/>
  </si>
  <si>
    <t>(단위:천원)</t>
    <phoneticPr fontId="31" type="noConversion"/>
  </si>
  <si>
    <t>④신원보증보험갱신</t>
    <phoneticPr fontId="14" type="noConversion"/>
  </si>
  <si>
    <t>1. 회의관련 다과비등</t>
    <phoneticPr fontId="14" type="noConversion"/>
  </si>
  <si>
    <t xml:space="preserve">2.주방 보조인력 </t>
    <phoneticPr fontId="14" type="noConversion"/>
  </si>
  <si>
    <t>* 조리원, 영양사 위생복</t>
    <phoneticPr fontId="14" type="noConversion"/>
  </si>
  <si>
    <t>* 기관방문 손님접대용 다과 및 운영위원 선물구입</t>
    <phoneticPr fontId="14" type="noConversion"/>
  </si>
  <si>
    <t xml:space="preserve"> * 교육 및 출장여비</t>
    <phoneticPr fontId="14" type="noConversion"/>
  </si>
  <si>
    <t xml:space="preserve"> * 시설장 여비</t>
    <phoneticPr fontId="14" type="noConversion"/>
  </si>
  <si>
    <t>2. 명절행사(추석)</t>
    <phoneticPr fontId="14" type="noConversion"/>
  </si>
  <si>
    <t>5. 생일프로그램</t>
    <phoneticPr fontId="14" type="noConversion"/>
  </si>
  <si>
    <t>6. 자립가정체험(요리활동)</t>
    <phoneticPr fontId="14" type="noConversion"/>
  </si>
  <si>
    <t>6. 계절별여행</t>
    <phoneticPr fontId="14" type="noConversion"/>
  </si>
  <si>
    <t>2. 세탁세제구입 등</t>
    <phoneticPr fontId="14" type="noConversion"/>
  </si>
  <si>
    <t>7. 일반전기요금/ 상하수도요금 자부담 보충액</t>
    <phoneticPr fontId="14" type="noConversion"/>
  </si>
  <si>
    <t>2. 주방가스요금</t>
    <phoneticPr fontId="14" type="noConversion"/>
  </si>
  <si>
    <t xml:space="preserve"> A.경상보조금 35명</t>
    <phoneticPr fontId="14" type="noConversion"/>
  </si>
  <si>
    <t>사업수입</t>
    <phoneticPr fontId="31" type="noConversion"/>
  </si>
  <si>
    <t xml:space="preserve"> 가.연장야간근로수당(5h:법인전입금이월금)</t>
    <phoneticPr fontId="14" type="noConversion"/>
  </si>
  <si>
    <t>9. 퇴직연금 관리 수수료</t>
    <phoneticPr fontId="14" type="noConversion"/>
  </si>
  <si>
    <t>10. 주차료, 통행료, 택배료, 김장 운송비 등</t>
    <phoneticPr fontId="14" type="noConversion"/>
  </si>
  <si>
    <t>12. 시설방역</t>
    <phoneticPr fontId="14" type="noConversion"/>
  </si>
  <si>
    <t>의료재활</t>
    <phoneticPr fontId="14" type="noConversion"/>
  </si>
  <si>
    <t>사회심리</t>
    <phoneticPr fontId="14" type="noConversion"/>
  </si>
  <si>
    <t>재활사업비</t>
    <phoneticPr fontId="14" type="noConversion"/>
  </si>
  <si>
    <t>교육재활</t>
    <phoneticPr fontId="14" type="noConversion"/>
  </si>
  <si>
    <t>원내</t>
    <phoneticPr fontId="14" type="noConversion"/>
  </si>
  <si>
    <t>자립지원</t>
    <phoneticPr fontId="14" type="noConversion"/>
  </si>
  <si>
    <t>자부담</t>
    <phoneticPr fontId="14" type="noConversion"/>
  </si>
  <si>
    <t>1. 물리치료실사업비</t>
    <phoneticPr fontId="14" type="noConversion"/>
  </si>
  <si>
    <t xml:space="preserve">  - 재활치료용품</t>
    <phoneticPr fontId="14" type="noConversion"/>
  </si>
  <si>
    <t xml:space="preserve">  - 육상필드</t>
    <phoneticPr fontId="14" type="noConversion"/>
  </si>
  <si>
    <t xml:space="preserve">  - BMW-EX</t>
    <phoneticPr fontId="14" type="noConversion"/>
  </si>
  <si>
    <t xml:space="preserve">  - 정규활동</t>
    <phoneticPr fontId="14" type="noConversion"/>
  </si>
  <si>
    <t>2. 작업치료실사업비</t>
    <phoneticPr fontId="14" type="noConversion"/>
  </si>
  <si>
    <t>1. 사회적응프로그램</t>
    <phoneticPr fontId="14" type="noConversion"/>
  </si>
  <si>
    <t>2. 여가누리</t>
    <phoneticPr fontId="14" type="noConversion"/>
  </si>
  <si>
    <t>3. 심리안정프로그램(마음의소리/사랑채심리정서지원)</t>
    <phoneticPr fontId="14" type="noConversion"/>
  </si>
  <si>
    <t>4. 재활승마</t>
    <phoneticPr fontId="14" type="noConversion"/>
  </si>
  <si>
    <t>5. 성지순례</t>
    <phoneticPr fontId="14" type="noConversion"/>
  </si>
  <si>
    <t>1. 금전관리교육</t>
    <phoneticPr fontId="14" type="noConversion"/>
  </si>
  <si>
    <t>1. 계절프로그램(제주도여행/여름캠프)</t>
    <phoneticPr fontId="14" type="noConversion"/>
  </si>
  <si>
    <t>4. 사랑빚은</t>
    <phoneticPr fontId="14" type="noConversion"/>
  </si>
  <si>
    <t>5. 봉사동아리 사랑담아</t>
    <phoneticPr fontId="14" type="noConversion"/>
  </si>
  <si>
    <t>6. 태권도 이단옆차기(수원시장애인체육회 지원)</t>
    <phoneticPr fontId="14" type="noConversion"/>
  </si>
  <si>
    <t>7. 불금포차</t>
    <phoneticPr fontId="14" type="noConversion"/>
  </si>
  <si>
    <t>8. 걷기대회</t>
    <phoneticPr fontId="14" type="noConversion"/>
  </si>
  <si>
    <t>9. 캠핑동아리 "불멍"</t>
    <phoneticPr fontId="14" type="noConversion"/>
  </si>
  <si>
    <t>10. 별베이커리</t>
    <phoneticPr fontId="14" type="noConversion"/>
  </si>
  <si>
    <t>11. 송년회</t>
    <phoneticPr fontId="14" type="noConversion"/>
  </si>
  <si>
    <t>1. 개별지원서비스</t>
    <phoneticPr fontId="14" type="noConversion"/>
  </si>
  <si>
    <t>2. 가정방문</t>
    <phoneticPr fontId="14" type="noConversion"/>
  </si>
  <si>
    <t>3. 자치회의</t>
    <phoneticPr fontId="14" type="noConversion"/>
  </si>
  <si>
    <t>4. 인권지킴이단</t>
    <phoneticPr fontId="14" type="noConversion"/>
  </si>
  <si>
    <t>6. 생일프로그램</t>
    <phoneticPr fontId="14" type="noConversion"/>
  </si>
  <si>
    <t>1. 자립준비가정</t>
    <phoneticPr fontId="14" type="noConversion"/>
  </si>
  <si>
    <t>2. 행복공장</t>
    <phoneticPr fontId="14" type="noConversion"/>
  </si>
  <si>
    <t>교류사업비</t>
    <phoneticPr fontId="14" type="noConversion"/>
  </si>
  <si>
    <t>1. 지역사회연계사업비(비둘기캠프/경로잔치/장애인체육대회/작품전시)</t>
    <phoneticPr fontId="14" type="noConversion"/>
  </si>
  <si>
    <t>2. 실습생관리</t>
    <phoneticPr fontId="14" type="noConversion"/>
  </si>
  <si>
    <t>3. 종교활동</t>
    <phoneticPr fontId="14" type="noConversion"/>
  </si>
  <si>
    <t>4. 찾아가는 푸드트럭"슬기로운 나눔생활"</t>
    <phoneticPr fontId="14" type="noConversion"/>
  </si>
  <si>
    <t>1. 지역사회자원개발관리</t>
    <phoneticPr fontId="14" type="noConversion"/>
  </si>
  <si>
    <t>2. 결연후원</t>
    <phoneticPr fontId="14" type="noConversion"/>
  </si>
  <si>
    <t>3. 후원자관리</t>
    <phoneticPr fontId="14" type="noConversion"/>
  </si>
  <si>
    <t>4. 봉사자관리</t>
    <phoneticPr fontId="14" type="noConversion"/>
  </si>
  <si>
    <t>5. 기관홍보</t>
    <phoneticPr fontId="14" type="noConversion"/>
  </si>
  <si>
    <t>가정연계</t>
    <phoneticPr fontId="14" type="noConversion"/>
  </si>
  <si>
    <t>지원사업비</t>
    <phoneticPr fontId="14" type="noConversion"/>
  </si>
  <si>
    <t>1. 가정연계지원사업</t>
    <phoneticPr fontId="14" type="noConversion"/>
  </si>
  <si>
    <t xml:space="preserve">  - SOK지원사업(MATP교실)</t>
    <phoneticPr fontId="14" type="noConversion"/>
  </si>
  <si>
    <t>12. 별까페</t>
    <phoneticPr fontId="14" type="noConversion"/>
  </si>
  <si>
    <t xml:space="preserve">5. 우편물발송료 </t>
    <phoneticPr fontId="14" type="noConversion"/>
  </si>
  <si>
    <t>①자동차보험료(포터, 25인승, 12인승, 레이,니로, 모닝, G12인승)</t>
    <phoneticPr fontId="14" type="noConversion"/>
  </si>
  <si>
    <t>10. 직재재가 급식비</t>
    <phoneticPr fontId="14" type="noConversion"/>
  </si>
  <si>
    <t>3. 푸드트럭 "바다의 별다방"</t>
    <phoneticPr fontId="14" type="noConversion"/>
  </si>
  <si>
    <t>(로타리클럽 지정후원이월금)</t>
    <phoneticPr fontId="14" type="noConversion"/>
  </si>
  <si>
    <t>(행복공장 판매수익금 이월액)</t>
    <phoneticPr fontId="14" type="noConversion"/>
  </si>
  <si>
    <t>(행복공장 몬띠판매수익금)</t>
    <phoneticPr fontId="14" type="noConversion"/>
  </si>
  <si>
    <t>(사랑빚은 판매수익금 이월금)</t>
    <phoneticPr fontId="14" type="noConversion"/>
  </si>
  <si>
    <t>(커피판매수익금 지정후원이월금)</t>
    <phoneticPr fontId="14" type="noConversion"/>
  </si>
  <si>
    <t>14. 근태관리시스템 이용료</t>
    <phoneticPr fontId="14" type="noConversion"/>
  </si>
  <si>
    <t>15. CMS수수료,보증보험료,이용료</t>
    <phoneticPr fontId="14" type="noConversion"/>
  </si>
  <si>
    <t>* 직원건강검진비(순수시비)</t>
    <phoneticPr fontId="14" type="noConversion"/>
  </si>
  <si>
    <t>* 야간근로자 특수건강검진(18명)</t>
    <phoneticPr fontId="14" type="noConversion"/>
  </si>
  <si>
    <t>* 직원독감 예방접종(지정후원금)</t>
    <phoneticPr fontId="14" type="noConversion"/>
  </si>
  <si>
    <t>2. 실습사회복무요원 다과비</t>
    <phoneticPr fontId="14" type="noConversion"/>
  </si>
  <si>
    <t>6. 직재재가 급식비</t>
    <phoneticPr fontId="14" type="noConversion"/>
  </si>
  <si>
    <t>11. 정수기 임대료 / 기타 수용비및 수수료</t>
    <phoneticPr fontId="14" type="noConversion"/>
  </si>
  <si>
    <t>=</t>
    <phoneticPr fontId="14" type="noConversion"/>
  </si>
  <si>
    <t>×</t>
    <phoneticPr fontId="14" type="noConversion"/>
  </si>
  <si>
    <t>명</t>
    <phoneticPr fontId="14" type="noConversion"/>
  </si>
  <si>
    <t>3.교대인력인건비(7명)</t>
    <phoneticPr fontId="14" type="noConversion"/>
  </si>
  <si>
    <t xml:space="preserve"> C.교대인력(7명)</t>
    <phoneticPr fontId="14" type="noConversion"/>
  </si>
  <si>
    <t>4.법인부담금</t>
    <phoneticPr fontId="14" type="noConversion"/>
  </si>
  <si>
    <t>3.교대인력(7명)</t>
    <phoneticPr fontId="14" type="noConversion"/>
  </si>
  <si>
    <t>6.일용잡급4대보험정산</t>
    <phoneticPr fontId="14" type="noConversion"/>
  </si>
  <si>
    <t>13. 기타수용비 및 수수료 등</t>
    <phoneticPr fontId="14" type="noConversion"/>
  </si>
  <si>
    <t>원</t>
    <phoneticPr fontId="14" type="noConversion"/>
  </si>
  <si>
    <t>과            목</t>
    <phoneticPr fontId="14" type="noConversion"/>
  </si>
  <si>
    <t>산               출                기               초</t>
    <phoneticPr fontId="14" type="noConversion"/>
  </si>
  <si>
    <t>목</t>
    <phoneticPr fontId="14" type="noConversion"/>
  </si>
  <si>
    <t>세목</t>
    <phoneticPr fontId="14" type="noConversion"/>
  </si>
  <si>
    <t>금액
(B-A)</t>
    <phoneticPr fontId="14" type="noConversion"/>
  </si>
  <si>
    <t>※ 총 계</t>
    <phoneticPr fontId="14" type="noConversion"/>
  </si>
  <si>
    <t>원</t>
    <phoneticPr fontId="14" type="noConversion"/>
  </si>
  <si>
    <t>입  소</t>
    <phoneticPr fontId="14" type="noConversion"/>
  </si>
  <si>
    <t>입   소</t>
    <phoneticPr fontId="14" type="noConversion"/>
  </si>
  <si>
    <t>※ 입소비용수입</t>
    <phoneticPr fontId="14" type="noConversion"/>
  </si>
  <si>
    <t>합  계 :</t>
    <phoneticPr fontId="14" type="noConversion"/>
  </si>
  <si>
    <t>비  용</t>
    <phoneticPr fontId="14" type="noConversion"/>
  </si>
  <si>
    <t>* 입소비용수입</t>
    <phoneticPr fontId="14" type="noConversion"/>
  </si>
  <si>
    <t>×</t>
    <phoneticPr fontId="14" type="noConversion"/>
  </si>
  <si>
    <t>명</t>
    <phoneticPr fontId="14" type="noConversion"/>
  </si>
  <si>
    <t>월</t>
    <phoneticPr fontId="14" type="noConversion"/>
  </si>
  <si>
    <t>=</t>
    <phoneticPr fontId="14" type="noConversion"/>
  </si>
  <si>
    <t>* 입소비용환급(장기 귀가이용인)</t>
    <phoneticPr fontId="14" type="noConversion"/>
  </si>
  <si>
    <t>사 업</t>
    <phoneticPr fontId="14" type="noConversion"/>
  </si>
  <si>
    <t>※ 사업수입</t>
    <phoneticPr fontId="14" type="noConversion"/>
  </si>
  <si>
    <t>수 입</t>
    <phoneticPr fontId="14" type="noConversion"/>
  </si>
  <si>
    <t>과년도</t>
    <phoneticPr fontId="14" type="noConversion"/>
  </si>
  <si>
    <t>※ 과년도 수입</t>
    <phoneticPr fontId="14" type="noConversion"/>
  </si>
  <si>
    <t>보조금</t>
    <phoneticPr fontId="14" type="noConversion"/>
  </si>
  <si>
    <t>소  계</t>
    <phoneticPr fontId="14" type="noConversion"/>
  </si>
  <si>
    <t>※ 보조금수입 합계</t>
    <phoneticPr fontId="14" type="noConversion"/>
  </si>
  <si>
    <t>수  입</t>
    <phoneticPr fontId="14" type="noConversion"/>
  </si>
  <si>
    <t>국 고</t>
    <phoneticPr fontId="14" type="noConversion"/>
  </si>
  <si>
    <t>계</t>
    <phoneticPr fontId="14" type="noConversion"/>
  </si>
  <si>
    <t xml:space="preserve"> &lt;국고 보조금 합계&gt;</t>
    <phoneticPr fontId="14" type="noConversion"/>
  </si>
  <si>
    <t>소계 :</t>
    <phoneticPr fontId="14" type="noConversion"/>
  </si>
  <si>
    <t>생계비</t>
    <phoneticPr fontId="14" type="noConversion"/>
  </si>
  <si>
    <t>&lt;생계비&gt;</t>
    <phoneticPr fontId="14" type="noConversion"/>
  </si>
  <si>
    <t>계:</t>
    <phoneticPr fontId="14" type="noConversion"/>
  </si>
  <si>
    <t>*생계비</t>
    <phoneticPr fontId="14" type="noConversion"/>
  </si>
  <si>
    <t>인건비</t>
    <phoneticPr fontId="14" type="noConversion"/>
  </si>
  <si>
    <t>계:</t>
    <phoneticPr fontId="14" type="noConversion"/>
  </si>
  <si>
    <t>원</t>
    <phoneticPr fontId="14" type="noConversion"/>
  </si>
  <si>
    <t>소계 :</t>
    <phoneticPr fontId="14" type="noConversion"/>
  </si>
  <si>
    <t>2.제수당</t>
    <phoneticPr fontId="14" type="noConversion"/>
  </si>
  <si>
    <t>3.종사자퇴직금적립금</t>
    <phoneticPr fontId="14" type="noConversion"/>
  </si>
  <si>
    <t>소계 :</t>
    <phoneticPr fontId="14" type="noConversion"/>
  </si>
  <si>
    <t xml:space="preserve"> *경상보조금 35명</t>
    <phoneticPr fontId="14" type="noConversion"/>
  </si>
  <si>
    <t>원</t>
    <phoneticPr fontId="14" type="noConversion"/>
  </si>
  <si>
    <t>÷</t>
    <phoneticPr fontId="14" type="noConversion"/>
  </si>
  <si>
    <t>월</t>
    <phoneticPr fontId="14" type="noConversion"/>
  </si>
  <si>
    <t>×</t>
    <phoneticPr fontId="14" type="noConversion"/>
  </si>
  <si>
    <t>=</t>
    <phoneticPr fontId="14" type="noConversion"/>
  </si>
  <si>
    <t>4.종사자사회보험부담금</t>
    <phoneticPr fontId="14" type="noConversion"/>
  </si>
  <si>
    <t xml:space="preserve"> 가.국민연금부담금</t>
    <phoneticPr fontId="14" type="noConversion"/>
  </si>
  <si>
    <t xml:space="preserve"> 나.건강보험부담금</t>
    <phoneticPr fontId="14" type="noConversion"/>
  </si>
  <si>
    <t xml:space="preserve"> 다.장기요양보험부담금</t>
    <phoneticPr fontId="14" type="noConversion"/>
  </si>
  <si>
    <t xml:space="preserve"> 라.고용보험부담금</t>
    <phoneticPr fontId="14" type="noConversion"/>
  </si>
  <si>
    <t xml:space="preserve"> 마.산재보험부담금</t>
    <phoneticPr fontId="14" type="noConversion"/>
  </si>
  <si>
    <t>&lt;교대인력 인건비 : 7명&gt;</t>
    <phoneticPr fontId="14" type="noConversion"/>
  </si>
  <si>
    <t>계:</t>
    <phoneticPr fontId="14" type="noConversion"/>
  </si>
  <si>
    <t>1.기본급 (인건비 산출내역 참조)</t>
    <phoneticPr fontId="14" type="noConversion"/>
  </si>
  <si>
    <t>2.제수당</t>
    <phoneticPr fontId="14" type="noConversion"/>
  </si>
  <si>
    <t xml:space="preserve"> 가.명절휴가비</t>
    <phoneticPr fontId="14" type="noConversion"/>
  </si>
  <si>
    <t xml:space="preserve"> 나.가족수당</t>
    <phoneticPr fontId="14" type="noConversion"/>
  </si>
  <si>
    <t xml:space="preserve"> 다.연장근로수당</t>
    <phoneticPr fontId="14" type="noConversion"/>
  </si>
  <si>
    <t xml:space="preserve"> *교대인력 7명</t>
    <phoneticPr fontId="14" type="noConversion"/>
  </si>
  <si>
    <t>운영비</t>
    <phoneticPr fontId="14" type="noConversion"/>
  </si>
  <si>
    <t>&lt;운영비 지원&gt;</t>
    <phoneticPr fontId="14" type="noConversion"/>
  </si>
  <si>
    <t>*시설당 기본지원금</t>
    <phoneticPr fontId="14" type="noConversion"/>
  </si>
  <si>
    <t>명</t>
    <phoneticPr fontId="14" type="noConversion"/>
  </si>
  <si>
    <t>*거주장애인 가중지원</t>
    <phoneticPr fontId="14" type="noConversion"/>
  </si>
  <si>
    <t>&lt;기능보강사업비&gt;</t>
    <phoneticPr fontId="14" type="noConversion"/>
  </si>
  <si>
    <t>시 도</t>
    <phoneticPr fontId="14" type="noConversion"/>
  </si>
  <si>
    <t>계</t>
    <phoneticPr fontId="14" type="noConversion"/>
  </si>
  <si>
    <t xml:space="preserve"> &lt;시도 보조금 합계&gt;</t>
    <phoneticPr fontId="14" type="noConversion"/>
  </si>
  <si>
    <t>보조금</t>
    <phoneticPr fontId="14" type="noConversion"/>
  </si>
  <si>
    <t>생계비</t>
    <phoneticPr fontId="14" type="noConversion"/>
  </si>
  <si>
    <t>&lt;생계비&gt;</t>
    <phoneticPr fontId="14" type="noConversion"/>
  </si>
  <si>
    <t>인건비</t>
    <phoneticPr fontId="14" type="noConversion"/>
  </si>
  <si>
    <t>&lt;운영비&gt;</t>
    <phoneticPr fontId="14" type="noConversion"/>
  </si>
  <si>
    <t xml:space="preserve"> * 시설당 기본지원</t>
    <phoneticPr fontId="14" type="noConversion"/>
  </si>
  <si>
    <t xml:space="preserve"> * 거주 장애인수 가중지원</t>
    <phoneticPr fontId="14" type="noConversion"/>
  </si>
  <si>
    <t>입소자지원금</t>
    <phoneticPr fontId="14" type="noConversion"/>
  </si>
  <si>
    <t>&lt;입소자지원금 : 4종&gt;</t>
    <phoneticPr fontId="14" type="noConversion"/>
  </si>
  <si>
    <t>(4종)</t>
    <phoneticPr fontId="14" type="noConversion"/>
  </si>
  <si>
    <t>*입소자 부식비(매월신청)</t>
    <phoneticPr fontId="14" type="noConversion"/>
  </si>
  <si>
    <t>일</t>
    <phoneticPr fontId="14" type="noConversion"/>
  </si>
  <si>
    <t>*입소자 간식비(매월신청)</t>
    <phoneticPr fontId="14" type="noConversion"/>
  </si>
  <si>
    <t>*입소자 구료비(특별피복비)</t>
    <phoneticPr fontId="14" type="noConversion"/>
  </si>
  <si>
    <t>회</t>
    <phoneticPr fontId="14" type="noConversion"/>
  </si>
  <si>
    <t xml:space="preserve">              (특별급식비)</t>
    <phoneticPr fontId="14" type="noConversion"/>
  </si>
  <si>
    <t>(설날,장애인의날, 추석,연말)</t>
    <phoneticPr fontId="14" type="noConversion"/>
  </si>
  <si>
    <t>*입소자 건강진단비</t>
    <phoneticPr fontId="14" type="noConversion"/>
  </si>
  <si>
    <t>시설운영지원</t>
    <phoneticPr fontId="14" type="noConversion"/>
  </si>
  <si>
    <t>&lt;시설운영지원금 : 7종&gt;</t>
    <phoneticPr fontId="14" type="noConversion"/>
  </si>
  <si>
    <t>(7종)</t>
    <phoneticPr fontId="14" type="noConversion"/>
  </si>
  <si>
    <t>A.. 인건비 지원금</t>
    <phoneticPr fontId="14" type="noConversion"/>
  </si>
  <si>
    <t>중계 :</t>
    <phoneticPr fontId="14" type="noConversion"/>
  </si>
  <si>
    <t xml:space="preserve"> 1.기본급 (인건비 산출내역 참조)</t>
    <phoneticPr fontId="14" type="noConversion"/>
  </si>
  <si>
    <t xml:space="preserve"> 가. 운전원</t>
    <phoneticPr fontId="14" type="noConversion"/>
  </si>
  <si>
    <t xml:space="preserve"> 나. 생활지도원</t>
    <phoneticPr fontId="14" type="noConversion"/>
  </si>
  <si>
    <t xml:space="preserve"> 3.종사자퇴직금적립금</t>
    <phoneticPr fontId="14" type="noConversion"/>
  </si>
  <si>
    <t>B.. 운영비 지원금</t>
    <phoneticPr fontId="14" type="noConversion"/>
  </si>
  <si>
    <t>*차량운영비</t>
    <phoneticPr fontId="14" type="noConversion"/>
  </si>
  <si>
    <t>*환경개선사업비</t>
    <phoneticPr fontId="14" type="noConversion"/>
  </si>
  <si>
    <t>*간병인비 지원</t>
    <phoneticPr fontId="14" type="noConversion"/>
  </si>
  <si>
    <t>기타지원금</t>
    <phoneticPr fontId="14" type="noConversion"/>
  </si>
  <si>
    <t>계 :</t>
    <phoneticPr fontId="14" type="noConversion"/>
  </si>
  <si>
    <t xml:space="preserve"> * 추가 연장야간근로수당(5h)</t>
    <phoneticPr fontId="14" type="noConversion"/>
  </si>
  <si>
    <t>시군구</t>
    <phoneticPr fontId="14" type="noConversion"/>
  </si>
  <si>
    <t xml:space="preserve"> &lt;시군구 보조금 합계&gt;</t>
    <phoneticPr fontId="14" type="noConversion"/>
  </si>
  <si>
    <t>*특별급식비</t>
    <phoneticPr fontId="14" type="noConversion"/>
  </si>
  <si>
    <t xml:space="preserve"> * 직원 건강진단비</t>
    <phoneticPr fontId="14" type="noConversion"/>
  </si>
  <si>
    <t>기 타</t>
    <phoneticPr fontId="14" type="noConversion"/>
  </si>
  <si>
    <t>기타 보조금</t>
    <phoneticPr fontId="14" type="noConversion"/>
  </si>
  <si>
    <t>* 스페셜올림픽코리아</t>
    <phoneticPr fontId="14" type="noConversion"/>
  </si>
  <si>
    <t>후원금</t>
    <phoneticPr fontId="14" type="noConversion"/>
  </si>
  <si>
    <t>소  계</t>
    <phoneticPr fontId="14" type="noConversion"/>
  </si>
  <si>
    <t>※후원금수입</t>
    <phoneticPr fontId="14" type="noConversion"/>
  </si>
  <si>
    <t>총  계 :</t>
    <phoneticPr fontId="14" type="noConversion"/>
  </si>
  <si>
    <t>수 입</t>
    <phoneticPr fontId="14" type="noConversion"/>
  </si>
  <si>
    <t>지 정</t>
    <phoneticPr fontId="14" type="noConversion"/>
  </si>
  <si>
    <t xml:space="preserve"> &lt;지정 후원금 합계&gt;</t>
    <phoneticPr fontId="14" type="noConversion"/>
  </si>
  <si>
    <t>지정 후원금</t>
    <phoneticPr fontId="14" type="noConversion"/>
  </si>
  <si>
    <t>&lt;지정후원금&gt;</t>
    <phoneticPr fontId="14" type="noConversion"/>
  </si>
  <si>
    <t>결연 후원금</t>
    <phoneticPr fontId="14" type="noConversion"/>
  </si>
  <si>
    <t xml:space="preserve">  *결연후원금</t>
    <phoneticPr fontId="14" type="noConversion"/>
  </si>
  <si>
    <t xml:space="preserve">  *경장협 결연후원금</t>
    <phoneticPr fontId="14" type="noConversion"/>
  </si>
  <si>
    <t>비지정</t>
    <phoneticPr fontId="14" type="noConversion"/>
  </si>
  <si>
    <t xml:space="preserve"> &lt;비지정 후원금 합계&gt;</t>
    <phoneticPr fontId="14" type="noConversion"/>
  </si>
  <si>
    <t>비지정후원금</t>
    <phoneticPr fontId="14" type="noConversion"/>
  </si>
  <si>
    <t>&lt;비지정후원금&gt;</t>
    <phoneticPr fontId="14" type="noConversion"/>
  </si>
  <si>
    <t xml:space="preserve">  *후원금 수입</t>
    <phoneticPr fontId="14" type="noConversion"/>
  </si>
  <si>
    <t>차입금</t>
    <phoneticPr fontId="14" type="noConversion"/>
  </si>
  <si>
    <t>※ 차 입 금</t>
    <phoneticPr fontId="14" type="noConversion"/>
  </si>
  <si>
    <t>금융</t>
    <phoneticPr fontId="14" type="noConversion"/>
  </si>
  <si>
    <t xml:space="preserve"> &lt;금융기관 차입금&gt;</t>
    <phoneticPr fontId="14" type="noConversion"/>
  </si>
  <si>
    <t>기관</t>
    <phoneticPr fontId="14" type="noConversion"/>
  </si>
  <si>
    <t>금융기관</t>
    <phoneticPr fontId="14" type="noConversion"/>
  </si>
  <si>
    <t xml:space="preserve"> &lt;금융기관 차입금&gt;</t>
    <phoneticPr fontId="14" type="noConversion"/>
  </si>
  <si>
    <t>차입금</t>
    <phoneticPr fontId="14" type="noConversion"/>
  </si>
  <si>
    <t xml:space="preserve">  *금융기관 차입금</t>
    <phoneticPr fontId="14" type="noConversion"/>
  </si>
  <si>
    <t>기 타</t>
    <phoneticPr fontId="14" type="noConversion"/>
  </si>
  <si>
    <t>계</t>
    <phoneticPr fontId="14" type="noConversion"/>
  </si>
  <si>
    <t xml:space="preserve"> &lt;기타 차입금&gt;</t>
    <phoneticPr fontId="14" type="noConversion"/>
  </si>
  <si>
    <t>기타 차입금</t>
    <phoneticPr fontId="14" type="noConversion"/>
  </si>
  <si>
    <t xml:space="preserve">  *기타 차입금</t>
    <phoneticPr fontId="14" type="noConversion"/>
  </si>
  <si>
    <t>전입금</t>
    <phoneticPr fontId="14" type="noConversion"/>
  </si>
  <si>
    <t>※법인 전입금</t>
    <phoneticPr fontId="14" type="noConversion"/>
  </si>
  <si>
    <t>법 인</t>
    <phoneticPr fontId="14" type="noConversion"/>
  </si>
  <si>
    <t xml:space="preserve"> &lt;법인 전입금&gt;</t>
    <phoneticPr fontId="14" type="noConversion"/>
  </si>
  <si>
    <t>법인전입금</t>
    <phoneticPr fontId="14" type="noConversion"/>
  </si>
  <si>
    <t>1. 시설비</t>
    <phoneticPr fontId="14" type="noConversion"/>
  </si>
  <si>
    <t>시설비 합계 :</t>
    <phoneticPr fontId="14" type="noConversion"/>
  </si>
  <si>
    <t xml:space="preserve"> * 배관관로 변경공사</t>
    <phoneticPr fontId="14" type="noConversion"/>
  </si>
  <si>
    <t xml:space="preserve"> * 주방공사</t>
    <phoneticPr fontId="14" type="noConversion"/>
  </si>
  <si>
    <t>2.직원 기타후생경비</t>
    <phoneticPr fontId="14" type="noConversion"/>
  </si>
  <si>
    <t>직원 기타후생경비 합계 :</t>
    <phoneticPr fontId="14" type="noConversion"/>
  </si>
  <si>
    <t>* 직원단체복지원</t>
    <phoneticPr fontId="14" type="noConversion"/>
  </si>
  <si>
    <t>* 직원 축일/생일 축하 문화상품권</t>
    <phoneticPr fontId="14" type="noConversion"/>
  </si>
  <si>
    <t>* 10년 장기근속자(3명)</t>
    <phoneticPr fontId="14" type="noConversion"/>
  </si>
  <si>
    <t>* 스승의날/가정의달 직원선물</t>
    <phoneticPr fontId="14" type="noConversion"/>
  </si>
  <si>
    <t>* 명절선물구입</t>
    <phoneticPr fontId="14" type="noConversion"/>
  </si>
  <si>
    <t>* 우수직원 포상금(12월)</t>
    <phoneticPr fontId="14" type="noConversion"/>
  </si>
  <si>
    <t>* 기타후생경비</t>
    <phoneticPr fontId="14" type="noConversion"/>
  </si>
  <si>
    <t>3.직원 연수 및 교육훈련비</t>
    <phoneticPr fontId="14" type="noConversion"/>
  </si>
  <si>
    <t>직원 교육훈련비 합계 :</t>
    <phoneticPr fontId="14" type="noConversion"/>
  </si>
  <si>
    <t>* 예산심의 및 사업계획수립</t>
    <phoneticPr fontId="14" type="noConversion"/>
  </si>
  <si>
    <t>* 사업운영평가</t>
    <phoneticPr fontId="14" type="noConversion"/>
  </si>
  <si>
    <t>* 팀별/층별 워크숍</t>
    <phoneticPr fontId="14" type="noConversion"/>
  </si>
  <si>
    <t>* 산하시설견학</t>
    <phoneticPr fontId="14" type="noConversion"/>
  </si>
  <si>
    <t>* 직원하계수련회</t>
    <phoneticPr fontId="14" type="noConversion"/>
  </si>
  <si>
    <t>* 직원윤리경영교육</t>
    <phoneticPr fontId="14" type="noConversion"/>
  </si>
  <si>
    <t>* 하계직원교육</t>
    <phoneticPr fontId="14" type="noConversion"/>
  </si>
  <si>
    <t>* 역량강화교육</t>
    <phoneticPr fontId="14" type="noConversion"/>
  </si>
  <si>
    <t>* 직원외부교육(직무교육,보수교육,연찬회,피정)</t>
    <phoneticPr fontId="14" type="noConversion"/>
  </si>
  <si>
    <t xml:space="preserve">4.기타 운영비 </t>
    <phoneticPr fontId="14" type="noConversion"/>
  </si>
  <si>
    <t>기타 운영비 지원금 :</t>
    <phoneticPr fontId="14" type="noConversion"/>
  </si>
  <si>
    <t>* 운영위원 참석수당</t>
    <phoneticPr fontId="14" type="noConversion"/>
  </si>
  <si>
    <t>* 회의비</t>
    <phoneticPr fontId="14" type="noConversion"/>
  </si>
  <si>
    <t>5.기관운영비</t>
    <phoneticPr fontId="14" type="noConversion"/>
  </si>
  <si>
    <t>기관운영비 :</t>
    <phoneticPr fontId="14" type="noConversion"/>
  </si>
  <si>
    <t>* 기관운영비</t>
    <phoneticPr fontId="14" type="noConversion"/>
  </si>
  <si>
    <t>6.시설장여비</t>
    <phoneticPr fontId="14" type="noConversion"/>
  </si>
  <si>
    <t>* 여비</t>
    <phoneticPr fontId="14" type="noConversion"/>
  </si>
  <si>
    <t>7. 해외여행지원금</t>
    <phoneticPr fontId="14" type="noConversion"/>
  </si>
  <si>
    <t>기타법인 지원금 :</t>
    <phoneticPr fontId="14" type="noConversion"/>
  </si>
  <si>
    <t>* 해외여행지원금</t>
    <phoneticPr fontId="14" type="noConversion"/>
  </si>
  <si>
    <t>법인</t>
    <phoneticPr fontId="14" type="noConversion"/>
  </si>
  <si>
    <t xml:space="preserve"> &lt;법인 전입금(후원금)&gt;</t>
    <phoneticPr fontId="14" type="noConversion"/>
  </si>
  <si>
    <t>(후원)</t>
    <phoneticPr fontId="14" type="noConversion"/>
  </si>
  <si>
    <t>(후원금)</t>
    <phoneticPr fontId="14" type="noConversion"/>
  </si>
  <si>
    <t>※이 월 금</t>
    <phoneticPr fontId="14" type="noConversion"/>
  </si>
  <si>
    <t>전년도</t>
    <phoneticPr fontId="14" type="noConversion"/>
  </si>
  <si>
    <t>계</t>
    <phoneticPr fontId="14" type="noConversion"/>
  </si>
  <si>
    <t xml:space="preserve"> &lt;전년도 이월금&gt;</t>
    <phoneticPr fontId="14" type="noConversion"/>
  </si>
  <si>
    <t>소계 :</t>
    <phoneticPr fontId="14" type="noConversion"/>
  </si>
  <si>
    <t>원</t>
    <phoneticPr fontId="14" type="noConversion"/>
  </si>
  <si>
    <t>보조금이월금</t>
    <phoneticPr fontId="14" type="noConversion"/>
  </si>
  <si>
    <t xml:space="preserve"> &lt;보조금이월금&gt;</t>
    <phoneticPr fontId="14" type="noConversion"/>
  </si>
  <si>
    <t>이월금</t>
    <phoneticPr fontId="14" type="noConversion"/>
  </si>
  <si>
    <t>입소비용이월금</t>
    <phoneticPr fontId="14" type="noConversion"/>
  </si>
  <si>
    <t xml:space="preserve"> &lt;입소비용이월금&gt;</t>
    <phoneticPr fontId="14" type="noConversion"/>
  </si>
  <si>
    <t xml:space="preserve"> * 입소비용이월액</t>
    <phoneticPr fontId="14" type="noConversion"/>
  </si>
  <si>
    <t xml:space="preserve"> * 예금이자(입소비용)</t>
    <phoneticPr fontId="14" type="noConversion"/>
  </si>
  <si>
    <t>전입금이월금</t>
    <phoneticPr fontId="14" type="noConversion"/>
  </si>
  <si>
    <t xml:space="preserve"> &lt;법인전입금이월금&gt;</t>
    <phoneticPr fontId="14" type="noConversion"/>
  </si>
  <si>
    <t xml:space="preserve"> * 법인전입금이월액</t>
    <phoneticPr fontId="14" type="noConversion"/>
  </si>
  <si>
    <t xml:space="preserve"> * 법인전입금이월액(후원금)</t>
    <phoneticPr fontId="14" type="noConversion"/>
  </si>
  <si>
    <t>잡수입이월금</t>
    <phoneticPr fontId="14" type="noConversion"/>
  </si>
  <si>
    <t xml:space="preserve"> * 잡수입이월액(기타잡수입)</t>
    <phoneticPr fontId="14" type="noConversion"/>
  </si>
  <si>
    <t>(기타잡수입)</t>
    <phoneticPr fontId="14" type="noConversion"/>
  </si>
  <si>
    <t xml:space="preserve"> * 사업수입이월액(행복공장판매수입)</t>
    <phoneticPr fontId="14" type="noConversion"/>
  </si>
  <si>
    <t xml:space="preserve"> * 사업수입이월액(사랑빚은판매수입)</t>
    <phoneticPr fontId="14" type="noConversion"/>
  </si>
  <si>
    <t>전년도</t>
    <phoneticPr fontId="14" type="noConversion"/>
  </si>
  <si>
    <t xml:space="preserve"> &lt;전년도이월금(후원금)&gt;</t>
    <phoneticPr fontId="14" type="noConversion"/>
  </si>
  <si>
    <t>이월금</t>
    <phoneticPr fontId="14" type="noConversion"/>
  </si>
  <si>
    <t>전년도이월금</t>
    <phoneticPr fontId="14" type="noConversion"/>
  </si>
  <si>
    <t xml:space="preserve"> * 지정후원금이월액</t>
    <phoneticPr fontId="14" type="noConversion"/>
  </si>
  <si>
    <t xml:space="preserve">  - 푸드트럭사업운영비(커피판매수익금)</t>
    <phoneticPr fontId="14" type="noConversion"/>
  </si>
  <si>
    <t>(지정후원금)</t>
    <phoneticPr fontId="14" type="noConversion"/>
  </si>
  <si>
    <t xml:space="preserve"> * 비지정후원금이월액</t>
    <phoneticPr fontId="14" type="noConversion"/>
  </si>
  <si>
    <t>(비지정후원금)</t>
    <phoneticPr fontId="14" type="noConversion"/>
  </si>
  <si>
    <t>잡수입</t>
    <phoneticPr fontId="14" type="noConversion"/>
  </si>
  <si>
    <t>※ 잡 수 입</t>
    <phoneticPr fontId="14" type="noConversion"/>
  </si>
  <si>
    <t>불용품</t>
    <phoneticPr fontId="14" type="noConversion"/>
  </si>
  <si>
    <t xml:space="preserve"> &lt;불용품매각대&gt;</t>
    <phoneticPr fontId="14" type="noConversion"/>
  </si>
  <si>
    <t>매각대</t>
    <phoneticPr fontId="14" type="noConversion"/>
  </si>
  <si>
    <t>불용품매각대</t>
    <phoneticPr fontId="14" type="noConversion"/>
  </si>
  <si>
    <t>기타예</t>
    <phoneticPr fontId="14" type="noConversion"/>
  </si>
  <si>
    <t xml:space="preserve"> &lt;기타예금이자수입&gt;</t>
    <phoneticPr fontId="14" type="noConversion"/>
  </si>
  <si>
    <t>금이자</t>
    <phoneticPr fontId="14" type="noConversion"/>
  </si>
  <si>
    <t>기타예금이자</t>
    <phoneticPr fontId="14" type="noConversion"/>
  </si>
  <si>
    <t xml:space="preserve"> &lt;기타예금이자 수입&gt;</t>
    <phoneticPr fontId="14" type="noConversion"/>
  </si>
  <si>
    <t>수     입</t>
    <phoneticPr fontId="14" type="noConversion"/>
  </si>
  <si>
    <t xml:space="preserve"> * 예금이자(운영비)</t>
    <phoneticPr fontId="14" type="noConversion"/>
  </si>
  <si>
    <t xml:space="preserve"> * 예금이자(생계비)</t>
    <phoneticPr fontId="14" type="noConversion"/>
  </si>
  <si>
    <t xml:space="preserve"> * 예금이자(4종)</t>
    <phoneticPr fontId="14" type="noConversion"/>
  </si>
  <si>
    <t xml:space="preserve"> * 예금이자(7종)</t>
    <phoneticPr fontId="14" type="noConversion"/>
  </si>
  <si>
    <t xml:space="preserve"> * 예금이자(수원시복지기금)</t>
    <phoneticPr fontId="14" type="noConversion"/>
  </si>
  <si>
    <t xml:space="preserve"> * 예금이자(재활PG)</t>
    <phoneticPr fontId="14" type="noConversion"/>
  </si>
  <si>
    <t xml:space="preserve"> * 예금이자(입소비용)</t>
    <phoneticPr fontId="14" type="noConversion"/>
  </si>
  <si>
    <t xml:space="preserve"> * 예금이자(법인전입금)</t>
    <phoneticPr fontId="14" type="noConversion"/>
  </si>
  <si>
    <t xml:space="preserve"> * 예금이자(잡수입)</t>
    <phoneticPr fontId="14" type="noConversion"/>
  </si>
  <si>
    <t xml:space="preserve"> &lt;기타잡수입&gt;</t>
    <phoneticPr fontId="14" type="noConversion"/>
  </si>
  <si>
    <t>식대수입</t>
    <phoneticPr fontId="14" type="noConversion"/>
  </si>
  <si>
    <t>* 거주시설 직원급식비</t>
    <phoneticPr fontId="14" type="noConversion"/>
  </si>
  <si>
    <t>* 직업재활 급식비</t>
    <phoneticPr fontId="14" type="noConversion"/>
  </si>
  <si>
    <t>* 식권 수입(공익 등)</t>
    <phoneticPr fontId="14" type="noConversion"/>
  </si>
  <si>
    <t>기타잡수입</t>
    <phoneticPr fontId="14" type="noConversion"/>
  </si>
  <si>
    <t>* 사회복지 실습비</t>
    <phoneticPr fontId="14" type="noConversion"/>
  </si>
  <si>
    <t>* 기타 잡수입</t>
    <phoneticPr fontId="14" type="noConversion"/>
  </si>
  <si>
    <t xml:space="preserve"> * 경기도의료재활PG</t>
    <phoneticPr fontId="14" type="noConversion"/>
  </si>
  <si>
    <t>* 경기도의료재활PG</t>
    <phoneticPr fontId="14" type="noConversion"/>
  </si>
  <si>
    <t>* 국비기능보강자부감(외벽/창호/데크교체)</t>
    <phoneticPr fontId="14" type="noConversion"/>
  </si>
  <si>
    <t>기능보강법인 지원금 :</t>
    <phoneticPr fontId="14" type="noConversion"/>
  </si>
  <si>
    <t>* 불용공간 리모델링공사</t>
    <phoneticPr fontId="14" type="noConversion"/>
  </si>
  <si>
    <t xml:space="preserve">  - 물리치료실 러닝머신(기부어클락)</t>
    <phoneticPr fontId="14" type="noConversion"/>
  </si>
  <si>
    <t xml:space="preserve"> D.선임지도원</t>
    <phoneticPr fontId="14" type="noConversion"/>
  </si>
  <si>
    <t xml:space="preserve"> E.주방보조인력(1명:법인전입금)</t>
    <phoneticPr fontId="14" type="noConversion"/>
  </si>
  <si>
    <t xml:space="preserve"> E.인건비지원(추가 연장야간근로수당 5h)</t>
    <phoneticPr fontId="14" type="noConversion"/>
  </si>
  <si>
    <t>4. 제수당</t>
    <phoneticPr fontId="14" type="noConversion"/>
  </si>
  <si>
    <t>1. 국비기능보강(외벽및창호/데크교체공사)</t>
    <phoneticPr fontId="14" type="noConversion"/>
  </si>
  <si>
    <t xml:space="preserve">  - 슈퍼블루마라톤</t>
    <phoneticPr fontId="14" type="noConversion"/>
  </si>
  <si>
    <t xml:space="preserve"> - 인지치료</t>
    <phoneticPr fontId="14" type="noConversion"/>
  </si>
  <si>
    <t xml:space="preserve"> - 감각통합</t>
    <phoneticPr fontId="14" type="noConversion"/>
  </si>
  <si>
    <t>7. 이용인상담</t>
    <phoneticPr fontId="14" type="noConversion"/>
  </si>
  <si>
    <t>5. 기능보강</t>
    <phoneticPr fontId="14" type="noConversion"/>
  </si>
  <si>
    <t>6. 복리후생/교육훈련비</t>
    <phoneticPr fontId="14" type="noConversion"/>
  </si>
  <si>
    <t>* 직원교육훈련비</t>
    <phoneticPr fontId="14" type="noConversion"/>
  </si>
  <si>
    <t xml:space="preserve"> - 놀이체육"터링"</t>
    <phoneticPr fontId="14" type="noConversion"/>
  </si>
  <si>
    <t>*기능보강사업비(외벽및창소/데크교체공사)</t>
    <phoneticPr fontId="14" type="noConversion"/>
  </si>
  <si>
    <t>* 자기개발비</t>
    <phoneticPr fontId="14" type="noConversion"/>
  </si>
  <si>
    <t>* 직원포상(10년/우수직원)</t>
    <phoneticPr fontId="14" type="noConversion"/>
  </si>
  <si>
    <t>* 직원복리후생비</t>
    <phoneticPr fontId="14" type="noConversion"/>
  </si>
  <si>
    <t>5.신입직원교육(산하시설견학)</t>
    <phoneticPr fontId="14" type="noConversion"/>
  </si>
  <si>
    <t>6.팀별/층별 워크숍</t>
    <phoneticPr fontId="14" type="noConversion"/>
  </si>
  <si>
    <t>2022년
1차추경예산
(B)
(단위:천원)</t>
    <phoneticPr fontId="14" type="noConversion"/>
  </si>
  <si>
    <t>* 입소비용수입(김영준 수급자로 전환)</t>
    <phoneticPr fontId="14" type="noConversion"/>
  </si>
  <si>
    <t>&lt;인건비 : 42명&gt;</t>
    <phoneticPr fontId="14" type="noConversion"/>
  </si>
  <si>
    <t xml:space="preserve">  - 푸드트럭(로타리클럽지정후원)</t>
    <phoneticPr fontId="14" type="noConversion"/>
  </si>
  <si>
    <t>원</t>
    <phoneticPr fontId="14" type="noConversion"/>
  </si>
  <si>
    <t xml:space="preserve">  - 캠핑불멍P/G</t>
    <phoneticPr fontId="14" type="noConversion"/>
  </si>
  <si>
    <t xml:space="preserve">  - 직원복리후생비</t>
    <phoneticPr fontId="14" type="noConversion"/>
  </si>
  <si>
    <t xml:space="preserve">  - 시설개보수</t>
    <phoneticPr fontId="14" type="noConversion"/>
  </si>
  <si>
    <t xml:space="preserve">  - 아름다운가게(찾아가는 푸드트럭 사업)</t>
    <phoneticPr fontId="14" type="noConversion"/>
  </si>
  <si>
    <t xml:space="preserve">  - 직원복리후생비 및 교육비</t>
    <phoneticPr fontId="14" type="noConversion"/>
  </si>
  <si>
    <t xml:space="preserve">  - 직원복리후생비 - 직원회식비</t>
    <phoneticPr fontId="14" type="noConversion"/>
  </si>
  <si>
    <t xml:space="preserve">  - 수원시장애인체육회(태권도)</t>
    <phoneticPr fontId="14" type="noConversion"/>
  </si>
  <si>
    <t xml:space="preserve">  - 강원도공동모금회 - 4층 증축 리모델링 공사</t>
    <phoneticPr fontId="14" type="noConversion"/>
  </si>
  <si>
    <t>* 기본급(주방보조인력)</t>
    <phoneticPr fontId="14" type="noConversion"/>
  </si>
  <si>
    <t>1. 법인지원인력 기본급</t>
    <phoneticPr fontId="14" type="noConversion"/>
  </si>
  <si>
    <t>2. 법인지원인력 제수당</t>
    <phoneticPr fontId="14" type="noConversion"/>
  </si>
  <si>
    <t xml:space="preserve"> 가.명절휴가비(주방보조인력)</t>
    <phoneticPr fontId="14" type="noConversion"/>
  </si>
  <si>
    <t xml:space="preserve">    - 주방보조인력</t>
    <phoneticPr fontId="14" type="noConversion"/>
  </si>
  <si>
    <t xml:space="preserve">    - 선임지도원(이연경)</t>
    <phoneticPr fontId="14" type="noConversion"/>
  </si>
  <si>
    <t>* 연장야간퇴직적립금</t>
    <phoneticPr fontId="14" type="noConversion"/>
  </si>
  <si>
    <t>제수당 지원금 :</t>
    <phoneticPr fontId="14" type="noConversion"/>
  </si>
  <si>
    <t>기본급 지원금 :</t>
    <phoneticPr fontId="14" type="noConversion"/>
  </si>
  <si>
    <t>4. 사회보험부담금</t>
    <phoneticPr fontId="14" type="noConversion"/>
  </si>
  <si>
    <t>4.사업운영평가</t>
    <phoneticPr fontId="14" type="noConversion"/>
  </si>
  <si>
    <t xml:space="preserve"> * 수원시복지기금(별베이커리)</t>
    <phoneticPr fontId="14" type="noConversion"/>
  </si>
  <si>
    <t xml:space="preserve"> &lt;잡수입이월금(기타잡수입 등&gt;</t>
    <phoneticPr fontId="14" type="noConversion"/>
  </si>
  <si>
    <t>(식대수입)</t>
    <phoneticPr fontId="14" type="noConversion"/>
  </si>
  <si>
    <t xml:space="preserve"> * 잡수입이월액(식대수입)</t>
    <phoneticPr fontId="14" type="noConversion"/>
  </si>
  <si>
    <t>* 입소자 제작 물품판매 수입(커피판매/행복공장/도예 등)</t>
    <phoneticPr fontId="14" type="noConversion"/>
  </si>
  <si>
    <t>1.경상보조금 (종사자42명)</t>
    <phoneticPr fontId="14" type="noConversion"/>
  </si>
  <si>
    <t>4.법인지원인력(2명:법인전입금)</t>
    <phoneticPr fontId="14" type="noConversion"/>
  </si>
  <si>
    <t xml:space="preserve">   - 주방보조인력 1명</t>
    <phoneticPr fontId="14" type="noConversion"/>
  </si>
  <si>
    <t xml:space="preserve">   - 선임지도원 기본급 차액</t>
    <phoneticPr fontId="14" type="noConversion"/>
  </si>
  <si>
    <t xml:space="preserve"> A.경상보조금 42명</t>
    <phoneticPr fontId="14" type="noConversion"/>
  </si>
  <si>
    <t xml:space="preserve"> A.직책보조비</t>
    <phoneticPr fontId="14" type="noConversion"/>
  </si>
  <si>
    <t>1.경상보조금 42명</t>
    <phoneticPr fontId="14" type="noConversion"/>
  </si>
  <si>
    <t xml:space="preserve">  - 경상보조인력</t>
    <phoneticPr fontId="14" type="noConversion"/>
  </si>
  <si>
    <t xml:space="preserve">  - 휴직자 퇴직적립금(이주영)</t>
    <phoneticPr fontId="14" type="noConversion"/>
  </si>
  <si>
    <t xml:space="preserve">  - 휴직자 퇴직적립금(박고은이)</t>
    <phoneticPr fontId="14" type="noConversion"/>
  </si>
  <si>
    <t xml:space="preserve"> 나. 법인지원 인력 퇴직금</t>
    <phoneticPr fontId="14" type="noConversion"/>
  </si>
  <si>
    <t xml:space="preserve"> D.법인지원인력</t>
    <phoneticPr fontId="14" type="noConversion"/>
  </si>
  <si>
    <t>사회보험부담 법인 지원금 :</t>
    <phoneticPr fontId="14" type="noConversion"/>
  </si>
  <si>
    <t xml:space="preserve"> B.퇴직자 연차보상수당(박고은이)</t>
    <phoneticPr fontId="14" type="noConversion"/>
  </si>
  <si>
    <t>* 직원축일 및 생일축하 도서상품권</t>
    <phoneticPr fontId="14" type="noConversion"/>
  </si>
  <si>
    <t>12.아름다운가게 푸드트럭사업 잔액반납</t>
    <phoneticPr fontId="14" type="noConversion"/>
  </si>
  <si>
    <t>(지후)</t>
    <phoneticPr fontId="14" type="noConversion"/>
  </si>
  <si>
    <t>* 직원회식비</t>
    <phoneticPr fontId="14" type="noConversion"/>
  </si>
  <si>
    <t>3. 건강관리(둘레길/등산)</t>
    <phoneticPr fontId="14" type="noConversion"/>
  </si>
  <si>
    <t>수원시복지기금</t>
    <phoneticPr fontId="14" type="noConversion"/>
  </si>
  <si>
    <t>원</t>
    <phoneticPr fontId="14" type="noConversion"/>
  </si>
  <si>
    <t>원</t>
    <phoneticPr fontId="14" type="noConversion"/>
  </si>
  <si>
    <t>×</t>
    <phoneticPr fontId="14" type="noConversion"/>
  </si>
  <si>
    <t>월</t>
    <phoneticPr fontId="14" type="noConversion"/>
  </si>
  <si>
    <t>7. 일용잡급</t>
    <phoneticPr fontId="14" type="noConversion"/>
  </si>
  <si>
    <t xml:space="preserve"> 나.직책수당(김성환)</t>
    <phoneticPr fontId="14" type="noConversion"/>
  </si>
  <si>
    <t xml:space="preserve"> 다.연장근로수당(선임지도원:이연경)</t>
    <phoneticPr fontId="14" type="noConversion"/>
  </si>
  <si>
    <t>÷</t>
    <phoneticPr fontId="14" type="noConversion"/>
  </si>
  <si>
    <t xml:space="preserve"> 라.연차수당(퇴직자 박고은이)</t>
    <phoneticPr fontId="14" type="noConversion"/>
  </si>
  <si>
    <t>3. 퇴직적립금</t>
    <phoneticPr fontId="14" type="noConversion"/>
  </si>
  <si>
    <t>* 법인지원인력 퇴직적립금</t>
    <phoneticPr fontId="14" type="noConversion"/>
  </si>
  <si>
    <t>* 퇴직자 박고은이 연차수당 퇴직적립금</t>
    <phoneticPr fontId="14" type="noConversion"/>
  </si>
  <si>
    <t xml:space="preserve">  - 프로그램비</t>
    <phoneticPr fontId="14" type="noConversion"/>
  </si>
  <si>
    <t xml:space="preserve"> * 예금이자(지정후원금)</t>
    <phoneticPr fontId="14" type="noConversion"/>
  </si>
  <si>
    <t xml:space="preserve"> * 예금이자(비후원금)</t>
    <phoneticPr fontId="14" type="noConversion"/>
  </si>
  <si>
    <t xml:space="preserve"> &lt;잡수입이월금(식대수입)&gt;</t>
    <phoneticPr fontId="14" type="noConversion"/>
  </si>
  <si>
    <t xml:space="preserve"> * 예금이자(국비기능보강)</t>
    <phoneticPr fontId="14" type="noConversion"/>
  </si>
  <si>
    <t>10.국비기능보강 예금이자</t>
    <phoneticPr fontId="14" type="noConversion"/>
  </si>
  <si>
    <t>원</t>
    <phoneticPr fontId="14" type="noConversion"/>
  </si>
  <si>
    <t xml:space="preserve">3. 생활실 쇼파구입 </t>
    <phoneticPr fontId="14" type="noConversion"/>
  </si>
  <si>
    <t>2. 증축공사비</t>
    <phoneticPr fontId="14" type="noConversion"/>
  </si>
  <si>
    <t>(지후이월)</t>
    <phoneticPr fontId="14" type="noConversion"/>
  </si>
  <si>
    <t>4. 시설개보수(일일바자회 지정후원금)</t>
    <phoneticPr fontId="14" type="noConversion"/>
  </si>
  <si>
    <t>11. PG실천정누수/체험홈누수공사</t>
    <phoneticPr fontId="14" type="noConversion"/>
  </si>
  <si>
    <t>12. 시청각화재경보기/음식물처리기수리/CCTV수리</t>
    <phoneticPr fontId="14" type="noConversion"/>
  </si>
  <si>
    <t>4분기 보조금 미신청액 270,000원 수용비 or 수용기관경비에서 차감하고 지출</t>
    <phoneticPr fontId="14" type="noConversion"/>
  </si>
  <si>
    <t>2022년
2차추경예산
(B)
(단위:천원)</t>
    <phoneticPr fontId="14" type="noConversion"/>
  </si>
  <si>
    <t>&lt;2022년도 2차추경예산 세출내역&gt;</t>
    <phoneticPr fontId="14" type="noConversion"/>
  </si>
  <si>
    <t>2022년 2차추경예산액(B)         (단위:천원)</t>
    <phoneticPr fontId="14" type="noConversion"/>
  </si>
  <si>
    <t>2022년
1차추경예산
(A)
(단위:천원)</t>
    <phoneticPr fontId="14" type="noConversion"/>
  </si>
  <si>
    <t>10. 원장실 이전 브라인드 설치</t>
    <phoneticPr fontId="14" type="noConversion"/>
  </si>
  <si>
    <t>2. 생계비(입소비용 부담금)</t>
    <phoneticPr fontId="14" type="noConversion"/>
  </si>
  <si>
    <t>3. 입소자 부식비(4종)</t>
    <phoneticPr fontId="14" type="noConversion"/>
  </si>
  <si>
    <t>4. 입소자 간식비(4종)</t>
    <phoneticPr fontId="14" type="noConversion"/>
  </si>
  <si>
    <t>5. 입소자 구료비(특별급식비:4종)</t>
    <phoneticPr fontId="14" type="noConversion"/>
  </si>
  <si>
    <t xml:space="preserve">7. 월동대책비(김장:수급자급여) </t>
    <phoneticPr fontId="14" type="noConversion"/>
  </si>
  <si>
    <t>9. 직원급식비(직재)</t>
    <phoneticPr fontId="14" type="noConversion"/>
  </si>
  <si>
    <t>11. 기타 생계비(간식 등)</t>
    <phoneticPr fontId="14" type="noConversion"/>
  </si>
  <si>
    <t>1. 입소자 건강진단비(4종)</t>
    <phoneticPr fontId="14" type="noConversion"/>
  </si>
  <si>
    <t>5. 이용인/직원/봉사자 등 구충제</t>
    <phoneticPr fontId="14" type="noConversion"/>
  </si>
  <si>
    <t xml:space="preserve">                 (김장 자부담)</t>
    <phoneticPr fontId="14" type="noConversion"/>
  </si>
  <si>
    <t xml:space="preserve">                 (김장 자부담 추가비용)</t>
    <phoneticPr fontId="14" type="noConversion"/>
  </si>
  <si>
    <t>증감액</t>
    <phoneticPr fontId="14" type="noConversion"/>
  </si>
  <si>
    <t>기존 예산</t>
    <phoneticPr fontId="14" type="noConversion"/>
  </si>
  <si>
    <t>원</t>
    <phoneticPr fontId="14" type="noConversion"/>
  </si>
  <si>
    <t>잔액 / 852,310</t>
    <phoneticPr fontId="14" type="noConversion"/>
  </si>
  <si>
    <t>*생계비</t>
    <phoneticPr fontId="14" type="noConversion"/>
  </si>
  <si>
    <t>원</t>
    <phoneticPr fontId="14" type="noConversion"/>
  </si>
  <si>
    <t>*생계비(김영준 수급자로 전환)</t>
    <phoneticPr fontId="14" type="noConversion"/>
  </si>
  <si>
    <t>*생계비(최지성 장기입원)</t>
    <phoneticPr fontId="14" type="noConversion"/>
  </si>
  <si>
    <t>*특별위로금(김영준/추석)</t>
    <phoneticPr fontId="14" type="noConversion"/>
  </si>
  <si>
    <t>*생계비</t>
    <phoneticPr fontId="14" type="noConversion"/>
  </si>
  <si>
    <t>*생계비(김영준 수급자로 전환)</t>
    <phoneticPr fontId="14" type="noConversion"/>
  </si>
  <si>
    <t>*생계비(최지성 장기입원)</t>
    <phoneticPr fontId="14" type="noConversion"/>
  </si>
  <si>
    <t>*특별위로금(김영준/추석)</t>
    <phoneticPr fontId="14" type="noConversion"/>
  </si>
  <si>
    <t>계:</t>
    <phoneticPr fontId="14" type="noConversion"/>
  </si>
  <si>
    <t xml:space="preserve"> 나.가족수당</t>
    <phoneticPr fontId="14" type="noConversion"/>
  </si>
  <si>
    <t>3.종사자퇴직금적립금</t>
    <phoneticPr fontId="14" type="noConversion"/>
  </si>
  <si>
    <t>*생계비(김영준 수급자로 전환)</t>
    <phoneticPr fontId="14" type="noConversion"/>
  </si>
  <si>
    <t>*생계비(최지성 장기입원)</t>
    <phoneticPr fontId="14" type="noConversion"/>
  </si>
  <si>
    <t>*특별위로금(김영준/추석)</t>
    <phoneticPr fontId="14" type="noConversion"/>
  </si>
  <si>
    <t>퇴직적립금 지원금 :</t>
    <phoneticPr fontId="14" type="noConversion"/>
  </si>
  <si>
    <t>복리후생경/교육훈련지원금</t>
    <phoneticPr fontId="14" type="noConversion"/>
  </si>
  <si>
    <t xml:space="preserve">  - 푸드트럭사업운영비(커피판매수익금)</t>
    <phoneticPr fontId="14" type="noConversion"/>
  </si>
  <si>
    <t xml:space="preserve"> 다. 조리보조원</t>
    <phoneticPr fontId="14" type="noConversion"/>
  </si>
  <si>
    <t xml:space="preserve"> 가.국민연금부담금</t>
    <phoneticPr fontId="14" type="noConversion"/>
  </si>
  <si>
    <t xml:space="preserve"> 다.장기요양보험부담금</t>
    <phoneticPr fontId="14" type="noConversion"/>
  </si>
  <si>
    <t xml:space="preserve"> 마.산재보험부담금</t>
    <phoneticPr fontId="14" type="noConversion"/>
  </si>
  <si>
    <t xml:space="preserve"> * 추가 연장야간근로수당(5h)</t>
    <phoneticPr fontId="14" type="noConversion"/>
  </si>
  <si>
    <t>&lt;2022년도 2차추경예산 세입내역&gt;</t>
    <phoneticPr fontId="14" type="noConversion"/>
  </si>
  <si>
    <r>
      <t>수</t>
    </r>
    <r>
      <rPr>
        <sz val="11"/>
        <color theme="1"/>
        <rFont val="맑은 고딕"/>
        <family val="2"/>
        <charset val="129"/>
        <scheme val="minor"/>
      </rPr>
      <t xml:space="preserve">용기관 </t>
    </r>
    <r>
      <rPr>
        <sz val="11"/>
        <color theme="1"/>
        <rFont val="맑은 고딕"/>
        <family val="2"/>
        <charset val="129"/>
        <scheme val="minor"/>
      </rPr>
      <t xml:space="preserve">  </t>
    </r>
    <r>
      <rPr>
        <sz val="11"/>
        <color theme="1"/>
        <rFont val="맑은 고딕"/>
        <family val="2"/>
        <charset val="129"/>
        <scheme val="minor"/>
      </rPr>
      <t>경비</t>
    </r>
    <phoneticPr fontId="31" type="noConversion"/>
  </si>
  <si>
    <t>□ 2022년도 2차추경예산 세 입 · 세 출 총  괄  표</t>
    <phoneticPr fontId="31" type="noConversion"/>
  </si>
  <si>
    <t>원</t>
    <phoneticPr fontId="14" type="noConversion"/>
  </si>
  <si>
    <t>1. 청소기 및 기타 비품 구입</t>
    <phoneticPr fontId="14" type="noConversion"/>
  </si>
  <si>
    <t>7. 식권 수입(공익 등)</t>
    <phoneticPr fontId="14" type="noConversion"/>
  </si>
  <si>
    <t>3. 심야전기 난방조절기 교체</t>
    <phoneticPr fontId="14" type="noConversion"/>
  </si>
  <si>
    <t>화</t>
  </si>
  <si>
    <t>* 기본급(선임지도원 차액:이연경)</t>
  </si>
  <si>
    <t xml:space="preserve"> 가.국민연금부담금</t>
  </si>
  <si>
    <t xml:space="preserve"> 나.건강보험부담금</t>
  </si>
  <si>
    <t xml:space="preserve"> 다.장기요양보험부담금</t>
  </si>
  <si>
    <t xml:space="preserve"> 라.고용보험부담금</t>
  </si>
  <si>
    <t xml:space="preserve"> 마.산재보험부담금</t>
  </si>
  <si>
    <t>=</t>
    <phoneticPr fontId="14" type="noConversion"/>
  </si>
  <si>
    <t>입소비용</t>
    <phoneticPr fontId="14" type="noConversion"/>
  </si>
  <si>
    <t>8. 미귀가생프로그램</t>
    <phoneticPr fontId="14" type="noConversion"/>
  </si>
  <si>
    <t>7. 업무추진비</t>
    <phoneticPr fontId="14" type="noConversion"/>
  </si>
  <si>
    <t>업무추진비</t>
    <phoneticPr fontId="14" type="noConversion"/>
  </si>
  <si>
    <t>원</t>
    <phoneticPr fontId="14" type="noConversion"/>
  </si>
  <si>
    <t>* 기관운영비/회의비</t>
    <phoneticPr fontId="14" type="noConversion"/>
  </si>
  <si>
    <t>8. 운영비</t>
    <phoneticPr fontId="14" type="noConversion"/>
  </si>
  <si>
    <t>운영비 여비</t>
    <phoneticPr fontId="14" type="noConversion"/>
  </si>
  <si>
    <t>* 직원복리후생</t>
    <phoneticPr fontId="14" type="noConversion"/>
  </si>
  <si>
    <t xml:space="preserve">   - 우수직원포상 및 축하 꽃다발</t>
    <phoneticPr fontId="14" type="noConversion"/>
  </si>
  <si>
    <t xml:space="preserve">   - 직원축일 및 생일축하 도서상품권</t>
    <phoneticPr fontId="14" type="noConversion"/>
  </si>
  <si>
    <t xml:space="preserve">   - 야간근로자 특수건강검진비</t>
    <phoneticPr fontId="14" type="noConversion"/>
  </si>
  <si>
    <t xml:space="preserve">   - 독감예방접종</t>
    <phoneticPr fontId="14" type="noConversion"/>
  </si>
  <si>
    <t xml:space="preserve">   - 직원야유회</t>
    <phoneticPr fontId="14" type="noConversion"/>
  </si>
  <si>
    <t xml:space="preserve">   - 직원연찬회</t>
    <phoneticPr fontId="14" type="noConversion"/>
  </si>
  <si>
    <t xml:space="preserve">   - 퇴직자 선물 및 기타비용</t>
    <phoneticPr fontId="14" type="noConversion"/>
  </si>
  <si>
    <t xml:space="preserve">   - 종사자 능력개별 지원사업(자격증 취득)</t>
    <phoneticPr fontId="14" type="noConversion"/>
  </si>
  <si>
    <t xml:space="preserve">   - 장기근속직원 포상(외식상품권/케익)</t>
    <phoneticPr fontId="14" type="noConversion"/>
  </si>
  <si>
    <t xml:space="preserve">   - 직원 동아리활동 지원</t>
    <phoneticPr fontId="14" type="noConversion"/>
  </si>
  <si>
    <t xml:space="preserve">   - 열정직원(외식상품권)</t>
    <phoneticPr fontId="14" type="noConversion"/>
  </si>
  <si>
    <t>* 직원교육훈련비</t>
    <phoneticPr fontId="14" type="noConversion"/>
  </si>
  <si>
    <t xml:space="preserve">6. 통신공사 </t>
    <phoneticPr fontId="14" type="noConversion"/>
  </si>
  <si>
    <t>5. 분전함공사</t>
    <phoneticPr fontId="14" type="noConversion"/>
  </si>
  <si>
    <t>9. 소방밸브교체공사</t>
    <phoneticPr fontId="14" type="noConversion"/>
  </si>
  <si>
    <t>* 기타기능보강(분전함, 통신공사 등)</t>
    <phoneticPr fontId="14" type="noConversion"/>
  </si>
  <si>
    <t xml:space="preserve"> 2.제수당</t>
    <phoneticPr fontId="14" type="noConversion"/>
  </si>
  <si>
    <t xml:space="preserve"> *운전원/생활지도원/조리보조원(3명)</t>
    <phoneticPr fontId="14" type="noConversion"/>
  </si>
  <si>
    <t xml:space="preserve"> 4.종사자사회보험부담금</t>
    <phoneticPr fontId="14" type="noConversion"/>
  </si>
  <si>
    <t>&lt;인건비 : 42명&gt;</t>
    <phoneticPr fontId="14" type="noConversion"/>
  </si>
  <si>
    <t xml:space="preserve"> *경상보조금 42명</t>
    <phoneticPr fontId="14" type="noConversion"/>
  </si>
  <si>
    <t xml:space="preserve"> *경상보조금(휴직자 박고은이, 이주영 퇴직연금 불입액)</t>
    <phoneticPr fontId="14" type="noConversion"/>
  </si>
  <si>
    <t>*간병인비 지원</t>
    <phoneticPr fontId="14" type="noConversion"/>
  </si>
  <si>
    <t>&lt;기타 지원금&gt;</t>
    <phoneticPr fontId="14" type="noConversion"/>
  </si>
  <si>
    <t>원</t>
    <phoneticPr fontId="14" type="noConversion"/>
  </si>
  <si>
    <t>원</t>
    <phoneticPr fontId="14" type="noConversion"/>
  </si>
  <si>
    <t>법인</t>
    <phoneticPr fontId="14" type="noConversion"/>
  </si>
  <si>
    <t>(지후)</t>
    <phoneticPr fontId="14" type="noConversion"/>
  </si>
  <si>
    <t>후원</t>
    <phoneticPr fontId="14" type="noConversion"/>
  </si>
  <si>
    <t>(지후이월)</t>
    <phoneticPr fontId="14" type="noConversion"/>
  </si>
  <si>
    <t>=</t>
    <phoneticPr fontId="14" type="noConversion"/>
  </si>
  <si>
    <t>7종</t>
    <phoneticPr fontId="14" type="noConversion"/>
  </si>
  <si>
    <t xml:space="preserve"> </t>
    <phoneticPr fontId="14" type="noConversion"/>
  </si>
  <si>
    <t>보조</t>
    <phoneticPr fontId="14" type="noConversion"/>
  </si>
  <si>
    <t>3. 복사기 임대료(5대)</t>
    <phoneticPr fontId="14" type="noConversion"/>
  </si>
  <si>
    <r>
      <t>⑤</t>
    </r>
    <r>
      <rPr>
        <sz val="9"/>
        <rFont val="맑은 고딕"/>
        <family val="3"/>
        <charset val="129"/>
      </rPr>
      <t xml:space="preserve"> 기타세금</t>
    </r>
    <phoneticPr fontId="14" type="noConversion"/>
  </si>
  <si>
    <t xml:space="preserve"> 1)직원내부교육</t>
    <phoneticPr fontId="14" type="noConversion"/>
  </si>
  <si>
    <t>3. 예산심의 사업계획수립(실무자워크숍)</t>
    <phoneticPr fontId="14" type="noConversion"/>
  </si>
  <si>
    <t>1. 공익근무요원(사기진작모임)</t>
    <phoneticPr fontId="14" type="noConversion"/>
  </si>
  <si>
    <t>3. 사회복무요원 송별선물(6명)</t>
    <phoneticPr fontId="14" type="noConversion"/>
  </si>
  <si>
    <t>4. 거주시설 직원급식비</t>
    <phoneticPr fontId="14" type="noConversion"/>
  </si>
  <si>
    <t>5. 직원급식비(직재)</t>
    <phoneticPr fontId="14" type="noConversion"/>
  </si>
  <si>
    <t xml:space="preserve">  불용공간 리모델링공사(지정후원금)</t>
    <phoneticPr fontId="14" type="noConversion"/>
  </si>
  <si>
    <t>공동모금회</t>
    <phoneticPr fontId="14" type="noConversion"/>
  </si>
  <si>
    <t>2. 사무실 책상 및 기타비품구입</t>
    <phoneticPr fontId="14" type="noConversion"/>
  </si>
  <si>
    <t>4. 2층 신발장 구입</t>
    <phoneticPr fontId="14" type="noConversion"/>
  </si>
  <si>
    <t>5. 물리치료실 러닝머신(기부어클락 지정)</t>
    <phoneticPr fontId="14" type="noConversion"/>
  </si>
  <si>
    <t>1. 전기안전관리대행료</t>
    <phoneticPr fontId="14" type="noConversion"/>
  </si>
  <si>
    <t>2. 방화관리(소방) 대행료</t>
    <phoneticPr fontId="14" type="noConversion"/>
  </si>
  <si>
    <t>7. 시설물안전관리(2회)</t>
    <phoneticPr fontId="14" type="noConversion"/>
  </si>
  <si>
    <t>8. 환경개선사업비(프로그램실개보수)</t>
    <phoneticPr fontId="14" type="noConversion"/>
  </si>
  <si>
    <t>13. 기타시설장비유지비</t>
    <phoneticPr fontId="14" type="noConversion"/>
  </si>
  <si>
    <t>1. 생계비</t>
    <phoneticPr fontId="14" type="noConversion"/>
  </si>
  <si>
    <t>6. 특별위로금(설날,추석)</t>
    <phoneticPr fontId="14" type="noConversion"/>
  </si>
  <si>
    <t>1. 특별피복비(도비4종)</t>
    <phoneticPr fontId="14" type="noConversion"/>
  </si>
  <si>
    <t>2. 간병인비 지원(7종)</t>
    <phoneticPr fontId="14" type="noConversion"/>
  </si>
  <si>
    <t>3. 외래진료</t>
    <phoneticPr fontId="14" type="noConversion"/>
  </si>
  <si>
    <t>4. 의약품비</t>
    <phoneticPr fontId="14" type="noConversion"/>
  </si>
  <si>
    <t xml:space="preserve">  - 경기도의료재활PG</t>
    <phoneticPr fontId="14" type="noConversion"/>
  </si>
  <si>
    <t xml:space="preserve">  - 투게더페스티벌</t>
    <phoneticPr fontId="14" type="noConversion"/>
  </si>
  <si>
    <t xml:space="preserve"> - 소근육교구활동</t>
    <phoneticPr fontId="14" type="noConversion"/>
  </si>
  <si>
    <t xml:space="preserve"> - 연하치료</t>
    <phoneticPr fontId="14" type="noConversion"/>
  </si>
  <si>
    <t>5. 맛집원정대</t>
    <phoneticPr fontId="14" type="noConversion"/>
  </si>
  <si>
    <t>(푸드트럭운영비 지정후원)</t>
    <phoneticPr fontId="14" type="noConversion"/>
  </si>
  <si>
    <t>11.수원시복지기금예금이자</t>
    <phoneticPr fontId="14" type="noConversion"/>
  </si>
  <si>
    <t>지정후원이월금</t>
    <phoneticPr fontId="14" type="noConversion"/>
  </si>
  <si>
    <t>1. 예금이자(입소비용)</t>
    <phoneticPr fontId="14" type="noConversion"/>
  </si>
  <si>
    <t>입소</t>
    <phoneticPr fontId="14" type="noConversion"/>
  </si>
  <si>
    <t>2022년
2차추경예산</t>
    <phoneticPr fontId="31" type="noConversion"/>
  </si>
  <si>
    <t>=</t>
    <phoneticPr fontId="14" type="noConversion"/>
  </si>
  <si>
    <t>2022년
1차추경예산</t>
    <phoneticPr fontId="31" type="noConversion"/>
  </si>
  <si>
    <t>※ 보조금 반환금(수원시)</t>
    <phoneticPr fontId="14" type="noConversion"/>
  </si>
  <si>
    <r>
      <t xml:space="preserve">보조금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 반환금</t>
    </r>
    <phoneticPr fontId="31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</si>
</sst>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&quot;×&quot;0.0%"/>
    <numFmt numFmtId="192" formatCode="&quot;×&quot;#,##0&quot;h&quot;;[Red]#,##0\ &quot;h&quot;"/>
    <numFmt numFmtId="193" formatCode="&quot;×&quot;#,##0&quot;월&quot;;[Red]#,##0\ &quot;월&quot;"/>
  </numFmts>
  <fonts count="6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color theme="1"/>
      <name val="바탕체"/>
      <family val="1"/>
      <charset val="129"/>
    </font>
    <font>
      <sz val="10"/>
      <color rgb="FF1212F6"/>
      <name val="맑은 고딕"/>
      <family val="3"/>
      <charset val="129"/>
      <scheme val="major"/>
    </font>
    <font>
      <sz val="10"/>
      <color theme="3" tint="0.39997558519241921"/>
      <name val="맑은 고딕"/>
      <family val="3"/>
      <charset val="129"/>
      <scheme val="major"/>
    </font>
    <font>
      <b/>
      <sz val="11"/>
      <color rgb="FFFF0000"/>
      <name val="바탕체"/>
      <family val="1"/>
      <charset val="129"/>
    </font>
    <font>
      <sz val="10"/>
      <name val="바탕체"/>
      <family val="1"/>
      <charset val="129"/>
    </font>
    <font>
      <sz val="12"/>
      <color theme="1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i/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5">
    <xf numFmtId="0" fontId="0" fillId="0" borderId="0" applyFill="0" applyAlignment="0">
      <alignment vertical="center"/>
    </xf>
    <xf numFmtId="9" fontId="13" fillId="0" borderId="0" applyFont="0" applyFill="0" applyAlignment="0" applyProtection="0">
      <alignment vertical="center"/>
    </xf>
    <xf numFmtId="41" fontId="13" fillId="0" borderId="0" applyFont="0" applyFill="0" applyAlignment="0" applyProtection="0">
      <alignment vertical="center"/>
    </xf>
    <xf numFmtId="0" fontId="13" fillId="0" borderId="0" applyFill="0" applyAlignment="0"/>
    <xf numFmtId="0" fontId="16" fillId="0" borderId="0"/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20">
    <xf numFmtId="0" fontId="0" fillId="0" borderId="0" xfId="0" applyFill="1" applyAlignment="1">
      <alignment vertical="center"/>
    </xf>
    <xf numFmtId="0" fontId="15" fillId="0" borderId="0" xfId="3" applyFont="1" applyFill="1" applyAlignment="1">
      <alignment vertical="center"/>
    </xf>
    <xf numFmtId="176" fontId="15" fillId="0" borderId="0" xfId="3" applyNumberFormat="1" applyFont="1" applyFill="1" applyAlignment="1">
      <alignment vertical="center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Alignment="1">
      <alignment horizontal="center" vertical="center" wrapText="1"/>
    </xf>
    <xf numFmtId="178" fontId="15" fillId="0" borderId="0" xfId="3" applyNumberFormat="1" applyFont="1" applyFill="1" applyAlignment="1">
      <alignment vertical="center"/>
    </xf>
    <xf numFmtId="177" fontId="15" fillId="0" borderId="0" xfId="3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9" fontId="15" fillId="0" borderId="0" xfId="3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38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 wrapText="1"/>
    </xf>
    <xf numFmtId="0" fontId="17" fillId="0" borderId="16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9" fontId="18" fillId="0" borderId="3" xfId="3" applyNumberFormat="1" applyFont="1" applyFill="1" applyBorder="1" applyAlignment="1">
      <alignment horizontal="center" vertical="center"/>
    </xf>
    <xf numFmtId="0" fontId="20" fillId="0" borderId="22" xfId="3" applyFont="1" applyFill="1" applyBorder="1" applyAlignment="1">
      <alignment vertical="center"/>
    </xf>
    <xf numFmtId="176" fontId="20" fillId="0" borderId="22" xfId="3" applyNumberFormat="1" applyFont="1" applyFill="1" applyBorder="1" applyAlignment="1">
      <alignment horizontal="center" vertical="center"/>
    </xf>
    <xf numFmtId="176" fontId="20" fillId="0" borderId="24" xfId="3" applyNumberFormat="1" applyFont="1" applyFill="1" applyBorder="1" applyAlignment="1">
      <alignment vertical="center"/>
    </xf>
    <xf numFmtId="9" fontId="17" fillId="0" borderId="26" xfId="3" applyNumberFormat="1" applyFont="1" applyFill="1" applyBorder="1" applyAlignment="1">
      <alignment horizontal="center" vertical="center"/>
    </xf>
    <xf numFmtId="176" fontId="19" fillId="0" borderId="5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vertical="center"/>
    </xf>
    <xf numFmtId="176" fontId="22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0" xfId="3" applyNumberFormat="1" applyFont="1" applyFill="1" applyBorder="1" applyAlignment="1">
      <alignment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178" fontId="17" fillId="0" borderId="26" xfId="3" applyNumberFormat="1" applyFont="1" applyFill="1" applyBorder="1" applyAlignment="1">
      <alignment vertical="center"/>
    </xf>
    <xf numFmtId="177" fontId="17" fillId="0" borderId="26" xfId="3" applyNumberFormat="1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horizontal="right" vertical="center"/>
    </xf>
    <xf numFmtId="176" fontId="17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center" vertical="center"/>
    </xf>
    <xf numFmtId="41" fontId="17" fillId="0" borderId="0" xfId="2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7" fillId="0" borderId="17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31" xfId="3" applyFont="1" applyFill="1" applyBorder="1" applyAlignment="1">
      <alignment vertical="center" wrapText="1"/>
    </xf>
    <xf numFmtId="178" fontId="17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0" fontId="17" fillId="0" borderId="13" xfId="3" applyFont="1" applyFill="1" applyBorder="1" applyAlignment="1">
      <alignment vertical="center"/>
    </xf>
    <xf numFmtId="176" fontId="17" fillId="0" borderId="13" xfId="3" applyNumberFormat="1" applyFont="1" applyFill="1" applyBorder="1" applyAlignment="1">
      <alignment vertical="center"/>
    </xf>
    <xf numFmtId="0" fontId="17" fillId="0" borderId="32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178" fontId="17" fillId="0" borderId="0" xfId="3" applyNumberFormat="1" applyFont="1" applyFill="1" applyBorder="1" applyAlignment="1">
      <alignment horizontal="center" vertical="center"/>
    </xf>
    <xf numFmtId="9" fontId="17" fillId="0" borderId="26" xfId="1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42" fontId="17" fillId="0" borderId="0" xfId="3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9" fontId="17" fillId="0" borderId="0" xfId="1" applyFont="1" applyFill="1" applyBorder="1" applyAlignment="1">
      <alignment horizontal="center" vertical="center"/>
    </xf>
    <xf numFmtId="10" fontId="17" fillId="0" borderId="0" xfId="1" applyNumberFormat="1" applyFont="1" applyFill="1" applyBorder="1" applyAlignment="1">
      <alignment horizontal="center" vertical="center"/>
    </xf>
    <xf numFmtId="180" fontId="17" fillId="0" borderId="0" xfId="2" applyNumberFormat="1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vertical="center" wrapText="1"/>
    </xf>
    <xf numFmtId="0" fontId="17" fillId="0" borderId="11" xfId="3" applyFont="1" applyFill="1" applyBorder="1" applyAlignment="1">
      <alignment vertical="center" wrapText="1"/>
    </xf>
    <xf numFmtId="9" fontId="17" fillId="0" borderId="11" xfId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/>
    </xf>
    <xf numFmtId="176" fontId="17" fillId="0" borderId="29" xfId="3" applyNumberFormat="1" applyFont="1" applyFill="1" applyBorder="1" applyAlignment="1">
      <alignment vertical="center"/>
    </xf>
    <xf numFmtId="0" fontId="17" fillId="0" borderId="26" xfId="3" applyFont="1" applyFill="1" applyBorder="1" applyAlignment="1">
      <alignment horizontal="center" vertical="center"/>
    </xf>
    <xf numFmtId="179" fontId="17" fillId="0" borderId="0" xfId="1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0" xfId="3" applyNumberFormat="1" applyFont="1" applyFill="1" applyBorder="1" applyAlignment="1">
      <alignment vertical="center"/>
    </xf>
    <xf numFmtId="0" fontId="17" fillId="0" borderId="25" xfId="3" applyFont="1" applyFill="1" applyBorder="1" applyAlignment="1">
      <alignment horizontal="center" vertical="center"/>
    </xf>
    <xf numFmtId="0" fontId="19" fillId="0" borderId="40" xfId="3" applyFont="1" applyFill="1" applyBorder="1" applyAlignment="1">
      <alignment vertical="center"/>
    </xf>
    <xf numFmtId="0" fontId="17" fillId="0" borderId="25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0" fontId="17" fillId="0" borderId="6" xfId="3" applyFont="1" applyFill="1" applyBorder="1" applyAlignment="1">
      <alignment vertical="center" wrapText="1"/>
    </xf>
    <xf numFmtId="0" fontId="17" fillId="0" borderId="7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 wrapText="1"/>
    </xf>
    <xf numFmtId="38" fontId="17" fillId="0" borderId="13" xfId="3" applyNumberFormat="1" applyFont="1" applyFill="1" applyBorder="1" applyAlignment="1">
      <alignment vertical="center"/>
    </xf>
    <xf numFmtId="9" fontId="17" fillId="0" borderId="3" xfId="1" applyFont="1" applyFill="1" applyBorder="1" applyAlignment="1">
      <alignment horizontal="center" vertical="center"/>
    </xf>
    <xf numFmtId="38" fontId="17" fillId="0" borderId="26" xfId="3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vertical="center"/>
    </xf>
    <xf numFmtId="38" fontId="17" fillId="0" borderId="11" xfId="3" applyNumberFormat="1" applyFont="1" applyFill="1" applyBorder="1" applyAlignment="1">
      <alignment vertical="center"/>
    </xf>
    <xf numFmtId="0" fontId="19" fillId="0" borderId="2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38" fontId="21" fillId="0" borderId="26" xfId="3" applyNumberFormat="1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horizontal="right" vertical="center"/>
    </xf>
    <xf numFmtId="176" fontId="19" fillId="0" borderId="36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 wrapText="1"/>
    </xf>
    <xf numFmtId="38" fontId="29" fillId="0" borderId="1" xfId="3" applyNumberFormat="1" applyFont="1" applyFill="1" applyBorder="1" applyAlignment="1">
      <alignment vertical="center"/>
    </xf>
    <xf numFmtId="0" fontId="17" fillId="0" borderId="36" xfId="0" applyFont="1" applyFill="1" applyBorder="1" applyAlignment="1">
      <alignment vertical="center"/>
    </xf>
    <xf numFmtId="38" fontId="17" fillId="0" borderId="14" xfId="3" applyNumberFormat="1" applyFont="1" applyFill="1" applyBorder="1" applyAlignment="1">
      <alignment vertical="center"/>
    </xf>
    <xf numFmtId="38" fontId="17" fillId="0" borderId="29" xfId="3" applyNumberFormat="1" applyFont="1" applyFill="1" applyBorder="1" applyAlignment="1">
      <alignment vertical="center"/>
    </xf>
    <xf numFmtId="38" fontId="17" fillId="0" borderId="0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left" vertical="center"/>
    </xf>
    <xf numFmtId="38" fontId="29" fillId="0" borderId="11" xfId="4" applyNumberFormat="1" applyFont="1" applyFill="1" applyBorder="1" applyAlignment="1">
      <alignment vertical="center"/>
    </xf>
    <xf numFmtId="0" fontId="29" fillId="0" borderId="0" xfId="4" applyFont="1" applyFill="1" applyBorder="1" applyAlignment="1">
      <alignment horizontal="center" vertical="center"/>
    </xf>
    <xf numFmtId="176" fontId="29" fillId="0" borderId="5" xfId="3" applyNumberFormat="1" applyFont="1" applyFill="1" applyBorder="1" applyAlignment="1">
      <alignment vertical="center"/>
    </xf>
    <xf numFmtId="0" fontId="17" fillId="0" borderId="6" xfId="3" applyFont="1" applyFill="1" applyBorder="1" applyAlignment="1">
      <alignment horizontal="center" vertical="center" wrapText="1"/>
    </xf>
    <xf numFmtId="0" fontId="17" fillId="0" borderId="38" xfId="3" applyFont="1" applyFill="1" applyBorder="1" applyAlignment="1">
      <alignment vertical="center"/>
    </xf>
    <xf numFmtId="0" fontId="22" fillId="0" borderId="29" xfId="3" applyFont="1" applyFill="1" applyBorder="1" applyAlignment="1">
      <alignment vertical="center"/>
    </xf>
    <xf numFmtId="0" fontId="17" fillId="0" borderId="40" xfId="3" applyFont="1" applyFill="1" applyBorder="1" applyAlignment="1">
      <alignment vertical="center"/>
    </xf>
    <xf numFmtId="176" fontId="17" fillId="0" borderId="51" xfId="3" applyNumberFormat="1" applyFont="1" applyFill="1" applyBorder="1" applyAlignment="1">
      <alignment vertical="center"/>
    </xf>
    <xf numFmtId="176" fontId="17" fillId="0" borderId="51" xfId="3" applyNumberFormat="1" applyFont="1" applyFill="1" applyBorder="1" applyAlignment="1">
      <alignment horizontal="right" vertical="center"/>
    </xf>
    <xf numFmtId="176" fontId="17" fillId="0" borderId="52" xfId="3" applyNumberFormat="1" applyFont="1" applyFill="1" applyBorder="1" applyAlignment="1">
      <alignment vertical="center"/>
    </xf>
    <xf numFmtId="0" fontId="17" fillId="0" borderId="51" xfId="3" applyFont="1" applyFill="1" applyBorder="1" applyAlignment="1">
      <alignment vertical="center"/>
    </xf>
    <xf numFmtId="177" fontId="17" fillId="0" borderId="3" xfId="3" applyNumberFormat="1" applyFont="1" applyFill="1" applyBorder="1" applyAlignment="1">
      <alignment horizontal="center" vertical="center" wrapText="1"/>
    </xf>
    <xf numFmtId="176" fontId="19" fillId="0" borderId="0" xfId="3" applyNumberFormat="1" applyFont="1" applyFill="1" applyBorder="1" applyAlignment="1">
      <alignment vertical="center"/>
    </xf>
    <xf numFmtId="38" fontId="17" fillId="0" borderId="32" xfId="3" applyNumberFormat="1" applyFont="1" applyFill="1" applyBorder="1" applyAlignment="1">
      <alignment vertical="center"/>
    </xf>
    <xf numFmtId="38" fontId="17" fillId="0" borderId="35" xfId="3" applyNumberFormat="1" applyFont="1" applyFill="1" applyBorder="1" applyAlignment="1">
      <alignment vertical="center"/>
    </xf>
    <xf numFmtId="38" fontId="17" fillId="0" borderId="33" xfId="3" applyNumberFormat="1" applyFont="1" applyFill="1" applyBorder="1" applyAlignment="1">
      <alignment vertical="center"/>
    </xf>
    <xf numFmtId="3" fontId="28" fillId="0" borderId="32" xfId="0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8" fontId="17" fillId="0" borderId="37" xfId="3" applyNumberFormat="1" applyFont="1" applyFill="1" applyBorder="1" applyAlignment="1">
      <alignment vertical="center"/>
    </xf>
    <xf numFmtId="0" fontId="17" fillId="0" borderId="29" xfId="3" applyFont="1" applyFill="1" applyBorder="1" applyAlignment="1">
      <alignment vertical="center"/>
    </xf>
    <xf numFmtId="38" fontId="29" fillId="0" borderId="11" xfId="4" applyNumberFormat="1" applyFont="1" applyFill="1" applyBorder="1" applyAlignment="1">
      <alignment horizontal="center" vertical="center" wrapText="1"/>
    </xf>
    <xf numFmtId="176" fontId="19" fillId="0" borderId="44" xfId="3" applyNumberFormat="1" applyFont="1" applyFill="1" applyBorder="1" applyAlignment="1">
      <alignment vertical="center"/>
    </xf>
    <xf numFmtId="9" fontId="17" fillId="0" borderId="13" xfId="1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176" fontId="19" fillId="0" borderId="52" xfId="3" applyNumberFormat="1" applyFont="1" applyFill="1" applyBorder="1" applyAlignment="1">
      <alignment vertical="center"/>
    </xf>
    <xf numFmtId="176" fontId="19" fillId="0" borderId="51" xfId="3" applyNumberFormat="1" applyFont="1" applyFill="1" applyBorder="1" applyAlignment="1">
      <alignment horizontal="right" vertical="center"/>
    </xf>
    <xf numFmtId="9" fontId="15" fillId="0" borderId="0" xfId="1" applyFont="1" applyFill="1" applyBorder="1" applyAlignment="1">
      <alignment horizontal="center" vertical="center"/>
    </xf>
    <xf numFmtId="178" fontId="18" fillId="0" borderId="3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0" fontId="19" fillId="0" borderId="51" xfId="3" applyFont="1" applyFill="1" applyBorder="1" applyAlignment="1">
      <alignment horizontal="center" vertical="center"/>
    </xf>
    <xf numFmtId="38" fontId="27" fillId="0" borderId="1" xfId="3" applyNumberFormat="1" applyFont="1" applyFill="1" applyBorder="1" applyAlignment="1">
      <alignment vertical="center"/>
    </xf>
    <xf numFmtId="9" fontId="27" fillId="0" borderId="1" xfId="1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center" vertical="center" wrapText="1"/>
    </xf>
    <xf numFmtId="38" fontId="19" fillId="0" borderId="20" xfId="3" applyNumberFormat="1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 wrapText="1"/>
    </xf>
    <xf numFmtId="38" fontId="19" fillId="0" borderId="1" xfId="3" applyNumberFormat="1" applyFont="1" applyFill="1" applyBorder="1" applyAlignment="1">
      <alignment vertical="center"/>
    </xf>
    <xf numFmtId="0" fontId="11" fillId="0" borderId="0" xfId="7">
      <alignment vertical="center"/>
    </xf>
    <xf numFmtId="0" fontId="30" fillId="0" borderId="0" xfId="7" applyFont="1">
      <alignment vertical="center"/>
    </xf>
    <xf numFmtId="0" fontId="32" fillId="0" borderId="0" xfId="7" applyFont="1" applyAlignment="1">
      <alignment horizontal="right"/>
    </xf>
    <xf numFmtId="0" fontId="11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76" fontId="17" fillId="0" borderId="14" xfId="3" applyNumberFormat="1" applyFont="1" applyFill="1" applyBorder="1" applyAlignment="1">
      <alignment horizontal="center" vertical="center"/>
    </xf>
    <xf numFmtId="0" fontId="17" fillId="0" borderId="27" xfId="3" applyFont="1" applyFill="1" applyBorder="1" applyAlignment="1">
      <alignment horizontal="center" vertical="center" wrapText="1"/>
    </xf>
    <xf numFmtId="9" fontId="17" fillId="0" borderId="11" xfId="3" applyNumberFormat="1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vertical="center"/>
    </xf>
    <xf numFmtId="0" fontId="24" fillId="0" borderId="51" xfId="3" applyFont="1" applyFill="1" applyBorder="1" applyAlignment="1">
      <alignment vertical="center"/>
    </xf>
    <xf numFmtId="176" fontId="24" fillId="0" borderId="51" xfId="3" applyNumberFormat="1" applyFont="1" applyFill="1" applyBorder="1" applyAlignment="1">
      <alignment vertical="center"/>
    </xf>
    <xf numFmtId="176" fontId="23" fillId="0" borderId="51" xfId="3" applyNumberFormat="1" applyFont="1" applyFill="1" applyBorder="1" applyAlignment="1">
      <alignment vertical="center"/>
    </xf>
    <xf numFmtId="42" fontId="17" fillId="0" borderId="0" xfId="3" applyNumberFormat="1" applyFont="1" applyFill="1" applyBorder="1" applyAlignment="1">
      <alignment horizontal="left" vertical="center"/>
    </xf>
    <xf numFmtId="41" fontId="17" fillId="0" borderId="0" xfId="2" applyNumberFormat="1" applyFont="1" applyFill="1" applyBorder="1" applyAlignment="1">
      <alignment vertical="center"/>
    </xf>
    <xf numFmtId="177" fontId="17" fillId="0" borderId="0" xfId="3" applyNumberFormat="1" applyFont="1" applyFill="1" applyBorder="1" applyAlignment="1">
      <alignment vertical="center"/>
    </xf>
    <xf numFmtId="178" fontId="29" fillId="0" borderId="0" xfId="0" applyNumberFormat="1" applyFont="1" applyBorder="1">
      <alignment vertical="center"/>
    </xf>
    <xf numFmtId="42" fontId="17" fillId="0" borderId="14" xfId="3" applyNumberFormat="1" applyFont="1" applyFill="1" applyBorder="1" applyAlignment="1">
      <alignment horizontal="center" vertical="center"/>
    </xf>
    <xf numFmtId="178" fontId="17" fillId="0" borderId="14" xfId="3" applyNumberFormat="1" applyFont="1" applyFill="1" applyBorder="1" applyAlignment="1">
      <alignment horizontal="center" vertical="center"/>
    </xf>
    <xf numFmtId="180" fontId="17" fillId="0" borderId="14" xfId="2" applyNumberFormat="1" applyFont="1" applyFill="1" applyBorder="1" applyAlignment="1">
      <alignment horizontal="center" vertical="center"/>
    </xf>
    <xf numFmtId="178" fontId="25" fillId="0" borderId="14" xfId="0" applyNumberFormat="1" applyFont="1" applyBorder="1">
      <alignment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8" fontId="34" fillId="0" borderId="20" xfId="3" applyNumberFormat="1" applyFont="1" applyFill="1" applyBorder="1" applyAlignment="1">
      <alignment vertical="center"/>
    </xf>
    <xf numFmtId="177" fontId="34" fillId="0" borderId="20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178" fontId="20" fillId="0" borderId="23" xfId="3" applyNumberFormat="1" applyFont="1" applyFill="1" applyBorder="1" applyAlignment="1">
      <alignment vertical="center"/>
    </xf>
    <xf numFmtId="9" fontId="20" fillId="0" borderId="23" xfId="3" applyNumberFormat="1" applyFont="1" applyFill="1" applyBorder="1" applyAlignment="1">
      <alignment horizontal="center" vertical="center"/>
    </xf>
    <xf numFmtId="176" fontId="17" fillId="0" borderId="14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8" fontId="27" fillId="0" borderId="11" xfId="3" applyNumberFormat="1" applyFont="1" applyFill="1" applyBorder="1" applyAlignment="1">
      <alignment vertical="center"/>
    </xf>
    <xf numFmtId="177" fontId="22" fillId="0" borderId="11" xfId="3" applyNumberFormat="1" applyFont="1" applyFill="1" applyBorder="1" applyAlignment="1">
      <alignment vertical="center"/>
    </xf>
    <xf numFmtId="9" fontId="22" fillId="0" borderId="11" xfId="3" applyNumberFormat="1" applyFont="1" applyFill="1" applyBorder="1" applyAlignment="1">
      <alignment horizontal="center" vertical="center"/>
    </xf>
    <xf numFmtId="0" fontId="20" fillId="0" borderId="35" xfId="3" applyFont="1" applyFill="1" applyBorder="1" applyAlignment="1">
      <alignment vertical="center"/>
    </xf>
    <xf numFmtId="0" fontId="22" fillId="0" borderId="14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horizontal="right" vertical="center"/>
    </xf>
    <xf numFmtId="176" fontId="35" fillId="0" borderId="51" xfId="3" applyNumberFormat="1" applyFont="1" applyFill="1" applyBorder="1" applyAlignment="1">
      <alignment vertical="center"/>
    </xf>
    <xf numFmtId="176" fontId="35" fillId="0" borderId="51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right" vertical="center"/>
    </xf>
    <xf numFmtId="178" fontId="27" fillId="0" borderId="1" xfId="3" applyNumberFormat="1" applyFont="1" applyFill="1" applyBorder="1" applyAlignment="1">
      <alignment vertical="center"/>
    </xf>
    <xf numFmtId="42" fontId="17" fillId="0" borderId="29" xfId="3" applyNumberFormat="1" applyFont="1" applyFill="1" applyBorder="1" applyAlignment="1">
      <alignment horizontal="left" vertical="center"/>
    </xf>
    <xf numFmtId="176" fontId="17" fillId="0" borderId="29" xfId="3" applyNumberFormat="1" applyFont="1" applyFill="1" applyBorder="1" applyAlignment="1">
      <alignment horizontal="left" vertical="center"/>
    </xf>
    <xf numFmtId="180" fontId="17" fillId="0" borderId="29" xfId="2" applyNumberFormat="1" applyFont="1" applyFill="1" applyBorder="1" applyAlignment="1">
      <alignment vertical="center"/>
    </xf>
    <xf numFmtId="41" fontId="17" fillId="0" borderId="29" xfId="2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0" fontId="17" fillId="0" borderId="28" xfId="3" applyFont="1" applyFill="1" applyBorder="1" applyAlignment="1">
      <alignment vertical="center"/>
    </xf>
    <xf numFmtId="9" fontId="17" fillId="0" borderId="53" xfId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horizontal="right" vertical="center"/>
    </xf>
    <xf numFmtId="177" fontId="17" fillId="0" borderId="29" xfId="3" applyNumberFormat="1" applyFont="1" applyFill="1" applyBorder="1" applyAlignment="1">
      <alignment vertical="center"/>
    </xf>
    <xf numFmtId="178" fontId="36" fillId="0" borderId="20" xfId="3" applyNumberFormat="1" applyFont="1" applyFill="1" applyBorder="1" applyAlignment="1">
      <alignment vertical="center"/>
    </xf>
    <xf numFmtId="177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40" xfId="3" applyFont="1" applyFill="1" applyBorder="1" applyAlignment="1">
      <alignment vertical="center"/>
    </xf>
    <xf numFmtId="176" fontId="37" fillId="0" borderId="51" xfId="3" applyNumberFormat="1" applyFont="1" applyFill="1" applyBorder="1" applyAlignment="1">
      <alignment vertical="center"/>
    </xf>
    <xf numFmtId="0" fontId="37" fillId="0" borderId="51" xfId="3" applyFont="1" applyFill="1" applyBorder="1" applyAlignment="1">
      <alignment horizontal="center" vertical="center"/>
    </xf>
    <xf numFmtId="0" fontId="37" fillId="0" borderId="51" xfId="3" applyFont="1" applyFill="1" applyBorder="1" applyAlignment="1">
      <alignment vertical="center"/>
    </xf>
    <xf numFmtId="176" fontId="37" fillId="0" borderId="14" xfId="3" applyNumberFormat="1" applyFont="1" applyFill="1" applyBorder="1" applyAlignment="1">
      <alignment horizontal="right" vertical="center"/>
    </xf>
    <xf numFmtId="177" fontId="36" fillId="0" borderId="0" xfId="3" applyNumberFormat="1" applyFont="1" applyFill="1" applyBorder="1" applyAlignment="1">
      <alignment vertical="center"/>
    </xf>
    <xf numFmtId="9" fontId="36" fillId="0" borderId="0" xfId="1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37" fillId="0" borderId="51" xfId="3" applyNumberFormat="1" applyFont="1" applyFill="1" applyBorder="1" applyAlignment="1">
      <alignment horizontal="right" vertical="center"/>
    </xf>
    <xf numFmtId="176" fontId="37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17" fillId="0" borderId="34" xfId="3" applyNumberFormat="1" applyFont="1" applyFill="1" applyBorder="1" applyAlignment="1">
      <alignment vertical="center"/>
    </xf>
    <xf numFmtId="0" fontId="17" fillId="0" borderId="17" xfId="3" applyFont="1" applyFill="1" applyBorder="1" applyAlignment="1">
      <alignment vertical="center" wrapText="1"/>
    </xf>
    <xf numFmtId="0" fontId="36" fillId="0" borderId="52" xfId="3" applyFont="1" applyFill="1" applyBorder="1" applyAlignment="1">
      <alignment vertical="center" wrapText="1"/>
    </xf>
    <xf numFmtId="177" fontId="27" fillId="0" borderId="26" xfId="3" applyNumberFormat="1" applyFont="1" applyFill="1" applyBorder="1" applyAlignment="1">
      <alignment vertical="center"/>
    </xf>
    <xf numFmtId="9" fontId="27" fillId="0" borderId="26" xfId="1" applyFont="1" applyFill="1" applyBorder="1" applyAlignment="1">
      <alignment horizontal="center" vertical="center"/>
    </xf>
    <xf numFmtId="177" fontId="27" fillId="0" borderId="1" xfId="3" applyNumberFormat="1" applyFont="1" applyFill="1" applyBorder="1" applyAlignment="1">
      <alignment vertical="center"/>
    </xf>
    <xf numFmtId="178" fontId="20" fillId="0" borderId="43" xfId="3" applyNumberFormat="1" applyFont="1" applyFill="1" applyBorder="1" applyAlignment="1">
      <alignment vertical="center"/>
    </xf>
    <xf numFmtId="0" fontId="9" fillId="0" borderId="20" xfId="7" applyFont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27" fillId="0" borderId="32" xfId="3" applyFont="1" applyFill="1" applyBorder="1" applyAlignment="1">
      <alignment vertical="center"/>
    </xf>
    <xf numFmtId="9" fontId="17" fillId="0" borderId="1" xfId="1" applyNumberFormat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29" fillId="0" borderId="32" xfId="3" applyFont="1" applyFill="1" applyBorder="1" applyAlignment="1">
      <alignment vertical="center"/>
    </xf>
    <xf numFmtId="0" fontId="29" fillId="0" borderId="35" xfId="3" applyFont="1" applyFill="1" applyBorder="1" applyAlignment="1">
      <alignment vertical="center"/>
    </xf>
    <xf numFmtId="0" fontId="29" fillId="0" borderId="40" xfId="3" applyFont="1" applyFill="1" applyBorder="1" applyAlignment="1">
      <alignment vertical="center"/>
    </xf>
    <xf numFmtId="0" fontId="29" fillId="0" borderId="33" xfId="3" applyFont="1" applyFill="1" applyBorder="1" applyAlignment="1">
      <alignment vertical="center"/>
    </xf>
    <xf numFmtId="0" fontId="38" fillId="0" borderId="14" xfId="3" applyFont="1" applyFill="1" applyBorder="1" applyAlignment="1">
      <alignment vertical="center"/>
    </xf>
    <xf numFmtId="176" fontId="29" fillId="0" borderId="29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center" vertical="center"/>
    </xf>
    <xf numFmtId="41" fontId="29" fillId="0" borderId="0" xfId="2" applyFont="1" applyFill="1" applyBorder="1" applyAlignment="1">
      <alignment vertical="center"/>
    </xf>
    <xf numFmtId="176" fontId="36" fillId="0" borderId="36" xfId="3" applyNumberFormat="1" applyFont="1" applyFill="1" applyBorder="1" applyAlignment="1">
      <alignment vertical="center"/>
    </xf>
    <xf numFmtId="176" fontId="27" fillId="0" borderId="5" xfId="3" applyNumberFormat="1" applyFont="1" applyFill="1" applyBorder="1" applyAlignment="1">
      <alignment vertical="center"/>
    </xf>
    <xf numFmtId="0" fontId="38" fillId="0" borderId="40" xfId="3" applyFont="1" applyFill="1" applyBorder="1" applyAlignment="1">
      <alignment vertical="center"/>
    </xf>
    <xf numFmtId="0" fontId="38" fillId="0" borderId="29" xfId="3" applyFont="1" applyFill="1" applyBorder="1" applyAlignment="1">
      <alignment vertical="center"/>
    </xf>
    <xf numFmtId="176" fontId="38" fillId="0" borderId="29" xfId="3" applyNumberFormat="1" applyFont="1" applyFill="1" applyBorder="1" applyAlignment="1">
      <alignment vertical="center"/>
    </xf>
    <xf numFmtId="176" fontId="38" fillId="0" borderId="51" xfId="3" applyNumberFormat="1" applyFont="1" applyFill="1" applyBorder="1" applyAlignment="1">
      <alignment vertical="center"/>
    </xf>
    <xf numFmtId="176" fontId="38" fillId="0" borderId="51" xfId="3" applyNumberFormat="1" applyFont="1" applyFill="1" applyBorder="1" applyAlignment="1">
      <alignment horizontal="right" vertical="center"/>
    </xf>
    <xf numFmtId="0" fontId="29" fillId="0" borderId="29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41" fontId="37" fillId="0" borderId="8" xfId="0" applyNumberFormat="1" applyFont="1" applyFill="1" applyBorder="1" applyAlignment="1">
      <alignment vertical="center"/>
    </xf>
    <xf numFmtId="38" fontId="37" fillId="0" borderId="8" xfId="3" applyNumberFormat="1" applyFont="1" applyFill="1" applyBorder="1" applyAlignment="1">
      <alignment vertical="center"/>
    </xf>
    <xf numFmtId="9" fontId="37" fillId="0" borderId="8" xfId="3" applyNumberFormat="1" applyFont="1" applyFill="1" applyBorder="1" applyAlignment="1">
      <alignment horizontal="center" vertical="center"/>
    </xf>
    <xf numFmtId="0" fontId="37" fillId="0" borderId="10" xfId="3" applyFont="1" applyFill="1" applyBorder="1" applyAlignment="1">
      <alignment vertical="center"/>
    </xf>
    <xf numFmtId="0" fontId="37" fillId="0" borderId="43" xfId="3" applyFont="1" applyFill="1" applyBorder="1" applyAlignment="1">
      <alignment vertical="center"/>
    </xf>
    <xf numFmtId="176" fontId="37" fillId="0" borderId="43" xfId="3" applyNumberFormat="1" applyFont="1" applyFill="1" applyBorder="1" applyAlignment="1">
      <alignment vertical="center"/>
    </xf>
    <xf numFmtId="176" fontId="37" fillId="0" borderId="44" xfId="3" applyNumberFormat="1" applyFont="1" applyFill="1" applyBorder="1" applyAlignment="1">
      <alignment vertical="center"/>
    </xf>
    <xf numFmtId="41" fontId="35" fillId="0" borderId="26" xfId="0" applyNumberFormat="1" applyFont="1" applyFill="1" applyBorder="1" applyAlignment="1">
      <alignment vertical="center"/>
    </xf>
    <xf numFmtId="38" fontId="35" fillId="0" borderId="26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1" xfId="3" applyFont="1" applyFill="1" applyBorder="1" applyAlignment="1">
      <alignment vertical="center"/>
    </xf>
    <xf numFmtId="176" fontId="41" fillId="0" borderId="51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180" fontId="27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7" fillId="0" borderId="0" xfId="3" applyFont="1" applyFill="1" applyBorder="1" applyAlignment="1">
      <alignment horizontal="center" vertical="center"/>
    </xf>
    <xf numFmtId="176" fontId="43" fillId="0" borderId="52" xfId="3" applyNumberFormat="1" applyFont="1" applyFill="1" applyBorder="1" applyAlignment="1">
      <alignment vertical="center"/>
    </xf>
    <xf numFmtId="0" fontId="27" fillId="0" borderId="35" xfId="3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horizontal="right" vertical="center"/>
    </xf>
    <xf numFmtId="176" fontId="27" fillId="0" borderId="36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42" fontId="27" fillId="0" borderId="0" xfId="3" applyNumberFormat="1" applyFont="1" applyFill="1" applyBorder="1" applyAlignment="1">
      <alignment horizontal="left" vertical="center"/>
    </xf>
    <xf numFmtId="179" fontId="27" fillId="0" borderId="0" xfId="1" applyNumberFormat="1" applyFont="1" applyFill="1" applyBorder="1" applyAlignment="1">
      <alignment horizontal="right" vertical="center"/>
    </xf>
    <xf numFmtId="176" fontId="27" fillId="0" borderId="0" xfId="3" applyNumberFormat="1" applyFont="1" applyFill="1" applyBorder="1" applyAlignment="1">
      <alignment horizontal="left" vertical="center"/>
    </xf>
    <xf numFmtId="189" fontId="27" fillId="0" borderId="0" xfId="1" applyNumberFormat="1" applyFont="1" applyFill="1" applyBorder="1" applyAlignment="1">
      <alignment horizontal="center" vertical="center"/>
    </xf>
    <xf numFmtId="41" fontId="27" fillId="0" borderId="0" xfId="2" applyFont="1" applyFill="1" applyBorder="1" applyAlignment="1">
      <alignment vertical="center"/>
    </xf>
    <xf numFmtId="177" fontId="27" fillId="0" borderId="14" xfId="3" applyNumberFormat="1" applyFont="1" applyFill="1" applyBorder="1" applyAlignment="1">
      <alignment vertical="center"/>
    </xf>
    <xf numFmtId="42" fontId="27" fillId="0" borderId="14" xfId="3" applyNumberFormat="1" applyFont="1" applyFill="1" applyBorder="1" applyAlignment="1">
      <alignment horizontal="left" vertical="center"/>
    </xf>
    <xf numFmtId="176" fontId="27" fillId="0" borderId="14" xfId="3" applyNumberFormat="1" applyFont="1" applyFill="1" applyBorder="1" applyAlignment="1">
      <alignment horizontal="left" vertical="center"/>
    </xf>
    <xf numFmtId="180" fontId="27" fillId="0" borderId="14" xfId="2" applyNumberFormat="1" applyFont="1" applyFill="1" applyBorder="1" applyAlignment="1">
      <alignment vertical="center"/>
    </xf>
    <xf numFmtId="41" fontId="27" fillId="0" borderId="14" xfId="2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horizontal="center" vertical="center"/>
    </xf>
    <xf numFmtId="9" fontId="27" fillId="0" borderId="14" xfId="1" applyFont="1" applyFill="1" applyBorder="1" applyAlignment="1">
      <alignment horizontal="left" vertical="center"/>
    </xf>
    <xf numFmtId="0" fontId="27" fillId="0" borderId="14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9" fontId="27" fillId="0" borderId="0" xfId="3" applyNumberFormat="1" applyFont="1" applyFill="1" applyBorder="1" applyAlignment="1">
      <alignment vertical="center"/>
    </xf>
    <xf numFmtId="9" fontId="27" fillId="0" borderId="0" xfId="1" applyFont="1" applyFill="1" applyBorder="1" applyAlignment="1">
      <alignment vertical="center"/>
    </xf>
    <xf numFmtId="181" fontId="27" fillId="0" borderId="0" xfId="1" applyNumberFormat="1" applyFont="1" applyFill="1" applyBorder="1" applyAlignment="1">
      <alignment vertical="center"/>
    </xf>
    <xf numFmtId="9" fontId="27" fillId="0" borderId="0" xfId="1" applyFont="1" applyFill="1" applyBorder="1" applyAlignment="1">
      <alignment horizontal="center" vertical="center"/>
    </xf>
    <xf numFmtId="41" fontId="27" fillId="0" borderId="0" xfId="2" applyNumberFormat="1" applyFont="1" applyFill="1" applyBorder="1" applyAlignment="1">
      <alignment horizontal="left" vertical="center"/>
    </xf>
    <xf numFmtId="10" fontId="27" fillId="0" borderId="0" xfId="1" applyNumberFormat="1" applyFont="1" applyFill="1" applyBorder="1" applyAlignment="1">
      <alignment horizontal="center" vertical="center"/>
    </xf>
    <xf numFmtId="41" fontId="27" fillId="0" borderId="0" xfId="2" applyNumberFormat="1" applyFont="1" applyFill="1" applyBorder="1" applyAlignment="1">
      <alignment horizontal="center" vertical="center"/>
    </xf>
    <xf numFmtId="41" fontId="27" fillId="0" borderId="0" xfId="2" applyFont="1" applyFill="1" applyAlignment="1">
      <alignment vertical="center"/>
    </xf>
    <xf numFmtId="188" fontId="27" fillId="0" borderId="0" xfId="1" applyNumberFormat="1" applyFont="1" applyFill="1" applyBorder="1" applyAlignment="1">
      <alignment horizontal="center" vertical="center"/>
    </xf>
    <xf numFmtId="42" fontId="29" fillId="0" borderId="0" xfId="3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178" fontId="29" fillId="0" borderId="0" xfId="3" applyNumberFormat="1" applyFont="1" applyFill="1" applyBorder="1" applyAlignment="1">
      <alignment horizontal="center" vertical="center"/>
    </xf>
    <xf numFmtId="180" fontId="29" fillId="0" borderId="0" xfId="2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vertical="center"/>
    </xf>
    <xf numFmtId="176" fontId="29" fillId="0" borderId="3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right" vertical="center"/>
    </xf>
    <xf numFmtId="0" fontId="29" fillId="0" borderId="14" xfId="3" applyFont="1" applyFill="1" applyBorder="1" applyAlignment="1">
      <alignment horizontal="center" vertical="center"/>
    </xf>
    <xf numFmtId="176" fontId="29" fillId="0" borderId="36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9" fillId="0" borderId="0" xfId="4" applyNumberFormat="1" applyFont="1" applyFill="1" applyBorder="1" applyAlignment="1">
      <alignment vertical="center"/>
    </xf>
    <xf numFmtId="176" fontId="29" fillId="0" borderId="0" xfId="4" applyNumberFormat="1" applyFont="1" applyFill="1" applyBorder="1" applyAlignment="1">
      <alignment horizontal="left"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5" xfId="0" applyFont="1" applyFill="1" applyBorder="1">
      <alignment vertical="center"/>
    </xf>
    <xf numFmtId="176" fontId="29" fillId="0" borderId="14" xfId="3" applyNumberFormat="1" applyFont="1" applyFill="1" applyBorder="1" applyAlignment="1">
      <alignment horizontal="right" vertical="center"/>
    </xf>
    <xf numFmtId="0" fontId="29" fillId="0" borderId="13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176" fontId="29" fillId="0" borderId="38" xfId="3" applyNumberFormat="1" applyFont="1" applyFill="1" applyBorder="1" applyAlignment="1">
      <alignment vertical="center"/>
    </xf>
    <xf numFmtId="41" fontId="45" fillId="0" borderId="11" xfId="8" applyFont="1" applyBorder="1" applyAlignment="1">
      <alignment vertical="center"/>
    </xf>
    <xf numFmtId="0" fontId="46" fillId="0" borderId="11" xfId="7" applyFont="1" applyBorder="1" applyAlignment="1">
      <alignment horizontal="center" vertical="center"/>
    </xf>
    <xf numFmtId="41" fontId="47" fillId="0" borderId="11" xfId="8" applyFont="1" applyBorder="1" applyAlignment="1">
      <alignment vertical="center"/>
    </xf>
    <xf numFmtId="0" fontId="46" fillId="0" borderId="20" xfId="7" applyFont="1" applyBorder="1" applyAlignment="1">
      <alignment horizontal="center" vertical="center"/>
    </xf>
    <xf numFmtId="41" fontId="47" fillId="0" borderId="20" xfId="8" applyFont="1" applyBorder="1">
      <alignment vertical="center"/>
    </xf>
    <xf numFmtId="176" fontId="29" fillId="0" borderId="20" xfId="0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17" fillId="0" borderId="33" xfId="3" applyFont="1" applyFill="1" applyBorder="1" applyAlignment="1">
      <alignment vertical="center"/>
    </xf>
    <xf numFmtId="178" fontId="29" fillId="0" borderId="0" xfId="0" applyNumberFormat="1" applyFont="1" applyFill="1" applyBorder="1" applyAlignment="1">
      <alignment horizontal="right" vertical="center"/>
    </xf>
    <xf numFmtId="0" fontId="29" fillId="0" borderId="14" xfId="0" applyFont="1" applyFill="1" applyBorder="1">
      <alignment vertical="center"/>
    </xf>
    <xf numFmtId="0" fontId="29" fillId="0" borderId="29" xfId="3" applyFont="1" applyFill="1" applyBorder="1" applyAlignment="1">
      <alignment vertical="center" wrapText="1"/>
    </xf>
    <xf numFmtId="176" fontId="29" fillId="0" borderId="51" xfId="3" applyNumberFormat="1" applyFont="1" applyFill="1" applyBorder="1" applyAlignment="1">
      <alignment vertical="center"/>
    </xf>
    <xf numFmtId="176" fontId="29" fillId="0" borderId="52" xfId="3" applyNumberFormat="1" applyFont="1" applyFill="1" applyBorder="1" applyAlignment="1">
      <alignment vertical="center"/>
    </xf>
    <xf numFmtId="3" fontId="17" fillId="0" borderId="33" xfId="0" applyNumberFormat="1" applyFont="1" applyFill="1" applyBorder="1" applyAlignment="1">
      <alignment vertical="center"/>
    </xf>
    <xf numFmtId="178" fontId="34" fillId="0" borderId="20" xfId="3" applyNumberFormat="1" applyFont="1" applyFill="1" applyBorder="1" applyAlignment="1">
      <alignment horizontal="center" vertical="center"/>
    </xf>
    <xf numFmtId="176" fontId="19" fillId="0" borderId="38" xfId="3" applyNumberFormat="1" applyFont="1" applyFill="1" applyBorder="1" applyAlignment="1">
      <alignment vertical="center"/>
    </xf>
    <xf numFmtId="177" fontId="19" fillId="0" borderId="13" xfId="3" applyNumberFormat="1" applyFont="1" applyFill="1" applyBorder="1" applyAlignment="1">
      <alignment horizontal="right" vertical="center"/>
    </xf>
    <xf numFmtId="0" fontId="19" fillId="0" borderId="13" xfId="3" applyFont="1" applyFill="1" applyBorder="1" applyAlignment="1">
      <alignment vertical="center"/>
    </xf>
    <xf numFmtId="0" fontId="19" fillId="0" borderId="37" xfId="3" applyFont="1" applyFill="1" applyBorder="1" applyAlignment="1">
      <alignment vertical="center"/>
    </xf>
    <xf numFmtId="176" fontId="19" fillId="0" borderId="13" xfId="3" applyNumberFormat="1" applyFont="1" applyFill="1" applyBorder="1" applyAlignment="1">
      <alignment vertical="center"/>
    </xf>
    <xf numFmtId="0" fontId="17" fillId="0" borderId="5" xfId="3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88" fontId="17" fillId="0" borderId="0" xfId="1" applyNumberFormat="1" applyFont="1" applyFill="1" applyBorder="1" applyAlignment="1">
      <alignment horizontal="center" vertical="center"/>
    </xf>
    <xf numFmtId="178" fontId="26" fillId="0" borderId="0" xfId="0" applyNumberFormat="1" applyFont="1" applyBorder="1">
      <alignment vertical="center"/>
    </xf>
    <xf numFmtId="42" fontId="48" fillId="0" borderId="0" xfId="3" applyNumberFormat="1" applyFont="1" applyFill="1" applyBorder="1" applyAlignment="1">
      <alignment horizontal="center" vertical="center"/>
    </xf>
    <xf numFmtId="184" fontId="17" fillId="0" borderId="0" xfId="1" applyNumberFormat="1" applyFont="1" applyFill="1" applyBorder="1" applyAlignment="1">
      <alignment horizontal="center" vertical="center"/>
    </xf>
    <xf numFmtId="183" fontId="17" fillId="0" borderId="0" xfId="1" applyNumberFormat="1" applyFont="1" applyFill="1" applyBorder="1" applyAlignment="1">
      <alignment horizontal="center" vertical="center"/>
    </xf>
    <xf numFmtId="187" fontId="17" fillId="0" borderId="0" xfId="1" applyNumberFormat="1" applyFont="1" applyFill="1" applyBorder="1" applyAlignment="1">
      <alignment horizontal="center" vertical="center"/>
    </xf>
    <xf numFmtId="186" fontId="17" fillId="0" borderId="0" xfId="3" applyNumberFormat="1" applyFont="1" applyFill="1" applyBorder="1" applyAlignment="1">
      <alignment vertical="center"/>
    </xf>
    <xf numFmtId="178" fontId="17" fillId="0" borderId="0" xfId="3" applyNumberFormat="1" applyFont="1" applyFill="1" applyBorder="1" applyAlignment="1">
      <alignment vertical="center"/>
    </xf>
    <xf numFmtId="180" fontId="17" fillId="0" borderId="0" xfId="2" applyNumberFormat="1" applyFont="1" applyFill="1" applyBorder="1" applyAlignment="1">
      <alignment vertical="center"/>
    </xf>
    <xf numFmtId="9" fontId="17" fillId="0" borderId="14" xfId="1" applyFont="1" applyFill="1" applyBorder="1" applyAlignment="1">
      <alignment horizontal="center" vertical="center"/>
    </xf>
    <xf numFmtId="180" fontId="17" fillId="0" borderId="14" xfId="2" applyNumberFormat="1" applyFont="1" applyFill="1" applyBorder="1" applyAlignment="1">
      <alignment vertical="center"/>
    </xf>
    <xf numFmtId="42" fontId="17" fillId="0" borderId="14" xfId="3" applyNumberFormat="1" applyFont="1" applyFill="1" applyBorder="1" applyAlignment="1">
      <alignment horizontal="left" vertical="center"/>
    </xf>
    <xf numFmtId="177" fontId="17" fillId="0" borderId="14" xfId="3" applyNumberFormat="1" applyFont="1" applyFill="1" applyBorder="1" applyAlignment="1">
      <alignment vertical="center"/>
    </xf>
    <xf numFmtId="186" fontId="29" fillId="0" borderId="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81" fontId="17" fillId="0" borderId="0" xfId="1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10" xfId="3" applyFont="1" applyFill="1" applyBorder="1" applyAlignment="1">
      <alignment vertical="center"/>
    </xf>
    <xf numFmtId="41" fontId="17" fillId="0" borderId="14" xfId="2" applyFont="1" applyFill="1" applyBorder="1" applyAlignment="1">
      <alignment vertical="center"/>
    </xf>
    <xf numFmtId="191" fontId="17" fillId="0" borderId="0" xfId="1" applyNumberFormat="1" applyFont="1" applyFill="1" applyBorder="1" applyAlignment="1">
      <alignment horizontal="center" vertical="center"/>
    </xf>
    <xf numFmtId="185" fontId="17" fillId="0" borderId="0" xfId="3" applyNumberFormat="1" applyFont="1" applyFill="1" applyBorder="1" applyAlignment="1">
      <alignment vertical="center"/>
    </xf>
    <xf numFmtId="189" fontId="17" fillId="0" borderId="0" xfId="1" applyNumberFormat="1" applyFont="1" applyFill="1" applyBorder="1" applyAlignment="1">
      <alignment horizontal="center" vertical="center"/>
    </xf>
    <xf numFmtId="9" fontId="17" fillId="0" borderId="0" xfId="1" applyFont="1" applyFill="1" applyBorder="1" applyAlignment="1">
      <alignment horizontal="left" vertical="center"/>
    </xf>
    <xf numFmtId="9" fontId="17" fillId="0" borderId="51" xfId="1" applyFont="1" applyFill="1" applyBorder="1" applyAlignment="1">
      <alignment vertical="center"/>
    </xf>
    <xf numFmtId="178" fontId="29" fillId="0" borderId="29" xfId="0" applyNumberFormat="1" applyFont="1" applyBorder="1">
      <alignment vertical="center"/>
    </xf>
    <xf numFmtId="41" fontId="17" fillId="0" borderId="29" xfId="2" applyNumberFormat="1" applyFont="1" applyFill="1" applyBorder="1" applyAlignment="1">
      <alignment vertical="center"/>
    </xf>
    <xf numFmtId="9" fontId="27" fillId="0" borderId="0" xfId="1" applyFont="1" applyFill="1" applyBorder="1" applyAlignment="1">
      <alignment horizontal="left" vertical="center"/>
    </xf>
    <xf numFmtId="180" fontId="27" fillId="0" borderId="0" xfId="2" applyNumberFormat="1" applyFont="1" applyFill="1" applyBorder="1" applyAlignment="1">
      <alignment vertical="center"/>
    </xf>
    <xf numFmtId="9" fontId="27" fillId="0" borderId="0" xfId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left" vertical="center"/>
    </xf>
    <xf numFmtId="9" fontId="27" fillId="0" borderId="14" xfId="1" applyFont="1" applyFill="1" applyBorder="1" applyAlignment="1">
      <alignment vertical="center"/>
    </xf>
    <xf numFmtId="176" fontId="27" fillId="0" borderId="52" xfId="3" applyNumberFormat="1" applyFont="1" applyFill="1" applyBorder="1" applyAlignment="1">
      <alignment vertical="center"/>
    </xf>
    <xf numFmtId="176" fontId="27" fillId="0" borderId="51" xfId="3" applyNumberFormat="1" applyFont="1" applyFill="1" applyBorder="1" applyAlignment="1">
      <alignment horizontal="right" vertical="center"/>
    </xf>
    <xf numFmtId="9" fontId="27" fillId="0" borderId="51" xfId="1" applyFont="1" applyFill="1" applyBorder="1" applyAlignment="1">
      <alignment vertical="center"/>
    </xf>
    <xf numFmtId="176" fontId="27" fillId="0" borderId="29" xfId="3" applyNumberFormat="1" applyFont="1" applyFill="1" applyBorder="1" applyAlignment="1">
      <alignment horizontal="center" vertical="center"/>
    </xf>
    <xf numFmtId="41" fontId="27" fillId="0" borderId="29" xfId="2" applyFont="1" applyFill="1" applyBorder="1" applyAlignment="1">
      <alignment vertical="center"/>
    </xf>
    <xf numFmtId="180" fontId="27" fillId="0" borderId="29" xfId="2" applyNumberFormat="1" applyFont="1" applyFill="1" applyBorder="1" applyAlignment="1">
      <alignment vertical="center"/>
    </xf>
    <xf numFmtId="176" fontId="27" fillId="0" borderId="29" xfId="3" applyNumberFormat="1" applyFont="1" applyFill="1" applyBorder="1" applyAlignment="1">
      <alignment horizontal="left" vertical="center"/>
    </xf>
    <xf numFmtId="176" fontId="27" fillId="0" borderId="29" xfId="3" applyNumberFormat="1" applyFont="1" applyFill="1" applyBorder="1" applyAlignment="1">
      <alignment vertical="center"/>
    </xf>
    <xf numFmtId="42" fontId="27" fillId="0" borderId="29" xfId="3" applyNumberFormat="1" applyFont="1" applyFill="1" applyBorder="1" applyAlignment="1">
      <alignment horizontal="left" vertical="center"/>
    </xf>
    <xf numFmtId="177" fontId="27" fillId="0" borderId="29" xfId="3" applyNumberFormat="1" applyFont="1" applyFill="1" applyBorder="1" applyAlignment="1">
      <alignment vertical="center"/>
    </xf>
    <xf numFmtId="176" fontId="27" fillId="0" borderId="29" xfId="3" applyNumberFormat="1" applyFont="1" applyFill="1" applyBorder="1" applyAlignment="1">
      <alignment horizontal="right" vertical="center"/>
    </xf>
    <xf numFmtId="0" fontId="27" fillId="0" borderId="40" xfId="3" applyFont="1" applyFill="1" applyBorder="1" applyAlignment="1">
      <alignment vertical="center"/>
    </xf>
    <xf numFmtId="178" fontId="29" fillId="0" borderId="26" xfId="3" applyNumberFormat="1" applyFont="1" applyFill="1" applyBorder="1" applyAlignment="1">
      <alignment vertical="center"/>
    </xf>
    <xf numFmtId="178" fontId="27" fillId="0" borderId="26" xfId="3" applyNumberFormat="1" applyFont="1" applyFill="1" applyBorder="1" applyAlignment="1">
      <alignment vertical="center"/>
    </xf>
    <xf numFmtId="0" fontId="17" fillId="0" borderId="41" xfId="3" applyFont="1" applyFill="1" applyBorder="1" applyAlignment="1">
      <alignment horizontal="center" vertical="center" wrapText="1"/>
    </xf>
    <xf numFmtId="178" fontId="29" fillId="0" borderId="0" xfId="3" applyNumberFormat="1" applyFont="1" applyFill="1" applyBorder="1" applyAlignment="1">
      <alignment vertical="center"/>
    </xf>
    <xf numFmtId="185" fontId="29" fillId="0" borderId="0" xfId="3" applyNumberFormat="1" applyFont="1" applyFill="1" applyBorder="1" applyAlignment="1">
      <alignment horizontal="center" vertical="center"/>
    </xf>
    <xf numFmtId="187" fontId="29" fillId="0" borderId="0" xfId="1" applyNumberFormat="1" applyFont="1" applyFill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11" fillId="0" borderId="0" xfId="7" applyBorder="1" applyAlignment="1">
      <alignment vertical="center"/>
    </xf>
    <xf numFmtId="0" fontId="11" fillId="0" borderId="45" xfId="7" applyBorder="1" applyAlignment="1">
      <alignment vertical="center"/>
    </xf>
    <xf numFmtId="0" fontId="11" fillId="0" borderId="13" xfId="7" applyBorder="1" applyAlignment="1">
      <alignment vertical="center"/>
    </xf>
    <xf numFmtId="176" fontId="19" fillId="0" borderId="13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Border="1" applyAlignment="1">
      <alignment horizontal="center" vertical="center"/>
    </xf>
    <xf numFmtId="176" fontId="36" fillId="0" borderId="0" xfId="3" applyNumberFormat="1" applyFont="1" applyFill="1" applyBorder="1" applyAlignment="1">
      <alignment horizontal="right" vertical="center"/>
    </xf>
    <xf numFmtId="178" fontId="34" fillId="0" borderId="11" xfId="3" applyNumberFormat="1" applyFont="1" applyFill="1" applyBorder="1" applyAlignment="1">
      <alignment horizontal="center" vertical="center"/>
    </xf>
    <xf numFmtId="178" fontId="34" fillId="0" borderId="11" xfId="3" applyNumberFormat="1" applyFont="1" applyFill="1" applyBorder="1" applyAlignment="1">
      <alignment vertical="center"/>
    </xf>
    <xf numFmtId="177" fontId="34" fillId="0" borderId="11" xfId="3" applyNumberFormat="1" applyFont="1" applyFill="1" applyBorder="1" applyAlignment="1">
      <alignment vertical="center"/>
    </xf>
    <xf numFmtId="9" fontId="34" fillId="0" borderId="11" xfId="1" applyFont="1" applyFill="1" applyBorder="1" applyAlignment="1">
      <alignment horizontal="center" vertical="center"/>
    </xf>
    <xf numFmtId="178" fontId="27" fillId="0" borderId="1" xfId="3" applyNumberFormat="1" applyFont="1" applyFill="1" applyBorder="1" applyAlignment="1">
      <alignment horizontal="center" vertical="center"/>
    </xf>
    <xf numFmtId="178" fontId="27" fillId="0" borderId="26" xfId="3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178" fontId="22" fillId="0" borderId="26" xfId="3" applyNumberFormat="1" applyFont="1" applyFill="1" applyBorder="1" applyAlignment="1">
      <alignment vertical="center"/>
    </xf>
    <xf numFmtId="177" fontId="22" fillId="0" borderId="26" xfId="3" applyNumberFormat="1" applyFont="1" applyFill="1" applyBorder="1" applyAlignment="1">
      <alignment vertical="center"/>
    </xf>
    <xf numFmtId="9" fontId="22" fillId="0" borderId="26" xfId="3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vertical="center"/>
    </xf>
    <xf numFmtId="3" fontId="29" fillId="0" borderId="14" xfId="0" applyNumberFormat="1" applyFont="1" applyFill="1" applyBorder="1" applyAlignment="1">
      <alignment vertical="center"/>
    </xf>
    <xf numFmtId="176" fontId="39" fillId="0" borderId="36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left" vertical="center"/>
    </xf>
    <xf numFmtId="0" fontId="29" fillId="0" borderId="32" xfId="3" applyFont="1" applyFill="1" applyBorder="1" applyAlignment="1">
      <alignment horizontal="left" vertical="center"/>
    </xf>
    <xf numFmtId="181" fontId="29" fillId="0" borderId="0" xfId="1" applyNumberFormat="1" applyFont="1" applyFill="1" applyBorder="1" applyAlignment="1">
      <alignment vertical="center"/>
    </xf>
    <xf numFmtId="0" fontId="29" fillId="0" borderId="26" xfId="3" applyFont="1" applyFill="1" applyBorder="1" applyAlignment="1">
      <alignment horizontal="center" vertical="center" wrapText="1"/>
    </xf>
    <xf numFmtId="176" fontId="36" fillId="0" borderId="5" xfId="3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176" fontId="17" fillId="0" borderId="26" xfId="0" applyNumberFormat="1" applyFont="1" applyFill="1" applyBorder="1" applyAlignment="1">
      <alignment vertical="center"/>
    </xf>
    <xf numFmtId="176" fontId="29" fillId="0" borderId="29" xfId="3" applyNumberFormat="1" applyFont="1" applyFill="1" applyBorder="1" applyAlignment="1">
      <alignment horizontal="left" vertical="center"/>
    </xf>
    <xf numFmtId="176" fontId="29" fillId="0" borderId="29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left" vertical="center"/>
    </xf>
    <xf numFmtId="177" fontId="29" fillId="0" borderId="26" xfId="3" applyNumberFormat="1" applyFont="1" applyFill="1" applyBorder="1" applyAlignment="1">
      <alignment vertical="center"/>
    </xf>
    <xf numFmtId="9" fontId="29" fillId="0" borderId="26" xfId="3" applyNumberFormat="1" applyFont="1" applyFill="1" applyBorder="1" applyAlignment="1">
      <alignment horizontal="center" vertical="center"/>
    </xf>
    <xf numFmtId="177" fontId="29" fillId="0" borderId="1" xfId="3" applyNumberFormat="1" applyFont="1" applyFill="1" applyBorder="1" applyAlignment="1">
      <alignment vertical="center"/>
    </xf>
    <xf numFmtId="9" fontId="29" fillId="0" borderId="1" xfId="3" applyNumberFormat="1" applyFont="1" applyFill="1" applyBorder="1" applyAlignment="1">
      <alignment horizontal="center" vertical="center"/>
    </xf>
    <xf numFmtId="0" fontId="29" fillId="0" borderId="7" xfId="3" applyFont="1" applyFill="1" applyBorder="1" applyAlignment="1">
      <alignment horizontal="center" vertical="center" wrapText="1"/>
    </xf>
    <xf numFmtId="178" fontId="29" fillId="0" borderId="7" xfId="3" applyNumberFormat="1" applyFont="1" applyFill="1" applyBorder="1" applyAlignment="1">
      <alignment vertical="center"/>
    </xf>
    <xf numFmtId="177" fontId="29" fillId="0" borderId="7" xfId="3" applyNumberFormat="1" applyFont="1" applyFill="1" applyBorder="1" applyAlignment="1">
      <alignment vertical="center"/>
    </xf>
    <xf numFmtId="9" fontId="29" fillId="0" borderId="7" xfId="3" applyNumberFormat="1" applyFont="1" applyFill="1" applyBorder="1" applyAlignment="1">
      <alignment horizontal="center" vertical="center"/>
    </xf>
    <xf numFmtId="10" fontId="29" fillId="0" borderId="0" xfId="1" applyNumberFormat="1" applyFont="1" applyFill="1" applyBorder="1" applyAlignment="1">
      <alignment horizontal="center" vertical="center"/>
    </xf>
    <xf numFmtId="9" fontId="29" fillId="0" borderId="0" xfId="1" applyFont="1" applyFill="1" applyBorder="1" applyAlignment="1">
      <alignment horizontal="center" vertical="center"/>
    </xf>
    <xf numFmtId="0" fontId="29" fillId="0" borderId="37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76" fontId="36" fillId="0" borderId="0" xfId="3" applyNumberFormat="1" applyFont="1" applyFill="1" applyBorder="1" applyAlignment="1">
      <alignment horizontal="left" vertical="center"/>
    </xf>
    <xf numFmtId="177" fontId="38" fillId="0" borderId="13" xfId="3" applyNumberFormat="1" applyFont="1" applyFill="1" applyBorder="1" applyAlignment="1">
      <alignment horizontal="right" vertical="center"/>
    </xf>
    <xf numFmtId="176" fontId="38" fillId="0" borderId="38" xfId="3" applyNumberFormat="1" applyFont="1" applyFill="1" applyBorder="1" applyAlignment="1">
      <alignment vertical="center"/>
    </xf>
    <xf numFmtId="178" fontId="29" fillId="0" borderId="0" xfId="3" applyNumberFormat="1" applyFont="1" applyFill="1" applyBorder="1" applyAlignment="1">
      <alignment horizontal="right" vertical="center"/>
    </xf>
    <xf numFmtId="38" fontId="29" fillId="0" borderId="20" xfId="3" applyNumberFormat="1" applyFont="1" applyFill="1" applyBorder="1" applyAlignment="1">
      <alignment vertical="center"/>
    </xf>
    <xf numFmtId="38" fontId="27" fillId="0" borderId="26" xfId="3" applyNumberFormat="1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176" fontId="38" fillId="0" borderId="5" xfId="3" applyNumberFormat="1" applyFont="1" applyFill="1" applyBorder="1" applyAlignment="1">
      <alignment vertical="center"/>
    </xf>
    <xf numFmtId="41" fontId="17" fillId="0" borderId="0" xfId="2" applyFont="1" applyFill="1" applyAlignment="1">
      <alignment vertical="center"/>
    </xf>
    <xf numFmtId="177" fontId="29" fillId="0" borderId="0" xfId="3" applyNumberFormat="1" applyFont="1" applyFill="1" applyBorder="1" applyAlignment="1">
      <alignment horizontal="right" vertical="center"/>
    </xf>
    <xf numFmtId="41" fontId="36" fillId="0" borderId="0" xfId="2" applyFont="1" applyFill="1" applyBorder="1" applyAlignment="1">
      <alignment vertical="center"/>
    </xf>
    <xf numFmtId="0" fontId="11" fillId="0" borderId="2" xfId="7" applyBorder="1" applyAlignment="1">
      <alignment vertical="center"/>
    </xf>
    <xf numFmtId="0" fontId="11" fillId="0" borderId="31" xfId="7" applyBorder="1" applyAlignment="1">
      <alignment vertical="center"/>
    </xf>
    <xf numFmtId="0" fontId="11" fillId="0" borderId="17" xfId="7" applyBorder="1" applyAlignment="1">
      <alignment vertical="center"/>
    </xf>
    <xf numFmtId="0" fontId="7" fillId="0" borderId="2" xfId="7" applyFont="1" applyBorder="1" applyAlignment="1">
      <alignment vertical="center"/>
    </xf>
    <xf numFmtId="0" fontId="7" fillId="0" borderId="20" xfId="7" applyFont="1" applyBorder="1" applyAlignment="1">
      <alignment horizontal="center" vertical="center"/>
    </xf>
    <xf numFmtId="176" fontId="27" fillId="0" borderId="30" xfId="3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3" fontId="29" fillId="0" borderId="0" xfId="0" applyNumberFormat="1" applyFont="1" applyFill="1" applyAlignment="1">
      <alignment vertical="center"/>
    </xf>
    <xf numFmtId="0" fontId="29" fillId="0" borderId="0" xfId="3" applyFont="1" applyFill="1" applyBorder="1" applyAlignment="1">
      <alignment horizontal="left" vertical="center"/>
    </xf>
    <xf numFmtId="176" fontId="39" fillId="0" borderId="0" xfId="3" applyNumberFormat="1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left" vertical="center"/>
    </xf>
    <xf numFmtId="176" fontId="38" fillId="0" borderId="29" xfId="3" applyNumberFormat="1" applyFont="1" applyFill="1" applyBorder="1" applyAlignment="1">
      <alignment horizontal="right" vertical="center"/>
    </xf>
    <xf numFmtId="41" fontId="50" fillId="0" borderId="0" xfId="2" applyFont="1" applyFill="1" applyAlignment="1">
      <alignment vertical="center"/>
    </xf>
    <xf numFmtId="41" fontId="50" fillId="0" borderId="0" xfId="2" applyFont="1" applyFill="1" applyAlignment="1">
      <alignment horizontal="center" vertical="center"/>
    </xf>
    <xf numFmtId="176" fontId="17" fillId="0" borderId="29" xfId="3" applyNumberFormat="1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14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right" vertical="center"/>
    </xf>
    <xf numFmtId="42" fontId="27" fillId="0" borderId="0" xfId="3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51" fillId="0" borderId="14" xfId="3" applyNumberFormat="1" applyFont="1" applyFill="1" applyBorder="1" applyAlignment="1">
      <alignment vertical="center"/>
    </xf>
    <xf numFmtId="176" fontId="51" fillId="0" borderId="51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right" vertical="center"/>
    </xf>
    <xf numFmtId="42" fontId="27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36" fillId="0" borderId="32" xfId="3" applyFont="1" applyFill="1" applyBorder="1" applyAlignment="1">
      <alignment vertical="center"/>
    </xf>
    <xf numFmtId="42" fontId="36" fillId="0" borderId="0" xfId="3" applyNumberFormat="1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horizontal="right" vertical="center"/>
    </xf>
    <xf numFmtId="176" fontId="20" fillId="0" borderId="34" xfId="3" applyNumberFormat="1" applyFont="1" applyFill="1" applyBorder="1" applyAlignment="1">
      <alignment vertical="center"/>
    </xf>
    <xf numFmtId="178" fontId="36" fillId="0" borderId="0" xfId="3" applyNumberFormat="1" applyFont="1" applyFill="1" applyBorder="1" applyAlignment="1">
      <alignment horizontal="center" vertical="center"/>
    </xf>
    <xf numFmtId="0" fontId="38" fillId="0" borderId="35" xfId="3" applyFont="1" applyFill="1" applyBorder="1" applyAlignment="1">
      <alignment vertical="center"/>
    </xf>
    <xf numFmtId="38" fontId="36" fillId="0" borderId="26" xfId="3" applyNumberFormat="1" applyFont="1" applyFill="1" applyBorder="1" applyAlignment="1">
      <alignment vertical="center"/>
    </xf>
    <xf numFmtId="38" fontId="52" fillId="0" borderId="26" xfId="3" applyNumberFormat="1" applyFont="1" applyFill="1" applyBorder="1" applyAlignment="1">
      <alignment vertical="center"/>
    </xf>
    <xf numFmtId="38" fontId="36" fillId="0" borderId="32" xfId="3" applyNumberFormat="1" applyFont="1" applyFill="1" applyBorder="1" applyAlignment="1">
      <alignment horizontal="center" vertical="center"/>
    </xf>
    <xf numFmtId="38" fontId="52" fillId="0" borderId="32" xfId="3" applyNumberFormat="1" applyFont="1" applyFill="1" applyBorder="1" applyAlignment="1">
      <alignment horizontal="center" vertical="center"/>
    </xf>
    <xf numFmtId="41" fontId="15" fillId="0" borderId="0" xfId="2" applyFont="1" applyFill="1" applyAlignment="1">
      <alignment vertical="center"/>
    </xf>
    <xf numFmtId="41" fontId="15" fillId="0" borderId="0" xfId="2" applyFont="1" applyFill="1" applyAlignment="1">
      <alignment horizontal="center" vertical="center"/>
    </xf>
    <xf numFmtId="41" fontId="15" fillId="0" borderId="0" xfId="2" applyFont="1" applyFill="1">
      <alignment vertical="center"/>
    </xf>
    <xf numFmtId="38" fontId="52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36" fillId="0" borderId="26" xfId="3" applyFont="1" applyFill="1" applyBorder="1" applyAlignment="1">
      <alignment horizontal="center" vertical="center"/>
    </xf>
    <xf numFmtId="38" fontId="36" fillId="0" borderId="35" xfId="3" applyNumberFormat="1" applyFont="1" applyFill="1" applyBorder="1" applyAlignment="1">
      <alignment vertical="center"/>
    </xf>
    <xf numFmtId="178" fontId="29" fillId="0" borderId="14" xfId="3" applyNumberFormat="1" applyFont="1" applyFill="1" applyBorder="1" applyAlignment="1">
      <alignment horizontal="right" vertical="center"/>
    </xf>
    <xf numFmtId="178" fontId="29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30" xfId="3" applyNumberFormat="1" applyFont="1" applyFill="1" applyBorder="1" applyAlignment="1">
      <alignment horizontal="right" vertical="center"/>
    </xf>
    <xf numFmtId="178" fontId="49" fillId="0" borderId="0" xfId="0" applyNumberFormat="1" applyFont="1" applyBorder="1">
      <alignment vertical="center"/>
    </xf>
    <xf numFmtId="192" fontId="29" fillId="0" borderId="0" xfId="3" applyNumberFormat="1" applyFont="1" applyFill="1" applyBorder="1" applyAlignment="1">
      <alignment vertical="center"/>
    </xf>
    <xf numFmtId="193" fontId="29" fillId="0" borderId="0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29" fillId="0" borderId="14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176" fontId="19" fillId="0" borderId="51" xfId="3" applyNumberFormat="1" applyFont="1" applyFill="1" applyBorder="1" applyAlignment="1">
      <alignment vertical="center"/>
    </xf>
    <xf numFmtId="0" fontId="19" fillId="0" borderId="51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80" fontId="36" fillId="0" borderId="0" xfId="2" applyNumberFormat="1" applyFont="1" applyFill="1" applyBorder="1" applyAlignment="1">
      <alignment horizontal="center" vertical="center"/>
    </xf>
    <xf numFmtId="41" fontId="15" fillId="0" borderId="0" xfId="3" applyNumberFormat="1" applyFont="1" applyFill="1" applyAlignment="1">
      <alignment vertical="center"/>
    </xf>
    <xf numFmtId="178" fontId="42" fillId="0" borderId="0" xfId="0" applyNumberFormat="1" applyFont="1" applyFill="1" applyBorder="1">
      <alignment vertical="center"/>
    </xf>
    <xf numFmtId="178" fontId="25" fillId="0" borderId="0" xfId="0" applyNumberFormat="1" applyFont="1" applyFill="1" applyBorder="1">
      <alignment vertical="center"/>
    </xf>
    <xf numFmtId="41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14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38" fontId="53" fillId="0" borderId="0" xfId="3" applyNumberFormat="1" applyFont="1" applyFill="1" applyBorder="1" applyAlignment="1">
      <alignment vertical="center"/>
    </xf>
    <xf numFmtId="3" fontId="15" fillId="0" borderId="0" xfId="0" applyNumberFormat="1" applyFont="1" applyFill="1" applyAlignment="1">
      <alignment horizontal="right" vertical="center"/>
    </xf>
    <xf numFmtId="42" fontId="29" fillId="0" borderId="0" xfId="3" applyNumberFormat="1" applyFont="1" applyFill="1" applyBorder="1" applyAlignment="1">
      <alignment horizontal="left" vertical="center"/>
    </xf>
    <xf numFmtId="41" fontId="29" fillId="0" borderId="0" xfId="2" applyNumberFormat="1" applyFont="1" applyFill="1" applyBorder="1" applyAlignment="1">
      <alignment vertical="center"/>
    </xf>
    <xf numFmtId="9" fontId="29" fillId="0" borderId="0" xfId="1" applyFont="1" applyFill="1" applyBorder="1" applyAlignment="1">
      <alignment horizontal="left" vertical="center"/>
    </xf>
    <xf numFmtId="180" fontId="29" fillId="0" borderId="0" xfId="2" applyNumberFormat="1" applyFont="1" applyFill="1" applyBorder="1" applyAlignment="1">
      <alignment vertical="center"/>
    </xf>
    <xf numFmtId="177" fontId="29" fillId="0" borderId="0" xfId="3" applyNumberFormat="1" applyFont="1" applyFill="1" applyBorder="1" applyAlignment="1">
      <alignment vertical="center"/>
    </xf>
    <xf numFmtId="189" fontId="29" fillId="0" borderId="0" xfId="1" applyNumberFormat="1" applyFont="1" applyFill="1" applyBorder="1" applyAlignment="1">
      <alignment horizontal="center" vertical="center"/>
    </xf>
    <xf numFmtId="176" fontId="29" fillId="0" borderId="5" xfId="3" applyNumberFormat="1" applyFont="1" applyFill="1" applyBorder="1" applyAlignment="1">
      <alignment horizontal="left" vertical="center"/>
    </xf>
    <xf numFmtId="177" fontId="29" fillId="0" borderId="14" xfId="3" applyNumberFormat="1" applyFont="1" applyFill="1" applyBorder="1" applyAlignment="1">
      <alignment vertical="center"/>
    </xf>
    <xf numFmtId="42" fontId="29" fillId="0" borderId="14" xfId="3" applyNumberFormat="1" applyFont="1" applyFill="1" applyBorder="1" applyAlignment="1">
      <alignment horizontal="left" vertical="center"/>
    </xf>
    <xf numFmtId="180" fontId="29" fillId="0" borderId="14" xfId="2" applyNumberFormat="1" applyFont="1" applyFill="1" applyBorder="1" applyAlignment="1">
      <alignment vertical="center"/>
    </xf>
    <xf numFmtId="41" fontId="29" fillId="0" borderId="14" xfId="2" applyFont="1" applyFill="1" applyBorder="1" applyAlignment="1">
      <alignment vertical="center"/>
    </xf>
    <xf numFmtId="176" fontId="29" fillId="0" borderId="14" xfId="3" applyNumberFormat="1" applyFont="1" applyFill="1" applyBorder="1" applyAlignment="1">
      <alignment horizontal="center" vertical="center"/>
    </xf>
    <xf numFmtId="9" fontId="29" fillId="0" borderId="14" xfId="1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vertical="center"/>
    </xf>
    <xf numFmtId="177" fontId="29" fillId="0" borderId="29" xfId="3" applyNumberFormat="1" applyFont="1" applyFill="1" applyBorder="1" applyAlignment="1">
      <alignment vertical="center"/>
    </xf>
    <xf numFmtId="42" fontId="29" fillId="0" borderId="29" xfId="3" applyNumberFormat="1" applyFont="1" applyFill="1" applyBorder="1" applyAlignment="1">
      <alignment horizontal="left" vertical="center"/>
    </xf>
    <xf numFmtId="180" fontId="29" fillId="0" borderId="29" xfId="2" applyNumberFormat="1" applyFont="1" applyFill="1" applyBorder="1" applyAlignment="1">
      <alignment vertical="center"/>
    </xf>
    <xf numFmtId="41" fontId="29" fillId="0" borderId="29" xfId="2" applyFont="1" applyFill="1" applyBorder="1" applyAlignment="1">
      <alignment vertical="center"/>
    </xf>
    <xf numFmtId="176" fontId="29" fillId="0" borderId="29" xfId="3" applyNumberFormat="1" applyFont="1" applyFill="1" applyBorder="1" applyAlignment="1">
      <alignment horizontal="center" vertical="center"/>
    </xf>
    <xf numFmtId="9" fontId="29" fillId="0" borderId="53" xfId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34" xfId="3" applyNumberFormat="1" applyFont="1" applyFill="1" applyBorder="1" applyAlignment="1">
      <alignment vertical="center"/>
    </xf>
    <xf numFmtId="176" fontId="29" fillId="0" borderId="30" xfId="3" applyNumberFormat="1" applyFont="1" applyFill="1" applyBorder="1" applyAlignment="1">
      <alignment horizontal="left" vertical="center"/>
    </xf>
    <xf numFmtId="178" fontId="29" fillId="0" borderId="0" xfId="0" applyNumberFormat="1" applyFont="1" applyFill="1" applyBorder="1">
      <alignment vertical="center"/>
    </xf>
    <xf numFmtId="41" fontId="54" fillId="0" borderId="0" xfId="2" applyFont="1" applyFill="1" applyAlignment="1">
      <alignment vertical="center"/>
    </xf>
    <xf numFmtId="176" fontId="15" fillId="0" borderId="0" xfId="0" applyNumberFormat="1" applyFont="1" applyFill="1" applyAlignment="1">
      <alignment horizontal="right" vertical="center"/>
    </xf>
    <xf numFmtId="41" fontId="55" fillId="0" borderId="0" xfId="2" applyFont="1" applyFill="1" applyAlignment="1">
      <alignment vertical="center"/>
    </xf>
    <xf numFmtId="41" fontId="56" fillId="0" borderId="0" xfId="3" applyNumberFormat="1" applyFont="1" applyFill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41" fontId="15" fillId="2" borderId="0" xfId="0" applyNumberFormat="1" applyFont="1" applyFill="1" applyAlignment="1">
      <alignment vertical="center"/>
    </xf>
    <xf numFmtId="0" fontId="57" fillId="0" borderId="0" xfId="0" applyFont="1" applyFill="1" applyAlignment="1">
      <alignment vertical="center"/>
    </xf>
    <xf numFmtId="176" fontId="29" fillId="0" borderId="5" xfId="3" applyNumberFormat="1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9" fontId="17" fillId="0" borderId="26" xfId="3" applyNumberFormat="1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178" fontId="17" fillId="0" borderId="26" xfId="3" applyNumberFormat="1" applyFont="1" applyFill="1" applyBorder="1" applyAlignment="1">
      <alignment vertical="center"/>
    </xf>
    <xf numFmtId="177" fontId="17" fillId="0" borderId="26" xfId="3" applyNumberFormat="1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29" fillId="0" borderId="32" xfId="3" applyFont="1" applyFill="1" applyBorder="1" applyAlignment="1">
      <alignment vertical="center"/>
    </xf>
    <xf numFmtId="42" fontId="29" fillId="0" borderId="0" xfId="3" applyNumberFormat="1" applyFont="1" applyFill="1" applyBorder="1" applyAlignment="1">
      <alignment horizontal="center" vertical="center"/>
    </xf>
    <xf numFmtId="180" fontId="29" fillId="0" borderId="0" xfId="2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vertical="center"/>
    </xf>
    <xf numFmtId="41" fontId="50" fillId="0" borderId="0" xfId="2" applyFont="1" applyFill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right" vertical="center"/>
    </xf>
    <xf numFmtId="178" fontId="29" fillId="0" borderId="0" xfId="0" applyNumberFormat="1" applyFont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9" fontId="17" fillId="0" borderId="26" xfId="3" applyNumberFormat="1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178" fontId="17" fillId="0" borderId="26" xfId="3" applyNumberFormat="1" applyFont="1" applyFill="1" applyBorder="1" applyAlignment="1">
      <alignment vertical="center"/>
    </xf>
    <xf numFmtId="177" fontId="17" fillId="0" borderId="26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178" fontId="25" fillId="0" borderId="0" xfId="0" applyNumberFormat="1" applyFont="1" applyBorder="1">
      <alignment vertical="center"/>
    </xf>
    <xf numFmtId="0" fontId="29" fillId="0" borderId="32" xfId="3" applyFont="1" applyFill="1" applyBorder="1" applyAlignment="1">
      <alignment vertical="center"/>
    </xf>
    <xf numFmtId="176" fontId="29" fillId="0" borderId="29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42" fontId="29" fillId="0" borderId="0" xfId="3" applyNumberFormat="1" applyFont="1" applyFill="1" applyBorder="1" applyAlignment="1">
      <alignment horizontal="center" vertical="center"/>
    </xf>
    <xf numFmtId="178" fontId="29" fillId="0" borderId="0" xfId="3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left" vertical="center"/>
    </xf>
    <xf numFmtId="176" fontId="29" fillId="0" borderId="29" xfId="3" applyNumberFormat="1" applyFont="1" applyFill="1" applyBorder="1" applyAlignment="1">
      <alignment horizontal="right" vertical="center"/>
    </xf>
    <xf numFmtId="10" fontId="29" fillId="0" borderId="0" xfId="1" applyNumberFormat="1" applyFont="1" applyFill="1" applyBorder="1" applyAlignment="1">
      <alignment horizontal="center" vertical="center"/>
    </xf>
    <xf numFmtId="9" fontId="29" fillId="0" borderId="0" xfId="1" applyFont="1" applyFill="1" applyBorder="1" applyAlignment="1">
      <alignment horizontal="center" vertical="center"/>
    </xf>
    <xf numFmtId="176" fontId="38" fillId="0" borderId="5" xfId="3" applyNumberFormat="1" applyFont="1" applyFill="1" applyBorder="1" applyAlignment="1">
      <alignment vertical="center"/>
    </xf>
    <xf numFmtId="41" fontId="50" fillId="0" borderId="0" xfId="2" applyFont="1" applyFill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right" vertical="center"/>
    </xf>
    <xf numFmtId="177" fontId="38" fillId="0" borderId="0" xfId="3" applyNumberFormat="1" applyFont="1" applyFill="1" applyBorder="1" applyAlignment="1">
      <alignment horizontal="right" vertical="center"/>
    </xf>
    <xf numFmtId="183" fontId="29" fillId="0" borderId="0" xfId="1" applyNumberFormat="1" applyFont="1" applyFill="1" applyBorder="1" applyAlignment="1">
      <alignment horizontal="center" vertical="center"/>
    </xf>
    <xf numFmtId="184" fontId="29" fillId="0" borderId="0" xfId="1" applyNumberFormat="1" applyFont="1" applyFill="1" applyBorder="1" applyAlignment="1">
      <alignment horizontal="center" vertical="center"/>
    </xf>
    <xf numFmtId="188" fontId="29" fillId="0" borderId="0" xfId="1" applyNumberFormat="1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9" fontId="17" fillId="0" borderId="26" xfId="3" applyNumberFormat="1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178" fontId="17" fillId="0" borderId="26" xfId="3" applyNumberFormat="1" applyFont="1" applyFill="1" applyBorder="1" applyAlignment="1">
      <alignment vertical="center"/>
    </xf>
    <xf numFmtId="177" fontId="17" fillId="0" borderId="26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178" fontId="25" fillId="0" borderId="0" xfId="0" applyNumberFormat="1" applyFont="1" applyBorder="1">
      <alignment vertical="center"/>
    </xf>
    <xf numFmtId="9" fontId="17" fillId="0" borderId="0" xfId="1" applyFont="1" applyFill="1" applyBorder="1" applyAlignment="1">
      <alignment horizontal="center" vertical="center"/>
    </xf>
    <xf numFmtId="38" fontId="17" fillId="0" borderId="13" xfId="3" applyNumberFormat="1" applyFont="1" applyFill="1" applyBorder="1" applyAlignment="1">
      <alignment vertical="center"/>
    </xf>
    <xf numFmtId="38" fontId="17" fillId="0" borderId="26" xfId="3" applyNumberFormat="1" applyFont="1" applyFill="1" applyBorder="1" applyAlignment="1">
      <alignment vertical="center"/>
    </xf>
    <xf numFmtId="38" fontId="17" fillId="0" borderId="11" xfId="3" applyNumberFormat="1" applyFont="1" applyFill="1" applyBorder="1" applyAlignment="1">
      <alignment vertical="center"/>
    </xf>
    <xf numFmtId="38" fontId="17" fillId="0" borderId="1" xfId="3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38" fontId="17" fillId="0" borderId="7" xfId="3" applyNumberFormat="1" applyFont="1" applyFill="1" applyBorder="1" applyAlignment="1">
      <alignment vertical="center"/>
    </xf>
    <xf numFmtId="38" fontId="29" fillId="0" borderId="11" xfId="4" applyNumberFormat="1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178" fontId="18" fillId="0" borderId="3" xfId="3" applyNumberFormat="1" applyFont="1" applyFill="1" applyBorder="1" applyAlignment="1">
      <alignment horizontal="center" vertical="center" wrapText="1"/>
    </xf>
    <xf numFmtId="38" fontId="19" fillId="0" borderId="20" xfId="3" applyNumberFormat="1" applyFont="1" applyFill="1" applyBorder="1" applyAlignment="1">
      <alignment vertical="center"/>
    </xf>
    <xf numFmtId="38" fontId="19" fillId="0" borderId="1" xfId="3" applyNumberFormat="1" applyFont="1" applyFill="1" applyBorder="1" applyAlignment="1">
      <alignment vertical="center"/>
    </xf>
    <xf numFmtId="38" fontId="17" fillId="0" borderId="8" xfId="3" applyNumberFormat="1" applyFont="1" applyFill="1" applyBorder="1" applyAlignment="1">
      <alignment vertical="center"/>
    </xf>
    <xf numFmtId="0" fontId="29" fillId="0" borderId="32" xfId="3" applyFont="1" applyFill="1" applyBorder="1" applyAlignment="1">
      <alignment vertical="center"/>
    </xf>
    <xf numFmtId="0" fontId="29" fillId="0" borderId="35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41" fontId="35" fillId="0" borderId="26" xfId="0" applyNumberFormat="1" applyFont="1" applyFill="1" applyBorder="1" applyAlignment="1">
      <alignment vertical="center"/>
    </xf>
    <xf numFmtId="176" fontId="40" fillId="0" borderId="20" xfId="0" applyNumberFormat="1" applyFont="1" applyFill="1" applyBorder="1" applyAlignment="1">
      <alignment vertical="center"/>
    </xf>
    <xf numFmtId="42" fontId="29" fillId="0" borderId="0" xfId="3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vertical="center"/>
    </xf>
    <xf numFmtId="176" fontId="29" fillId="0" borderId="51" xfId="3" applyNumberFormat="1" applyFont="1" applyFill="1" applyBorder="1" applyAlignment="1">
      <alignment horizontal="right" vertical="center"/>
    </xf>
    <xf numFmtId="186" fontId="17" fillId="0" borderId="0" xfId="3" applyNumberFormat="1" applyFont="1" applyFill="1" applyBorder="1" applyAlignment="1">
      <alignment vertical="center"/>
    </xf>
    <xf numFmtId="186" fontId="29" fillId="0" borderId="0" xfId="3" applyNumberFormat="1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horizontal="right" vertical="center"/>
    </xf>
    <xf numFmtId="176" fontId="29" fillId="0" borderId="0" xfId="3" applyNumberFormat="1" applyFont="1" applyFill="1" applyBorder="1" applyAlignment="1">
      <alignment horizontal="left" vertical="center"/>
    </xf>
    <xf numFmtId="176" fontId="17" fillId="0" borderId="26" xfId="0" applyNumberFormat="1" applyFont="1" applyFill="1" applyBorder="1" applyAlignment="1">
      <alignment vertical="center"/>
    </xf>
    <xf numFmtId="9" fontId="29" fillId="0" borderId="0" xfId="1" applyFont="1" applyFill="1" applyBorder="1" applyAlignment="1">
      <alignment horizontal="center" vertical="center"/>
    </xf>
    <xf numFmtId="177" fontId="29" fillId="0" borderId="0" xfId="3" applyNumberFormat="1" applyFont="1" applyFill="1" applyBorder="1" applyAlignment="1">
      <alignment horizontal="right"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right" vertical="center"/>
    </xf>
    <xf numFmtId="0" fontId="29" fillId="0" borderId="10" xfId="3" applyFont="1" applyFill="1" applyBorder="1" applyAlignment="1">
      <alignment vertical="center"/>
    </xf>
    <xf numFmtId="38" fontId="36" fillId="0" borderId="26" xfId="3" applyNumberFormat="1" applyFont="1" applyFill="1" applyBorder="1" applyAlignment="1">
      <alignment vertical="center"/>
    </xf>
    <xf numFmtId="38" fontId="52" fillId="0" borderId="26" xfId="3" applyNumberFormat="1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193" fontId="29" fillId="0" borderId="0" xfId="3" applyNumberFormat="1" applyFont="1" applyFill="1" applyBorder="1" applyAlignment="1">
      <alignment vertical="center"/>
    </xf>
    <xf numFmtId="0" fontId="38" fillId="0" borderId="32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horizontal="right" vertical="center"/>
    </xf>
    <xf numFmtId="177" fontId="58" fillId="0" borderId="26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left" vertical="center" wrapText="1"/>
    </xf>
    <xf numFmtId="176" fontId="29" fillId="0" borderId="14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176" fontId="19" fillId="0" borderId="51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9" fontId="29" fillId="0" borderId="26" xfId="1" applyFont="1" applyFill="1" applyBorder="1" applyAlignment="1">
      <alignment horizontal="center" vertical="center"/>
    </xf>
    <xf numFmtId="9" fontId="29" fillId="0" borderId="1" xfId="1" applyFont="1" applyFill="1" applyBorder="1" applyAlignment="1">
      <alignment horizontal="center" vertical="center"/>
    </xf>
    <xf numFmtId="0" fontId="54" fillId="0" borderId="0" xfId="3" applyFont="1" applyFill="1" applyAlignment="1">
      <alignment vertical="center"/>
    </xf>
    <xf numFmtId="0" fontId="54" fillId="0" borderId="0" xfId="0" applyFont="1" applyFill="1" applyAlignment="1">
      <alignment vertical="center"/>
    </xf>
    <xf numFmtId="177" fontId="29" fillId="0" borderId="11" xfId="3" applyNumberFormat="1" applyFont="1" applyFill="1" applyBorder="1" applyAlignment="1">
      <alignment vertical="center"/>
    </xf>
    <xf numFmtId="9" fontId="29" fillId="0" borderId="11" xfId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vertical="center"/>
    </xf>
    <xf numFmtId="178" fontId="29" fillId="0" borderId="1" xfId="3" applyNumberFormat="1" applyFont="1" applyFill="1" applyBorder="1" applyAlignment="1">
      <alignment vertical="center"/>
    </xf>
    <xf numFmtId="176" fontId="38" fillId="0" borderId="36" xfId="3" applyNumberFormat="1" applyFont="1" applyFill="1" applyBorder="1" applyAlignment="1">
      <alignment vertical="center"/>
    </xf>
    <xf numFmtId="177" fontId="19" fillId="0" borderId="14" xfId="3" applyNumberFormat="1" applyFont="1" applyFill="1" applyBorder="1" applyAlignment="1">
      <alignment horizontal="right" vertical="center"/>
    </xf>
    <xf numFmtId="176" fontId="38" fillId="0" borderId="52" xfId="3" applyNumberFormat="1" applyFont="1" applyFill="1" applyBorder="1" applyAlignment="1">
      <alignment vertical="center"/>
    </xf>
    <xf numFmtId="38" fontId="29" fillId="0" borderId="26" xfId="3" applyNumberFormat="1" applyFont="1" applyFill="1" applyBorder="1" applyAlignment="1">
      <alignment vertical="center"/>
    </xf>
    <xf numFmtId="38" fontId="29" fillId="0" borderId="11" xfId="3" applyNumberFormat="1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0" fontId="59" fillId="0" borderId="0" xfId="3" applyFont="1" applyFill="1" applyBorder="1" applyAlignment="1">
      <alignment vertical="center"/>
    </xf>
    <xf numFmtId="9" fontId="29" fillId="0" borderId="32" xfId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38" fontId="38" fillId="0" borderId="1" xfId="3" applyNumberFormat="1" applyFont="1" applyFill="1" applyBorder="1" applyAlignment="1">
      <alignment vertical="center"/>
    </xf>
    <xf numFmtId="9" fontId="38" fillId="0" borderId="1" xfId="1" applyFont="1" applyFill="1" applyBorder="1" applyAlignment="1">
      <alignment horizontal="center" vertical="center"/>
    </xf>
    <xf numFmtId="0" fontId="38" fillId="0" borderId="51" xfId="3" applyFont="1" applyFill="1" applyBorder="1" applyAlignment="1">
      <alignment vertical="center"/>
    </xf>
    <xf numFmtId="9" fontId="29" fillId="0" borderId="32" xfId="1" applyFont="1" applyFill="1" applyBorder="1" applyAlignment="1">
      <alignment horizontal="center" vertical="center"/>
    </xf>
    <xf numFmtId="178" fontId="29" fillId="0" borderId="14" xfId="0" applyNumberFormat="1" applyFont="1" applyFill="1" applyBorder="1" applyAlignment="1">
      <alignment horizontal="right" vertical="center"/>
    </xf>
    <xf numFmtId="176" fontId="38" fillId="0" borderId="14" xfId="3" applyNumberFormat="1" applyFont="1" applyFill="1" applyBorder="1" applyAlignment="1">
      <alignment vertical="center"/>
    </xf>
    <xf numFmtId="38" fontId="29" fillId="0" borderId="8" xfId="3" applyNumberFormat="1" applyFont="1" applyFill="1" applyBorder="1" applyAlignment="1">
      <alignment vertical="center"/>
    </xf>
    <xf numFmtId="9" fontId="29" fillId="0" borderId="8" xfId="1" applyFont="1" applyFill="1" applyBorder="1" applyAlignment="1">
      <alignment horizontal="center" vertical="center"/>
    </xf>
    <xf numFmtId="0" fontId="38" fillId="0" borderId="10" xfId="3" applyFont="1" applyFill="1" applyBorder="1" applyAlignment="1">
      <alignment vertical="center"/>
    </xf>
    <xf numFmtId="0" fontId="38" fillId="0" borderId="43" xfId="3" applyFont="1" applyFill="1" applyBorder="1" applyAlignment="1">
      <alignment vertical="center"/>
    </xf>
    <xf numFmtId="176" fontId="38" fillId="0" borderId="43" xfId="3" applyNumberFormat="1" applyFont="1" applyFill="1" applyBorder="1" applyAlignment="1">
      <alignment vertical="center"/>
    </xf>
    <xf numFmtId="190" fontId="38" fillId="0" borderId="23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14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11" fillId="0" borderId="2" xfId="7" applyBorder="1" applyAlignment="1">
      <alignment horizontal="center" vertical="center"/>
    </xf>
    <xf numFmtId="0" fontId="11" fillId="0" borderId="17" xfId="7" applyBorder="1" applyAlignment="1">
      <alignment horizontal="center" vertical="center"/>
    </xf>
    <xf numFmtId="0" fontId="11" fillId="0" borderId="31" xfId="7" applyBorder="1" applyAlignment="1">
      <alignment horizontal="center" vertical="center"/>
    </xf>
    <xf numFmtId="0" fontId="17" fillId="0" borderId="55" xfId="3" applyFont="1" applyFill="1" applyBorder="1" applyAlignment="1">
      <alignment horizontal="center" vertical="center" wrapText="1"/>
    </xf>
    <xf numFmtId="0" fontId="17" fillId="0" borderId="56" xfId="3" applyFont="1" applyFill="1" applyBorder="1" applyAlignment="1">
      <alignment horizontal="center" vertical="center" wrapText="1"/>
    </xf>
    <xf numFmtId="38" fontId="29" fillId="0" borderId="7" xfId="3" applyNumberFormat="1" applyFont="1" applyFill="1" applyBorder="1" applyAlignment="1">
      <alignment vertical="center"/>
    </xf>
    <xf numFmtId="9" fontId="29" fillId="0" borderId="7" xfId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37" fillId="0" borderId="35" xfId="3" applyFont="1" applyFill="1" applyBorder="1" applyAlignment="1">
      <alignment vertical="center"/>
    </xf>
    <xf numFmtId="176" fontId="37" fillId="0" borderId="14" xfId="3" applyNumberFormat="1" applyFont="1" applyFill="1" applyBorder="1" applyAlignment="1">
      <alignment vertical="center"/>
    </xf>
    <xf numFmtId="0" fontId="37" fillId="0" borderId="14" xfId="3" applyFont="1" applyFill="1" applyBorder="1" applyAlignment="1">
      <alignment vertical="center"/>
    </xf>
    <xf numFmtId="176" fontId="37" fillId="0" borderId="36" xfId="3" applyNumberFormat="1" applyFont="1" applyFill="1" applyBorder="1" applyAlignment="1">
      <alignment vertical="center"/>
    </xf>
    <xf numFmtId="177" fontId="36" fillId="0" borderId="0" xfId="3" applyNumberFormat="1" applyFont="1" applyFill="1" applyBorder="1" applyAlignment="1">
      <alignment horizontal="right" vertical="center"/>
    </xf>
    <xf numFmtId="177" fontId="38" fillId="0" borderId="14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51" xfId="3" applyFont="1" applyFill="1" applyBorder="1" applyAlignment="1">
      <alignment vertical="center"/>
    </xf>
    <xf numFmtId="41" fontId="45" fillId="0" borderId="11" xfId="8" applyFont="1" applyFill="1" applyBorder="1" applyAlignment="1">
      <alignment vertical="center"/>
    </xf>
    <xf numFmtId="182" fontId="45" fillId="0" borderId="12" xfId="8" applyNumberFormat="1" applyFont="1" applyFill="1" applyBorder="1" applyAlignment="1">
      <alignment vertical="center"/>
    </xf>
    <xf numFmtId="41" fontId="47" fillId="0" borderId="11" xfId="8" applyFont="1" applyFill="1" applyBorder="1" applyAlignment="1">
      <alignment vertical="center"/>
    </xf>
    <xf numFmtId="182" fontId="0" fillId="0" borderId="40" xfId="8" applyNumberFormat="1" applyFont="1" applyFill="1" applyBorder="1">
      <alignment vertical="center"/>
    </xf>
    <xf numFmtId="0" fontId="46" fillId="0" borderId="11" xfId="7" applyFont="1" applyFill="1" applyBorder="1" applyAlignment="1">
      <alignment horizontal="center" vertical="center"/>
    </xf>
    <xf numFmtId="182" fontId="47" fillId="0" borderId="12" xfId="8" applyNumberFormat="1" applyFont="1" applyFill="1" applyBorder="1" applyAlignment="1">
      <alignment vertical="center"/>
    </xf>
    <xf numFmtId="41" fontId="0" fillId="0" borderId="20" xfId="8" applyFont="1" applyFill="1" applyBorder="1">
      <alignment vertical="center"/>
    </xf>
    <xf numFmtId="0" fontId="11" fillId="0" borderId="20" xfId="7" applyFill="1" applyBorder="1" applyAlignment="1">
      <alignment horizontal="center" vertical="center"/>
    </xf>
    <xf numFmtId="182" fontId="0" fillId="0" borderId="18" xfId="8" applyNumberFormat="1" applyFont="1" applyFill="1" applyBorder="1">
      <alignment vertical="center"/>
    </xf>
    <xf numFmtId="41" fontId="47" fillId="0" borderId="20" xfId="8" applyFont="1" applyFill="1" applyBorder="1">
      <alignment vertical="center"/>
    </xf>
    <xf numFmtId="0" fontId="4" fillId="0" borderId="20" xfId="7" applyFont="1" applyFill="1" applyBorder="1" applyAlignment="1">
      <alignment horizontal="center" vertical="center"/>
    </xf>
    <xf numFmtId="0" fontId="46" fillId="0" borderId="20" xfId="7" applyFont="1" applyFill="1" applyBorder="1" applyAlignment="1">
      <alignment horizontal="center" vertical="center"/>
    </xf>
    <xf numFmtId="0" fontId="11" fillId="0" borderId="13" xfId="7" applyFill="1" applyBorder="1" applyAlignment="1">
      <alignment vertical="center"/>
    </xf>
    <xf numFmtId="0" fontId="2" fillId="0" borderId="3" xfId="7" applyFont="1" applyFill="1" applyBorder="1" applyAlignment="1">
      <alignment horizontal="center" vertical="center"/>
    </xf>
    <xf numFmtId="41" fontId="0" fillId="0" borderId="3" xfId="8" applyFont="1" applyFill="1" applyBorder="1">
      <alignment vertical="center"/>
    </xf>
    <xf numFmtId="182" fontId="0" fillId="0" borderId="4" xfId="8" applyNumberFormat="1" applyFont="1" applyFill="1" applyBorder="1">
      <alignment vertical="center"/>
    </xf>
    <xf numFmtId="0" fontId="11" fillId="0" borderId="0" xfId="7" applyFill="1">
      <alignment vertical="center"/>
    </xf>
    <xf numFmtId="0" fontId="44" fillId="0" borderId="17" xfId="7" applyFont="1" applyBorder="1" applyAlignment="1">
      <alignment horizontal="center" vertical="center"/>
    </xf>
    <xf numFmtId="0" fontId="44" fillId="0" borderId="11" xfId="7" applyFont="1" applyBorder="1" applyAlignment="1">
      <alignment horizontal="center" vertical="center"/>
    </xf>
    <xf numFmtId="0" fontId="44" fillId="0" borderId="17" xfId="7" applyFont="1" applyFill="1" applyBorder="1" applyAlignment="1">
      <alignment horizontal="center" vertical="center"/>
    </xf>
    <xf numFmtId="0" fontId="44" fillId="0" borderId="11" xfId="7" applyFont="1" applyFill="1" applyBorder="1" applyAlignment="1">
      <alignment horizontal="center" vertical="center"/>
    </xf>
    <xf numFmtId="0" fontId="11" fillId="0" borderId="2" xfId="7" applyBorder="1" applyAlignment="1">
      <alignment horizontal="center" vertical="center"/>
    </xf>
    <xf numFmtId="0" fontId="11" fillId="0" borderId="17" xfId="7" applyBorder="1" applyAlignment="1">
      <alignment horizontal="center" vertical="center"/>
    </xf>
    <xf numFmtId="0" fontId="11" fillId="0" borderId="2" xfId="7" applyFill="1" applyBorder="1" applyAlignment="1">
      <alignment horizontal="center" vertical="center"/>
    </xf>
    <xf numFmtId="0" fontId="11" fillId="0" borderId="31" xfId="7" applyFill="1" applyBorder="1" applyAlignment="1">
      <alignment horizontal="center" vertical="center"/>
    </xf>
    <xf numFmtId="0" fontId="11" fillId="0" borderId="17" xfId="7" applyFill="1" applyBorder="1" applyAlignment="1">
      <alignment horizontal="center" vertical="center"/>
    </xf>
    <xf numFmtId="0" fontId="11" fillId="0" borderId="6" xfId="7" applyFill="1" applyBorder="1" applyAlignment="1">
      <alignment horizontal="center" vertical="center"/>
    </xf>
    <xf numFmtId="0" fontId="33" fillId="0" borderId="42" xfId="7" applyFont="1" applyBorder="1" applyAlignment="1">
      <alignment horizontal="center" vertical="center"/>
    </xf>
    <xf numFmtId="0" fontId="33" fillId="0" borderId="8" xfId="7" applyFont="1" applyBorder="1" applyAlignment="1">
      <alignment horizontal="center" vertical="center"/>
    </xf>
    <xf numFmtId="0" fontId="33" fillId="0" borderId="10" xfId="7" applyFont="1" applyBorder="1" applyAlignment="1">
      <alignment horizontal="center" vertical="center"/>
    </xf>
    <xf numFmtId="0" fontId="33" fillId="0" borderId="9" xfId="7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20" xfId="7" applyFont="1" applyBorder="1" applyAlignment="1">
      <alignment horizontal="center" vertical="center"/>
    </xf>
    <xf numFmtId="0" fontId="33" fillId="0" borderId="46" xfId="7" applyFont="1" applyBorder="1" applyAlignment="1">
      <alignment horizontal="center" vertical="center"/>
    </xf>
    <xf numFmtId="0" fontId="33" fillId="0" borderId="47" xfId="7" applyFont="1" applyBorder="1" applyAlignment="1">
      <alignment horizontal="center" vertical="center"/>
    </xf>
    <xf numFmtId="0" fontId="33" fillId="0" borderId="20" xfId="7" applyFont="1" applyBorder="1" applyAlignment="1">
      <alignment horizontal="center" vertical="center" wrapText="1"/>
    </xf>
    <xf numFmtId="0" fontId="33" fillId="0" borderId="47" xfId="7" applyFont="1" applyBorder="1" applyAlignment="1">
      <alignment horizontal="center" vertical="center" wrapText="1"/>
    </xf>
    <xf numFmtId="0" fontId="33" fillId="0" borderId="40" xfId="7" applyFont="1" applyBorder="1" applyAlignment="1">
      <alignment horizontal="center" vertical="center"/>
    </xf>
    <xf numFmtId="0" fontId="33" fillId="0" borderId="48" xfId="7" applyFont="1" applyBorder="1" applyAlignment="1">
      <alignment horizontal="center" vertical="center"/>
    </xf>
    <xf numFmtId="0" fontId="33" fillId="0" borderId="18" xfId="7" applyFont="1" applyBorder="1" applyAlignment="1">
      <alignment horizontal="center" vertical="center"/>
    </xf>
    <xf numFmtId="0" fontId="33" fillId="0" borderId="49" xfId="7" applyFont="1" applyBorder="1" applyAlignment="1">
      <alignment horizontal="center" vertical="center"/>
    </xf>
    <xf numFmtId="176" fontId="17" fillId="0" borderId="51" xfId="3" applyNumberFormat="1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36" fillId="0" borderId="0" xfId="3" applyNumberFormat="1" applyFont="1" applyFill="1" applyBorder="1" applyAlignment="1">
      <alignment horizontal="center" vertical="center"/>
    </xf>
    <xf numFmtId="176" fontId="17" fillId="0" borderId="29" xfId="3" applyNumberFormat="1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29" xfId="3" applyNumberFormat="1" applyFont="1" applyFill="1" applyBorder="1" applyAlignment="1">
      <alignment horizontal="center" vertical="center"/>
    </xf>
    <xf numFmtId="0" fontId="36" fillId="0" borderId="40" xfId="3" applyFont="1" applyFill="1" applyBorder="1" applyAlignment="1">
      <alignment horizontal="center" vertical="center" wrapText="1"/>
    </xf>
    <xf numFmtId="0" fontId="36" fillId="0" borderId="19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left" vertical="center" wrapText="1"/>
    </xf>
    <xf numFmtId="0" fontId="17" fillId="0" borderId="42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178" fontId="18" fillId="0" borderId="23" xfId="3" applyNumberFormat="1" applyFont="1" applyFill="1" applyBorder="1" applyAlignment="1">
      <alignment horizontal="center" vertical="center" wrapText="1"/>
    </xf>
    <xf numFmtId="178" fontId="18" fillId="0" borderId="7" xfId="3" applyNumberFormat="1" applyFont="1" applyFill="1" applyBorder="1" applyAlignment="1">
      <alignment horizontal="center" vertical="center" wrapText="1"/>
    </xf>
    <xf numFmtId="0" fontId="20" fillId="0" borderId="21" xfId="3" applyFont="1" applyFill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 wrapText="1"/>
    </xf>
    <xf numFmtId="0" fontId="20" fillId="0" borderId="54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176" fontId="29" fillId="0" borderId="51" xfId="3" applyNumberFormat="1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 wrapText="1"/>
    </xf>
    <xf numFmtId="0" fontId="17" fillId="0" borderId="50" xfId="3" applyFont="1" applyFill="1" applyBorder="1" applyAlignment="1">
      <alignment horizontal="center" vertical="center" wrapText="1"/>
    </xf>
    <xf numFmtId="0" fontId="19" fillId="0" borderId="20" xfId="3" applyFont="1" applyFill="1" applyBorder="1" applyAlignment="1">
      <alignment horizontal="center" vertical="center" wrapText="1"/>
    </xf>
    <xf numFmtId="0" fontId="19" fillId="0" borderId="33" xfId="3" applyFont="1" applyFill="1" applyBorder="1" applyAlignment="1">
      <alignment horizontal="center" vertical="center" wrapText="1"/>
    </xf>
    <xf numFmtId="0" fontId="19" fillId="0" borderId="27" xfId="3" applyFont="1" applyFill="1" applyBorder="1" applyAlignment="1">
      <alignment horizontal="center" vertical="center" wrapText="1"/>
    </xf>
    <xf numFmtId="0" fontId="29" fillId="0" borderId="0" xfId="3" applyFont="1" applyFill="1" applyBorder="1" applyAlignment="1">
      <alignment horizontal="left" vertical="center" wrapText="1"/>
    </xf>
    <xf numFmtId="176" fontId="29" fillId="0" borderId="14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178" fontId="18" fillId="0" borderId="10" xfId="3" applyNumberFormat="1" applyFont="1" applyFill="1" applyBorder="1" applyAlignment="1">
      <alignment horizontal="center" vertical="center" wrapText="1"/>
    </xf>
    <xf numFmtId="178" fontId="18" fillId="0" borderId="43" xfId="3" applyNumberFormat="1" applyFont="1" applyFill="1" applyBorder="1" applyAlignment="1">
      <alignment horizontal="center" vertical="center" wrapText="1"/>
    </xf>
    <xf numFmtId="178" fontId="18" fillId="0" borderId="50" xfId="3" applyNumberFormat="1" applyFont="1" applyFill="1" applyBorder="1" applyAlignment="1">
      <alignment horizontal="center" vertical="center" wrapText="1"/>
    </xf>
    <xf numFmtId="0" fontId="17" fillId="0" borderId="39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4" xfId="3" applyFont="1" applyFill="1" applyBorder="1" applyAlignment="1">
      <alignment horizontal="center" vertical="center"/>
    </xf>
    <xf numFmtId="0" fontId="17" fillId="0" borderId="37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38" xfId="3" applyFont="1" applyFill="1" applyBorder="1" applyAlignment="1">
      <alignment horizontal="center" vertical="center"/>
    </xf>
    <xf numFmtId="0" fontId="37" fillId="0" borderId="42" xfId="3" applyFont="1" applyFill="1" applyBorder="1" applyAlignment="1">
      <alignment horizontal="center" vertical="center" wrapText="1"/>
    </xf>
    <xf numFmtId="0" fontId="37" fillId="0" borderId="8" xfId="3" applyFont="1" applyFill="1" applyBorder="1" applyAlignment="1">
      <alignment horizontal="center" vertical="center" wrapText="1"/>
    </xf>
    <xf numFmtId="0" fontId="35" fillId="0" borderId="32" xfId="3" applyFont="1" applyFill="1" applyBorder="1" applyAlignment="1">
      <alignment horizontal="center" vertical="center" wrapText="1"/>
    </xf>
    <xf numFmtId="0" fontId="35" fillId="0" borderId="25" xfId="3" applyFont="1" applyFill="1" applyBorder="1" applyAlignment="1">
      <alignment horizontal="center" vertical="center" wrapText="1"/>
    </xf>
    <xf numFmtId="176" fontId="19" fillId="0" borderId="51" xfId="3" applyNumberFormat="1" applyFont="1" applyFill="1" applyBorder="1" applyAlignment="1">
      <alignment vertical="center"/>
    </xf>
    <xf numFmtId="0" fontId="19" fillId="0" borderId="51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</cellXfs>
  <cellStyles count="55">
    <cellStyle name="백분율" xfId="1" builtinId="5"/>
    <cellStyle name="쉼표 [0]" xfId="2" builtinId="6"/>
    <cellStyle name="쉼표 [0] 2" xfId="6"/>
    <cellStyle name="쉼표 [0] 2 2" xfId="8"/>
    <cellStyle name="쉼표 [0] 2 2 2" xfId="16"/>
    <cellStyle name="쉼표 [0] 2 2 2 2" xfId="28"/>
    <cellStyle name="쉼표 [0] 2 2 2 2 2" xfId="52"/>
    <cellStyle name="쉼표 [0] 2 2 2 3" xfId="40"/>
    <cellStyle name="쉼표 [0] 2 2 3" xfId="22"/>
    <cellStyle name="쉼표 [0] 2 2 3 2" xfId="46"/>
    <cellStyle name="쉼표 [0] 2 2 4" xfId="34"/>
    <cellStyle name="쉼표 [0] 2 3" xfId="10"/>
    <cellStyle name="쉼표 [0] 2 3 2" xfId="18"/>
    <cellStyle name="쉼표 [0] 2 3 2 2" xfId="30"/>
    <cellStyle name="쉼표 [0] 2 3 2 2 2" xfId="54"/>
    <cellStyle name="쉼표 [0] 2 3 2 3" xfId="42"/>
    <cellStyle name="쉼표 [0] 2 3 3" xfId="24"/>
    <cellStyle name="쉼표 [0] 2 3 3 2" xfId="48"/>
    <cellStyle name="쉼표 [0] 2 3 4" xfId="36"/>
    <cellStyle name="쉼표 [0] 2 4" xfId="14"/>
    <cellStyle name="쉼표 [0] 2 4 2" xfId="26"/>
    <cellStyle name="쉼표 [0] 2 4 2 2" xfId="50"/>
    <cellStyle name="쉼표 [0] 2 4 3" xfId="38"/>
    <cellStyle name="쉼표 [0] 2 5" xfId="20"/>
    <cellStyle name="쉼표 [0] 2 5 2" xfId="44"/>
    <cellStyle name="쉼표 [0] 2 6" xfId="32"/>
    <cellStyle name="통화 [0]" xfId="3" builtinId="7"/>
    <cellStyle name="표준" xfId="0" builtinId="0"/>
    <cellStyle name="표준 2" xfId="5"/>
    <cellStyle name="표준 2 2" xfId="7"/>
    <cellStyle name="표준 2 2 2" xfId="15"/>
    <cellStyle name="표준 2 2 2 2" xfId="27"/>
    <cellStyle name="표준 2 2 2 2 2" xfId="51"/>
    <cellStyle name="표준 2 2 2 3" xfId="39"/>
    <cellStyle name="표준 2 2 3" xfId="21"/>
    <cellStyle name="표준 2 2 3 2" xfId="45"/>
    <cellStyle name="표준 2 2 4" xfId="33"/>
    <cellStyle name="표준 2 3" xfId="9"/>
    <cellStyle name="표준 2 3 2" xfId="17"/>
    <cellStyle name="표준 2 3 2 2" xfId="29"/>
    <cellStyle name="표준 2 3 2 2 2" xfId="53"/>
    <cellStyle name="표준 2 3 2 3" xfId="41"/>
    <cellStyle name="표준 2 3 3" xfId="23"/>
    <cellStyle name="표준 2 3 3 2" xfId="47"/>
    <cellStyle name="표준 2 3 4" xfId="35"/>
    <cellStyle name="표준 2 4" xfId="13"/>
    <cellStyle name="표준 2 4 2" xfId="25"/>
    <cellStyle name="표준 2 4 2 2" xfId="49"/>
    <cellStyle name="표준 2 4 3" xfId="37"/>
    <cellStyle name="표준 2 5" xfId="19"/>
    <cellStyle name="표준 2 5 2" xfId="43"/>
    <cellStyle name="표준 2 6" xfId="31"/>
    <cellStyle name="표준 3" xfId="12"/>
    <cellStyle name="표준 4" xfId="11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1212F6"/>
      <color rgb="FF00FFFF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B1:K29"/>
  <sheetViews>
    <sheetView tabSelected="1" zoomScale="85" zoomScaleNormal="85" workbookViewId="0">
      <selection activeCell="B1" sqref="B1:B2"/>
    </sheetView>
  </sheetViews>
  <sheetFormatPr defaultRowHeight="16.5"/>
  <cols>
    <col min="1" max="1" width="1.44140625" style="141" customWidth="1"/>
    <col min="2" max="2" width="11.5546875" style="141" bestFit="1" customWidth="1"/>
    <col min="3" max="3" width="13.33203125" style="141" bestFit="1" customWidth="1"/>
    <col min="4" max="5" width="18" style="141" bestFit="1" customWidth="1"/>
    <col min="6" max="6" width="16" style="141" bestFit="1" customWidth="1"/>
    <col min="7" max="7" width="9.6640625" style="141" bestFit="1" customWidth="1"/>
    <col min="8" max="8" width="13.33203125" style="141" bestFit="1" customWidth="1"/>
    <col min="9" max="10" width="18" style="141" bestFit="1" customWidth="1"/>
    <col min="11" max="11" width="16" style="141" bestFit="1" customWidth="1"/>
    <col min="12" max="16384" width="8.88671875" style="141"/>
  </cols>
  <sheetData>
    <row r="1" spans="2:11" ht="9.9499999999999993" customHeight="1"/>
    <row r="2" spans="2:11" ht="26.25">
      <c r="B2" s="142" t="s">
        <v>730</v>
      </c>
      <c r="K2" s="143" t="s">
        <v>239</v>
      </c>
    </row>
    <row r="3" spans="2:11" ht="9.9499999999999993" customHeight="1" thickBot="1"/>
    <row r="4" spans="2:11" ht="30" customHeight="1">
      <c r="B4" s="760" t="s">
        <v>142</v>
      </c>
      <c r="C4" s="761"/>
      <c r="D4" s="761"/>
      <c r="E4" s="761"/>
      <c r="F4" s="762"/>
      <c r="G4" s="760" t="s">
        <v>143</v>
      </c>
      <c r="H4" s="761"/>
      <c r="I4" s="761"/>
      <c r="J4" s="761"/>
      <c r="K4" s="763"/>
    </row>
    <row r="5" spans="2:11" ht="16.5" customHeight="1">
      <c r="B5" s="764" t="s">
        <v>144</v>
      </c>
      <c r="C5" s="765"/>
      <c r="D5" s="768" t="s">
        <v>822</v>
      </c>
      <c r="E5" s="768" t="s">
        <v>820</v>
      </c>
      <c r="F5" s="770" t="s">
        <v>145</v>
      </c>
      <c r="G5" s="764" t="s">
        <v>144</v>
      </c>
      <c r="H5" s="765"/>
      <c r="I5" s="768" t="str">
        <f>D5</f>
        <v>2022년
1차추경예산</v>
      </c>
      <c r="J5" s="768" t="str">
        <f>E5</f>
        <v>2022년
2차추경예산</v>
      </c>
      <c r="K5" s="772" t="s">
        <v>145</v>
      </c>
    </row>
    <row r="6" spans="2:11" ht="22.5" customHeight="1" thickBot="1">
      <c r="B6" s="766"/>
      <c r="C6" s="767"/>
      <c r="D6" s="769"/>
      <c r="E6" s="769"/>
      <c r="F6" s="771"/>
      <c r="G6" s="766"/>
      <c r="H6" s="767"/>
      <c r="I6" s="769"/>
      <c r="J6" s="769"/>
      <c r="K6" s="773"/>
    </row>
    <row r="7" spans="2:11" ht="24.95" customHeight="1" thickTop="1">
      <c r="B7" s="750" t="s">
        <v>146</v>
      </c>
      <c r="C7" s="751"/>
      <c r="D7" s="321">
        <f>D8+D10+D12+D17+D20+D22+D24</f>
        <v>3572576</v>
      </c>
      <c r="E7" s="733">
        <f>E8+E10+E12+E17+E20+E22+E24</f>
        <v>3505964</v>
      </c>
      <c r="F7" s="734">
        <f>SUM(F8:F28)/2</f>
        <v>-66612</v>
      </c>
      <c r="G7" s="752" t="s">
        <v>146</v>
      </c>
      <c r="H7" s="753"/>
      <c r="I7" s="733">
        <f>SUM(I8:I26)/2</f>
        <v>3572576</v>
      </c>
      <c r="J7" s="733">
        <f>SUM(J8:J26)/2</f>
        <v>3505964</v>
      </c>
      <c r="K7" s="734">
        <f>SUM(K8:K26)/2</f>
        <v>-66612</v>
      </c>
    </row>
    <row r="8" spans="2:11" ht="24.95" customHeight="1">
      <c r="B8" s="754" t="s">
        <v>147</v>
      </c>
      <c r="C8" s="322" t="s">
        <v>191</v>
      </c>
      <c r="D8" s="323">
        <f>D9</f>
        <v>114450</v>
      </c>
      <c r="E8" s="735">
        <f>E9</f>
        <v>114450</v>
      </c>
      <c r="F8" s="736">
        <f t="shared" ref="F8:F25" si="0">E8-D8</f>
        <v>0</v>
      </c>
      <c r="G8" s="756" t="s">
        <v>149</v>
      </c>
      <c r="H8" s="737" t="s">
        <v>191</v>
      </c>
      <c r="I8" s="735">
        <f>SUM(I9:I11)</f>
        <v>2311461</v>
      </c>
      <c r="J8" s="735">
        <f>SUM(J9:J11)</f>
        <v>2202509</v>
      </c>
      <c r="K8" s="738">
        <f>SUM(K9:K11)</f>
        <v>-108952</v>
      </c>
    </row>
    <row r="9" spans="2:11" ht="24.95" customHeight="1">
      <c r="B9" s="755"/>
      <c r="C9" s="144" t="s">
        <v>148</v>
      </c>
      <c r="D9" s="145">
        <f>세입!E5</f>
        <v>114450</v>
      </c>
      <c r="E9" s="739">
        <f>세입!F5</f>
        <v>114450</v>
      </c>
      <c r="F9" s="736">
        <f t="shared" si="0"/>
        <v>0</v>
      </c>
      <c r="G9" s="757"/>
      <c r="H9" s="740" t="s">
        <v>150</v>
      </c>
      <c r="I9" s="739">
        <v>2149352</v>
      </c>
      <c r="J9" s="739">
        <f>세출!E6</f>
        <v>2051485</v>
      </c>
      <c r="K9" s="741">
        <f>J9-I9</f>
        <v>-97867</v>
      </c>
    </row>
    <row r="10" spans="2:11" ht="24.95" customHeight="1">
      <c r="B10" s="451" t="s">
        <v>255</v>
      </c>
      <c r="C10" s="324" t="s">
        <v>191</v>
      </c>
      <c r="D10" s="325">
        <f>D11</f>
        <v>250</v>
      </c>
      <c r="E10" s="742">
        <f>E11</f>
        <v>250</v>
      </c>
      <c r="F10" s="736">
        <f t="shared" si="0"/>
        <v>0</v>
      </c>
      <c r="G10" s="757"/>
      <c r="H10" s="743" t="s">
        <v>152</v>
      </c>
      <c r="I10" s="739">
        <v>2080</v>
      </c>
      <c r="J10" s="739">
        <f>세출!E111</f>
        <v>2000</v>
      </c>
      <c r="K10" s="741">
        <f t="shared" ref="K10:K26" si="1">J10-I10</f>
        <v>-80</v>
      </c>
    </row>
    <row r="11" spans="2:11" ht="24.95" customHeight="1">
      <c r="B11" s="449"/>
      <c r="C11" s="452" t="s">
        <v>255</v>
      </c>
      <c r="D11" s="145">
        <v>250</v>
      </c>
      <c r="E11" s="739">
        <f>세입!F9</f>
        <v>250</v>
      </c>
      <c r="F11" s="736">
        <f t="shared" si="0"/>
        <v>0</v>
      </c>
      <c r="G11" s="758"/>
      <c r="H11" s="740" t="s">
        <v>88</v>
      </c>
      <c r="I11" s="739">
        <v>160029</v>
      </c>
      <c r="J11" s="739">
        <f>세출!E120</f>
        <v>149024</v>
      </c>
      <c r="K11" s="741">
        <f t="shared" si="1"/>
        <v>-11005</v>
      </c>
    </row>
    <row r="12" spans="2:11" ht="24.95" customHeight="1">
      <c r="B12" s="448" t="s">
        <v>151</v>
      </c>
      <c r="C12" s="324" t="s">
        <v>191</v>
      </c>
      <c r="D12" s="325">
        <f>SUM(D13:D16)</f>
        <v>2849115</v>
      </c>
      <c r="E12" s="742">
        <f>SUM(E13:E16)</f>
        <v>2750811</v>
      </c>
      <c r="F12" s="736">
        <f t="shared" si="0"/>
        <v>-98304</v>
      </c>
      <c r="G12" s="756" t="s">
        <v>89</v>
      </c>
      <c r="H12" s="744" t="s">
        <v>191</v>
      </c>
      <c r="I12" s="742">
        <f>SUM(I13:I15)</f>
        <v>853648</v>
      </c>
      <c r="J12" s="742">
        <f>SUM(J13:J15)</f>
        <v>910741</v>
      </c>
      <c r="K12" s="741">
        <f t="shared" si="1"/>
        <v>57093</v>
      </c>
    </row>
    <row r="13" spans="2:11" ht="24.95" customHeight="1">
      <c r="B13" s="449"/>
      <c r="C13" s="216" t="s">
        <v>156</v>
      </c>
      <c r="D13" s="145">
        <v>1786261</v>
      </c>
      <c r="E13" s="739">
        <f>세입!F14</f>
        <v>1727285</v>
      </c>
      <c r="F13" s="736">
        <f t="shared" si="0"/>
        <v>-58976</v>
      </c>
      <c r="G13" s="757"/>
      <c r="H13" s="740" t="s">
        <v>90</v>
      </c>
      <c r="I13" s="739">
        <v>807980</v>
      </c>
      <c r="J13" s="739">
        <f>세출!E198</f>
        <v>828048</v>
      </c>
      <c r="K13" s="741">
        <f t="shared" si="1"/>
        <v>20068</v>
      </c>
    </row>
    <row r="14" spans="2:11" ht="24.95" customHeight="1">
      <c r="B14" s="449"/>
      <c r="C14" s="216" t="s">
        <v>157</v>
      </c>
      <c r="D14" s="145">
        <v>393402</v>
      </c>
      <c r="E14" s="739">
        <f>세입!F62</f>
        <v>386241</v>
      </c>
      <c r="F14" s="736">
        <f t="shared" si="0"/>
        <v>-7161</v>
      </c>
      <c r="G14" s="757"/>
      <c r="H14" s="740" t="s">
        <v>93</v>
      </c>
      <c r="I14" s="739">
        <v>14228</v>
      </c>
      <c r="J14" s="739">
        <f>세출!E207</f>
        <v>28069</v>
      </c>
      <c r="K14" s="741">
        <f t="shared" si="1"/>
        <v>13841</v>
      </c>
    </row>
    <row r="15" spans="2:11" ht="24.95" customHeight="1">
      <c r="B15" s="449"/>
      <c r="C15" s="216" t="s">
        <v>158</v>
      </c>
      <c r="D15" s="145">
        <v>669452</v>
      </c>
      <c r="E15" s="739">
        <f>세입!F146</f>
        <v>637285</v>
      </c>
      <c r="F15" s="736">
        <f t="shared" si="0"/>
        <v>-32167</v>
      </c>
      <c r="G15" s="758"/>
      <c r="H15" s="740" t="s">
        <v>95</v>
      </c>
      <c r="I15" s="739">
        <v>31440</v>
      </c>
      <c r="J15" s="739">
        <f>세출!E222</f>
        <v>54624</v>
      </c>
      <c r="K15" s="741">
        <f t="shared" si="1"/>
        <v>23184</v>
      </c>
    </row>
    <row r="16" spans="2:11" ht="24.95" customHeight="1">
      <c r="B16" s="450"/>
      <c r="C16" s="393" t="s">
        <v>218</v>
      </c>
      <c r="D16" s="145">
        <v>0</v>
      </c>
      <c r="E16" s="739">
        <f>세입!F228</f>
        <v>0</v>
      </c>
      <c r="F16" s="736">
        <f t="shared" si="0"/>
        <v>0</v>
      </c>
      <c r="G16" s="756" t="s">
        <v>98</v>
      </c>
      <c r="H16" s="744" t="s">
        <v>191</v>
      </c>
      <c r="I16" s="742">
        <f>SUM(I17:I22)</f>
        <v>406412</v>
      </c>
      <c r="J16" s="742">
        <f>SUM(J17:J22)</f>
        <v>391439</v>
      </c>
      <c r="K16" s="741">
        <f t="shared" si="1"/>
        <v>-14973</v>
      </c>
    </row>
    <row r="17" spans="2:11" ht="24.95" customHeight="1">
      <c r="B17" s="710" t="s">
        <v>91</v>
      </c>
      <c r="C17" s="324" t="s">
        <v>191</v>
      </c>
      <c r="D17" s="325">
        <f>SUM(D18:D19)</f>
        <v>283690</v>
      </c>
      <c r="E17" s="742">
        <f>SUM(E18:E19)</f>
        <v>304410</v>
      </c>
      <c r="F17" s="736">
        <f t="shared" si="0"/>
        <v>20720</v>
      </c>
      <c r="G17" s="757"/>
      <c r="H17" s="740" t="s">
        <v>99</v>
      </c>
      <c r="I17" s="739">
        <v>197843</v>
      </c>
      <c r="J17" s="739">
        <f>세출!E244</f>
        <v>202960</v>
      </c>
      <c r="K17" s="741">
        <f t="shared" si="1"/>
        <v>5117</v>
      </c>
    </row>
    <row r="18" spans="2:11" ht="24.95" customHeight="1">
      <c r="B18" s="712"/>
      <c r="C18" s="144" t="s">
        <v>92</v>
      </c>
      <c r="D18" s="145">
        <v>205210</v>
      </c>
      <c r="E18" s="739">
        <f>세입!F232</f>
        <v>225930</v>
      </c>
      <c r="F18" s="736">
        <f t="shared" si="0"/>
        <v>20720</v>
      </c>
      <c r="G18" s="757"/>
      <c r="H18" s="743" t="s">
        <v>729</v>
      </c>
      <c r="I18" s="739">
        <v>6650</v>
      </c>
      <c r="J18" s="739">
        <f>세출!E263</f>
        <v>5396</v>
      </c>
      <c r="K18" s="741">
        <f t="shared" si="1"/>
        <v>-1254</v>
      </c>
    </row>
    <row r="19" spans="2:11" ht="24.95" customHeight="1">
      <c r="B19" s="711"/>
      <c r="C19" s="144" t="s">
        <v>94</v>
      </c>
      <c r="D19" s="145">
        <v>78480</v>
      </c>
      <c r="E19" s="739">
        <f>세입!F249</f>
        <v>78480</v>
      </c>
      <c r="F19" s="736">
        <f t="shared" si="0"/>
        <v>0</v>
      </c>
      <c r="G19" s="757"/>
      <c r="H19" s="740" t="s">
        <v>104</v>
      </c>
      <c r="I19" s="739">
        <v>4160</v>
      </c>
      <c r="J19" s="739">
        <f>세출!E267</f>
        <v>4160</v>
      </c>
      <c r="K19" s="741">
        <f t="shared" si="1"/>
        <v>0</v>
      </c>
    </row>
    <row r="20" spans="2:11" ht="24.95" customHeight="1">
      <c r="B20" s="710" t="s">
        <v>96</v>
      </c>
      <c r="C20" s="324" t="s">
        <v>191</v>
      </c>
      <c r="D20" s="325">
        <f>D21</f>
        <v>172504</v>
      </c>
      <c r="E20" s="742">
        <f>E21</f>
        <v>184378</v>
      </c>
      <c r="F20" s="736">
        <f t="shared" si="0"/>
        <v>11874</v>
      </c>
      <c r="G20" s="757"/>
      <c r="H20" s="740" t="s">
        <v>105</v>
      </c>
      <c r="I20" s="739">
        <v>13460</v>
      </c>
      <c r="J20" s="739">
        <f>세출!E270</f>
        <v>13520</v>
      </c>
      <c r="K20" s="741">
        <f t="shared" si="1"/>
        <v>60</v>
      </c>
    </row>
    <row r="21" spans="2:11" ht="24.95" customHeight="1">
      <c r="B21" s="711"/>
      <c r="C21" s="144" t="s">
        <v>97</v>
      </c>
      <c r="D21" s="145">
        <v>172504</v>
      </c>
      <c r="E21" s="739">
        <f>세입!F260</f>
        <v>184378</v>
      </c>
      <c r="F21" s="736">
        <f t="shared" si="0"/>
        <v>11874</v>
      </c>
      <c r="G21" s="757"/>
      <c r="H21" s="740" t="s">
        <v>106</v>
      </c>
      <c r="I21" s="739">
        <v>16699</v>
      </c>
      <c r="J21" s="739">
        <f>세출!E278</f>
        <v>21129</v>
      </c>
      <c r="K21" s="741">
        <f t="shared" si="1"/>
        <v>4430</v>
      </c>
    </row>
    <row r="22" spans="2:11" ht="24.95" customHeight="1">
      <c r="B22" s="710" t="s">
        <v>100</v>
      </c>
      <c r="C22" s="324" t="s">
        <v>191</v>
      </c>
      <c r="D22" s="325">
        <f>D23</f>
        <v>92762</v>
      </c>
      <c r="E22" s="742">
        <f>E23</f>
        <v>92760</v>
      </c>
      <c r="F22" s="736">
        <f t="shared" si="0"/>
        <v>-2</v>
      </c>
      <c r="G22" s="758"/>
      <c r="H22" s="740" t="s">
        <v>107</v>
      </c>
      <c r="I22" s="739">
        <v>167600</v>
      </c>
      <c r="J22" s="739">
        <f>세출!E283</f>
        <v>144274</v>
      </c>
      <c r="K22" s="741">
        <f t="shared" si="1"/>
        <v>-23326</v>
      </c>
    </row>
    <row r="23" spans="2:11" ht="24.95" customHeight="1">
      <c r="B23" s="711"/>
      <c r="C23" s="144" t="s">
        <v>101</v>
      </c>
      <c r="D23" s="145">
        <v>92762</v>
      </c>
      <c r="E23" s="739">
        <f>세입!F367</f>
        <v>92760</v>
      </c>
      <c r="F23" s="736">
        <f t="shared" si="0"/>
        <v>-2</v>
      </c>
      <c r="G23" s="756" t="s">
        <v>108</v>
      </c>
      <c r="H23" s="744" t="s">
        <v>191</v>
      </c>
      <c r="I23" s="742">
        <v>0</v>
      </c>
      <c r="J23" s="742">
        <f>J24</f>
        <v>0</v>
      </c>
      <c r="K23" s="741">
        <f t="shared" si="1"/>
        <v>0</v>
      </c>
    </row>
    <row r="24" spans="2:11" ht="24.95" customHeight="1">
      <c r="B24" s="710" t="s">
        <v>102</v>
      </c>
      <c r="C24" s="324" t="s">
        <v>191</v>
      </c>
      <c r="D24" s="325">
        <f>D25</f>
        <v>59805</v>
      </c>
      <c r="E24" s="742">
        <f>E25</f>
        <v>58905</v>
      </c>
      <c r="F24" s="736">
        <f t="shared" si="0"/>
        <v>-900</v>
      </c>
      <c r="G24" s="758"/>
      <c r="H24" s="740" t="s">
        <v>109</v>
      </c>
      <c r="I24" s="739">
        <v>0</v>
      </c>
      <c r="J24" s="739">
        <v>0</v>
      </c>
      <c r="K24" s="741">
        <f t="shared" si="1"/>
        <v>0</v>
      </c>
    </row>
    <row r="25" spans="2:11" ht="24.95" customHeight="1">
      <c r="B25" s="711"/>
      <c r="C25" s="144" t="s">
        <v>103</v>
      </c>
      <c r="D25" s="145">
        <v>59805</v>
      </c>
      <c r="E25" s="739">
        <f>세입!F399</f>
        <v>58905</v>
      </c>
      <c r="F25" s="736">
        <f t="shared" si="0"/>
        <v>-900</v>
      </c>
      <c r="G25" s="756" t="s">
        <v>110</v>
      </c>
      <c r="H25" s="744" t="s">
        <v>191</v>
      </c>
      <c r="I25" s="742">
        <f>I26</f>
        <v>1055</v>
      </c>
      <c r="J25" s="742">
        <f>J26</f>
        <v>1275</v>
      </c>
      <c r="K25" s="741">
        <f t="shared" si="1"/>
        <v>220</v>
      </c>
    </row>
    <row r="26" spans="2:11" ht="24.95" customHeight="1" thickBot="1">
      <c r="B26" s="395"/>
      <c r="C26" s="396"/>
      <c r="D26" s="396"/>
      <c r="E26" s="745"/>
      <c r="F26" s="745"/>
      <c r="G26" s="759"/>
      <c r="H26" s="746" t="s">
        <v>824</v>
      </c>
      <c r="I26" s="747">
        <v>1055</v>
      </c>
      <c r="J26" s="747">
        <f>세출!E389</f>
        <v>1275</v>
      </c>
      <c r="K26" s="748">
        <f t="shared" si="1"/>
        <v>220</v>
      </c>
    </row>
    <row r="27" spans="2:11" ht="24.95" customHeight="1">
      <c r="B27" s="394"/>
      <c r="C27" s="394"/>
      <c r="D27" s="394"/>
      <c r="E27" s="394"/>
      <c r="F27" s="394"/>
      <c r="J27" s="749"/>
    </row>
    <row r="28" spans="2:11" ht="24.95" customHeight="1">
      <c r="B28" s="394"/>
      <c r="C28" s="394"/>
      <c r="D28" s="394"/>
      <c r="E28" s="394"/>
      <c r="F28" s="394"/>
    </row>
    <row r="29" spans="2:11" ht="24.95" customHeight="1"/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G8:G11"/>
    <mergeCell ref="G25:G26"/>
    <mergeCell ref="G16:G22"/>
    <mergeCell ref="G23:G24"/>
    <mergeCell ref="G12:G15"/>
  </mergeCells>
  <phoneticPr fontId="14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AS428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X5" sqref="X5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20.218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88671875" style="2" bestFit="1" customWidth="1"/>
    <col min="16" max="16" width="7.6640625" style="2" bestFit="1" customWidth="1"/>
    <col min="17" max="17" width="4.88671875" style="2" customWidth="1"/>
    <col min="18" max="18" width="5.332031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461"/>
    <col min="27" max="16384" width="13.77734375" style="1"/>
  </cols>
  <sheetData>
    <row r="1" spans="1:26" s="9" customFormat="1" ht="19.5" customHeight="1" thickBot="1">
      <c r="A1" s="782" t="s">
        <v>728</v>
      </c>
      <c r="B1" s="782"/>
      <c r="C1" s="782"/>
      <c r="D1" s="782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61"/>
    </row>
    <row r="2" spans="1:26" s="3" customFormat="1" ht="27" customHeight="1">
      <c r="A2" s="783" t="s">
        <v>337</v>
      </c>
      <c r="B2" s="784"/>
      <c r="C2" s="784"/>
      <c r="D2" s="784"/>
      <c r="E2" s="785" t="s">
        <v>610</v>
      </c>
      <c r="F2" s="785" t="s">
        <v>685</v>
      </c>
      <c r="G2" s="790" t="s">
        <v>23</v>
      </c>
      <c r="H2" s="790"/>
      <c r="I2" s="790" t="s">
        <v>338</v>
      </c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1"/>
      <c r="Z2" s="462"/>
    </row>
    <row r="3" spans="1:26" s="3" customFormat="1" ht="32.25" customHeight="1" thickBot="1">
      <c r="A3" s="15" t="s">
        <v>1</v>
      </c>
      <c r="B3" s="16" t="s">
        <v>2</v>
      </c>
      <c r="C3" s="16" t="s">
        <v>339</v>
      </c>
      <c r="D3" s="16" t="s">
        <v>340</v>
      </c>
      <c r="E3" s="786"/>
      <c r="F3" s="786"/>
      <c r="G3" s="112" t="s">
        <v>341</v>
      </c>
      <c r="H3" s="17" t="s">
        <v>4</v>
      </c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3"/>
      <c r="Z3" s="462"/>
    </row>
    <row r="4" spans="1:26" s="3" customFormat="1" ht="19.5" customHeight="1">
      <c r="A4" s="787" t="s">
        <v>24</v>
      </c>
      <c r="B4" s="788"/>
      <c r="C4" s="788"/>
      <c r="D4" s="789"/>
      <c r="E4" s="167">
        <f>SUM(E5,E9,E11,E13,E231,E253,E260,E367,E399)</f>
        <v>3572576</v>
      </c>
      <c r="F4" s="167">
        <f>SUM(F5,F9,F11,F13,F231,F253,F260,F367,F399)</f>
        <v>3505964</v>
      </c>
      <c r="G4" s="704">
        <f>SUM(G5,G9,G11,G13,G231,G253,G260,G367,G399)</f>
        <v>-66612</v>
      </c>
      <c r="H4" s="168">
        <f>IF(E4=0,0,G4/E4)</f>
        <v>-1.8645369615649884E-2</v>
      </c>
      <c r="I4" s="18" t="s">
        <v>342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15">
        <f>SUM(X5,X9,X11,X13,X231,X253,X260,X367,X399)</f>
        <v>3505964000</v>
      </c>
      <c r="Y4" s="20" t="s">
        <v>343</v>
      </c>
      <c r="Z4" s="462"/>
    </row>
    <row r="5" spans="1:26" ht="21" customHeight="1" thickBot="1">
      <c r="A5" s="23" t="s">
        <v>344</v>
      </c>
      <c r="B5" s="24" t="s">
        <v>344</v>
      </c>
      <c r="C5" s="147" t="s">
        <v>345</v>
      </c>
      <c r="D5" s="147" t="s">
        <v>345</v>
      </c>
      <c r="E5" s="161">
        <v>114450</v>
      </c>
      <c r="F5" s="161">
        <f>ROUND(X5/1000,0)</f>
        <v>114450</v>
      </c>
      <c r="G5" s="162">
        <f>F5-E5</f>
        <v>0</v>
      </c>
      <c r="H5" s="163">
        <f>IF(E5=0,0,G5/E5)</f>
        <v>0</v>
      </c>
      <c r="I5" s="28" t="s">
        <v>346</v>
      </c>
      <c r="J5" s="106"/>
      <c r="K5" s="29"/>
      <c r="L5" s="29"/>
      <c r="M5" s="29"/>
      <c r="N5" s="29"/>
      <c r="O5" s="29"/>
      <c r="P5" s="30"/>
      <c r="Q5" s="486" t="s">
        <v>347</v>
      </c>
      <c r="R5" s="486"/>
      <c r="S5" s="486"/>
      <c r="T5" s="486"/>
      <c r="U5" s="486"/>
      <c r="V5" s="486"/>
      <c r="W5" s="487"/>
      <c r="X5" s="487">
        <f>SUM(X6:X8)</f>
        <v>114450000</v>
      </c>
      <c r="Y5" s="488" t="s">
        <v>25</v>
      </c>
    </row>
    <row r="6" spans="1:26" ht="21" customHeight="1">
      <c r="A6" s="33" t="s">
        <v>348</v>
      </c>
      <c r="B6" s="34" t="s">
        <v>112</v>
      </c>
      <c r="C6" s="35" t="s">
        <v>112</v>
      </c>
      <c r="D6" s="35" t="s">
        <v>112</v>
      </c>
      <c r="E6" s="407"/>
      <c r="F6" s="407"/>
      <c r="G6" s="408"/>
      <c r="H6" s="409"/>
      <c r="I6" s="414" t="s">
        <v>349</v>
      </c>
      <c r="J6" s="413"/>
      <c r="K6" s="231"/>
      <c r="L6" s="231"/>
      <c r="M6" s="465">
        <v>350000</v>
      </c>
      <c r="N6" s="465" t="s">
        <v>343</v>
      </c>
      <c r="O6" s="466" t="s">
        <v>350</v>
      </c>
      <c r="P6" s="465">
        <v>27</v>
      </c>
      <c r="Q6" s="465" t="s">
        <v>351</v>
      </c>
      <c r="R6" s="466" t="s">
        <v>350</v>
      </c>
      <c r="S6" s="232">
        <v>12</v>
      </c>
      <c r="T6" s="469" t="s">
        <v>352</v>
      </c>
      <c r="U6" s="469" t="s">
        <v>353</v>
      </c>
      <c r="V6" s="469"/>
      <c r="W6" s="465"/>
      <c r="X6" s="499">
        <f>M6*P6*S6</f>
        <v>113400000</v>
      </c>
      <c r="Y6" s="103" t="s">
        <v>343</v>
      </c>
    </row>
    <row r="7" spans="1:26" ht="21" customHeight="1">
      <c r="A7" s="33"/>
      <c r="B7" s="34"/>
      <c r="C7" s="35"/>
      <c r="D7" s="35"/>
      <c r="E7" s="407"/>
      <c r="F7" s="407"/>
      <c r="G7" s="408"/>
      <c r="H7" s="409"/>
      <c r="I7" s="414" t="s">
        <v>611</v>
      </c>
      <c r="J7" s="413"/>
      <c r="K7" s="406"/>
      <c r="L7" s="406"/>
      <c r="M7" s="478">
        <v>350000</v>
      </c>
      <c r="N7" s="478" t="s">
        <v>56</v>
      </c>
      <c r="O7" s="479" t="s">
        <v>328</v>
      </c>
      <c r="P7" s="478">
        <v>1</v>
      </c>
      <c r="Q7" s="478" t="s">
        <v>329</v>
      </c>
      <c r="R7" s="479" t="s">
        <v>328</v>
      </c>
      <c r="S7" s="232">
        <v>3</v>
      </c>
      <c r="T7" s="475" t="s">
        <v>0</v>
      </c>
      <c r="U7" s="475" t="s">
        <v>327</v>
      </c>
      <c r="V7" s="475"/>
      <c r="W7" s="478"/>
      <c r="X7" s="499">
        <f>M7*P7*S7</f>
        <v>1050000</v>
      </c>
      <c r="Y7" s="103" t="s">
        <v>56</v>
      </c>
    </row>
    <row r="8" spans="1:26" ht="21" customHeight="1">
      <c r="A8" s="33"/>
      <c r="B8" s="34"/>
      <c r="C8" s="35"/>
      <c r="D8" s="35"/>
      <c r="E8" s="36"/>
      <c r="F8" s="36"/>
      <c r="G8" s="37"/>
      <c r="H8" s="21"/>
      <c r="I8" s="414" t="s">
        <v>354</v>
      </c>
      <c r="J8" s="413"/>
      <c r="K8" s="231"/>
      <c r="L8" s="231"/>
      <c r="M8" s="465"/>
      <c r="N8" s="465" t="s">
        <v>343</v>
      </c>
      <c r="O8" s="466" t="s">
        <v>350</v>
      </c>
      <c r="P8" s="465">
        <v>0</v>
      </c>
      <c r="Q8" s="465" t="s">
        <v>351</v>
      </c>
      <c r="R8" s="466" t="s">
        <v>350</v>
      </c>
      <c r="S8" s="232">
        <v>0</v>
      </c>
      <c r="T8" s="469" t="s">
        <v>352</v>
      </c>
      <c r="U8" s="469" t="s">
        <v>353</v>
      </c>
      <c r="V8" s="469"/>
      <c r="W8" s="465"/>
      <c r="X8" s="499">
        <f>M8*P8*S8</f>
        <v>0</v>
      </c>
      <c r="Y8" s="103" t="s">
        <v>343</v>
      </c>
    </row>
    <row r="9" spans="1:26" s="9" customFormat="1" ht="19.5" customHeight="1" thickBot="1">
      <c r="A9" s="23" t="s">
        <v>355</v>
      </c>
      <c r="B9" s="24" t="s">
        <v>355</v>
      </c>
      <c r="C9" s="24" t="s">
        <v>355</v>
      </c>
      <c r="D9" s="24" t="s">
        <v>355</v>
      </c>
      <c r="E9" s="161">
        <v>250</v>
      </c>
      <c r="F9" s="161">
        <f>ROUND(X9/1000,0)</f>
        <v>250</v>
      </c>
      <c r="G9" s="162">
        <f>F9-E9</f>
        <v>0</v>
      </c>
      <c r="H9" s="163">
        <f>IF(E9=0,0,G9/E9)</f>
        <v>0</v>
      </c>
      <c r="I9" s="28" t="s">
        <v>356</v>
      </c>
      <c r="J9" s="106"/>
      <c r="K9" s="29"/>
      <c r="L9" s="29"/>
      <c r="M9" s="29"/>
      <c r="N9" s="29"/>
      <c r="O9" s="29"/>
      <c r="P9" s="30"/>
      <c r="Q9" s="30" t="s">
        <v>347</v>
      </c>
      <c r="R9" s="30"/>
      <c r="S9" s="30"/>
      <c r="T9" s="30"/>
      <c r="U9" s="30"/>
      <c r="V9" s="30"/>
      <c r="W9" s="31"/>
      <c r="X9" s="31">
        <f>X10</f>
        <v>250000</v>
      </c>
      <c r="Y9" s="32" t="s">
        <v>25</v>
      </c>
      <c r="Z9" s="461"/>
    </row>
    <row r="10" spans="1:26" ht="21" customHeight="1">
      <c r="A10" s="43" t="s">
        <v>357</v>
      </c>
      <c r="B10" s="44" t="s">
        <v>357</v>
      </c>
      <c r="C10" s="44" t="s">
        <v>357</v>
      </c>
      <c r="D10" s="44" t="s">
        <v>357</v>
      </c>
      <c r="E10" s="36"/>
      <c r="F10" s="36"/>
      <c r="G10" s="37"/>
      <c r="H10" s="21"/>
      <c r="I10" s="414" t="s">
        <v>638</v>
      </c>
      <c r="J10" s="437"/>
      <c r="K10" s="222"/>
      <c r="L10" s="222"/>
      <c r="M10" s="287"/>
      <c r="N10" s="287"/>
      <c r="O10" s="327"/>
      <c r="P10" s="287"/>
      <c r="Q10" s="287"/>
      <c r="R10" s="327"/>
      <c r="S10" s="447"/>
      <c r="T10" s="398"/>
      <c r="U10" s="398"/>
      <c r="V10" s="398"/>
      <c r="W10" s="287"/>
      <c r="X10" s="528">
        <v>250000</v>
      </c>
      <c r="Y10" s="632" t="s">
        <v>776</v>
      </c>
    </row>
    <row r="11" spans="1:26" ht="21" customHeight="1" thickBot="1">
      <c r="A11" s="23" t="s">
        <v>358</v>
      </c>
      <c r="B11" s="24" t="s">
        <v>358</v>
      </c>
      <c r="C11" s="24" t="s">
        <v>358</v>
      </c>
      <c r="D11" s="24" t="s">
        <v>358</v>
      </c>
      <c r="E11" s="161">
        <v>0</v>
      </c>
      <c r="F11" s="161">
        <f>ROUND(X11/1000,0)</f>
        <v>0</v>
      </c>
      <c r="G11" s="162">
        <f>F11-E11</f>
        <v>0</v>
      </c>
      <c r="H11" s="163">
        <f>IF(E11=0,0,G11/E11)</f>
        <v>0</v>
      </c>
      <c r="I11" s="28" t="s">
        <v>359</v>
      </c>
      <c r="J11" s="106"/>
      <c r="K11" s="29"/>
      <c r="L11" s="29"/>
      <c r="M11" s="29"/>
      <c r="N11" s="29"/>
      <c r="O11" s="29"/>
      <c r="P11" s="30"/>
      <c r="Q11" s="30" t="s">
        <v>347</v>
      </c>
      <c r="R11" s="30"/>
      <c r="S11" s="30"/>
      <c r="T11" s="30"/>
      <c r="U11" s="30"/>
      <c r="V11" s="30"/>
      <c r="W11" s="31"/>
      <c r="X11" s="31">
        <f>X12</f>
        <v>0</v>
      </c>
      <c r="Y11" s="32" t="s">
        <v>25</v>
      </c>
    </row>
    <row r="12" spans="1:26" ht="21" customHeight="1">
      <c r="A12" s="43" t="s">
        <v>357</v>
      </c>
      <c r="B12" s="44" t="s">
        <v>357</v>
      </c>
      <c r="C12" s="44" t="s">
        <v>357</v>
      </c>
      <c r="D12" s="389" t="s">
        <v>357</v>
      </c>
      <c r="E12" s="170"/>
      <c r="F12" s="171">
        <v>0</v>
      </c>
      <c r="G12" s="172"/>
      <c r="H12" s="173"/>
      <c r="I12" s="174"/>
      <c r="J12" s="175"/>
      <c r="K12" s="176"/>
      <c r="L12" s="176"/>
      <c r="M12" s="176"/>
      <c r="N12" s="176"/>
      <c r="O12" s="176"/>
      <c r="P12" s="177"/>
      <c r="Q12" s="177"/>
      <c r="R12" s="177"/>
      <c r="S12" s="177"/>
      <c r="T12" s="177"/>
      <c r="U12" s="177"/>
      <c r="V12" s="177"/>
      <c r="W12" s="178"/>
      <c r="X12" s="454">
        <v>0</v>
      </c>
      <c r="Y12" s="683" t="s">
        <v>56</v>
      </c>
      <c r="Z12" s="558"/>
    </row>
    <row r="13" spans="1:26" s="9" customFormat="1" ht="19.5" customHeight="1">
      <c r="A13" s="23" t="s">
        <v>360</v>
      </c>
      <c r="B13" s="24" t="s">
        <v>360</v>
      </c>
      <c r="C13" s="780" t="s">
        <v>361</v>
      </c>
      <c r="D13" s="781"/>
      <c r="E13" s="192">
        <f>SUM(E14,E62,E146,E228)</f>
        <v>2849115</v>
      </c>
      <c r="F13" s="192">
        <f>SUM(F14,F62,F146,F228)</f>
        <v>2750811</v>
      </c>
      <c r="G13" s="193">
        <f>F13-E13</f>
        <v>-98304</v>
      </c>
      <c r="H13" s="194">
        <f>IF(E13=0,0,G13/E13)</f>
        <v>-3.4503345775793538E-2</v>
      </c>
      <c r="I13" s="195" t="s">
        <v>362</v>
      </c>
      <c r="J13" s="196"/>
      <c r="K13" s="197"/>
      <c r="L13" s="197"/>
      <c r="M13" s="196"/>
      <c r="N13" s="196"/>
      <c r="O13" s="196"/>
      <c r="P13" s="196"/>
      <c r="Q13" s="196"/>
      <c r="R13" s="198"/>
      <c r="S13" s="198"/>
      <c r="T13" s="198"/>
      <c r="U13" s="198"/>
      <c r="V13" s="198"/>
      <c r="W13" s="198"/>
      <c r="X13" s="199">
        <f>SUM(X14,X62,X146,X228)</f>
        <v>2750811000</v>
      </c>
      <c r="Y13" s="207" t="s">
        <v>25</v>
      </c>
      <c r="Z13" s="461"/>
    </row>
    <row r="14" spans="1:26" s="9" customFormat="1" ht="19.5" customHeight="1">
      <c r="A14" s="33" t="s">
        <v>363</v>
      </c>
      <c r="B14" s="34" t="s">
        <v>357</v>
      </c>
      <c r="C14" s="24" t="s">
        <v>364</v>
      </c>
      <c r="D14" s="335" t="s">
        <v>365</v>
      </c>
      <c r="E14" s="164">
        <f>SUM(E15:E55)</f>
        <v>1786261</v>
      </c>
      <c r="F14" s="164">
        <f>SUM(F15:F55)</f>
        <v>1727285</v>
      </c>
      <c r="G14" s="165">
        <f>F14-E14</f>
        <v>-58976</v>
      </c>
      <c r="H14" s="166">
        <f>IF(E14=0,0,G14/E14)</f>
        <v>-3.3016451683152689E-2</v>
      </c>
      <c r="I14" s="149" t="s">
        <v>366</v>
      </c>
      <c r="J14" s="150"/>
      <c r="K14" s="151"/>
      <c r="L14" s="151"/>
      <c r="M14" s="151"/>
      <c r="N14" s="151"/>
      <c r="O14" s="151"/>
      <c r="P14" s="152"/>
      <c r="Q14" s="152"/>
      <c r="R14" s="152"/>
      <c r="S14" s="152"/>
      <c r="T14" s="152"/>
      <c r="U14" s="152"/>
      <c r="V14" s="179" t="s">
        <v>367</v>
      </c>
      <c r="W14" s="180"/>
      <c r="X14" s="181">
        <f>SUM(X15,X23,X40,X55)</f>
        <v>1727285000</v>
      </c>
      <c r="Y14" s="208" t="s">
        <v>343</v>
      </c>
      <c r="Z14" s="461"/>
    </row>
    <row r="15" spans="1:26" s="9" customFormat="1" ht="19.5" customHeight="1">
      <c r="A15" s="33"/>
      <c r="B15" s="34"/>
      <c r="C15" s="34" t="s">
        <v>360</v>
      </c>
      <c r="D15" s="34" t="s">
        <v>368</v>
      </c>
      <c r="E15" s="388">
        <v>78399</v>
      </c>
      <c r="F15" s="388">
        <f>ROUND(X15/1000,0)</f>
        <v>78399</v>
      </c>
      <c r="G15" s="212">
        <f>F15-E15</f>
        <v>0</v>
      </c>
      <c r="H15" s="213">
        <f>IF(E15=0,0,G15/E15)</f>
        <v>0</v>
      </c>
      <c r="I15" s="107" t="s">
        <v>369</v>
      </c>
      <c r="J15" s="230"/>
      <c r="K15" s="229"/>
      <c r="L15" s="229"/>
      <c r="M15" s="229"/>
      <c r="N15" s="464"/>
      <c r="O15" s="153"/>
      <c r="P15" s="229"/>
      <c r="Q15" s="39"/>
      <c r="R15" s="154"/>
      <c r="S15" s="156"/>
      <c r="T15" s="156"/>
      <c r="U15" s="464"/>
      <c r="V15" s="366" t="s">
        <v>370</v>
      </c>
      <c r="W15" s="109"/>
      <c r="X15" s="109">
        <f>SUM(X16:X21)</f>
        <v>78399000</v>
      </c>
      <c r="Y15" s="110" t="s">
        <v>343</v>
      </c>
      <c r="Z15" s="461"/>
    </row>
    <row r="16" spans="1:26" s="9" customFormat="1" ht="19.5" customHeight="1">
      <c r="A16" s="45"/>
      <c r="B16" s="34"/>
      <c r="C16" s="34"/>
      <c r="D16" s="34"/>
      <c r="E16" s="36"/>
      <c r="F16" s="387"/>
      <c r="G16" s="37"/>
      <c r="H16" s="53"/>
      <c r="I16" s="223" t="s">
        <v>705</v>
      </c>
      <c r="J16" s="529"/>
      <c r="K16" s="528"/>
      <c r="L16" s="528"/>
      <c r="M16" s="528">
        <v>287225</v>
      </c>
      <c r="N16" s="475" t="s">
        <v>25</v>
      </c>
      <c r="O16" s="534" t="s">
        <v>26</v>
      </c>
      <c r="P16" s="528">
        <v>23</v>
      </c>
      <c r="Q16" s="413" t="s">
        <v>129</v>
      </c>
      <c r="R16" s="535" t="s">
        <v>26</v>
      </c>
      <c r="S16" s="156">
        <v>12</v>
      </c>
      <c r="T16" s="156" t="s">
        <v>29</v>
      </c>
      <c r="U16" s="475" t="s">
        <v>26</v>
      </c>
      <c r="V16" s="536">
        <v>0.9</v>
      </c>
      <c r="W16" s="476" t="s">
        <v>27</v>
      </c>
      <c r="X16" s="476">
        <f>ROUNDUP(M16*P16*S16*V16,-3)</f>
        <v>71347000</v>
      </c>
      <c r="Y16" s="103" t="s">
        <v>706</v>
      </c>
      <c r="Z16" s="461"/>
    </row>
    <row r="17" spans="1:27" s="9" customFormat="1" ht="19.5" customHeight="1">
      <c r="A17" s="45"/>
      <c r="B17" s="34"/>
      <c r="C17" s="34"/>
      <c r="D17" s="34"/>
      <c r="E17" s="36"/>
      <c r="F17" s="387"/>
      <c r="G17" s="37"/>
      <c r="H17" s="53"/>
      <c r="I17" s="223" t="s">
        <v>707</v>
      </c>
      <c r="J17" s="529"/>
      <c r="K17" s="528"/>
      <c r="L17" s="528"/>
      <c r="M17" s="528">
        <v>287225</v>
      </c>
      <c r="N17" s="475" t="s">
        <v>25</v>
      </c>
      <c r="O17" s="534" t="s">
        <v>26</v>
      </c>
      <c r="P17" s="528">
        <v>1</v>
      </c>
      <c r="Q17" s="413" t="s">
        <v>129</v>
      </c>
      <c r="R17" s="535" t="s">
        <v>26</v>
      </c>
      <c r="S17" s="156">
        <v>9</v>
      </c>
      <c r="T17" s="156" t="s">
        <v>29</v>
      </c>
      <c r="U17" s="475" t="s">
        <v>26</v>
      </c>
      <c r="V17" s="536">
        <v>0.9</v>
      </c>
      <c r="W17" s="476" t="s">
        <v>27</v>
      </c>
      <c r="X17" s="476">
        <f>ROUND(M17*P17*S17*V17,-3)</f>
        <v>2327000</v>
      </c>
      <c r="Y17" s="103" t="s">
        <v>706</v>
      </c>
      <c r="Z17" s="461"/>
    </row>
    <row r="18" spans="1:27" s="9" customFormat="1" ht="19.5" customHeight="1">
      <c r="A18" s="45"/>
      <c r="B18" s="34"/>
      <c r="C18" s="34"/>
      <c r="D18" s="34"/>
      <c r="E18" s="36"/>
      <c r="F18" s="387"/>
      <c r="G18" s="37"/>
      <c r="H18" s="53"/>
      <c r="I18" s="223" t="s">
        <v>708</v>
      </c>
      <c r="J18" s="529"/>
      <c r="K18" s="528"/>
      <c r="L18" s="528"/>
      <c r="M18" s="528">
        <v>150000</v>
      </c>
      <c r="N18" s="475" t="s">
        <v>25</v>
      </c>
      <c r="O18" s="534" t="s">
        <v>26</v>
      </c>
      <c r="P18" s="528">
        <v>1</v>
      </c>
      <c r="Q18" s="413" t="s">
        <v>129</v>
      </c>
      <c r="R18" s="535" t="s">
        <v>26</v>
      </c>
      <c r="S18" s="156">
        <v>12</v>
      </c>
      <c r="T18" s="156" t="s">
        <v>29</v>
      </c>
      <c r="U18" s="475" t="s">
        <v>26</v>
      </c>
      <c r="V18" s="536">
        <v>0.9</v>
      </c>
      <c r="W18" s="476" t="s">
        <v>27</v>
      </c>
      <c r="X18" s="476">
        <f>ROUND(M18*P18*S18*V18,-3)</f>
        <v>1620000</v>
      </c>
      <c r="Y18" s="103" t="s">
        <v>706</v>
      </c>
      <c r="Z18" s="461"/>
    </row>
    <row r="19" spans="1:27" s="9" customFormat="1" ht="19.5" customHeight="1">
      <c r="A19" s="45"/>
      <c r="B19" s="34"/>
      <c r="C19" s="34"/>
      <c r="D19" s="34"/>
      <c r="E19" s="36"/>
      <c r="F19" s="387"/>
      <c r="G19" s="37"/>
      <c r="H19" s="53"/>
      <c r="I19" s="223" t="s">
        <v>217</v>
      </c>
      <c r="J19" s="529"/>
      <c r="K19" s="528"/>
      <c r="L19" s="528"/>
      <c r="M19" s="528">
        <v>40000</v>
      </c>
      <c r="N19" s="475" t="s">
        <v>25</v>
      </c>
      <c r="O19" s="534" t="s">
        <v>26</v>
      </c>
      <c r="P19" s="528">
        <v>25</v>
      </c>
      <c r="Q19" s="413" t="s">
        <v>129</v>
      </c>
      <c r="R19" s="537" t="s">
        <v>26</v>
      </c>
      <c r="S19" s="156">
        <v>1</v>
      </c>
      <c r="T19" s="156" t="s">
        <v>215</v>
      </c>
      <c r="U19" s="475" t="s">
        <v>26</v>
      </c>
      <c r="V19" s="536">
        <v>0.9</v>
      </c>
      <c r="W19" s="476" t="s">
        <v>27</v>
      </c>
      <c r="X19" s="476">
        <f>ROUND(M19*P19*S19*V19,-3)</f>
        <v>900000</v>
      </c>
      <c r="Y19" s="103" t="s">
        <v>706</v>
      </c>
      <c r="Z19" s="461"/>
    </row>
    <row r="20" spans="1:27" s="9" customFormat="1" ht="19.5" customHeight="1">
      <c r="A20" s="45"/>
      <c r="B20" s="34"/>
      <c r="C20" s="34"/>
      <c r="D20" s="34"/>
      <c r="E20" s="36"/>
      <c r="F20" s="387"/>
      <c r="G20" s="37"/>
      <c r="H20" s="53"/>
      <c r="I20" s="223" t="s">
        <v>216</v>
      </c>
      <c r="J20" s="476"/>
      <c r="K20" s="538"/>
      <c r="L20" s="538"/>
      <c r="M20" s="528">
        <v>50000</v>
      </c>
      <c r="N20" s="528" t="s">
        <v>25</v>
      </c>
      <c r="O20" s="534" t="s">
        <v>26</v>
      </c>
      <c r="P20" s="528">
        <v>24</v>
      </c>
      <c r="Q20" s="413" t="s">
        <v>129</v>
      </c>
      <c r="R20" s="537" t="s">
        <v>26</v>
      </c>
      <c r="S20" s="232">
        <v>2</v>
      </c>
      <c r="T20" s="475" t="s">
        <v>215</v>
      </c>
      <c r="U20" s="475" t="s">
        <v>26</v>
      </c>
      <c r="V20" s="536">
        <v>0.9</v>
      </c>
      <c r="W20" s="529" t="s">
        <v>27</v>
      </c>
      <c r="X20" s="476">
        <f>ROUNDUP(M20*P20*S20*V20,-3)</f>
        <v>2160000</v>
      </c>
      <c r="Y20" s="103" t="s">
        <v>706</v>
      </c>
      <c r="Z20" s="461"/>
    </row>
    <row r="21" spans="1:27" s="9" customFormat="1" ht="19.5" customHeight="1">
      <c r="A21" s="45"/>
      <c r="B21" s="34"/>
      <c r="C21" s="34"/>
      <c r="D21" s="34"/>
      <c r="E21" s="36"/>
      <c r="F21" s="36"/>
      <c r="G21" s="37"/>
      <c r="H21" s="53"/>
      <c r="I21" s="223" t="s">
        <v>709</v>
      </c>
      <c r="J21" s="476"/>
      <c r="K21" s="538"/>
      <c r="L21" s="538"/>
      <c r="M21" s="528">
        <v>50000</v>
      </c>
      <c r="N21" s="528" t="s">
        <v>25</v>
      </c>
      <c r="O21" s="534" t="s">
        <v>26</v>
      </c>
      <c r="P21" s="528">
        <v>1</v>
      </c>
      <c r="Q21" s="413" t="s">
        <v>129</v>
      </c>
      <c r="R21" s="537" t="s">
        <v>26</v>
      </c>
      <c r="S21" s="232">
        <v>1</v>
      </c>
      <c r="T21" s="475" t="s">
        <v>215</v>
      </c>
      <c r="U21" s="475" t="s">
        <v>26</v>
      </c>
      <c r="V21" s="536">
        <v>0.9</v>
      </c>
      <c r="W21" s="529" t="s">
        <v>27</v>
      </c>
      <c r="X21" s="476">
        <f>ROUNDUP(M21*P21*S21*V21,-3)</f>
        <v>45000</v>
      </c>
      <c r="Y21" s="103" t="s">
        <v>706</v>
      </c>
      <c r="Z21" s="461"/>
    </row>
    <row r="22" spans="1:27" s="9" customFormat="1" ht="19.5" customHeight="1">
      <c r="A22" s="45"/>
      <c r="B22" s="34"/>
      <c r="C22" s="34"/>
      <c r="D22" s="34"/>
      <c r="E22" s="36"/>
      <c r="F22" s="36"/>
      <c r="G22" s="37"/>
      <c r="H22" s="53"/>
      <c r="I22" s="223"/>
      <c r="J22" s="51"/>
      <c r="K22" s="155"/>
      <c r="L22" s="155"/>
      <c r="M22" s="229"/>
      <c r="N22" s="229"/>
      <c r="O22" s="153"/>
      <c r="P22" s="465"/>
      <c r="Q22" s="39"/>
      <c r="R22" s="351"/>
      <c r="S22" s="41"/>
      <c r="T22" s="464"/>
      <c r="U22" s="464"/>
      <c r="V22" s="365"/>
      <c r="W22" s="230"/>
      <c r="X22" s="51"/>
      <c r="Y22" s="42"/>
      <c r="Z22" s="461"/>
    </row>
    <row r="23" spans="1:27" s="9" customFormat="1" ht="19.5" customHeight="1" thickBot="1">
      <c r="A23" s="45"/>
      <c r="B23" s="34"/>
      <c r="C23" s="34"/>
      <c r="D23" s="24" t="s">
        <v>372</v>
      </c>
      <c r="E23" s="25">
        <v>1373755</v>
      </c>
      <c r="F23" s="182">
        <f>ROUND(X23/1000,0)</f>
        <v>1314779</v>
      </c>
      <c r="G23" s="26">
        <f>F23-E23</f>
        <v>-58976</v>
      </c>
      <c r="H23" s="93">
        <f>IF(E23=0,0,G23/E23)</f>
        <v>-4.2930507987232074E-2</v>
      </c>
      <c r="I23" s="188" t="s">
        <v>612</v>
      </c>
      <c r="J23" s="187"/>
      <c r="K23" s="191"/>
      <c r="L23" s="191"/>
      <c r="M23" s="69"/>
      <c r="N23" s="69"/>
      <c r="O23" s="183"/>
      <c r="P23" s="69"/>
      <c r="Q23" s="184"/>
      <c r="R23" s="185"/>
      <c r="S23" s="186"/>
      <c r="T23" s="463"/>
      <c r="U23" s="463"/>
      <c r="V23" s="189" t="s">
        <v>373</v>
      </c>
      <c r="W23" s="190"/>
      <c r="X23" s="190">
        <f>SUM(X24,X25,X29,X33)</f>
        <v>1314779000</v>
      </c>
      <c r="Y23" s="209" t="s">
        <v>374</v>
      </c>
      <c r="Z23" s="461"/>
    </row>
    <row r="24" spans="1:27" s="9" customFormat="1" ht="19.5" customHeight="1">
      <c r="A24" s="45"/>
      <c r="B24" s="34"/>
      <c r="C24" s="34"/>
      <c r="D24" s="34"/>
      <c r="E24" s="36"/>
      <c r="F24" s="36"/>
      <c r="G24" s="37"/>
      <c r="H24" s="675"/>
      <c r="I24" s="641" t="s">
        <v>393</v>
      </c>
      <c r="J24" s="674"/>
      <c r="K24" s="673"/>
      <c r="L24" s="673"/>
      <c r="M24" s="673">
        <v>1204935000</v>
      </c>
      <c r="N24" s="673" t="s">
        <v>56</v>
      </c>
      <c r="O24" s="646" t="s">
        <v>57</v>
      </c>
      <c r="P24" s="539">
        <v>0.7</v>
      </c>
      <c r="Q24" s="673"/>
      <c r="R24" s="673"/>
      <c r="S24" s="673"/>
      <c r="T24" s="673"/>
      <c r="U24" s="673" t="s">
        <v>53</v>
      </c>
      <c r="V24" s="670" t="s">
        <v>375</v>
      </c>
      <c r="W24" s="317"/>
      <c r="X24" s="670">
        <f>ROUND(M24*P24,-3)</f>
        <v>843455000</v>
      </c>
      <c r="Y24" s="309" t="s">
        <v>25</v>
      </c>
      <c r="Z24" s="558"/>
      <c r="AA24" s="678"/>
    </row>
    <row r="25" spans="1:27" s="9" customFormat="1" ht="19.5" customHeight="1">
      <c r="A25" s="45"/>
      <c r="B25" s="34"/>
      <c r="C25" s="34"/>
      <c r="D25" s="34"/>
      <c r="E25" s="36"/>
      <c r="F25" s="36"/>
      <c r="G25" s="37"/>
      <c r="H25" s="675"/>
      <c r="I25" s="225" t="s">
        <v>376</v>
      </c>
      <c r="J25" s="674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332" t="s">
        <v>375</v>
      </c>
      <c r="W25" s="648"/>
      <c r="X25" s="332">
        <f>SUM(X26:X28)</f>
        <v>266812000</v>
      </c>
      <c r="Y25" s="333" t="s">
        <v>25</v>
      </c>
      <c r="Z25" s="558"/>
      <c r="AA25" s="678"/>
    </row>
    <row r="26" spans="1:27" s="9" customFormat="1" ht="19.5" customHeight="1">
      <c r="A26" s="45"/>
      <c r="B26" s="34"/>
      <c r="C26" s="34"/>
      <c r="D26" s="34"/>
      <c r="E26" s="36"/>
      <c r="F26" s="36"/>
      <c r="G26" s="37"/>
      <c r="H26" s="675"/>
      <c r="I26" s="640" t="s">
        <v>395</v>
      </c>
      <c r="J26" s="674"/>
      <c r="K26" s="673"/>
      <c r="L26" s="673"/>
      <c r="M26" s="673">
        <v>124389000</v>
      </c>
      <c r="N26" s="673" t="s">
        <v>56</v>
      </c>
      <c r="O26" s="646" t="s">
        <v>57</v>
      </c>
      <c r="P26" s="539">
        <v>0.7</v>
      </c>
      <c r="Q26" s="673"/>
      <c r="R26" s="673"/>
      <c r="S26" s="673"/>
      <c r="T26" s="673"/>
      <c r="U26" s="673" t="s">
        <v>53</v>
      </c>
      <c r="V26" s="779"/>
      <c r="W26" s="779"/>
      <c r="X26" s="602">
        <f>ROUNDDOWN(M26*P26,-3)</f>
        <v>87072000</v>
      </c>
      <c r="Y26" s="305" t="s">
        <v>56</v>
      </c>
      <c r="Z26" s="558"/>
      <c r="AA26" s="678"/>
    </row>
    <row r="27" spans="1:27" s="9" customFormat="1" ht="19.5" customHeight="1">
      <c r="A27" s="45"/>
      <c r="B27" s="34"/>
      <c r="C27" s="34"/>
      <c r="D27" s="34"/>
      <c r="E27" s="36"/>
      <c r="F27" s="36"/>
      <c r="G27" s="37"/>
      <c r="H27" s="675"/>
      <c r="I27" s="640" t="s">
        <v>715</v>
      </c>
      <c r="J27" s="674"/>
      <c r="K27" s="673"/>
      <c r="L27" s="673"/>
      <c r="M27" s="673">
        <v>23942000</v>
      </c>
      <c r="N27" s="673" t="s">
        <v>56</v>
      </c>
      <c r="O27" s="646" t="s">
        <v>57</v>
      </c>
      <c r="P27" s="539">
        <v>0.7</v>
      </c>
      <c r="Q27" s="673"/>
      <c r="R27" s="673"/>
      <c r="S27" s="673"/>
      <c r="T27" s="673"/>
      <c r="U27" s="673" t="s">
        <v>53</v>
      </c>
      <c r="V27" s="778"/>
      <c r="W27" s="778"/>
      <c r="X27" s="659">
        <f>ROUNDUP(M27*P27,-3)</f>
        <v>16760000</v>
      </c>
      <c r="Y27" s="632" t="s">
        <v>56</v>
      </c>
      <c r="Z27" s="558"/>
      <c r="AA27" s="678"/>
    </row>
    <row r="28" spans="1:27" s="9" customFormat="1" ht="19.5" customHeight="1">
      <c r="A28" s="45"/>
      <c r="B28" s="34"/>
      <c r="C28" s="34"/>
      <c r="D28" s="34"/>
      <c r="E28" s="36"/>
      <c r="F28" s="36"/>
      <c r="G28" s="37"/>
      <c r="H28" s="675"/>
      <c r="I28" s="640" t="s">
        <v>397</v>
      </c>
      <c r="J28" s="674"/>
      <c r="K28" s="673"/>
      <c r="L28" s="673"/>
      <c r="M28" s="673">
        <v>232829000</v>
      </c>
      <c r="N28" s="673" t="s">
        <v>56</v>
      </c>
      <c r="O28" s="646" t="s">
        <v>57</v>
      </c>
      <c r="P28" s="539">
        <v>0.7</v>
      </c>
      <c r="Q28" s="673"/>
      <c r="R28" s="673"/>
      <c r="S28" s="673"/>
      <c r="T28" s="673"/>
      <c r="U28" s="673" t="s">
        <v>53</v>
      </c>
      <c r="V28" s="778"/>
      <c r="W28" s="778"/>
      <c r="X28" s="659">
        <f>ROUND(M28*P28,-3)</f>
        <v>162980000</v>
      </c>
      <c r="Y28" s="632" t="s">
        <v>56</v>
      </c>
      <c r="Z28" s="558"/>
      <c r="AA28" s="678"/>
    </row>
    <row r="29" spans="1:27" s="9" customFormat="1" ht="19.5" customHeight="1">
      <c r="A29" s="45"/>
      <c r="B29" s="34"/>
      <c r="C29" s="34"/>
      <c r="D29" s="34"/>
      <c r="E29" s="36"/>
      <c r="F29" s="36"/>
      <c r="G29" s="37"/>
      <c r="H29" s="675"/>
      <c r="I29" s="641" t="s">
        <v>716</v>
      </c>
      <c r="J29" s="674"/>
      <c r="K29" s="673"/>
      <c r="L29" s="673"/>
      <c r="M29" s="673"/>
      <c r="N29" s="673"/>
      <c r="O29" s="673"/>
      <c r="P29" s="673"/>
      <c r="Q29" s="673"/>
      <c r="R29" s="673"/>
      <c r="S29" s="673"/>
      <c r="T29" s="673"/>
      <c r="U29" s="673"/>
      <c r="V29" s="670" t="s">
        <v>375</v>
      </c>
      <c r="W29" s="317"/>
      <c r="X29" s="670">
        <f>SUM(X30:X32)</f>
        <v>94393000</v>
      </c>
      <c r="Y29" s="309" t="s">
        <v>25</v>
      </c>
      <c r="Z29" s="558"/>
      <c r="AA29" s="678"/>
    </row>
    <row r="30" spans="1:27" s="9" customFormat="1" ht="19.5" customHeight="1">
      <c r="A30" s="45"/>
      <c r="B30" s="34"/>
      <c r="C30" s="34"/>
      <c r="D30" s="34"/>
      <c r="E30" s="36"/>
      <c r="F30" s="36"/>
      <c r="G30" s="37"/>
      <c r="H30" s="675"/>
      <c r="I30" s="640" t="s">
        <v>772</v>
      </c>
      <c r="J30" s="674"/>
      <c r="K30" s="673"/>
      <c r="L30" s="673"/>
      <c r="M30" s="673">
        <f>SUM(M24:M28)</f>
        <v>1586095000</v>
      </c>
      <c r="N30" s="652" t="s">
        <v>56</v>
      </c>
      <c r="O30" s="658" t="s">
        <v>61</v>
      </c>
      <c r="P30" s="415">
        <v>12</v>
      </c>
      <c r="Q30" s="534" t="s">
        <v>0</v>
      </c>
      <c r="R30" s="646" t="s">
        <v>57</v>
      </c>
      <c r="S30" s="539">
        <v>0.7</v>
      </c>
      <c r="T30" s="673"/>
      <c r="U30" s="673" t="s">
        <v>53</v>
      </c>
      <c r="V30" s="594"/>
      <c r="W30" s="594"/>
      <c r="X30" s="602">
        <f>ROUNDUP(M30/P30*S30,-3)</f>
        <v>92523000</v>
      </c>
      <c r="Y30" s="556" t="s">
        <v>56</v>
      </c>
      <c r="Z30" s="558"/>
      <c r="AA30" s="678"/>
    </row>
    <row r="31" spans="1:27" s="9" customFormat="1" ht="19.5" customHeight="1">
      <c r="A31" s="45"/>
      <c r="B31" s="34"/>
      <c r="C31" s="34"/>
      <c r="D31" s="34"/>
      <c r="E31" s="36"/>
      <c r="F31" s="36"/>
      <c r="G31" s="37"/>
      <c r="H31" s="675"/>
      <c r="I31" s="640" t="s">
        <v>773</v>
      </c>
      <c r="J31" s="674"/>
      <c r="K31" s="673"/>
      <c r="L31" s="673"/>
      <c r="M31" s="673"/>
      <c r="N31" s="652"/>
      <c r="O31" s="658"/>
      <c r="P31" s="415"/>
      <c r="Q31" s="534"/>
      <c r="R31" s="646"/>
      <c r="S31" s="539"/>
      <c r="T31" s="673"/>
      <c r="U31" s="673"/>
      <c r="V31" s="673"/>
      <c r="W31" s="673"/>
      <c r="X31" s="659"/>
      <c r="Y31" s="540"/>
      <c r="Z31" s="558"/>
      <c r="AA31" s="678"/>
    </row>
    <row r="32" spans="1:27" s="9" customFormat="1" ht="19.5" customHeight="1">
      <c r="A32" s="45"/>
      <c r="B32" s="34"/>
      <c r="C32" s="34"/>
      <c r="D32" s="34"/>
      <c r="E32" s="36"/>
      <c r="F32" s="36"/>
      <c r="G32" s="37"/>
      <c r="H32" s="675"/>
      <c r="I32" s="640"/>
      <c r="J32" s="674"/>
      <c r="K32" s="673"/>
      <c r="L32" s="673"/>
      <c r="M32" s="673">
        <f>2670000+2000</f>
        <v>2672000</v>
      </c>
      <c r="N32" s="652" t="s">
        <v>56</v>
      </c>
      <c r="O32" s="658"/>
      <c r="P32" s="415"/>
      <c r="Q32" s="534"/>
      <c r="R32" s="646" t="s">
        <v>57</v>
      </c>
      <c r="S32" s="539">
        <v>0.7</v>
      </c>
      <c r="T32" s="673"/>
      <c r="U32" s="673" t="s">
        <v>53</v>
      </c>
      <c r="V32" s="673"/>
      <c r="W32" s="673"/>
      <c r="X32" s="659">
        <f>ROUND(M32*S32,-3)</f>
        <v>1870000</v>
      </c>
      <c r="Y32" s="540" t="s">
        <v>56</v>
      </c>
      <c r="Z32" s="558"/>
      <c r="AA32" s="678"/>
    </row>
    <row r="33" spans="1:27" s="9" customFormat="1" ht="19.5" customHeight="1">
      <c r="A33" s="45"/>
      <c r="B33" s="34"/>
      <c r="C33" s="34"/>
      <c r="D33" s="34"/>
      <c r="E33" s="36"/>
      <c r="F33" s="36"/>
      <c r="G33" s="37"/>
      <c r="H33" s="675"/>
      <c r="I33" s="641" t="s">
        <v>385</v>
      </c>
      <c r="J33" s="674"/>
      <c r="K33" s="673"/>
      <c r="L33" s="673"/>
      <c r="M33" s="673"/>
      <c r="N33" s="652"/>
      <c r="O33" s="673"/>
      <c r="P33" s="673"/>
      <c r="Q33" s="673"/>
      <c r="R33" s="673"/>
      <c r="S33" s="673"/>
      <c r="T33" s="673"/>
      <c r="U33" s="673"/>
      <c r="V33" s="670" t="s">
        <v>375</v>
      </c>
      <c r="W33" s="317"/>
      <c r="X33" s="670">
        <f>SUM(X34:X38)</f>
        <v>110119000</v>
      </c>
      <c r="Y33" s="309" t="s">
        <v>25</v>
      </c>
      <c r="Z33" s="558"/>
      <c r="AA33" s="678"/>
    </row>
    <row r="34" spans="1:27" s="9" customFormat="1" ht="19.5" customHeight="1">
      <c r="A34" s="45"/>
      <c r="B34" s="34"/>
      <c r="C34" s="34"/>
      <c r="D34" s="34"/>
      <c r="E34" s="36"/>
      <c r="F34" s="36"/>
      <c r="G34" s="37"/>
      <c r="H34" s="675"/>
      <c r="I34" s="640" t="s">
        <v>724</v>
      </c>
      <c r="J34" s="674"/>
      <c r="K34" s="673"/>
      <c r="L34" s="673"/>
      <c r="M34" s="673">
        <f>M30</f>
        <v>1586095000</v>
      </c>
      <c r="N34" s="652" t="s">
        <v>56</v>
      </c>
      <c r="O34" s="646" t="s">
        <v>57</v>
      </c>
      <c r="P34" s="612">
        <v>0.09</v>
      </c>
      <c r="Q34" s="658">
        <v>2</v>
      </c>
      <c r="R34" s="646" t="s">
        <v>57</v>
      </c>
      <c r="S34" s="539">
        <v>0.7</v>
      </c>
      <c r="T34" s="625"/>
      <c r="U34" s="658" t="s">
        <v>53</v>
      </c>
      <c r="V34" s="673"/>
      <c r="W34" s="659"/>
      <c r="X34" s="659">
        <f>ROUND(M34*P34/Q34*S34,-3)</f>
        <v>49962000</v>
      </c>
      <c r="Y34" s="632" t="s">
        <v>56</v>
      </c>
      <c r="Z34" s="558"/>
      <c r="AA34" s="678"/>
    </row>
    <row r="35" spans="1:27" s="9" customFormat="1" ht="19.5" customHeight="1">
      <c r="A35" s="45"/>
      <c r="B35" s="34"/>
      <c r="C35" s="34"/>
      <c r="D35" s="34"/>
      <c r="E35" s="36"/>
      <c r="F35" s="36"/>
      <c r="G35" s="37"/>
      <c r="H35" s="675"/>
      <c r="I35" s="640" t="s">
        <v>387</v>
      </c>
      <c r="J35" s="674"/>
      <c r="K35" s="673"/>
      <c r="L35" s="673"/>
      <c r="M35" s="673">
        <f>M30</f>
        <v>1586095000</v>
      </c>
      <c r="N35" s="652" t="s">
        <v>56</v>
      </c>
      <c r="O35" s="646" t="s">
        <v>57</v>
      </c>
      <c r="P35" s="613">
        <v>6.8599999999999994E-2</v>
      </c>
      <c r="Q35" s="658">
        <v>2</v>
      </c>
      <c r="R35" s="646" t="s">
        <v>57</v>
      </c>
      <c r="S35" s="539">
        <v>0.7</v>
      </c>
      <c r="T35" s="625"/>
      <c r="U35" s="658" t="s">
        <v>53</v>
      </c>
      <c r="V35" s="673"/>
      <c r="W35" s="659"/>
      <c r="X35" s="659">
        <f>ROUND(M35*P35/Q35*S35,-3)</f>
        <v>38082000</v>
      </c>
      <c r="Y35" s="632" t="s">
        <v>56</v>
      </c>
      <c r="Z35" s="558"/>
      <c r="AA35" s="678"/>
    </row>
    <row r="36" spans="1:27" s="9" customFormat="1" ht="19.5" customHeight="1">
      <c r="A36" s="45"/>
      <c r="B36" s="34"/>
      <c r="C36" s="34"/>
      <c r="D36" s="34"/>
      <c r="E36" s="36"/>
      <c r="F36" s="36"/>
      <c r="G36" s="37"/>
      <c r="H36" s="675"/>
      <c r="I36" s="640" t="s">
        <v>725</v>
      </c>
      <c r="J36" s="674"/>
      <c r="K36" s="673"/>
      <c r="L36" s="673"/>
      <c r="M36" s="673">
        <f>X35</f>
        <v>38082000</v>
      </c>
      <c r="N36" s="652" t="s">
        <v>56</v>
      </c>
      <c r="O36" s="646" t="s">
        <v>57</v>
      </c>
      <c r="P36" s="603">
        <v>0.1152</v>
      </c>
      <c r="Q36" s="646"/>
      <c r="R36" s="646"/>
      <c r="S36" s="654"/>
      <c r="T36" s="625"/>
      <c r="U36" s="658" t="s">
        <v>53</v>
      </c>
      <c r="V36" s="673"/>
      <c r="W36" s="659"/>
      <c r="X36" s="659">
        <f>ROUNDUP(M36*P36,-3)</f>
        <v>4388000</v>
      </c>
      <c r="Y36" s="632" t="s">
        <v>56</v>
      </c>
      <c r="Z36" s="558"/>
      <c r="AA36" s="678"/>
    </row>
    <row r="37" spans="1:27" s="9" customFormat="1" ht="19.5" customHeight="1">
      <c r="A37" s="45"/>
      <c r="B37" s="34"/>
      <c r="C37" s="34"/>
      <c r="D37" s="34"/>
      <c r="E37" s="36"/>
      <c r="F37" s="36"/>
      <c r="G37" s="37"/>
      <c r="H37" s="675"/>
      <c r="I37" s="640" t="s">
        <v>389</v>
      </c>
      <c r="J37" s="674"/>
      <c r="K37" s="673"/>
      <c r="L37" s="673"/>
      <c r="M37" s="673">
        <f>M30</f>
        <v>1586095000</v>
      </c>
      <c r="N37" s="652" t="s">
        <v>56</v>
      </c>
      <c r="O37" s="646" t="s">
        <v>57</v>
      </c>
      <c r="P37" s="603">
        <v>8.9999999999999993E-3</v>
      </c>
      <c r="Q37" s="646"/>
      <c r="R37" s="646" t="s">
        <v>57</v>
      </c>
      <c r="S37" s="539">
        <v>0.7</v>
      </c>
      <c r="T37" s="625"/>
      <c r="U37" s="658" t="s">
        <v>53</v>
      </c>
      <c r="V37" s="673"/>
      <c r="W37" s="659"/>
      <c r="X37" s="659">
        <f>ROUNDUP(M37*P37*S37,-3)</f>
        <v>9993000</v>
      </c>
      <c r="Y37" s="632" t="s">
        <v>56</v>
      </c>
      <c r="Z37" s="558"/>
      <c r="AA37" s="678"/>
    </row>
    <row r="38" spans="1:27" s="9" customFormat="1" ht="19.5" customHeight="1">
      <c r="A38" s="45"/>
      <c r="B38" s="34"/>
      <c r="C38" s="34"/>
      <c r="D38" s="34"/>
      <c r="E38" s="36"/>
      <c r="F38" s="36"/>
      <c r="G38" s="37"/>
      <c r="H38" s="675"/>
      <c r="I38" s="640" t="s">
        <v>726</v>
      </c>
      <c r="J38" s="674"/>
      <c r="K38" s="673"/>
      <c r="L38" s="673"/>
      <c r="M38" s="673">
        <f>M30</f>
        <v>1586095000</v>
      </c>
      <c r="N38" s="652" t="s">
        <v>56</v>
      </c>
      <c r="O38" s="646" t="s">
        <v>57</v>
      </c>
      <c r="P38" s="614">
        <v>6.9300000000000004E-3</v>
      </c>
      <c r="Q38" s="646"/>
      <c r="R38" s="646" t="s">
        <v>57</v>
      </c>
      <c r="S38" s="539">
        <v>0.7</v>
      </c>
      <c r="T38" s="625"/>
      <c r="U38" s="658" t="s">
        <v>53</v>
      </c>
      <c r="V38" s="673"/>
      <c r="W38" s="659"/>
      <c r="X38" s="659">
        <f>ROUNDDOWN(M38*P38*S38,-3)</f>
        <v>7694000</v>
      </c>
      <c r="Y38" s="632" t="s">
        <v>56</v>
      </c>
      <c r="Z38" s="558"/>
      <c r="AA38" s="678"/>
    </row>
    <row r="39" spans="1:27" s="9" customFormat="1" ht="19.5" customHeight="1">
      <c r="A39" s="45"/>
      <c r="B39" s="34"/>
      <c r="C39" s="34"/>
      <c r="D39" s="34"/>
      <c r="E39" s="36"/>
      <c r="F39" s="36"/>
      <c r="G39" s="37"/>
      <c r="H39" s="675"/>
      <c r="I39" s="674"/>
      <c r="J39" s="674"/>
      <c r="K39" s="673"/>
      <c r="L39" s="673"/>
      <c r="M39" s="673"/>
      <c r="N39" s="652"/>
      <c r="O39" s="646"/>
      <c r="P39" s="614"/>
      <c r="Q39" s="646"/>
      <c r="R39" s="646"/>
      <c r="S39" s="539"/>
      <c r="T39" s="625"/>
      <c r="U39" s="658"/>
      <c r="V39" s="673"/>
      <c r="W39" s="659"/>
      <c r="X39" s="659"/>
      <c r="Y39" s="632"/>
      <c r="Z39" s="558"/>
      <c r="AA39" s="678"/>
    </row>
    <row r="40" spans="1:27" s="9" customFormat="1" ht="19.5" customHeight="1" thickBot="1">
      <c r="A40" s="45"/>
      <c r="B40" s="34"/>
      <c r="C40" s="34"/>
      <c r="D40" s="34"/>
      <c r="E40" s="25">
        <v>0</v>
      </c>
      <c r="F40" s="182">
        <f>ROUND(X40/1000,0)</f>
        <v>0</v>
      </c>
      <c r="G40" s="26">
        <f>F40-E40</f>
        <v>0</v>
      </c>
      <c r="H40" s="676">
        <f>IF(E40=0,0,G40/E40)</f>
        <v>0</v>
      </c>
      <c r="I40" s="547" t="s">
        <v>391</v>
      </c>
      <c r="J40" s="602"/>
      <c r="K40" s="548"/>
      <c r="L40" s="548"/>
      <c r="M40" s="594"/>
      <c r="N40" s="594"/>
      <c r="O40" s="549"/>
      <c r="P40" s="594"/>
      <c r="Q40" s="420"/>
      <c r="R40" s="550"/>
      <c r="S40" s="551"/>
      <c r="T40" s="552"/>
      <c r="U40" s="552"/>
      <c r="V40" s="553" t="s">
        <v>714</v>
      </c>
      <c r="W40" s="554"/>
      <c r="X40" s="554">
        <f>SUM(X41,X42,X46,X48)</f>
        <v>0</v>
      </c>
      <c r="Y40" s="555" t="s">
        <v>56</v>
      </c>
      <c r="Z40" s="558"/>
      <c r="AA40" s="678"/>
    </row>
    <row r="41" spans="1:27" s="9" customFormat="1" ht="19.5" customHeight="1">
      <c r="A41" s="45"/>
      <c r="B41" s="34"/>
      <c r="C41" s="34"/>
      <c r="D41" s="34"/>
      <c r="E41" s="36"/>
      <c r="F41" s="36"/>
      <c r="G41" s="37"/>
      <c r="H41" s="53"/>
      <c r="I41" s="224" t="s">
        <v>393</v>
      </c>
      <c r="J41" s="230"/>
      <c r="K41" s="229"/>
      <c r="L41" s="229"/>
      <c r="M41" s="229"/>
      <c r="N41" s="229" t="s">
        <v>380</v>
      </c>
      <c r="O41" s="57" t="s">
        <v>383</v>
      </c>
      <c r="P41" s="364">
        <v>0.7</v>
      </c>
      <c r="Q41" s="229"/>
      <c r="R41" s="229"/>
      <c r="S41" s="229"/>
      <c r="T41" s="229"/>
      <c r="U41" s="229" t="s">
        <v>384</v>
      </c>
      <c r="V41" s="169" t="s">
        <v>378</v>
      </c>
      <c r="W41" s="55"/>
      <c r="X41" s="530">
        <f>ROUND(M41*P41,-3)</f>
        <v>0</v>
      </c>
      <c r="Y41" s="56" t="s">
        <v>25</v>
      </c>
      <c r="Z41" s="461"/>
    </row>
    <row r="42" spans="1:27" s="9" customFormat="1" ht="19.5" customHeight="1">
      <c r="A42" s="45"/>
      <c r="B42" s="34"/>
      <c r="C42" s="34"/>
      <c r="D42" s="34"/>
      <c r="E42" s="36"/>
      <c r="F42" s="36"/>
      <c r="G42" s="37"/>
      <c r="H42" s="53"/>
      <c r="I42" s="225" t="s">
        <v>394</v>
      </c>
      <c r="J42" s="230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108" t="s">
        <v>378</v>
      </c>
      <c r="W42" s="109"/>
      <c r="X42" s="332">
        <f>SUM(X43:X45)</f>
        <v>0</v>
      </c>
      <c r="Y42" s="110" t="s">
        <v>25</v>
      </c>
      <c r="Z42" s="461"/>
    </row>
    <row r="43" spans="1:27" s="9" customFormat="1" ht="19.5" customHeight="1">
      <c r="A43" s="45"/>
      <c r="B43" s="34"/>
      <c r="C43" s="34"/>
      <c r="D43" s="34"/>
      <c r="E43" s="36"/>
      <c r="F43" s="36"/>
      <c r="G43" s="37"/>
      <c r="H43" s="53"/>
      <c r="I43" s="223" t="s">
        <v>395</v>
      </c>
      <c r="J43" s="230"/>
      <c r="K43" s="229"/>
      <c r="L43" s="229"/>
      <c r="M43" s="229"/>
      <c r="N43" s="229" t="s">
        <v>380</v>
      </c>
      <c r="O43" s="57" t="s">
        <v>383</v>
      </c>
      <c r="P43" s="364">
        <v>0.7</v>
      </c>
      <c r="Q43" s="229"/>
      <c r="R43" s="229"/>
      <c r="S43" s="229"/>
      <c r="T43" s="229"/>
      <c r="U43" s="229" t="s">
        <v>384</v>
      </c>
      <c r="V43" s="777"/>
      <c r="W43" s="777"/>
      <c r="X43" s="421">
        <f>ROUND(M43*P43,-3)</f>
        <v>0</v>
      </c>
      <c r="Y43" s="359" t="s">
        <v>380</v>
      </c>
      <c r="Z43" s="461"/>
    </row>
    <row r="44" spans="1:27" s="9" customFormat="1" ht="19.5" customHeight="1">
      <c r="A44" s="45"/>
      <c r="B44" s="34"/>
      <c r="C44" s="34"/>
      <c r="D44" s="34"/>
      <c r="E44" s="36"/>
      <c r="F44" s="36"/>
      <c r="G44" s="37"/>
      <c r="H44" s="53"/>
      <c r="I44" s="223" t="s">
        <v>396</v>
      </c>
      <c r="J44" s="230"/>
      <c r="K44" s="229"/>
      <c r="L44" s="229"/>
      <c r="M44" s="229"/>
      <c r="N44" s="229" t="s">
        <v>380</v>
      </c>
      <c r="O44" s="57" t="s">
        <v>383</v>
      </c>
      <c r="P44" s="364">
        <v>0.7</v>
      </c>
      <c r="Q44" s="229"/>
      <c r="R44" s="229"/>
      <c r="S44" s="229"/>
      <c r="T44" s="229"/>
      <c r="U44" s="229" t="s">
        <v>384</v>
      </c>
      <c r="V44" s="775"/>
      <c r="W44" s="775"/>
      <c r="X44" s="476">
        <f>ROUND(M44*P44,-3)</f>
        <v>0</v>
      </c>
      <c r="Y44" s="42" t="s">
        <v>380</v>
      </c>
      <c r="Z44" s="461"/>
    </row>
    <row r="45" spans="1:27" s="9" customFormat="1" ht="19.5" customHeight="1">
      <c r="A45" s="45"/>
      <c r="B45" s="34"/>
      <c r="C45" s="34"/>
      <c r="D45" s="34"/>
      <c r="E45" s="36"/>
      <c r="F45" s="36"/>
      <c r="G45" s="37"/>
      <c r="H45" s="53"/>
      <c r="I45" s="223" t="s">
        <v>397</v>
      </c>
      <c r="J45" s="230"/>
      <c r="K45" s="229"/>
      <c r="L45" s="229"/>
      <c r="M45" s="229"/>
      <c r="N45" s="229" t="s">
        <v>380</v>
      </c>
      <c r="O45" s="57" t="s">
        <v>383</v>
      </c>
      <c r="P45" s="364">
        <v>0.7</v>
      </c>
      <c r="Q45" s="229"/>
      <c r="R45" s="229"/>
      <c r="S45" s="229"/>
      <c r="T45" s="229"/>
      <c r="U45" s="229" t="s">
        <v>384</v>
      </c>
      <c r="V45" s="775"/>
      <c r="W45" s="775"/>
      <c r="X45" s="476">
        <f>ROUND(M45*P45,-3)</f>
        <v>0</v>
      </c>
      <c r="Y45" s="42" t="s">
        <v>380</v>
      </c>
      <c r="Z45" s="461"/>
    </row>
    <row r="46" spans="1:27" s="9" customFormat="1" ht="19.5" customHeight="1">
      <c r="A46" s="45"/>
      <c r="B46" s="34"/>
      <c r="C46" s="34"/>
      <c r="D46" s="34"/>
      <c r="E46" s="36"/>
      <c r="F46" s="36"/>
      <c r="G46" s="37"/>
      <c r="H46" s="53"/>
      <c r="I46" s="224" t="s">
        <v>377</v>
      </c>
      <c r="J46" s="230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169" t="s">
        <v>378</v>
      </c>
      <c r="W46" s="55"/>
      <c r="X46" s="530">
        <f>X47</f>
        <v>0</v>
      </c>
      <c r="Y46" s="56" t="s">
        <v>25</v>
      </c>
      <c r="Z46" s="461"/>
    </row>
    <row r="47" spans="1:27" s="9" customFormat="1" ht="19.5" customHeight="1">
      <c r="A47" s="45"/>
      <c r="B47" s="34"/>
      <c r="C47" s="34"/>
      <c r="D47" s="34"/>
      <c r="E47" s="36"/>
      <c r="F47" s="36"/>
      <c r="G47" s="37"/>
      <c r="H47" s="53"/>
      <c r="I47" s="223" t="s">
        <v>398</v>
      </c>
      <c r="J47" s="230"/>
      <c r="K47" s="229"/>
      <c r="L47" s="229"/>
      <c r="M47" s="229"/>
      <c r="N47" s="39" t="s">
        <v>380</v>
      </c>
      <c r="O47" s="464" t="s">
        <v>381</v>
      </c>
      <c r="P47" s="358">
        <v>12</v>
      </c>
      <c r="Q47" s="153" t="s">
        <v>382</v>
      </c>
      <c r="R47" s="57" t="s">
        <v>383</v>
      </c>
      <c r="S47" s="364">
        <v>0.7</v>
      </c>
      <c r="T47" s="229"/>
      <c r="U47" s="229" t="s">
        <v>384</v>
      </c>
      <c r="V47" s="69"/>
      <c r="W47" s="69"/>
      <c r="X47" s="421">
        <f>ROUNDUP(M47/P47*S47,-3)</f>
        <v>0</v>
      </c>
      <c r="Y47" s="373" t="s">
        <v>380</v>
      </c>
      <c r="Z47" s="461"/>
    </row>
    <row r="48" spans="1:27" s="9" customFormat="1" ht="19.5" customHeight="1">
      <c r="A48" s="45"/>
      <c r="B48" s="34"/>
      <c r="C48" s="34"/>
      <c r="D48" s="34"/>
      <c r="E48" s="36"/>
      <c r="F48" s="36"/>
      <c r="G48" s="37"/>
      <c r="H48" s="53"/>
      <c r="I48" s="224" t="s">
        <v>385</v>
      </c>
      <c r="J48" s="230"/>
      <c r="K48" s="229"/>
      <c r="L48" s="229"/>
      <c r="M48" s="229"/>
      <c r="N48" s="39"/>
      <c r="O48" s="229"/>
      <c r="P48" s="229"/>
      <c r="Q48" s="229"/>
      <c r="R48" s="229"/>
      <c r="S48" s="229"/>
      <c r="T48" s="229"/>
      <c r="U48" s="229"/>
      <c r="V48" s="169" t="s">
        <v>378</v>
      </c>
      <c r="W48" s="55"/>
      <c r="X48" s="530">
        <f>SUM(X49:X53)</f>
        <v>0</v>
      </c>
      <c r="Y48" s="56" t="s">
        <v>25</v>
      </c>
      <c r="Z48" s="461"/>
    </row>
    <row r="49" spans="1:26" s="9" customFormat="1" ht="19.5" customHeight="1">
      <c r="A49" s="45"/>
      <c r="B49" s="34"/>
      <c r="C49" s="34"/>
      <c r="D49" s="34"/>
      <c r="E49" s="36"/>
      <c r="F49" s="36"/>
      <c r="G49" s="37"/>
      <c r="H49" s="53"/>
      <c r="I49" s="223" t="s">
        <v>386</v>
      </c>
      <c r="J49" s="230"/>
      <c r="K49" s="229"/>
      <c r="L49" s="229"/>
      <c r="M49" s="229"/>
      <c r="N49" s="39" t="s">
        <v>380</v>
      </c>
      <c r="O49" s="57" t="s">
        <v>383</v>
      </c>
      <c r="P49" s="347">
        <v>0.09</v>
      </c>
      <c r="Q49" s="464">
        <v>2</v>
      </c>
      <c r="R49" s="57" t="s">
        <v>383</v>
      </c>
      <c r="S49" s="364">
        <v>0.7</v>
      </c>
      <c r="T49" s="59"/>
      <c r="U49" s="464" t="s">
        <v>384</v>
      </c>
      <c r="V49" s="229"/>
      <c r="W49" s="51"/>
      <c r="X49" s="476">
        <f>ROUND(M49*P49/Q49*S49,-3)</f>
        <v>0</v>
      </c>
      <c r="Y49" s="42" t="s">
        <v>380</v>
      </c>
      <c r="Z49" s="461"/>
    </row>
    <row r="50" spans="1:26" s="9" customFormat="1" ht="19.5" customHeight="1">
      <c r="A50" s="45"/>
      <c r="B50" s="34"/>
      <c r="C50" s="34"/>
      <c r="D50" s="34"/>
      <c r="E50" s="36"/>
      <c r="F50" s="36"/>
      <c r="G50" s="37"/>
      <c r="H50" s="53"/>
      <c r="I50" s="223" t="s">
        <v>387</v>
      </c>
      <c r="J50" s="230"/>
      <c r="K50" s="229"/>
      <c r="L50" s="229"/>
      <c r="M50" s="229"/>
      <c r="N50" s="39" t="s">
        <v>380</v>
      </c>
      <c r="O50" s="57" t="s">
        <v>383</v>
      </c>
      <c r="P50" s="346">
        <v>6.8599999999999994E-2</v>
      </c>
      <c r="Q50" s="464">
        <v>2</v>
      </c>
      <c r="R50" s="57" t="s">
        <v>383</v>
      </c>
      <c r="S50" s="364">
        <v>0.7</v>
      </c>
      <c r="T50" s="59"/>
      <c r="U50" s="464" t="s">
        <v>384</v>
      </c>
      <c r="V50" s="229"/>
      <c r="W50" s="51"/>
      <c r="X50" s="476">
        <f>ROUNDDOWN(M50*P50/Q50*S50,-3)</f>
        <v>0</v>
      </c>
      <c r="Y50" s="42" t="s">
        <v>380</v>
      </c>
      <c r="Z50" s="461"/>
    </row>
    <row r="51" spans="1:26" s="9" customFormat="1" ht="19.5" customHeight="1">
      <c r="A51" s="45"/>
      <c r="B51" s="34"/>
      <c r="C51" s="34"/>
      <c r="D51" s="34"/>
      <c r="E51" s="36"/>
      <c r="F51" s="36"/>
      <c r="G51" s="37"/>
      <c r="H51" s="53"/>
      <c r="I51" s="223" t="s">
        <v>388</v>
      </c>
      <c r="J51" s="230"/>
      <c r="K51" s="229"/>
      <c r="L51" s="229"/>
      <c r="M51" s="229"/>
      <c r="N51" s="39" t="s">
        <v>380</v>
      </c>
      <c r="O51" s="57" t="s">
        <v>383</v>
      </c>
      <c r="P51" s="61">
        <v>0.1152</v>
      </c>
      <c r="Q51" s="345"/>
      <c r="R51" s="57"/>
      <c r="S51" s="60"/>
      <c r="T51" s="344"/>
      <c r="U51" s="464" t="s">
        <v>384</v>
      </c>
      <c r="V51" s="229"/>
      <c r="W51" s="51"/>
      <c r="X51" s="476">
        <f>ROUNDUP(M51*P51,-3)</f>
        <v>0</v>
      </c>
      <c r="Y51" s="42" t="s">
        <v>380</v>
      </c>
      <c r="Z51" s="461"/>
    </row>
    <row r="52" spans="1:26" s="9" customFormat="1" ht="19.5" customHeight="1">
      <c r="A52" s="45"/>
      <c r="B52" s="34"/>
      <c r="C52" s="34"/>
      <c r="D52" s="34"/>
      <c r="E52" s="36"/>
      <c r="F52" s="36"/>
      <c r="G52" s="37"/>
      <c r="H52" s="53"/>
      <c r="I52" s="223" t="s">
        <v>389</v>
      </c>
      <c r="J52" s="230"/>
      <c r="K52" s="229"/>
      <c r="L52" s="229"/>
      <c r="M52" s="229"/>
      <c r="N52" s="39" t="s">
        <v>380</v>
      </c>
      <c r="O52" s="57" t="s">
        <v>383</v>
      </c>
      <c r="P52" s="61">
        <v>8.9999999999999993E-3</v>
      </c>
      <c r="Q52" s="57"/>
      <c r="R52" s="57" t="s">
        <v>383</v>
      </c>
      <c r="S52" s="364">
        <v>0.7</v>
      </c>
      <c r="T52" s="59"/>
      <c r="U52" s="464" t="s">
        <v>384</v>
      </c>
      <c r="V52" s="229"/>
      <c r="W52" s="51"/>
      <c r="X52" s="476">
        <f>ROUNDDOWN(M52*P52*S52,-3)</f>
        <v>0</v>
      </c>
      <c r="Y52" s="42" t="s">
        <v>380</v>
      </c>
      <c r="Z52" s="461"/>
    </row>
    <row r="53" spans="1:26" s="9" customFormat="1" ht="19.5" customHeight="1">
      <c r="A53" s="45"/>
      <c r="B53" s="34"/>
      <c r="C53" s="34"/>
      <c r="D53" s="34"/>
      <c r="E53" s="36"/>
      <c r="F53" s="36"/>
      <c r="G53" s="37"/>
      <c r="H53" s="53"/>
      <c r="I53" s="223" t="s">
        <v>390</v>
      </c>
      <c r="J53" s="230"/>
      <c r="K53" s="229"/>
      <c r="L53" s="229"/>
      <c r="M53" s="229"/>
      <c r="N53" s="39" t="s">
        <v>380</v>
      </c>
      <c r="O53" s="57" t="s">
        <v>383</v>
      </c>
      <c r="P53" s="343">
        <v>6.9300000000000004E-3</v>
      </c>
      <c r="Q53" s="57"/>
      <c r="R53" s="57" t="s">
        <v>383</v>
      </c>
      <c r="S53" s="364">
        <v>0.7</v>
      </c>
      <c r="T53" s="59"/>
      <c r="U53" s="464" t="s">
        <v>384</v>
      </c>
      <c r="V53" s="229"/>
      <c r="W53" s="51"/>
      <c r="X53" s="476">
        <f>ROUNDUP(M53*P53*S53,-3)</f>
        <v>0</v>
      </c>
      <c r="Y53" s="42" t="s">
        <v>380</v>
      </c>
      <c r="Z53" s="461"/>
    </row>
    <row r="54" spans="1:26" s="9" customFormat="1" ht="19.5" customHeight="1">
      <c r="A54" s="45"/>
      <c r="B54" s="34"/>
      <c r="C54" s="34"/>
      <c r="D54" s="44"/>
      <c r="E54" s="46"/>
      <c r="F54" s="46"/>
      <c r="G54" s="47"/>
      <c r="H54" s="65"/>
      <c r="I54" s="273"/>
      <c r="J54" s="55"/>
      <c r="K54" s="355"/>
      <c r="L54" s="355"/>
      <c r="M54" s="169"/>
      <c r="N54" s="169"/>
      <c r="O54" s="354"/>
      <c r="P54" s="169"/>
      <c r="Q54" s="100"/>
      <c r="R54" s="353"/>
      <c r="S54" s="361"/>
      <c r="T54" s="146"/>
      <c r="U54" s="146"/>
      <c r="V54" s="352"/>
      <c r="W54" s="273"/>
      <c r="X54" s="55"/>
      <c r="Y54" s="56"/>
      <c r="Z54" s="461"/>
    </row>
    <row r="55" spans="1:26" s="9" customFormat="1" ht="19.5" customHeight="1">
      <c r="A55" s="45"/>
      <c r="B55" s="34"/>
      <c r="C55" s="34"/>
      <c r="D55" s="24" t="s">
        <v>399</v>
      </c>
      <c r="E55" s="182">
        <v>334107</v>
      </c>
      <c r="F55" s="182">
        <f>ROUND(X55/1000,0)</f>
        <v>334107</v>
      </c>
      <c r="G55" s="214">
        <f>F55-E55</f>
        <v>0</v>
      </c>
      <c r="H55" s="93">
        <f>IF(E55=0,0,G55/E55)</f>
        <v>0</v>
      </c>
      <c r="I55" s="386" t="s">
        <v>400</v>
      </c>
      <c r="J55" s="385"/>
      <c r="K55" s="384"/>
      <c r="L55" s="384"/>
      <c r="M55" s="382"/>
      <c r="N55" s="382"/>
      <c r="O55" s="383"/>
      <c r="P55" s="382"/>
      <c r="Q55" s="381"/>
      <c r="R55" s="380"/>
      <c r="S55" s="379"/>
      <c r="T55" s="378"/>
      <c r="U55" s="378"/>
      <c r="V55" s="377" t="s">
        <v>392</v>
      </c>
      <c r="W55" s="376"/>
      <c r="X55" s="376">
        <f>SUM(X56:X57)+X59</f>
        <v>334107000</v>
      </c>
      <c r="Y55" s="375" t="s">
        <v>380</v>
      </c>
      <c r="Z55" s="461"/>
    </row>
    <row r="56" spans="1:26" s="9" customFormat="1" ht="19.5" customHeight="1">
      <c r="A56" s="45"/>
      <c r="B56" s="34"/>
      <c r="C56" s="34"/>
      <c r="D56" s="34"/>
      <c r="E56" s="36"/>
      <c r="F56" s="36"/>
      <c r="G56" s="37"/>
      <c r="H56" s="53"/>
      <c r="I56" s="220" t="s">
        <v>401</v>
      </c>
      <c r="J56" s="219"/>
      <c r="K56" s="372"/>
      <c r="L56" s="372"/>
      <c r="M56" s="217">
        <v>2425000</v>
      </c>
      <c r="N56" s="217" t="s">
        <v>25</v>
      </c>
      <c r="O56" s="274" t="s">
        <v>26</v>
      </c>
      <c r="P56" s="275">
        <v>30</v>
      </c>
      <c r="Q56" s="276" t="s">
        <v>402</v>
      </c>
      <c r="R56" s="471" t="s">
        <v>383</v>
      </c>
      <c r="S56" s="277">
        <v>0.7</v>
      </c>
      <c r="T56" s="266"/>
      <c r="U56" s="264" t="s">
        <v>384</v>
      </c>
      <c r="V56" s="369"/>
      <c r="W56" s="218"/>
      <c r="X56" s="219">
        <f>M56*P56*S56</f>
        <v>50925000</v>
      </c>
      <c r="Y56" s="234" t="s">
        <v>380</v>
      </c>
      <c r="Z56" s="461"/>
    </row>
    <row r="57" spans="1:26" s="9" customFormat="1" ht="19.5" customHeight="1">
      <c r="A57" s="45"/>
      <c r="B57" s="34"/>
      <c r="C57" s="34"/>
      <c r="D57" s="34"/>
      <c r="E57" s="36"/>
      <c r="F57" s="36"/>
      <c r="G57" s="37"/>
      <c r="H57" s="53"/>
      <c r="I57" s="220" t="s">
        <v>403</v>
      </c>
      <c r="J57" s="219"/>
      <c r="K57" s="372"/>
      <c r="L57" s="372"/>
      <c r="M57" s="217">
        <v>1019000</v>
      </c>
      <c r="N57" s="217" t="s">
        <v>25</v>
      </c>
      <c r="O57" s="274" t="s">
        <v>26</v>
      </c>
      <c r="P57" s="275">
        <v>22</v>
      </c>
      <c r="Q57" s="276" t="s">
        <v>402</v>
      </c>
      <c r="R57" s="471" t="s">
        <v>383</v>
      </c>
      <c r="S57" s="277">
        <v>0.7</v>
      </c>
      <c r="T57" s="266"/>
      <c r="U57" s="264" t="s">
        <v>384</v>
      </c>
      <c r="V57" s="369"/>
      <c r="W57" s="218"/>
      <c r="X57" s="219">
        <f>ROUNDDOWN(M57*P57*S57,-3)</f>
        <v>15692000</v>
      </c>
      <c r="Y57" s="234" t="s">
        <v>380</v>
      </c>
      <c r="Z57" s="461"/>
    </row>
    <row r="58" spans="1:26" s="9" customFormat="1" ht="19.5" customHeight="1">
      <c r="A58" s="45"/>
      <c r="B58" s="34"/>
      <c r="C58" s="34"/>
      <c r="D58" s="34"/>
      <c r="E58" s="36"/>
      <c r="F58" s="36"/>
      <c r="G58" s="37"/>
      <c r="H58" s="53"/>
      <c r="I58" s="220"/>
      <c r="J58" s="219"/>
      <c r="K58" s="372"/>
      <c r="L58" s="372"/>
      <c r="M58" s="217"/>
      <c r="N58" s="217"/>
      <c r="O58" s="274"/>
      <c r="P58" s="371"/>
      <c r="Q58" s="276"/>
      <c r="R58" s="370"/>
      <c r="S58" s="278"/>
      <c r="T58" s="264"/>
      <c r="U58" s="264"/>
      <c r="V58" s="369"/>
      <c r="W58" s="218"/>
      <c r="X58" s="219"/>
      <c r="Y58" s="234"/>
      <c r="Z58" s="461"/>
    </row>
    <row r="59" spans="1:26" s="9" customFormat="1" ht="19.5" customHeight="1">
      <c r="A59" s="45"/>
      <c r="B59" s="34"/>
      <c r="C59" s="34"/>
      <c r="D59" s="34"/>
      <c r="E59" s="36"/>
      <c r="F59" s="36"/>
      <c r="G59" s="37"/>
      <c r="H59" s="53"/>
      <c r="I59" s="269" t="s">
        <v>404</v>
      </c>
      <c r="J59" s="219"/>
      <c r="K59" s="372"/>
      <c r="L59" s="372"/>
      <c r="M59" s="217"/>
      <c r="N59" s="217"/>
      <c r="O59" s="274"/>
      <c r="P59" s="217"/>
      <c r="Q59" s="276"/>
      <c r="R59" s="370"/>
      <c r="S59" s="278"/>
      <c r="T59" s="264"/>
      <c r="U59" s="264"/>
      <c r="V59" s="374" t="s">
        <v>392</v>
      </c>
      <c r="W59" s="271"/>
      <c r="X59" s="271">
        <f>X60</f>
        <v>267490000</v>
      </c>
      <c r="Y59" s="272" t="s">
        <v>380</v>
      </c>
      <c r="Z59" s="461"/>
    </row>
    <row r="60" spans="1:26" s="9" customFormat="1" ht="19.5" customHeight="1">
      <c r="A60" s="45"/>
      <c r="B60" s="34"/>
      <c r="C60" s="34"/>
      <c r="D60" s="34"/>
      <c r="E60" s="36"/>
      <c r="F60" s="36"/>
      <c r="G60" s="37"/>
      <c r="H60" s="53"/>
      <c r="I60" s="220" t="s">
        <v>604</v>
      </c>
      <c r="J60" s="219"/>
      <c r="K60" s="372"/>
      <c r="L60" s="372"/>
      <c r="M60" s="217">
        <v>534980000</v>
      </c>
      <c r="N60" s="217" t="s">
        <v>25</v>
      </c>
      <c r="O60" s="274" t="s">
        <v>26</v>
      </c>
      <c r="P60" s="371">
        <v>0.5</v>
      </c>
      <c r="Q60" s="276"/>
      <c r="R60" s="370"/>
      <c r="S60" s="278"/>
      <c r="T60" s="264"/>
      <c r="U60" s="264"/>
      <c r="V60" s="369"/>
      <c r="W60" s="218" t="s">
        <v>27</v>
      </c>
      <c r="X60" s="219">
        <f>M60*P60</f>
        <v>267490000</v>
      </c>
      <c r="Y60" s="234" t="s">
        <v>374</v>
      </c>
      <c r="Z60" s="461"/>
    </row>
    <row r="61" spans="1:26" s="9" customFormat="1" ht="19.5" customHeight="1">
      <c r="A61" s="45"/>
      <c r="B61" s="34"/>
      <c r="C61" s="34"/>
      <c r="D61" s="44"/>
      <c r="E61" s="46"/>
      <c r="F61" s="46"/>
      <c r="G61" s="47"/>
      <c r="H61" s="65"/>
      <c r="I61" s="269"/>
      <c r="J61" s="271"/>
      <c r="K61" s="279"/>
      <c r="L61" s="279"/>
      <c r="M61" s="270"/>
      <c r="N61" s="270"/>
      <c r="O61" s="280"/>
      <c r="P61" s="270"/>
      <c r="Q61" s="281"/>
      <c r="R61" s="282"/>
      <c r="S61" s="283"/>
      <c r="T61" s="284"/>
      <c r="U61" s="284"/>
      <c r="V61" s="285"/>
      <c r="W61" s="286"/>
      <c r="X61" s="271"/>
      <c r="Y61" s="272"/>
      <c r="Z61" s="461"/>
    </row>
    <row r="62" spans="1:26" s="9" customFormat="1" ht="19.5" customHeight="1">
      <c r="A62" s="45"/>
      <c r="B62" s="34"/>
      <c r="C62" s="24" t="s">
        <v>405</v>
      </c>
      <c r="D62" s="335" t="s">
        <v>406</v>
      </c>
      <c r="E62" s="164">
        <f>SUM(E63:E145)</f>
        <v>393402</v>
      </c>
      <c r="F62" s="164">
        <f>SUM(F63:F145)</f>
        <v>386241</v>
      </c>
      <c r="G62" s="165">
        <f>F62-E62</f>
        <v>-7161</v>
      </c>
      <c r="H62" s="166">
        <f>IF(E62=0,0,G62/E62)</f>
        <v>-1.8202754434395351E-2</v>
      </c>
      <c r="I62" s="149" t="s">
        <v>407</v>
      </c>
      <c r="J62" s="150"/>
      <c r="K62" s="151"/>
      <c r="L62" s="151"/>
      <c r="M62" s="151"/>
      <c r="N62" s="151"/>
      <c r="O62" s="151"/>
      <c r="P62" s="152"/>
      <c r="Q62" s="152"/>
      <c r="R62" s="152"/>
      <c r="S62" s="152"/>
      <c r="T62" s="152"/>
      <c r="U62" s="152"/>
      <c r="V62" s="179" t="s">
        <v>378</v>
      </c>
      <c r="W62" s="180"/>
      <c r="X62" s="180">
        <f>SUM(X63,X71,X88,X103,X110,X118,X142)</f>
        <v>386241000</v>
      </c>
      <c r="Y62" s="208" t="s">
        <v>380</v>
      </c>
      <c r="Z62" s="461"/>
    </row>
    <row r="63" spans="1:26" s="9" customFormat="1" ht="19.5" customHeight="1">
      <c r="A63" s="45"/>
      <c r="B63" s="34"/>
      <c r="C63" s="34" t="s">
        <v>408</v>
      </c>
      <c r="D63" s="24" t="s">
        <v>409</v>
      </c>
      <c r="E63" s="25">
        <v>6097</v>
      </c>
      <c r="F63" s="182">
        <f>ROUND(X63/1000,0)</f>
        <v>6097</v>
      </c>
      <c r="G63" s="26">
        <f>F63-E63</f>
        <v>0</v>
      </c>
      <c r="H63" s="93">
        <f>IF(E63=0,0,G63/E63)</f>
        <v>0</v>
      </c>
      <c r="I63" s="107" t="s">
        <v>410</v>
      </c>
      <c r="J63" s="120"/>
      <c r="K63" s="69"/>
      <c r="L63" s="69"/>
      <c r="M63" s="69"/>
      <c r="N63" s="463"/>
      <c r="O63" s="183"/>
      <c r="P63" s="69"/>
      <c r="Q63" s="184"/>
      <c r="R63" s="368"/>
      <c r="S63" s="367"/>
      <c r="T63" s="367"/>
      <c r="U63" s="463"/>
      <c r="V63" s="366" t="s">
        <v>392</v>
      </c>
      <c r="W63" s="109"/>
      <c r="X63" s="109">
        <f>SUM(X64:X69)</f>
        <v>6097000</v>
      </c>
      <c r="Y63" s="110" t="s">
        <v>380</v>
      </c>
      <c r="Z63" s="461"/>
    </row>
    <row r="64" spans="1:26" s="9" customFormat="1" ht="19.5" customHeight="1">
      <c r="A64" s="45"/>
      <c r="B64" s="34"/>
      <c r="C64" s="34"/>
      <c r="D64" s="34"/>
      <c r="E64" s="36"/>
      <c r="F64" s="36"/>
      <c r="G64" s="37"/>
      <c r="H64" s="53"/>
      <c r="I64" s="223" t="s">
        <v>710</v>
      </c>
      <c r="J64" s="529"/>
      <c r="K64" s="528"/>
      <c r="L64" s="528"/>
      <c r="M64" s="528">
        <v>287225</v>
      </c>
      <c r="N64" s="475" t="s">
        <v>25</v>
      </c>
      <c r="O64" s="534" t="s">
        <v>26</v>
      </c>
      <c r="P64" s="528">
        <v>23</v>
      </c>
      <c r="Q64" s="413" t="s">
        <v>129</v>
      </c>
      <c r="R64" s="535" t="s">
        <v>26</v>
      </c>
      <c r="S64" s="156">
        <v>12</v>
      </c>
      <c r="T64" s="156" t="s">
        <v>29</v>
      </c>
      <c r="U64" s="475" t="s">
        <v>26</v>
      </c>
      <c r="V64" s="536">
        <v>7.0000000000000007E-2</v>
      </c>
      <c r="W64" s="476" t="s">
        <v>27</v>
      </c>
      <c r="X64" s="476">
        <f>ROUND(M64*P64*S64*V64,-3)</f>
        <v>5549000</v>
      </c>
      <c r="Y64" s="103" t="s">
        <v>703</v>
      </c>
      <c r="Z64" s="461"/>
    </row>
    <row r="65" spans="1:26" s="9" customFormat="1" ht="19.5" customHeight="1">
      <c r="A65" s="45"/>
      <c r="B65" s="34"/>
      <c r="C65" s="34"/>
      <c r="D65" s="34"/>
      <c r="E65" s="36"/>
      <c r="F65" s="36"/>
      <c r="G65" s="37"/>
      <c r="H65" s="53"/>
      <c r="I65" s="223" t="s">
        <v>711</v>
      </c>
      <c r="J65" s="529"/>
      <c r="K65" s="528"/>
      <c r="L65" s="528"/>
      <c r="M65" s="528">
        <v>287225</v>
      </c>
      <c r="N65" s="475" t="s">
        <v>25</v>
      </c>
      <c r="O65" s="534" t="s">
        <v>26</v>
      </c>
      <c r="P65" s="528">
        <v>1</v>
      </c>
      <c r="Q65" s="413" t="s">
        <v>129</v>
      </c>
      <c r="R65" s="535" t="s">
        <v>26</v>
      </c>
      <c r="S65" s="156">
        <v>9</v>
      </c>
      <c r="T65" s="156" t="s">
        <v>29</v>
      </c>
      <c r="U65" s="475" t="s">
        <v>26</v>
      </c>
      <c r="V65" s="536">
        <v>7.0000000000000007E-2</v>
      </c>
      <c r="W65" s="476" t="s">
        <v>27</v>
      </c>
      <c r="X65" s="476">
        <f>ROUND(M65*P65*S65*V65,-3)</f>
        <v>181000</v>
      </c>
      <c r="Y65" s="103" t="s">
        <v>703</v>
      </c>
      <c r="Z65" s="461"/>
    </row>
    <row r="66" spans="1:26" s="9" customFormat="1" ht="19.5" customHeight="1">
      <c r="A66" s="45"/>
      <c r="B66" s="34"/>
      <c r="C66" s="34"/>
      <c r="D66" s="34"/>
      <c r="E66" s="36"/>
      <c r="F66" s="36"/>
      <c r="G66" s="37"/>
      <c r="H66" s="53"/>
      <c r="I66" s="223" t="s">
        <v>712</v>
      </c>
      <c r="J66" s="529"/>
      <c r="K66" s="528"/>
      <c r="L66" s="528"/>
      <c r="M66" s="528">
        <v>150000</v>
      </c>
      <c r="N66" s="475" t="s">
        <v>25</v>
      </c>
      <c r="O66" s="534" t="s">
        <v>26</v>
      </c>
      <c r="P66" s="528">
        <v>1</v>
      </c>
      <c r="Q66" s="413" t="s">
        <v>129</v>
      </c>
      <c r="R66" s="535" t="s">
        <v>26</v>
      </c>
      <c r="S66" s="156">
        <v>12</v>
      </c>
      <c r="T66" s="156" t="s">
        <v>29</v>
      </c>
      <c r="U66" s="475" t="s">
        <v>26</v>
      </c>
      <c r="V66" s="536">
        <v>7.0000000000000007E-2</v>
      </c>
      <c r="W66" s="476" t="s">
        <v>27</v>
      </c>
      <c r="X66" s="476">
        <f>ROUND(M66*P66*S66*V66,-3)</f>
        <v>126000</v>
      </c>
      <c r="Y66" s="103" t="s">
        <v>703</v>
      </c>
      <c r="Z66" s="461"/>
    </row>
    <row r="67" spans="1:26" s="9" customFormat="1" ht="19.5" customHeight="1">
      <c r="A67" s="45"/>
      <c r="B67" s="34"/>
      <c r="C67" s="34"/>
      <c r="D67" s="34"/>
      <c r="E67" s="36"/>
      <c r="F67" s="36"/>
      <c r="G67" s="37"/>
      <c r="H67" s="53"/>
      <c r="I67" s="223" t="s">
        <v>217</v>
      </c>
      <c r="J67" s="529"/>
      <c r="K67" s="528"/>
      <c r="L67" s="528"/>
      <c r="M67" s="528">
        <v>40000</v>
      </c>
      <c r="N67" s="475" t="s">
        <v>25</v>
      </c>
      <c r="O67" s="534" t="s">
        <v>26</v>
      </c>
      <c r="P67" s="528">
        <v>25</v>
      </c>
      <c r="Q67" s="413" t="s">
        <v>129</v>
      </c>
      <c r="R67" s="537" t="s">
        <v>26</v>
      </c>
      <c r="S67" s="156">
        <v>1</v>
      </c>
      <c r="T67" s="156" t="s">
        <v>215</v>
      </c>
      <c r="U67" s="475" t="s">
        <v>26</v>
      </c>
      <c r="V67" s="536">
        <v>7.0000000000000007E-2</v>
      </c>
      <c r="W67" s="476" t="s">
        <v>27</v>
      </c>
      <c r="X67" s="476">
        <f>ROUNDUP(M67*P67*S67*V67,-3)</f>
        <v>70000</v>
      </c>
      <c r="Y67" s="103" t="s">
        <v>703</v>
      </c>
      <c r="Z67" s="461"/>
    </row>
    <row r="68" spans="1:26" s="9" customFormat="1" ht="19.5" customHeight="1">
      <c r="A68" s="45"/>
      <c r="B68" s="34"/>
      <c r="C68" s="34"/>
      <c r="D68" s="34"/>
      <c r="E68" s="36"/>
      <c r="F68" s="36"/>
      <c r="G68" s="37"/>
      <c r="H68" s="53"/>
      <c r="I68" s="223" t="s">
        <v>216</v>
      </c>
      <c r="J68" s="476"/>
      <c r="K68" s="538"/>
      <c r="L68" s="538"/>
      <c r="M68" s="528">
        <v>50000</v>
      </c>
      <c r="N68" s="528" t="s">
        <v>25</v>
      </c>
      <c r="O68" s="534" t="s">
        <v>26</v>
      </c>
      <c r="P68" s="528">
        <v>24</v>
      </c>
      <c r="Q68" s="413" t="s">
        <v>129</v>
      </c>
      <c r="R68" s="537" t="s">
        <v>26</v>
      </c>
      <c r="S68" s="232">
        <v>2</v>
      </c>
      <c r="T68" s="475" t="s">
        <v>215</v>
      </c>
      <c r="U68" s="475" t="s">
        <v>26</v>
      </c>
      <c r="V68" s="536">
        <v>7.0000000000000007E-2</v>
      </c>
      <c r="W68" s="529" t="s">
        <v>27</v>
      </c>
      <c r="X68" s="476">
        <f>ROUNDUP(M68*P68*S68*V68,-3)</f>
        <v>168000</v>
      </c>
      <c r="Y68" s="103" t="s">
        <v>703</v>
      </c>
      <c r="Z68" s="461"/>
    </row>
    <row r="69" spans="1:26" s="9" customFormat="1" ht="19.5" customHeight="1">
      <c r="A69" s="45"/>
      <c r="B69" s="34"/>
      <c r="C69" s="34"/>
      <c r="D69" s="34"/>
      <c r="E69" s="36"/>
      <c r="F69" s="36"/>
      <c r="G69" s="37"/>
      <c r="H69" s="53"/>
      <c r="I69" s="223" t="s">
        <v>713</v>
      </c>
      <c r="J69" s="476"/>
      <c r="K69" s="538"/>
      <c r="L69" s="538"/>
      <c r="M69" s="528">
        <v>50000</v>
      </c>
      <c r="N69" s="528" t="s">
        <v>25</v>
      </c>
      <c r="O69" s="534" t="s">
        <v>26</v>
      </c>
      <c r="P69" s="528">
        <v>1</v>
      </c>
      <c r="Q69" s="413" t="s">
        <v>129</v>
      </c>
      <c r="R69" s="537" t="s">
        <v>26</v>
      </c>
      <c r="S69" s="232">
        <v>1</v>
      </c>
      <c r="T69" s="475" t="s">
        <v>215</v>
      </c>
      <c r="U69" s="475" t="s">
        <v>26</v>
      </c>
      <c r="V69" s="536">
        <v>7.0000000000000007E-2</v>
      </c>
      <c r="W69" s="529" t="s">
        <v>27</v>
      </c>
      <c r="X69" s="476">
        <f>ROUNDDOWN(M69*P69*S69*V69,-3)</f>
        <v>3000</v>
      </c>
      <c r="Y69" s="103" t="s">
        <v>703</v>
      </c>
      <c r="Z69" s="461"/>
    </row>
    <row r="70" spans="1:26" s="9" customFormat="1" ht="19.5" customHeight="1">
      <c r="A70" s="45"/>
      <c r="B70" s="34"/>
      <c r="C70" s="34"/>
      <c r="D70" s="44"/>
      <c r="E70" s="46"/>
      <c r="F70" s="46"/>
      <c r="G70" s="679"/>
      <c r="H70" s="680"/>
      <c r="I70" s="671"/>
      <c r="J70" s="317"/>
      <c r="K70" s="541"/>
      <c r="L70" s="541"/>
      <c r="M70" s="670"/>
      <c r="N70" s="670"/>
      <c r="O70" s="542"/>
      <c r="P70" s="670"/>
      <c r="Q70" s="422"/>
      <c r="R70" s="543"/>
      <c r="S70" s="544"/>
      <c r="T70" s="545"/>
      <c r="U70" s="545"/>
      <c r="V70" s="546"/>
      <c r="W70" s="671"/>
      <c r="X70" s="317"/>
      <c r="Y70" s="309"/>
      <c r="Z70" s="558"/>
    </row>
    <row r="71" spans="1:26" s="9" customFormat="1" ht="19.5" customHeight="1" thickBot="1">
      <c r="A71" s="45"/>
      <c r="B71" s="34"/>
      <c r="C71" s="34"/>
      <c r="D71" s="24" t="s">
        <v>411</v>
      </c>
      <c r="E71" s="25">
        <v>88312</v>
      </c>
      <c r="F71" s="182">
        <f>ROUND(X71/1000,0)</f>
        <v>84521</v>
      </c>
      <c r="G71" s="425">
        <f>F71-E71</f>
        <v>-3791</v>
      </c>
      <c r="H71" s="676">
        <f>IF(E71=0,0,G71/E71)</f>
        <v>-4.2927348491711204E-2</v>
      </c>
      <c r="I71" s="547" t="s">
        <v>771</v>
      </c>
      <c r="J71" s="602"/>
      <c r="K71" s="548"/>
      <c r="L71" s="548"/>
      <c r="M71" s="594"/>
      <c r="N71" s="594"/>
      <c r="O71" s="549"/>
      <c r="P71" s="594"/>
      <c r="Q71" s="420"/>
      <c r="R71" s="550"/>
      <c r="S71" s="551"/>
      <c r="T71" s="552"/>
      <c r="U71" s="552"/>
      <c r="V71" s="553" t="s">
        <v>714</v>
      </c>
      <c r="W71" s="554"/>
      <c r="X71" s="554">
        <f>SUM(X72,X73,X77,X81)</f>
        <v>84521000</v>
      </c>
      <c r="Y71" s="555" t="s">
        <v>56</v>
      </c>
      <c r="Z71" s="558"/>
    </row>
    <row r="72" spans="1:26" s="9" customFormat="1" ht="19.5" customHeight="1">
      <c r="A72" s="45"/>
      <c r="B72" s="34"/>
      <c r="C72" s="34"/>
      <c r="D72" s="34"/>
      <c r="E72" s="36"/>
      <c r="F72" s="36"/>
      <c r="G72" s="423"/>
      <c r="H72" s="675"/>
      <c r="I72" s="641" t="s">
        <v>393</v>
      </c>
      <c r="J72" s="674"/>
      <c r="K72" s="673"/>
      <c r="L72" s="673"/>
      <c r="M72" s="673">
        <f>M24</f>
        <v>1204935000</v>
      </c>
      <c r="N72" s="673" t="s">
        <v>56</v>
      </c>
      <c r="O72" s="646" t="s">
        <v>57</v>
      </c>
      <c r="P72" s="539">
        <v>4.4999999999999998E-2</v>
      </c>
      <c r="Q72" s="673"/>
      <c r="R72" s="673"/>
      <c r="S72" s="673"/>
      <c r="T72" s="673"/>
      <c r="U72" s="673" t="s">
        <v>53</v>
      </c>
      <c r="V72" s="670" t="s">
        <v>375</v>
      </c>
      <c r="W72" s="317"/>
      <c r="X72" s="670">
        <f>ROUND(M72*P72,-3)</f>
        <v>54222000</v>
      </c>
      <c r="Y72" s="309" t="s">
        <v>25</v>
      </c>
      <c r="Z72" s="558"/>
    </row>
    <row r="73" spans="1:26" s="9" customFormat="1" ht="19.5" customHeight="1">
      <c r="A73" s="45"/>
      <c r="B73" s="34"/>
      <c r="C73" s="34"/>
      <c r="D73" s="34"/>
      <c r="E73" s="36"/>
      <c r="F73" s="36"/>
      <c r="G73" s="423"/>
      <c r="H73" s="675"/>
      <c r="I73" s="225" t="s">
        <v>376</v>
      </c>
      <c r="J73" s="674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332" t="s">
        <v>375</v>
      </c>
      <c r="W73" s="648"/>
      <c r="X73" s="332">
        <f>SUM(X74:X76)</f>
        <v>17152000</v>
      </c>
      <c r="Y73" s="333" t="s">
        <v>25</v>
      </c>
      <c r="Z73" s="558"/>
    </row>
    <row r="74" spans="1:26" s="9" customFormat="1" ht="19.5" customHeight="1">
      <c r="A74" s="45"/>
      <c r="B74" s="34"/>
      <c r="C74" s="34"/>
      <c r="D74" s="34"/>
      <c r="E74" s="36"/>
      <c r="F74" s="36"/>
      <c r="G74" s="423"/>
      <c r="H74" s="675"/>
      <c r="I74" s="640" t="s">
        <v>395</v>
      </c>
      <c r="J74" s="674"/>
      <c r="K74" s="673"/>
      <c r="L74" s="673"/>
      <c r="M74" s="673">
        <f>M26</f>
        <v>124389000</v>
      </c>
      <c r="N74" s="673" t="s">
        <v>56</v>
      </c>
      <c r="O74" s="646" t="s">
        <v>57</v>
      </c>
      <c r="P74" s="539">
        <v>4.4999999999999998E-2</v>
      </c>
      <c r="Q74" s="673"/>
      <c r="R74" s="673"/>
      <c r="S74" s="673"/>
      <c r="T74" s="673"/>
      <c r="U74" s="673" t="s">
        <v>53</v>
      </c>
      <c r="V74" s="779"/>
      <c r="W74" s="779"/>
      <c r="X74" s="602">
        <f>ROUND(M74*P74,-3)</f>
        <v>5598000</v>
      </c>
      <c r="Y74" s="305" t="s">
        <v>56</v>
      </c>
      <c r="Z74" s="558"/>
    </row>
    <row r="75" spans="1:26" s="9" customFormat="1" ht="19.5" customHeight="1">
      <c r="A75" s="45"/>
      <c r="B75" s="34"/>
      <c r="C75" s="34"/>
      <c r="D75" s="34"/>
      <c r="E75" s="36"/>
      <c r="F75" s="36"/>
      <c r="G75" s="423"/>
      <c r="H75" s="675"/>
      <c r="I75" s="640" t="s">
        <v>715</v>
      </c>
      <c r="J75" s="674"/>
      <c r="K75" s="673"/>
      <c r="L75" s="673"/>
      <c r="M75" s="673">
        <f t="shared" ref="M75:M76" si="0">M27</f>
        <v>23942000</v>
      </c>
      <c r="N75" s="673" t="s">
        <v>56</v>
      </c>
      <c r="O75" s="646" t="s">
        <v>57</v>
      </c>
      <c r="P75" s="539">
        <v>4.4999999999999998E-2</v>
      </c>
      <c r="Q75" s="673"/>
      <c r="R75" s="673"/>
      <c r="S75" s="673"/>
      <c r="T75" s="673"/>
      <c r="U75" s="673" t="s">
        <v>53</v>
      </c>
      <c r="V75" s="778"/>
      <c r="W75" s="778"/>
      <c r="X75" s="659">
        <f>ROUND(M75*P75,-3)</f>
        <v>1077000</v>
      </c>
      <c r="Y75" s="632" t="s">
        <v>56</v>
      </c>
      <c r="Z75" s="558"/>
    </row>
    <row r="76" spans="1:26" s="9" customFormat="1" ht="19.5" customHeight="1">
      <c r="A76" s="45"/>
      <c r="B76" s="34"/>
      <c r="C76" s="34"/>
      <c r="D76" s="34"/>
      <c r="E76" s="36"/>
      <c r="F76" s="36"/>
      <c r="G76" s="423"/>
      <c r="H76" s="675"/>
      <c r="I76" s="640" t="s">
        <v>397</v>
      </c>
      <c r="J76" s="674"/>
      <c r="K76" s="673"/>
      <c r="L76" s="673"/>
      <c r="M76" s="673">
        <f t="shared" si="0"/>
        <v>232829000</v>
      </c>
      <c r="N76" s="673" t="s">
        <v>56</v>
      </c>
      <c r="O76" s="646" t="s">
        <v>57</v>
      </c>
      <c r="P76" s="539">
        <v>4.4999999999999998E-2</v>
      </c>
      <c r="Q76" s="673"/>
      <c r="R76" s="673"/>
      <c r="S76" s="673"/>
      <c r="T76" s="673"/>
      <c r="U76" s="673" t="s">
        <v>53</v>
      </c>
      <c r="V76" s="778"/>
      <c r="W76" s="778"/>
      <c r="X76" s="659">
        <f>ROUND(M76*P76,-3)</f>
        <v>10477000</v>
      </c>
      <c r="Y76" s="632" t="s">
        <v>56</v>
      </c>
      <c r="Z76" s="558"/>
    </row>
    <row r="77" spans="1:26" s="9" customFormat="1" ht="19.5" customHeight="1">
      <c r="A77" s="45"/>
      <c r="B77" s="34"/>
      <c r="C77" s="34"/>
      <c r="D77" s="34"/>
      <c r="E77" s="36"/>
      <c r="F77" s="36"/>
      <c r="G77" s="423"/>
      <c r="H77" s="675"/>
      <c r="I77" s="641" t="s">
        <v>716</v>
      </c>
      <c r="J77" s="674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0" t="s">
        <v>375</v>
      </c>
      <c r="W77" s="317"/>
      <c r="X77" s="670">
        <f>SUM(X78:X80)</f>
        <v>6068000</v>
      </c>
      <c r="Y77" s="309" t="s">
        <v>25</v>
      </c>
      <c r="Z77" s="558"/>
    </row>
    <row r="78" spans="1:26" s="9" customFormat="1" ht="19.5" customHeight="1">
      <c r="A78" s="45"/>
      <c r="B78" s="34"/>
      <c r="C78" s="34"/>
      <c r="D78" s="34"/>
      <c r="E78" s="36"/>
      <c r="F78" s="36"/>
      <c r="G78" s="423"/>
      <c r="H78" s="675"/>
      <c r="I78" s="640" t="s">
        <v>772</v>
      </c>
      <c r="J78" s="674"/>
      <c r="K78" s="673"/>
      <c r="L78" s="673"/>
      <c r="M78" s="673">
        <f>M30</f>
        <v>1586095000</v>
      </c>
      <c r="N78" s="652" t="s">
        <v>56</v>
      </c>
      <c r="O78" s="658" t="s">
        <v>61</v>
      </c>
      <c r="P78" s="415">
        <v>12</v>
      </c>
      <c r="Q78" s="534" t="s">
        <v>0</v>
      </c>
      <c r="R78" s="646" t="s">
        <v>57</v>
      </c>
      <c r="S78" s="539">
        <v>4.4999999999999998E-2</v>
      </c>
      <c r="T78" s="673"/>
      <c r="U78" s="673" t="s">
        <v>53</v>
      </c>
      <c r="V78" s="594"/>
      <c r="W78" s="594"/>
      <c r="X78" s="602">
        <f>ROUND(M78/P78*S78,-3)</f>
        <v>5948000</v>
      </c>
      <c r="Y78" s="556" t="s">
        <v>56</v>
      </c>
      <c r="Z78" s="558"/>
    </row>
    <row r="79" spans="1:26" s="9" customFormat="1" ht="19.5" customHeight="1">
      <c r="A79" s="45"/>
      <c r="B79" s="34"/>
      <c r="C79" s="34"/>
      <c r="D79" s="34"/>
      <c r="E79" s="36"/>
      <c r="F79" s="36"/>
      <c r="G79" s="423"/>
      <c r="H79" s="675"/>
      <c r="I79" s="640" t="s">
        <v>773</v>
      </c>
      <c r="J79" s="674"/>
      <c r="K79" s="673"/>
      <c r="L79" s="673"/>
      <c r="M79" s="673"/>
      <c r="N79" s="652"/>
      <c r="O79" s="658"/>
      <c r="P79" s="415"/>
      <c r="Q79" s="534"/>
      <c r="R79" s="646"/>
      <c r="S79" s="539"/>
      <c r="T79" s="673"/>
      <c r="U79" s="673"/>
      <c r="V79" s="673"/>
      <c r="W79" s="673"/>
      <c r="X79" s="659"/>
      <c r="Y79" s="540"/>
      <c r="Z79" s="558"/>
    </row>
    <row r="80" spans="1:26" s="9" customFormat="1" ht="19.5" customHeight="1">
      <c r="A80" s="45"/>
      <c r="B80" s="34"/>
      <c r="C80" s="34"/>
      <c r="D80" s="34"/>
      <c r="E80" s="36"/>
      <c r="F80" s="36"/>
      <c r="G80" s="423"/>
      <c r="H80" s="675"/>
      <c r="I80" s="640"/>
      <c r="J80" s="674"/>
      <c r="K80" s="673"/>
      <c r="L80" s="673"/>
      <c r="M80" s="673">
        <v>2670000</v>
      </c>
      <c r="N80" s="652" t="s">
        <v>56</v>
      </c>
      <c r="O80" s="658"/>
      <c r="P80" s="415"/>
      <c r="Q80" s="534"/>
      <c r="R80" s="646" t="s">
        <v>57</v>
      </c>
      <c r="S80" s="539">
        <v>4.4999999999999998E-2</v>
      </c>
      <c r="T80" s="673"/>
      <c r="U80" s="673" t="s">
        <v>53</v>
      </c>
      <c r="V80" s="673"/>
      <c r="W80" s="673"/>
      <c r="X80" s="659">
        <f>ROUNDDOWN(M80*S80,-3)</f>
        <v>120000</v>
      </c>
      <c r="Y80" s="540" t="s">
        <v>56</v>
      </c>
      <c r="Z80" s="558"/>
    </row>
    <row r="81" spans="1:26" s="9" customFormat="1" ht="19.5" customHeight="1">
      <c r="A81" s="45"/>
      <c r="B81" s="34"/>
      <c r="C81" s="34"/>
      <c r="D81" s="34"/>
      <c r="E81" s="36"/>
      <c r="F81" s="36"/>
      <c r="G81" s="423"/>
      <c r="H81" s="675"/>
      <c r="I81" s="641" t="s">
        <v>385</v>
      </c>
      <c r="J81" s="674"/>
      <c r="K81" s="673"/>
      <c r="L81" s="673"/>
      <c r="M81" s="673"/>
      <c r="N81" s="652"/>
      <c r="O81" s="673"/>
      <c r="P81" s="673"/>
      <c r="Q81" s="673"/>
      <c r="R81" s="673"/>
      <c r="S81" s="673"/>
      <c r="T81" s="673"/>
      <c r="U81" s="673"/>
      <c r="V81" s="670" t="s">
        <v>375</v>
      </c>
      <c r="W81" s="317"/>
      <c r="X81" s="670">
        <f>SUM(X82:X86)</f>
        <v>7079000</v>
      </c>
      <c r="Y81" s="309" t="s">
        <v>25</v>
      </c>
      <c r="Z81" s="558"/>
    </row>
    <row r="82" spans="1:26" s="9" customFormat="1" ht="19.5" customHeight="1">
      <c r="A82" s="45"/>
      <c r="B82" s="34"/>
      <c r="C82" s="34"/>
      <c r="D82" s="34"/>
      <c r="E82" s="36"/>
      <c r="F82" s="36"/>
      <c r="G82" s="423"/>
      <c r="H82" s="675"/>
      <c r="I82" s="640" t="s">
        <v>724</v>
      </c>
      <c r="J82" s="674"/>
      <c r="K82" s="673"/>
      <c r="L82" s="673"/>
      <c r="M82" s="673">
        <f>SUM(M24:M28)</f>
        <v>1586095000</v>
      </c>
      <c r="N82" s="652" t="s">
        <v>56</v>
      </c>
      <c r="O82" s="646" t="s">
        <v>57</v>
      </c>
      <c r="P82" s="612">
        <v>0.09</v>
      </c>
      <c r="Q82" s="658">
        <v>2</v>
      </c>
      <c r="R82" s="646" t="s">
        <v>57</v>
      </c>
      <c r="S82" s="539">
        <v>4.4999999999999998E-2</v>
      </c>
      <c r="T82" s="625"/>
      <c r="U82" s="658" t="s">
        <v>53</v>
      </c>
      <c r="V82" s="673"/>
      <c r="W82" s="659"/>
      <c r="X82" s="659">
        <f>ROUND(M82*P82/Q82*S82,-3)</f>
        <v>3212000</v>
      </c>
      <c r="Y82" s="632" t="s">
        <v>56</v>
      </c>
      <c r="Z82" s="558"/>
    </row>
    <row r="83" spans="1:26" s="9" customFormat="1" ht="19.5" customHeight="1">
      <c r="A83" s="45"/>
      <c r="B83" s="34"/>
      <c r="C83" s="34"/>
      <c r="D83" s="34"/>
      <c r="E83" s="36"/>
      <c r="F83" s="36"/>
      <c r="G83" s="423"/>
      <c r="H83" s="675"/>
      <c r="I83" s="640" t="s">
        <v>387</v>
      </c>
      <c r="J83" s="674"/>
      <c r="K83" s="673"/>
      <c r="L83" s="673"/>
      <c r="M83" s="673">
        <f>SUM(M24:M28)</f>
        <v>1586095000</v>
      </c>
      <c r="N83" s="652" t="s">
        <v>56</v>
      </c>
      <c r="O83" s="646" t="s">
        <v>57</v>
      </c>
      <c r="P83" s="613">
        <v>6.8599999999999994E-2</v>
      </c>
      <c r="Q83" s="658">
        <v>2</v>
      </c>
      <c r="R83" s="646" t="s">
        <v>57</v>
      </c>
      <c r="S83" s="539">
        <v>4.4999999999999998E-2</v>
      </c>
      <c r="T83" s="625"/>
      <c r="U83" s="658" t="s">
        <v>53</v>
      </c>
      <c r="V83" s="673"/>
      <c r="W83" s="659"/>
      <c r="X83" s="659">
        <f>ROUND(M83*P83/Q83*S83,-3)</f>
        <v>2448000</v>
      </c>
      <c r="Y83" s="632" t="s">
        <v>56</v>
      </c>
      <c r="Z83" s="558"/>
    </row>
    <row r="84" spans="1:26" s="9" customFormat="1" ht="19.5" customHeight="1">
      <c r="A84" s="45"/>
      <c r="B84" s="34"/>
      <c r="C84" s="34"/>
      <c r="D84" s="34"/>
      <c r="E84" s="36"/>
      <c r="F84" s="36"/>
      <c r="G84" s="423"/>
      <c r="H84" s="675"/>
      <c r="I84" s="640" t="s">
        <v>725</v>
      </c>
      <c r="J84" s="674"/>
      <c r="K84" s="673"/>
      <c r="L84" s="673"/>
      <c r="M84" s="673">
        <f>X83</f>
        <v>2448000</v>
      </c>
      <c r="N84" s="652" t="s">
        <v>56</v>
      </c>
      <c r="O84" s="646" t="s">
        <v>57</v>
      </c>
      <c r="P84" s="603">
        <v>0.1152</v>
      </c>
      <c r="Q84" s="646"/>
      <c r="R84" s="646"/>
      <c r="S84" s="654"/>
      <c r="T84" s="625"/>
      <c r="U84" s="658" t="s">
        <v>53</v>
      </c>
      <c r="V84" s="673"/>
      <c r="W84" s="659"/>
      <c r="X84" s="659">
        <f>ROUND(M84*P84,-3)</f>
        <v>282000</v>
      </c>
      <c r="Y84" s="632" t="s">
        <v>56</v>
      </c>
      <c r="Z84" s="558"/>
    </row>
    <row r="85" spans="1:26" s="9" customFormat="1" ht="19.5" customHeight="1">
      <c r="A85" s="45"/>
      <c r="B85" s="34"/>
      <c r="C85" s="34"/>
      <c r="D85" s="34"/>
      <c r="E85" s="36"/>
      <c r="F85" s="36"/>
      <c r="G85" s="423"/>
      <c r="H85" s="675"/>
      <c r="I85" s="640" t="s">
        <v>389</v>
      </c>
      <c r="J85" s="674"/>
      <c r="K85" s="673"/>
      <c r="L85" s="673"/>
      <c r="M85" s="673">
        <f>SUM(M24:M28)</f>
        <v>1586095000</v>
      </c>
      <c r="N85" s="652" t="s">
        <v>56</v>
      </c>
      <c r="O85" s="646" t="s">
        <v>57</v>
      </c>
      <c r="P85" s="603">
        <v>8.9999999999999993E-3</v>
      </c>
      <c r="Q85" s="646"/>
      <c r="R85" s="646" t="s">
        <v>57</v>
      </c>
      <c r="S85" s="539">
        <v>4.4999999999999998E-2</v>
      </c>
      <c r="T85" s="625"/>
      <c r="U85" s="658" t="s">
        <v>53</v>
      </c>
      <c r="V85" s="673"/>
      <c r="W85" s="659"/>
      <c r="X85" s="659">
        <f>ROUND(M85*P85*S85,-3)</f>
        <v>642000</v>
      </c>
      <c r="Y85" s="632" t="s">
        <v>56</v>
      </c>
      <c r="Z85" s="558"/>
    </row>
    <row r="86" spans="1:26" s="9" customFormat="1" ht="19.5" customHeight="1">
      <c r="A86" s="45"/>
      <c r="B86" s="34"/>
      <c r="C86" s="34"/>
      <c r="D86" s="34"/>
      <c r="E86" s="36"/>
      <c r="F86" s="36"/>
      <c r="G86" s="423"/>
      <c r="H86" s="675"/>
      <c r="I86" s="640" t="s">
        <v>726</v>
      </c>
      <c r="J86" s="674"/>
      <c r="K86" s="673"/>
      <c r="L86" s="673"/>
      <c r="M86" s="673">
        <f>SUM(M24:M28)</f>
        <v>1586095000</v>
      </c>
      <c r="N86" s="652" t="s">
        <v>56</v>
      </c>
      <c r="O86" s="646" t="s">
        <v>57</v>
      </c>
      <c r="P86" s="614">
        <v>6.9300000000000004E-3</v>
      </c>
      <c r="Q86" s="646"/>
      <c r="R86" s="646" t="s">
        <v>57</v>
      </c>
      <c r="S86" s="539">
        <v>4.4999999999999998E-2</v>
      </c>
      <c r="T86" s="625"/>
      <c r="U86" s="658" t="s">
        <v>53</v>
      </c>
      <c r="V86" s="673"/>
      <c r="W86" s="659"/>
      <c r="X86" s="659">
        <f>ROUND(M86*P86*S86,-3)</f>
        <v>495000</v>
      </c>
      <c r="Y86" s="632" t="s">
        <v>56</v>
      </c>
      <c r="Z86" s="558"/>
    </row>
    <row r="87" spans="1:26" s="9" customFormat="1" ht="19.5" customHeight="1">
      <c r="A87" s="45"/>
      <c r="B87" s="34"/>
      <c r="C87" s="34"/>
      <c r="D87" s="34"/>
      <c r="E87" s="36"/>
      <c r="F87" s="36"/>
      <c r="G87" s="423"/>
      <c r="H87" s="675"/>
      <c r="I87" s="674"/>
      <c r="J87" s="674"/>
      <c r="K87" s="673"/>
      <c r="L87" s="673"/>
      <c r="M87" s="673"/>
      <c r="N87" s="652"/>
      <c r="O87" s="646"/>
      <c r="P87" s="614"/>
      <c r="Q87" s="646"/>
      <c r="R87" s="646"/>
      <c r="S87" s="539"/>
      <c r="T87" s="625"/>
      <c r="U87" s="658"/>
      <c r="V87" s="673"/>
      <c r="W87" s="659"/>
      <c r="X87" s="659"/>
      <c r="Y87" s="632"/>
      <c r="Z87" s="558"/>
    </row>
    <row r="88" spans="1:26" s="9" customFormat="1" ht="19.5" customHeight="1" thickBot="1">
      <c r="A88" s="45"/>
      <c r="B88" s="34"/>
      <c r="C88" s="34"/>
      <c r="D88" s="34"/>
      <c r="E88" s="25">
        <v>0</v>
      </c>
      <c r="F88" s="182">
        <f>ROUND(X88/1000,0)</f>
        <v>0</v>
      </c>
      <c r="G88" s="26">
        <f>F88-E88</f>
        <v>0</v>
      </c>
      <c r="H88" s="93">
        <f>IF(E88=0,0,G88/E88)</f>
        <v>0</v>
      </c>
      <c r="I88" s="188" t="s">
        <v>391</v>
      </c>
      <c r="J88" s="187"/>
      <c r="K88" s="191"/>
      <c r="L88" s="191"/>
      <c r="M88" s="69"/>
      <c r="N88" s="69"/>
      <c r="O88" s="183"/>
      <c r="P88" s="69"/>
      <c r="Q88" s="184"/>
      <c r="R88" s="185"/>
      <c r="S88" s="186"/>
      <c r="T88" s="463"/>
      <c r="U88" s="463"/>
      <c r="V88" s="189" t="s">
        <v>392</v>
      </c>
      <c r="W88" s="190"/>
      <c r="X88" s="554">
        <f>SUM(X89,X90,X94,X96)</f>
        <v>0</v>
      </c>
      <c r="Y88" s="209" t="s">
        <v>380</v>
      </c>
      <c r="Z88" s="461"/>
    </row>
    <row r="89" spans="1:26" s="9" customFormat="1" ht="19.5" customHeight="1">
      <c r="A89" s="45"/>
      <c r="B89" s="34"/>
      <c r="C89" s="34"/>
      <c r="D89" s="34"/>
      <c r="E89" s="36"/>
      <c r="F89" s="36"/>
      <c r="G89" s="37"/>
      <c r="H89" s="53"/>
      <c r="I89" s="224" t="s">
        <v>393</v>
      </c>
      <c r="J89" s="230"/>
      <c r="K89" s="229"/>
      <c r="L89" s="229"/>
      <c r="M89" s="229">
        <f>M41</f>
        <v>0</v>
      </c>
      <c r="N89" s="229" t="s">
        <v>380</v>
      </c>
      <c r="O89" s="57" t="s">
        <v>383</v>
      </c>
      <c r="P89" s="364">
        <v>4.4999999999999998E-2</v>
      </c>
      <c r="Q89" s="229"/>
      <c r="R89" s="229"/>
      <c r="S89" s="229"/>
      <c r="T89" s="229"/>
      <c r="U89" s="229" t="s">
        <v>384</v>
      </c>
      <c r="V89" s="169" t="s">
        <v>378</v>
      </c>
      <c r="W89" s="55"/>
      <c r="X89" s="530">
        <f>ROUND(M89*P89,-3)</f>
        <v>0</v>
      </c>
      <c r="Y89" s="56" t="s">
        <v>25</v>
      </c>
      <c r="Z89" s="461"/>
    </row>
    <row r="90" spans="1:26" s="9" customFormat="1" ht="19.5" customHeight="1">
      <c r="A90" s="45"/>
      <c r="B90" s="34"/>
      <c r="C90" s="34"/>
      <c r="D90" s="34"/>
      <c r="E90" s="36"/>
      <c r="F90" s="36"/>
      <c r="G90" s="37"/>
      <c r="H90" s="53"/>
      <c r="I90" s="225" t="s">
        <v>394</v>
      </c>
      <c r="J90" s="230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108" t="s">
        <v>378</v>
      </c>
      <c r="W90" s="109"/>
      <c r="X90" s="332">
        <f>SUM(X91:X93)</f>
        <v>0</v>
      </c>
      <c r="Y90" s="110" t="s">
        <v>25</v>
      </c>
      <c r="Z90" s="461"/>
    </row>
    <row r="91" spans="1:26" s="9" customFormat="1" ht="19.5" customHeight="1">
      <c r="A91" s="45"/>
      <c r="B91" s="34"/>
      <c r="C91" s="34"/>
      <c r="D91" s="34"/>
      <c r="E91" s="36"/>
      <c r="F91" s="36"/>
      <c r="G91" s="37"/>
      <c r="H91" s="53"/>
      <c r="I91" s="223" t="s">
        <v>395</v>
      </c>
      <c r="J91" s="230"/>
      <c r="K91" s="229"/>
      <c r="L91" s="229"/>
      <c r="M91" s="229">
        <f>M43</f>
        <v>0</v>
      </c>
      <c r="N91" s="229" t="s">
        <v>380</v>
      </c>
      <c r="O91" s="57" t="s">
        <v>383</v>
      </c>
      <c r="P91" s="364">
        <v>4.4999999999999998E-2</v>
      </c>
      <c r="Q91" s="229"/>
      <c r="R91" s="229"/>
      <c r="S91" s="229"/>
      <c r="T91" s="229"/>
      <c r="U91" s="229" t="s">
        <v>384</v>
      </c>
      <c r="V91" s="777"/>
      <c r="W91" s="777"/>
      <c r="X91" s="421">
        <f>ROUND(M91*P91,-3)</f>
        <v>0</v>
      </c>
      <c r="Y91" s="359" t="s">
        <v>380</v>
      </c>
      <c r="Z91" s="461"/>
    </row>
    <row r="92" spans="1:26" s="9" customFormat="1" ht="19.5" customHeight="1">
      <c r="A92" s="45"/>
      <c r="B92" s="34"/>
      <c r="C92" s="34"/>
      <c r="D92" s="34"/>
      <c r="E92" s="36"/>
      <c r="F92" s="36"/>
      <c r="G92" s="37"/>
      <c r="H92" s="53"/>
      <c r="I92" s="223" t="s">
        <v>396</v>
      </c>
      <c r="J92" s="230"/>
      <c r="K92" s="229"/>
      <c r="L92" s="229"/>
      <c r="M92" s="229">
        <f>M44</f>
        <v>0</v>
      </c>
      <c r="N92" s="229" t="s">
        <v>380</v>
      </c>
      <c r="O92" s="57" t="s">
        <v>383</v>
      </c>
      <c r="P92" s="364">
        <v>4.4999999999999998E-2</v>
      </c>
      <c r="Q92" s="229"/>
      <c r="R92" s="229"/>
      <c r="S92" s="229"/>
      <c r="T92" s="229"/>
      <c r="U92" s="229" t="s">
        <v>384</v>
      </c>
      <c r="V92" s="775"/>
      <c r="W92" s="775"/>
      <c r="X92" s="476">
        <f>ROUND(M92*P92,-3)</f>
        <v>0</v>
      </c>
      <c r="Y92" s="42" t="s">
        <v>380</v>
      </c>
      <c r="Z92" s="461"/>
    </row>
    <row r="93" spans="1:26" s="9" customFormat="1" ht="19.5" customHeight="1">
      <c r="A93" s="45"/>
      <c r="B93" s="34"/>
      <c r="C93" s="34"/>
      <c r="D93" s="34"/>
      <c r="E93" s="36"/>
      <c r="F93" s="36"/>
      <c r="G93" s="37"/>
      <c r="H93" s="53"/>
      <c r="I93" s="223" t="s">
        <v>397</v>
      </c>
      <c r="J93" s="230"/>
      <c r="K93" s="229"/>
      <c r="L93" s="229"/>
      <c r="M93" s="229">
        <f>M45</f>
        <v>0</v>
      </c>
      <c r="N93" s="229" t="s">
        <v>380</v>
      </c>
      <c r="O93" s="57" t="s">
        <v>383</v>
      </c>
      <c r="P93" s="364">
        <v>4.4999999999999998E-2</v>
      </c>
      <c r="Q93" s="229"/>
      <c r="R93" s="229"/>
      <c r="S93" s="229"/>
      <c r="T93" s="229"/>
      <c r="U93" s="229" t="s">
        <v>384</v>
      </c>
      <c r="V93" s="775"/>
      <c r="W93" s="775"/>
      <c r="X93" s="476">
        <f>ROUND(M93*P93,-3)</f>
        <v>0</v>
      </c>
      <c r="Y93" s="42" t="s">
        <v>380</v>
      </c>
      <c r="Z93" s="461"/>
    </row>
    <row r="94" spans="1:26" s="9" customFormat="1" ht="19.5" customHeight="1">
      <c r="A94" s="45"/>
      <c r="B94" s="34"/>
      <c r="C94" s="34"/>
      <c r="D94" s="34"/>
      <c r="E94" s="36"/>
      <c r="F94" s="36"/>
      <c r="G94" s="37"/>
      <c r="H94" s="53"/>
      <c r="I94" s="224" t="s">
        <v>377</v>
      </c>
      <c r="J94" s="230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169" t="s">
        <v>378</v>
      </c>
      <c r="W94" s="55"/>
      <c r="X94" s="530">
        <f>X95</f>
        <v>0</v>
      </c>
      <c r="Y94" s="56" t="s">
        <v>25</v>
      </c>
      <c r="Z94" s="461"/>
    </row>
    <row r="95" spans="1:26" s="9" customFormat="1" ht="19.5" customHeight="1">
      <c r="A95" s="45"/>
      <c r="B95" s="34"/>
      <c r="C95" s="34"/>
      <c r="D95" s="34"/>
      <c r="E95" s="36"/>
      <c r="F95" s="36"/>
      <c r="G95" s="37"/>
      <c r="H95" s="53"/>
      <c r="I95" s="223" t="s">
        <v>379</v>
      </c>
      <c r="J95" s="230"/>
      <c r="K95" s="229"/>
      <c r="L95" s="229"/>
      <c r="M95" s="229">
        <f>SUM(M89:M93)</f>
        <v>0</v>
      </c>
      <c r="N95" s="39" t="s">
        <v>380</v>
      </c>
      <c r="O95" s="464" t="s">
        <v>381</v>
      </c>
      <c r="P95" s="358">
        <v>12</v>
      </c>
      <c r="Q95" s="153" t="s">
        <v>382</v>
      </c>
      <c r="R95" s="57" t="s">
        <v>383</v>
      </c>
      <c r="S95" s="364">
        <v>4.4999999999999998E-2</v>
      </c>
      <c r="T95" s="229"/>
      <c r="U95" s="229" t="s">
        <v>384</v>
      </c>
      <c r="V95" s="69"/>
      <c r="W95" s="69"/>
      <c r="X95" s="421">
        <f>ROUND(M95/P95*S95,-3)</f>
        <v>0</v>
      </c>
      <c r="Y95" s="373" t="s">
        <v>380</v>
      </c>
      <c r="Z95" s="461"/>
    </row>
    <row r="96" spans="1:26" s="9" customFormat="1" ht="19.5" customHeight="1">
      <c r="A96" s="45"/>
      <c r="B96" s="34"/>
      <c r="C96" s="34"/>
      <c r="D96" s="34"/>
      <c r="E96" s="36"/>
      <c r="F96" s="36"/>
      <c r="G96" s="37"/>
      <c r="H96" s="53"/>
      <c r="I96" s="224" t="s">
        <v>385</v>
      </c>
      <c r="J96" s="230"/>
      <c r="K96" s="229"/>
      <c r="L96" s="229"/>
      <c r="M96" s="229"/>
      <c r="N96" s="39"/>
      <c r="O96" s="229"/>
      <c r="P96" s="229"/>
      <c r="Q96" s="229"/>
      <c r="R96" s="229"/>
      <c r="S96" s="229"/>
      <c r="T96" s="229"/>
      <c r="U96" s="229"/>
      <c r="V96" s="169" t="s">
        <v>378</v>
      </c>
      <c r="W96" s="55"/>
      <c r="X96" s="530">
        <f>SUM(X97:X101)</f>
        <v>0</v>
      </c>
      <c r="Y96" s="56" t="s">
        <v>25</v>
      </c>
      <c r="Z96" s="461"/>
    </row>
    <row r="97" spans="1:26" s="9" customFormat="1" ht="19.5" customHeight="1">
      <c r="A97" s="45"/>
      <c r="B97" s="34"/>
      <c r="C97" s="34"/>
      <c r="D97" s="34"/>
      <c r="E97" s="36"/>
      <c r="F97" s="36"/>
      <c r="G97" s="37"/>
      <c r="H97" s="53"/>
      <c r="I97" s="223" t="s">
        <v>386</v>
      </c>
      <c r="J97" s="230"/>
      <c r="K97" s="229"/>
      <c r="L97" s="229"/>
      <c r="M97" s="229">
        <f>M95</f>
        <v>0</v>
      </c>
      <c r="N97" s="39" t="s">
        <v>380</v>
      </c>
      <c r="O97" s="57" t="s">
        <v>383</v>
      </c>
      <c r="P97" s="347">
        <v>0.09</v>
      </c>
      <c r="Q97" s="464">
        <v>2</v>
      </c>
      <c r="R97" s="57" t="s">
        <v>383</v>
      </c>
      <c r="S97" s="364">
        <v>4.4999999999999998E-2</v>
      </c>
      <c r="T97" s="59"/>
      <c r="U97" s="464" t="s">
        <v>384</v>
      </c>
      <c r="V97" s="229"/>
      <c r="W97" s="51"/>
      <c r="X97" s="476">
        <f>ROUNDUP(M97*P97/Q97*S97,-3)</f>
        <v>0</v>
      </c>
      <c r="Y97" s="42" t="s">
        <v>380</v>
      </c>
      <c r="Z97" s="461"/>
    </row>
    <row r="98" spans="1:26" s="9" customFormat="1" ht="19.5" customHeight="1">
      <c r="A98" s="45"/>
      <c r="B98" s="34"/>
      <c r="C98" s="34"/>
      <c r="D98" s="34"/>
      <c r="E98" s="36"/>
      <c r="F98" s="36"/>
      <c r="G98" s="37"/>
      <c r="H98" s="53"/>
      <c r="I98" s="223" t="s">
        <v>387</v>
      </c>
      <c r="J98" s="230"/>
      <c r="K98" s="229"/>
      <c r="L98" s="229"/>
      <c r="M98" s="229">
        <f>M95</f>
        <v>0</v>
      </c>
      <c r="N98" s="39" t="s">
        <v>380</v>
      </c>
      <c r="O98" s="57" t="s">
        <v>383</v>
      </c>
      <c r="P98" s="346">
        <v>6.8599999999999994E-2</v>
      </c>
      <c r="Q98" s="464">
        <v>2</v>
      </c>
      <c r="R98" s="57" t="s">
        <v>383</v>
      </c>
      <c r="S98" s="364">
        <v>4.4999999999999998E-2</v>
      </c>
      <c r="T98" s="59"/>
      <c r="U98" s="464" t="s">
        <v>384</v>
      </c>
      <c r="V98" s="229"/>
      <c r="W98" s="51"/>
      <c r="X98" s="476">
        <f>ROUND(M98*P98/Q98*S98,-3)</f>
        <v>0</v>
      </c>
      <c r="Y98" s="42" t="s">
        <v>380</v>
      </c>
      <c r="Z98" s="461"/>
    </row>
    <row r="99" spans="1:26" s="9" customFormat="1" ht="19.5" customHeight="1">
      <c r="A99" s="45"/>
      <c r="B99" s="34"/>
      <c r="C99" s="34"/>
      <c r="D99" s="34"/>
      <c r="E99" s="36"/>
      <c r="F99" s="36"/>
      <c r="G99" s="37"/>
      <c r="H99" s="53"/>
      <c r="I99" s="223" t="s">
        <v>388</v>
      </c>
      <c r="J99" s="230"/>
      <c r="K99" s="229"/>
      <c r="L99" s="229"/>
      <c r="M99" s="229">
        <f>X98</f>
        <v>0</v>
      </c>
      <c r="N99" s="39" t="s">
        <v>380</v>
      </c>
      <c r="O99" s="57" t="s">
        <v>383</v>
      </c>
      <c r="P99" s="61">
        <v>0.1152</v>
      </c>
      <c r="Q99" s="345"/>
      <c r="R99" s="57"/>
      <c r="S99" s="60"/>
      <c r="T99" s="344"/>
      <c r="U99" s="464" t="s">
        <v>384</v>
      </c>
      <c r="V99" s="229"/>
      <c r="W99" s="51"/>
      <c r="X99" s="476">
        <f>ROUNDUP(M99*P99,-3)</f>
        <v>0</v>
      </c>
      <c r="Y99" s="42" t="s">
        <v>380</v>
      </c>
      <c r="Z99" s="461"/>
    </row>
    <row r="100" spans="1:26" s="9" customFormat="1" ht="19.5" customHeight="1">
      <c r="A100" s="45"/>
      <c r="B100" s="34"/>
      <c r="C100" s="34"/>
      <c r="D100" s="34"/>
      <c r="E100" s="36"/>
      <c r="F100" s="36"/>
      <c r="G100" s="37"/>
      <c r="H100" s="53"/>
      <c r="I100" s="223" t="s">
        <v>389</v>
      </c>
      <c r="J100" s="230"/>
      <c r="K100" s="229"/>
      <c r="L100" s="229"/>
      <c r="M100" s="229">
        <f>M95</f>
        <v>0</v>
      </c>
      <c r="N100" s="39" t="s">
        <v>380</v>
      </c>
      <c r="O100" s="57" t="s">
        <v>383</v>
      </c>
      <c r="P100" s="61">
        <v>8.9999999999999993E-3</v>
      </c>
      <c r="Q100" s="57"/>
      <c r="R100" s="57" t="s">
        <v>383</v>
      </c>
      <c r="S100" s="364">
        <v>4.4999999999999998E-2</v>
      </c>
      <c r="T100" s="59"/>
      <c r="U100" s="464" t="s">
        <v>384</v>
      </c>
      <c r="V100" s="229"/>
      <c r="W100" s="51"/>
      <c r="X100" s="476">
        <f>ROUND(M100*P100*S100,-3)</f>
        <v>0</v>
      </c>
      <c r="Y100" s="42" t="s">
        <v>380</v>
      </c>
      <c r="Z100" s="461"/>
    </row>
    <row r="101" spans="1:26" s="9" customFormat="1" ht="19.5" customHeight="1">
      <c r="A101" s="45"/>
      <c r="B101" s="34"/>
      <c r="C101" s="34"/>
      <c r="D101" s="34"/>
      <c r="E101" s="36"/>
      <c r="F101" s="36"/>
      <c r="G101" s="37"/>
      <c r="H101" s="53"/>
      <c r="I101" s="223" t="s">
        <v>390</v>
      </c>
      <c r="J101" s="230"/>
      <c r="K101" s="229"/>
      <c r="L101" s="229"/>
      <c r="M101" s="229">
        <f>M95</f>
        <v>0</v>
      </c>
      <c r="N101" s="39" t="s">
        <v>380</v>
      </c>
      <c r="O101" s="57" t="s">
        <v>383</v>
      </c>
      <c r="P101" s="343">
        <v>6.9300000000000004E-3</v>
      </c>
      <c r="Q101" s="57"/>
      <c r="R101" s="57" t="s">
        <v>383</v>
      </c>
      <c r="S101" s="364">
        <v>4.4999999999999998E-2</v>
      </c>
      <c r="T101" s="59"/>
      <c r="U101" s="464" t="s">
        <v>384</v>
      </c>
      <c r="V101" s="229"/>
      <c r="W101" s="51"/>
      <c r="X101" s="476">
        <f>ROUND(M101*P101*S101,-3)</f>
        <v>0</v>
      </c>
      <c r="Y101" s="42" t="s">
        <v>380</v>
      </c>
      <c r="Z101" s="461"/>
    </row>
    <row r="102" spans="1:26" s="9" customFormat="1" ht="19.5" customHeight="1">
      <c r="A102" s="45"/>
      <c r="B102" s="34"/>
      <c r="C102" s="34"/>
      <c r="D102" s="44"/>
      <c r="E102" s="46"/>
      <c r="F102" s="46"/>
      <c r="G102" s="47"/>
      <c r="H102" s="65"/>
      <c r="I102" s="273"/>
      <c r="J102" s="55"/>
      <c r="K102" s="355"/>
      <c r="L102" s="355"/>
      <c r="M102" s="169"/>
      <c r="N102" s="169"/>
      <c r="O102" s="354"/>
      <c r="P102" s="169"/>
      <c r="Q102" s="100"/>
      <c r="R102" s="353"/>
      <c r="S102" s="361"/>
      <c r="T102" s="146"/>
      <c r="U102" s="146"/>
      <c r="V102" s="352"/>
      <c r="W102" s="273"/>
      <c r="X102" s="55"/>
      <c r="Y102" s="56"/>
      <c r="Z102" s="461"/>
    </row>
    <row r="103" spans="1:26" s="9" customFormat="1" ht="19.5" customHeight="1" thickBot="1">
      <c r="A103" s="45"/>
      <c r="B103" s="34"/>
      <c r="C103" s="34"/>
      <c r="D103" s="24" t="s">
        <v>399</v>
      </c>
      <c r="E103" s="25">
        <v>271773</v>
      </c>
      <c r="F103" s="182">
        <f>ROUND(X103/1000,0)</f>
        <v>271773</v>
      </c>
      <c r="G103" s="26">
        <f>F103-E103</f>
        <v>0</v>
      </c>
      <c r="H103" s="93">
        <f>IF(E103=0,0,G103/E103)</f>
        <v>0</v>
      </c>
      <c r="I103" s="188" t="s">
        <v>412</v>
      </c>
      <c r="J103" s="187"/>
      <c r="K103" s="191"/>
      <c r="L103" s="191"/>
      <c r="M103" s="69"/>
      <c r="N103" s="69"/>
      <c r="O103" s="183"/>
      <c r="P103" s="69"/>
      <c r="Q103" s="184"/>
      <c r="R103" s="185"/>
      <c r="S103" s="186"/>
      <c r="T103" s="463"/>
      <c r="U103" s="463"/>
      <c r="V103" s="189" t="s">
        <v>392</v>
      </c>
      <c r="W103" s="190"/>
      <c r="X103" s="190">
        <f>SUM(X104:X108)</f>
        <v>271773000</v>
      </c>
      <c r="Y103" s="209" t="s">
        <v>380</v>
      </c>
      <c r="Z103" s="461"/>
    </row>
    <row r="104" spans="1:26" s="9" customFormat="1" ht="19.5" customHeight="1">
      <c r="A104" s="45"/>
      <c r="B104" s="34"/>
      <c r="C104" s="34"/>
      <c r="D104" s="34"/>
      <c r="E104" s="36"/>
      <c r="F104" s="36"/>
      <c r="G104" s="37"/>
      <c r="H104" s="53"/>
      <c r="I104" s="230" t="s">
        <v>413</v>
      </c>
      <c r="J104" s="51"/>
      <c r="K104" s="155"/>
      <c r="L104" s="155"/>
      <c r="M104" s="217">
        <v>2425000</v>
      </c>
      <c r="N104" s="217" t="s">
        <v>25</v>
      </c>
      <c r="O104" s="274" t="s">
        <v>26</v>
      </c>
      <c r="P104" s="275">
        <v>30</v>
      </c>
      <c r="Q104" s="276" t="s">
        <v>402</v>
      </c>
      <c r="R104" s="471" t="s">
        <v>383</v>
      </c>
      <c r="S104" s="277">
        <v>4.4999999999999998E-2</v>
      </c>
      <c r="T104" s="266"/>
      <c r="U104" s="264" t="s">
        <v>384</v>
      </c>
      <c r="V104" s="485"/>
      <c r="W104" s="485"/>
      <c r="X104" s="51">
        <f>ROUND(M104*P104*S104,-3)</f>
        <v>3274000</v>
      </c>
      <c r="Y104" s="42" t="s">
        <v>380</v>
      </c>
      <c r="Z104" s="461"/>
    </row>
    <row r="105" spans="1:26" s="9" customFormat="1" ht="19.5" customHeight="1">
      <c r="A105" s="45"/>
      <c r="B105" s="34"/>
      <c r="C105" s="34"/>
      <c r="D105" s="34"/>
      <c r="E105" s="36"/>
      <c r="F105" s="36"/>
      <c r="G105" s="37"/>
      <c r="H105" s="53"/>
      <c r="I105" s="230" t="s">
        <v>414</v>
      </c>
      <c r="J105" s="51"/>
      <c r="K105" s="155"/>
      <c r="L105" s="155"/>
      <c r="M105" s="217">
        <v>1019000</v>
      </c>
      <c r="N105" s="217" t="s">
        <v>25</v>
      </c>
      <c r="O105" s="274" t="s">
        <v>26</v>
      </c>
      <c r="P105" s="275">
        <v>22</v>
      </c>
      <c r="Q105" s="276" t="s">
        <v>402</v>
      </c>
      <c r="R105" s="471" t="s">
        <v>383</v>
      </c>
      <c r="S105" s="277">
        <v>4.4999999999999998E-2</v>
      </c>
      <c r="T105" s="266"/>
      <c r="U105" s="264" t="s">
        <v>384</v>
      </c>
      <c r="V105" s="229"/>
      <c r="W105" s="229"/>
      <c r="X105" s="51">
        <f>ROUNDUP(M105*P105*S105,-3)</f>
        <v>1009000</v>
      </c>
      <c r="Y105" s="42" t="s">
        <v>380</v>
      </c>
      <c r="Z105" s="461"/>
    </row>
    <row r="106" spans="1:26" s="9" customFormat="1" ht="19.5" customHeight="1">
      <c r="A106" s="45"/>
      <c r="B106" s="34"/>
      <c r="C106" s="34"/>
      <c r="D106" s="34"/>
      <c r="E106" s="36"/>
      <c r="F106" s="36"/>
      <c r="G106" s="37"/>
      <c r="H106" s="53"/>
      <c r="I106" s="230"/>
      <c r="J106" s="51"/>
      <c r="K106" s="155"/>
      <c r="L106" s="155"/>
      <c r="M106" s="229"/>
      <c r="N106" s="229"/>
      <c r="O106" s="40"/>
      <c r="P106" s="464"/>
      <c r="Q106" s="229"/>
      <c r="R106" s="57"/>
      <c r="S106" s="364"/>
      <c r="T106" s="229"/>
      <c r="U106" s="229"/>
      <c r="V106" s="464"/>
      <c r="W106" s="464"/>
      <c r="X106" s="51"/>
      <c r="Y106" s="42"/>
      <c r="Z106" s="461"/>
    </row>
    <row r="107" spans="1:26" s="9" customFormat="1" ht="19.5" customHeight="1">
      <c r="A107" s="45"/>
      <c r="B107" s="34"/>
      <c r="C107" s="34"/>
      <c r="D107" s="34"/>
      <c r="E107" s="36"/>
      <c r="F107" s="36"/>
      <c r="G107" s="37"/>
      <c r="H107" s="53"/>
      <c r="I107" s="269" t="s">
        <v>404</v>
      </c>
      <c r="J107" s="219"/>
      <c r="K107" s="372"/>
      <c r="L107" s="372"/>
      <c r="M107" s="217"/>
      <c r="N107" s="217"/>
      <c r="O107" s="274"/>
      <c r="P107" s="217"/>
      <c r="Q107" s="276"/>
      <c r="R107" s="370"/>
      <c r="S107" s="278"/>
      <c r="T107" s="264"/>
      <c r="U107" s="264"/>
      <c r="V107" s="369"/>
      <c r="W107" s="218"/>
      <c r="X107" s="219"/>
      <c r="Y107" s="234"/>
      <c r="Z107" s="461"/>
    </row>
    <row r="108" spans="1:26" s="9" customFormat="1" ht="19.5" customHeight="1">
      <c r="A108" s="45"/>
      <c r="B108" s="34"/>
      <c r="C108" s="34"/>
      <c r="D108" s="34"/>
      <c r="E108" s="36"/>
      <c r="F108" s="36"/>
      <c r="G108" s="37"/>
      <c r="H108" s="53"/>
      <c r="I108" s="220" t="s">
        <v>604</v>
      </c>
      <c r="J108" s="219"/>
      <c r="K108" s="372"/>
      <c r="L108" s="372"/>
      <c r="M108" s="217">
        <f>M60</f>
        <v>534980000</v>
      </c>
      <c r="N108" s="217" t="s">
        <v>25</v>
      </c>
      <c r="O108" s="274" t="s">
        <v>26</v>
      </c>
      <c r="P108" s="371">
        <v>0.5</v>
      </c>
      <c r="Q108" s="276"/>
      <c r="R108" s="370"/>
      <c r="S108" s="278"/>
      <c r="T108" s="264"/>
      <c r="U108" s="264"/>
      <c r="V108" s="369"/>
      <c r="W108" s="218" t="s">
        <v>27</v>
      </c>
      <c r="X108" s="219">
        <f>M108*P108</f>
        <v>267490000</v>
      </c>
      <c r="Y108" s="234" t="s">
        <v>380</v>
      </c>
      <c r="Z108" s="461"/>
    </row>
    <row r="109" spans="1:26" s="9" customFormat="1" ht="19.5" customHeight="1">
      <c r="A109" s="45"/>
      <c r="B109" s="34"/>
      <c r="C109" s="34"/>
      <c r="D109" s="44"/>
      <c r="E109" s="46"/>
      <c r="F109" s="46"/>
      <c r="G109" s="47"/>
      <c r="H109" s="65"/>
      <c r="I109" s="273"/>
      <c r="J109" s="55"/>
      <c r="K109" s="355"/>
      <c r="L109" s="355"/>
      <c r="M109" s="169"/>
      <c r="N109" s="169"/>
      <c r="O109" s="354"/>
      <c r="P109" s="169"/>
      <c r="Q109" s="100"/>
      <c r="R109" s="353"/>
      <c r="S109" s="361"/>
      <c r="T109" s="146"/>
      <c r="U109" s="146"/>
      <c r="V109" s="352"/>
      <c r="W109" s="273"/>
      <c r="X109" s="55"/>
      <c r="Y109" s="56"/>
      <c r="Z109" s="461"/>
    </row>
    <row r="110" spans="1:26" s="9" customFormat="1" ht="19.5" customHeight="1" thickBot="1">
      <c r="A110" s="45"/>
      <c r="B110" s="34"/>
      <c r="C110" s="34"/>
      <c r="D110" s="24" t="s">
        <v>415</v>
      </c>
      <c r="E110" s="25">
        <v>6404</v>
      </c>
      <c r="F110" s="182">
        <f>ROUND(X110/1000,0)</f>
        <v>6404</v>
      </c>
      <c r="G110" s="26">
        <f>F110-E110</f>
        <v>0</v>
      </c>
      <c r="H110" s="93">
        <f>IF(E110=0,0,G110/E110)</f>
        <v>0</v>
      </c>
      <c r="I110" s="188" t="s">
        <v>416</v>
      </c>
      <c r="J110" s="187"/>
      <c r="K110" s="191"/>
      <c r="L110" s="191"/>
      <c r="M110" s="69"/>
      <c r="N110" s="69"/>
      <c r="O110" s="183"/>
      <c r="P110" s="69"/>
      <c r="Q110" s="184"/>
      <c r="R110" s="185"/>
      <c r="S110" s="186"/>
      <c r="T110" s="463"/>
      <c r="U110" s="463"/>
      <c r="V110" s="189" t="s">
        <v>392</v>
      </c>
      <c r="W110" s="190"/>
      <c r="X110" s="190">
        <f>SUM(X111:X116)</f>
        <v>6404000</v>
      </c>
      <c r="Y110" s="209" t="s">
        <v>380</v>
      </c>
      <c r="Z110" s="461"/>
    </row>
    <row r="111" spans="1:26" s="9" customFormat="1" ht="19.5" customHeight="1">
      <c r="A111" s="45"/>
      <c r="B111" s="34"/>
      <c r="C111" s="34"/>
      <c r="D111" s="34" t="s">
        <v>417</v>
      </c>
      <c r="E111" s="36"/>
      <c r="F111" s="36"/>
      <c r="G111" s="37"/>
      <c r="H111" s="53"/>
      <c r="I111" s="50" t="s">
        <v>418</v>
      </c>
      <c r="J111" s="230"/>
      <c r="K111" s="229"/>
      <c r="L111" s="229"/>
      <c r="M111" s="229">
        <v>500</v>
      </c>
      <c r="N111" s="229" t="s">
        <v>380</v>
      </c>
      <c r="O111" s="230" t="s">
        <v>383</v>
      </c>
      <c r="P111" s="363">
        <v>52</v>
      </c>
      <c r="Q111" s="356">
        <v>365</v>
      </c>
      <c r="R111" s="229" t="s">
        <v>419</v>
      </c>
      <c r="S111" s="362">
        <v>0.3</v>
      </c>
      <c r="T111" s="229"/>
      <c r="U111" s="229" t="s">
        <v>384</v>
      </c>
      <c r="V111" s="229"/>
      <c r="W111" s="51"/>
      <c r="X111" s="476">
        <f>ROUND(M111*P111*Q111*S111,-3)</f>
        <v>2847000</v>
      </c>
      <c r="Y111" s="42" t="s">
        <v>25</v>
      </c>
      <c r="Z111" s="461"/>
    </row>
    <row r="112" spans="1:26" s="9" customFormat="1" ht="19.5" customHeight="1">
      <c r="A112" s="45"/>
      <c r="B112" s="34"/>
      <c r="C112" s="34"/>
      <c r="D112" s="34"/>
      <c r="E112" s="36"/>
      <c r="F112" s="36"/>
      <c r="G112" s="37"/>
      <c r="H112" s="53"/>
      <c r="I112" s="50" t="s">
        <v>420</v>
      </c>
      <c r="J112" s="230"/>
      <c r="K112" s="229"/>
      <c r="L112" s="229"/>
      <c r="M112" s="229">
        <v>5000</v>
      </c>
      <c r="N112" s="229" t="s">
        <v>380</v>
      </c>
      <c r="O112" s="230" t="s">
        <v>383</v>
      </c>
      <c r="P112" s="363">
        <v>52</v>
      </c>
      <c r="Q112" s="349">
        <v>12</v>
      </c>
      <c r="R112" s="229" t="s">
        <v>382</v>
      </c>
      <c r="S112" s="362">
        <v>0.3</v>
      </c>
      <c r="T112" s="229"/>
      <c r="U112" s="229" t="s">
        <v>384</v>
      </c>
      <c r="V112" s="229"/>
      <c r="W112" s="51"/>
      <c r="X112" s="51">
        <f>ROUNDUP(M112*P112*Q112*S112,-3)</f>
        <v>936000</v>
      </c>
      <c r="Y112" s="42" t="s">
        <v>25</v>
      </c>
      <c r="Z112" s="461"/>
    </row>
    <row r="113" spans="1:27" s="9" customFormat="1" ht="19.5" customHeight="1">
      <c r="A113" s="45"/>
      <c r="B113" s="34"/>
      <c r="C113" s="34"/>
      <c r="D113" s="34"/>
      <c r="E113" s="36"/>
      <c r="F113" s="36"/>
      <c r="G113" s="37"/>
      <c r="H113" s="53"/>
      <c r="I113" s="50" t="s">
        <v>421</v>
      </c>
      <c r="J113" s="230"/>
      <c r="K113" s="229"/>
      <c r="L113" s="229"/>
      <c r="M113" s="229">
        <v>20000</v>
      </c>
      <c r="N113" s="229" t="s">
        <v>380</v>
      </c>
      <c r="O113" s="230" t="s">
        <v>383</v>
      </c>
      <c r="P113" s="363">
        <v>52</v>
      </c>
      <c r="Q113" s="349">
        <v>4</v>
      </c>
      <c r="R113" s="229" t="s">
        <v>422</v>
      </c>
      <c r="S113" s="362">
        <v>0.3</v>
      </c>
      <c r="T113" s="229"/>
      <c r="U113" s="229" t="s">
        <v>384</v>
      </c>
      <c r="V113" s="229"/>
      <c r="W113" s="51"/>
      <c r="X113" s="51">
        <f>ROUNDUP(M113*P113*Q113*S113,-3)</f>
        <v>1248000</v>
      </c>
      <c r="Y113" s="42" t="s">
        <v>25</v>
      </c>
      <c r="Z113" s="461"/>
    </row>
    <row r="114" spans="1:27" s="9" customFormat="1" ht="19.5" customHeight="1">
      <c r="A114" s="45"/>
      <c r="B114" s="34"/>
      <c r="C114" s="34"/>
      <c r="D114" s="34"/>
      <c r="E114" s="36"/>
      <c r="F114" s="36"/>
      <c r="G114" s="37"/>
      <c r="H114" s="53"/>
      <c r="I114" s="50" t="s">
        <v>423</v>
      </c>
      <c r="J114" s="230"/>
      <c r="K114" s="229"/>
      <c r="L114" s="229"/>
      <c r="M114" s="229">
        <v>12000</v>
      </c>
      <c r="N114" s="229" t="s">
        <v>380</v>
      </c>
      <c r="O114" s="230" t="s">
        <v>383</v>
      </c>
      <c r="P114" s="363">
        <v>52</v>
      </c>
      <c r="Q114" s="349">
        <v>4</v>
      </c>
      <c r="R114" s="229" t="s">
        <v>422</v>
      </c>
      <c r="S114" s="362">
        <v>0.3</v>
      </c>
      <c r="T114" s="229"/>
      <c r="U114" s="229" t="s">
        <v>384</v>
      </c>
      <c r="V114" s="229"/>
      <c r="W114" s="51"/>
      <c r="X114" s="51">
        <f>ROUND(M114*P114*Q114*S114,-3)</f>
        <v>749000</v>
      </c>
      <c r="Y114" s="42" t="s">
        <v>25</v>
      </c>
      <c r="Z114" s="461"/>
    </row>
    <row r="115" spans="1:27" s="9" customFormat="1" ht="19.5" customHeight="1">
      <c r="A115" s="45"/>
      <c r="B115" s="34"/>
      <c r="C115" s="34"/>
      <c r="D115" s="34"/>
      <c r="E115" s="36"/>
      <c r="F115" s="36"/>
      <c r="G115" s="37"/>
      <c r="H115" s="53"/>
      <c r="I115" s="50" t="s">
        <v>424</v>
      </c>
      <c r="J115" s="230"/>
      <c r="K115" s="229"/>
      <c r="L115" s="229"/>
      <c r="M115" s="229"/>
      <c r="N115" s="229"/>
      <c r="O115" s="230"/>
      <c r="P115" s="363"/>
      <c r="Q115" s="349"/>
      <c r="R115" s="229"/>
      <c r="S115" s="229"/>
      <c r="T115" s="229"/>
      <c r="U115" s="229"/>
      <c r="V115" s="229"/>
      <c r="W115" s="51"/>
      <c r="X115" s="51"/>
      <c r="Y115" s="42"/>
      <c r="Z115" s="461"/>
    </row>
    <row r="116" spans="1:27" s="9" customFormat="1" ht="19.5" customHeight="1">
      <c r="A116" s="45"/>
      <c r="B116" s="34"/>
      <c r="C116" s="34"/>
      <c r="D116" s="34"/>
      <c r="E116" s="36"/>
      <c r="F116" s="36"/>
      <c r="G116" s="37"/>
      <c r="H116" s="53"/>
      <c r="I116" s="50" t="s">
        <v>425</v>
      </c>
      <c r="J116" s="230"/>
      <c r="K116" s="229"/>
      <c r="L116" s="229"/>
      <c r="M116" s="506">
        <v>40000</v>
      </c>
      <c r="N116" s="229" t="s">
        <v>380</v>
      </c>
      <c r="O116" s="230" t="s">
        <v>383</v>
      </c>
      <c r="P116" s="363">
        <v>52</v>
      </c>
      <c r="Q116" s="349">
        <v>1</v>
      </c>
      <c r="R116" s="229" t="s">
        <v>422</v>
      </c>
      <c r="S116" s="362">
        <v>0.3</v>
      </c>
      <c r="T116" s="229"/>
      <c r="U116" s="229" t="s">
        <v>384</v>
      </c>
      <c r="V116" s="229"/>
      <c r="W116" s="51"/>
      <c r="X116" s="51">
        <f>ROUND(M116*P116*Q116*S116,-3)</f>
        <v>624000</v>
      </c>
      <c r="Y116" s="42" t="s">
        <v>25</v>
      </c>
      <c r="Z116" s="461"/>
    </row>
    <row r="117" spans="1:27" s="9" customFormat="1" ht="19.5" customHeight="1">
      <c r="A117" s="45"/>
      <c r="B117" s="34"/>
      <c r="C117" s="34"/>
      <c r="D117" s="44"/>
      <c r="E117" s="46"/>
      <c r="F117" s="46"/>
      <c r="G117" s="47"/>
      <c r="H117" s="65"/>
      <c r="I117" s="273"/>
      <c r="J117" s="55"/>
      <c r="K117" s="355"/>
      <c r="L117" s="355"/>
      <c r="M117" s="169"/>
      <c r="N117" s="169"/>
      <c r="O117" s="354"/>
      <c r="P117" s="169"/>
      <c r="Q117" s="100"/>
      <c r="R117" s="353"/>
      <c r="S117" s="361"/>
      <c r="T117" s="146"/>
      <c r="U117" s="146"/>
      <c r="V117" s="352"/>
      <c r="W117" s="273"/>
      <c r="X117" s="55"/>
      <c r="Y117" s="56"/>
      <c r="Z117" s="461"/>
    </row>
    <row r="118" spans="1:27" s="9" customFormat="1" ht="19.5" customHeight="1" thickBot="1">
      <c r="A118" s="45"/>
      <c r="B118" s="34"/>
      <c r="C118" s="34"/>
      <c r="D118" s="24" t="s">
        <v>426</v>
      </c>
      <c r="E118" s="25">
        <v>12016</v>
      </c>
      <c r="F118" s="182">
        <f>ROUND(X118/1000,0)</f>
        <v>11101</v>
      </c>
      <c r="G118" s="26">
        <f>F118-E118</f>
        <v>-915</v>
      </c>
      <c r="H118" s="93">
        <f>IF(E118=0,0,G118/E118)</f>
        <v>-7.6148468708388817E-2</v>
      </c>
      <c r="I118" s="188" t="s">
        <v>427</v>
      </c>
      <c r="J118" s="187"/>
      <c r="K118" s="191"/>
      <c r="L118" s="191"/>
      <c r="M118" s="69"/>
      <c r="N118" s="69"/>
      <c r="O118" s="183"/>
      <c r="P118" s="69"/>
      <c r="Q118" s="184"/>
      <c r="R118" s="185"/>
      <c r="S118" s="186"/>
      <c r="T118" s="463"/>
      <c r="U118" s="463"/>
      <c r="V118" s="189" t="s">
        <v>392</v>
      </c>
      <c r="W118" s="190"/>
      <c r="X118" s="190">
        <f>X119+X137</f>
        <v>11101000</v>
      </c>
      <c r="Y118" s="209" t="s">
        <v>380</v>
      </c>
      <c r="Z118" s="461"/>
    </row>
    <row r="119" spans="1:27" s="9" customFormat="1" ht="19.5" customHeight="1">
      <c r="A119" s="45"/>
      <c r="B119" s="34"/>
      <c r="C119" s="34"/>
      <c r="D119" s="34" t="s">
        <v>428</v>
      </c>
      <c r="E119" s="36"/>
      <c r="F119" s="36"/>
      <c r="G119" s="423"/>
      <c r="H119" s="675"/>
      <c r="I119" s="660" t="s">
        <v>429</v>
      </c>
      <c r="J119" s="659"/>
      <c r="K119" s="538"/>
      <c r="L119" s="538"/>
      <c r="M119" s="673"/>
      <c r="N119" s="673"/>
      <c r="O119" s="534"/>
      <c r="P119" s="673"/>
      <c r="Q119" s="652"/>
      <c r="R119" s="537"/>
      <c r="S119" s="232"/>
      <c r="T119" s="658"/>
      <c r="U119" s="658"/>
      <c r="V119" s="670" t="s">
        <v>430</v>
      </c>
      <c r="W119" s="317"/>
      <c r="X119" s="670">
        <f>SUM(X120,X124,X128,X130)</f>
        <v>10111000</v>
      </c>
      <c r="Y119" s="309" t="s">
        <v>25</v>
      </c>
      <c r="Z119" s="558"/>
      <c r="AA119" s="678"/>
    </row>
    <row r="120" spans="1:27" s="9" customFormat="1" ht="19.5" customHeight="1">
      <c r="A120" s="45"/>
      <c r="B120" s="34"/>
      <c r="C120" s="34"/>
      <c r="D120" s="34"/>
      <c r="E120" s="36"/>
      <c r="F120" s="36"/>
      <c r="G120" s="423"/>
      <c r="H120" s="675"/>
      <c r="I120" s="641" t="s">
        <v>431</v>
      </c>
      <c r="J120" s="674"/>
      <c r="K120" s="673"/>
      <c r="L120" s="673"/>
      <c r="M120" s="673"/>
      <c r="N120" s="673"/>
      <c r="O120" s="646"/>
      <c r="P120" s="654"/>
      <c r="Q120" s="673"/>
      <c r="R120" s="673"/>
      <c r="S120" s="673"/>
      <c r="T120" s="673"/>
      <c r="U120" s="673"/>
      <c r="V120" s="670" t="s">
        <v>375</v>
      </c>
      <c r="W120" s="317"/>
      <c r="X120" s="670">
        <f>SUM(X121:X123)</f>
        <v>6780000</v>
      </c>
      <c r="Y120" s="309" t="s">
        <v>25</v>
      </c>
      <c r="Z120" s="558"/>
      <c r="AA120" s="678"/>
    </row>
    <row r="121" spans="1:27" s="9" customFormat="1" ht="19.5" customHeight="1">
      <c r="A121" s="45"/>
      <c r="B121" s="34"/>
      <c r="C121" s="34"/>
      <c r="D121" s="34"/>
      <c r="E121" s="36"/>
      <c r="F121" s="36"/>
      <c r="G121" s="423"/>
      <c r="H121" s="675"/>
      <c r="I121" s="226" t="s">
        <v>432</v>
      </c>
      <c r="J121" s="674"/>
      <c r="K121" s="673"/>
      <c r="L121" s="673"/>
      <c r="M121" s="673">
        <v>24200000</v>
      </c>
      <c r="N121" s="673" t="s">
        <v>56</v>
      </c>
      <c r="O121" s="646" t="s">
        <v>57</v>
      </c>
      <c r="P121" s="654">
        <v>0.1</v>
      </c>
      <c r="Q121" s="673"/>
      <c r="R121" s="673"/>
      <c r="S121" s="673"/>
      <c r="T121" s="673"/>
      <c r="U121" s="673" t="s">
        <v>53</v>
      </c>
      <c r="V121" s="594"/>
      <c r="W121" s="602"/>
      <c r="X121" s="594">
        <f>ROUND(M121*P121,-3)</f>
        <v>2420000</v>
      </c>
      <c r="Y121" s="305" t="s">
        <v>56</v>
      </c>
      <c r="Z121" s="558"/>
      <c r="AA121" s="678"/>
    </row>
    <row r="122" spans="1:27" s="9" customFormat="1" ht="19.5" customHeight="1">
      <c r="A122" s="45"/>
      <c r="B122" s="34"/>
      <c r="C122" s="34"/>
      <c r="D122" s="34"/>
      <c r="E122" s="36"/>
      <c r="F122" s="36"/>
      <c r="G122" s="423"/>
      <c r="H122" s="675"/>
      <c r="I122" s="640" t="s">
        <v>433</v>
      </c>
      <c r="J122" s="674"/>
      <c r="K122" s="673"/>
      <c r="L122" s="673"/>
      <c r="M122" s="673">
        <v>23794000</v>
      </c>
      <c r="N122" s="673" t="s">
        <v>56</v>
      </c>
      <c r="O122" s="646" t="s">
        <v>57</v>
      </c>
      <c r="P122" s="654">
        <v>0.1</v>
      </c>
      <c r="Q122" s="673"/>
      <c r="R122" s="673"/>
      <c r="S122" s="673"/>
      <c r="T122" s="673"/>
      <c r="U122" s="673" t="s">
        <v>53</v>
      </c>
      <c r="V122" s="673"/>
      <c r="W122" s="659"/>
      <c r="X122" s="673">
        <f>ROUND(M122*P122,-3)</f>
        <v>2379000</v>
      </c>
      <c r="Y122" s="632" t="s">
        <v>56</v>
      </c>
      <c r="Z122" s="558"/>
      <c r="AA122" s="678"/>
    </row>
    <row r="123" spans="1:27" s="9" customFormat="1" ht="19.5" customHeight="1">
      <c r="A123" s="45"/>
      <c r="B123" s="34"/>
      <c r="C123" s="34"/>
      <c r="D123" s="34"/>
      <c r="E123" s="36"/>
      <c r="F123" s="36"/>
      <c r="G123" s="423"/>
      <c r="H123" s="675"/>
      <c r="I123" s="640" t="s">
        <v>723</v>
      </c>
      <c r="J123" s="674"/>
      <c r="K123" s="673"/>
      <c r="L123" s="673"/>
      <c r="M123" s="673">
        <v>19807000</v>
      </c>
      <c r="N123" s="673" t="s">
        <v>56</v>
      </c>
      <c r="O123" s="646" t="s">
        <v>57</v>
      </c>
      <c r="P123" s="654">
        <v>0.1</v>
      </c>
      <c r="Q123" s="673"/>
      <c r="R123" s="673"/>
      <c r="S123" s="673"/>
      <c r="T123" s="673"/>
      <c r="U123" s="673" t="s">
        <v>53</v>
      </c>
      <c r="V123" s="673"/>
      <c r="W123" s="659"/>
      <c r="X123" s="673">
        <f>ROUND(M123*P123,-3)</f>
        <v>1981000</v>
      </c>
      <c r="Y123" s="632" t="s">
        <v>56</v>
      </c>
      <c r="Z123" s="558"/>
      <c r="AA123" s="678"/>
    </row>
    <row r="124" spans="1:27" s="9" customFormat="1" ht="19.5" customHeight="1">
      <c r="A124" s="45"/>
      <c r="B124" s="34"/>
      <c r="C124" s="34"/>
      <c r="D124" s="34"/>
      <c r="E124" s="36"/>
      <c r="F124" s="36"/>
      <c r="G124" s="423"/>
      <c r="H124" s="675"/>
      <c r="I124" s="641" t="s">
        <v>768</v>
      </c>
      <c r="J124" s="674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0" t="s">
        <v>375</v>
      </c>
      <c r="W124" s="317"/>
      <c r="X124" s="670">
        <f>SUM(X125:X127)</f>
        <v>1770000</v>
      </c>
      <c r="Y124" s="309" t="s">
        <v>25</v>
      </c>
      <c r="Z124" s="558"/>
      <c r="AA124" s="678"/>
    </row>
    <row r="125" spans="1:27" s="9" customFormat="1" ht="19.5" customHeight="1">
      <c r="A125" s="45"/>
      <c r="B125" s="34"/>
      <c r="C125" s="34"/>
      <c r="D125" s="34"/>
      <c r="E125" s="36"/>
      <c r="F125" s="36"/>
      <c r="G125" s="423"/>
      <c r="H125" s="675"/>
      <c r="I125" s="640" t="s">
        <v>395</v>
      </c>
      <c r="J125" s="674"/>
      <c r="K125" s="673"/>
      <c r="L125" s="673"/>
      <c r="M125" s="673">
        <v>5991000</v>
      </c>
      <c r="N125" s="673" t="s">
        <v>56</v>
      </c>
      <c r="O125" s="646" t="s">
        <v>57</v>
      </c>
      <c r="P125" s="654">
        <v>0.1</v>
      </c>
      <c r="Q125" s="673"/>
      <c r="R125" s="673"/>
      <c r="S125" s="673"/>
      <c r="T125" s="673"/>
      <c r="U125" s="673" t="s">
        <v>53</v>
      </c>
      <c r="V125" s="779"/>
      <c r="W125" s="779"/>
      <c r="X125" s="602">
        <f>ROUND(M125*P125,-3)</f>
        <v>599000</v>
      </c>
      <c r="Y125" s="305" t="s">
        <v>56</v>
      </c>
      <c r="Z125" s="558"/>
      <c r="AA125" s="678"/>
    </row>
    <row r="126" spans="1:27" s="9" customFormat="1" ht="19.5" customHeight="1">
      <c r="A126" s="45"/>
      <c r="B126" s="34"/>
      <c r="C126" s="34"/>
      <c r="D126" s="34"/>
      <c r="E126" s="36"/>
      <c r="F126" s="36"/>
      <c r="G126" s="423"/>
      <c r="H126" s="675"/>
      <c r="I126" s="640" t="s">
        <v>715</v>
      </c>
      <c r="J126" s="674"/>
      <c r="K126" s="673"/>
      <c r="L126" s="673"/>
      <c r="M126" s="673">
        <v>730000</v>
      </c>
      <c r="N126" s="673" t="s">
        <v>56</v>
      </c>
      <c r="O126" s="646" t="s">
        <v>57</v>
      </c>
      <c r="P126" s="654">
        <v>0.1</v>
      </c>
      <c r="Q126" s="673"/>
      <c r="R126" s="673"/>
      <c r="S126" s="673"/>
      <c r="T126" s="673"/>
      <c r="U126" s="673" t="s">
        <v>53</v>
      </c>
      <c r="V126" s="778"/>
      <c r="W126" s="778"/>
      <c r="X126" s="659">
        <f>ROUND(M126*P126,-3)</f>
        <v>73000</v>
      </c>
      <c r="Y126" s="632" t="s">
        <v>56</v>
      </c>
      <c r="Z126" s="558"/>
      <c r="AA126" s="678"/>
    </row>
    <row r="127" spans="1:27" s="9" customFormat="1" ht="19.5" customHeight="1">
      <c r="A127" s="45"/>
      <c r="B127" s="34"/>
      <c r="C127" s="34"/>
      <c r="D127" s="34"/>
      <c r="E127" s="36"/>
      <c r="F127" s="36"/>
      <c r="G127" s="423"/>
      <c r="H127" s="675"/>
      <c r="I127" s="640" t="s">
        <v>397</v>
      </c>
      <c r="J127" s="674"/>
      <c r="K127" s="673"/>
      <c r="L127" s="673"/>
      <c r="M127" s="673">
        <v>10976000</v>
      </c>
      <c r="N127" s="673" t="s">
        <v>56</v>
      </c>
      <c r="O127" s="646" t="s">
        <v>57</v>
      </c>
      <c r="P127" s="654">
        <v>0.1</v>
      </c>
      <c r="Q127" s="673"/>
      <c r="R127" s="673"/>
      <c r="S127" s="673"/>
      <c r="T127" s="673"/>
      <c r="U127" s="673" t="s">
        <v>53</v>
      </c>
      <c r="V127" s="778"/>
      <c r="W127" s="778"/>
      <c r="X127" s="659">
        <f>ROUND(M127*P127,-3)</f>
        <v>1098000</v>
      </c>
      <c r="Y127" s="632" t="s">
        <v>56</v>
      </c>
      <c r="Z127" s="558"/>
      <c r="AA127" s="678"/>
    </row>
    <row r="128" spans="1:27" s="9" customFormat="1" ht="19.5" customHeight="1">
      <c r="A128" s="45"/>
      <c r="B128" s="34"/>
      <c r="C128" s="34"/>
      <c r="D128" s="34"/>
      <c r="E128" s="36"/>
      <c r="F128" s="36"/>
      <c r="G128" s="423"/>
      <c r="H128" s="675"/>
      <c r="I128" s="641" t="s">
        <v>434</v>
      </c>
      <c r="J128" s="674"/>
      <c r="K128" s="673"/>
      <c r="L128" s="673"/>
      <c r="M128" s="673"/>
      <c r="N128" s="673"/>
      <c r="O128" s="673"/>
      <c r="P128" s="673"/>
      <c r="Q128" s="673"/>
      <c r="R128" s="673"/>
      <c r="S128" s="673"/>
      <c r="T128" s="673"/>
      <c r="U128" s="673"/>
      <c r="V128" s="670" t="s">
        <v>375</v>
      </c>
      <c r="W128" s="317"/>
      <c r="X128" s="670">
        <f>X129</f>
        <v>713000</v>
      </c>
      <c r="Y128" s="309" t="s">
        <v>25</v>
      </c>
      <c r="Z128" s="558"/>
      <c r="AA128" s="678"/>
    </row>
    <row r="129" spans="1:27" s="9" customFormat="1" ht="19.5" customHeight="1">
      <c r="A129" s="45"/>
      <c r="B129" s="34"/>
      <c r="C129" s="34"/>
      <c r="D129" s="34"/>
      <c r="E129" s="36"/>
      <c r="F129" s="36"/>
      <c r="G129" s="423"/>
      <c r="H129" s="675"/>
      <c r="I129" s="640" t="s">
        <v>769</v>
      </c>
      <c r="J129" s="674"/>
      <c r="K129" s="673"/>
      <c r="L129" s="673"/>
      <c r="M129" s="673">
        <f>SUM(M120:M127)</f>
        <v>85498000</v>
      </c>
      <c r="N129" s="652" t="s">
        <v>56</v>
      </c>
      <c r="O129" s="658" t="s">
        <v>61</v>
      </c>
      <c r="P129" s="415">
        <v>12</v>
      </c>
      <c r="Q129" s="534" t="s">
        <v>0</v>
      </c>
      <c r="R129" s="646" t="s">
        <v>57</v>
      </c>
      <c r="S129" s="654">
        <v>0.1</v>
      </c>
      <c r="T129" s="673"/>
      <c r="U129" s="673" t="s">
        <v>53</v>
      </c>
      <c r="V129" s="594"/>
      <c r="W129" s="594"/>
      <c r="X129" s="602">
        <f>ROUNDUP(M129/P129*S129,-3)</f>
        <v>713000</v>
      </c>
      <c r="Y129" s="510" t="s">
        <v>56</v>
      </c>
      <c r="Z129" s="558"/>
      <c r="AA129" s="678"/>
    </row>
    <row r="130" spans="1:27" s="9" customFormat="1" ht="19.5" customHeight="1">
      <c r="A130" s="45"/>
      <c r="B130" s="34"/>
      <c r="C130" s="34"/>
      <c r="D130" s="34"/>
      <c r="E130" s="36"/>
      <c r="F130" s="36"/>
      <c r="G130" s="423"/>
      <c r="H130" s="675"/>
      <c r="I130" s="641" t="s">
        <v>770</v>
      </c>
      <c r="J130" s="674"/>
      <c r="K130" s="673"/>
      <c r="L130" s="673"/>
      <c r="M130" s="673"/>
      <c r="N130" s="652"/>
      <c r="O130" s="673"/>
      <c r="P130" s="673"/>
      <c r="Q130" s="673"/>
      <c r="R130" s="673"/>
      <c r="S130" s="673"/>
      <c r="T130" s="673"/>
      <c r="U130" s="673"/>
      <c r="V130" s="670" t="s">
        <v>375</v>
      </c>
      <c r="W130" s="317"/>
      <c r="X130" s="670">
        <f>SUM(X131:X135)</f>
        <v>848000</v>
      </c>
      <c r="Y130" s="309" t="s">
        <v>25</v>
      </c>
      <c r="Z130" s="558"/>
      <c r="AA130" s="678"/>
    </row>
    <row r="131" spans="1:27" s="9" customFormat="1" ht="19.5" customHeight="1">
      <c r="A131" s="45"/>
      <c r="B131" s="34"/>
      <c r="C131" s="34"/>
      <c r="D131" s="34"/>
      <c r="E131" s="36"/>
      <c r="F131" s="387"/>
      <c r="G131" s="423"/>
      <c r="H131" s="675"/>
      <c r="I131" s="640" t="s">
        <v>724</v>
      </c>
      <c r="J131" s="674"/>
      <c r="K131" s="673"/>
      <c r="L131" s="673"/>
      <c r="M131" s="673">
        <f>M129</f>
        <v>85498000</v>
      </c>
      <c r="N131" s="652" t="s">
        <v>56</v>
      </c>
      <c r="O131" s="646" t="s">
        <v>57</v>
      </c>
      <c r="P131" s="612">
        <v>0.09</v>
      </c>
      <c r="Q131" s="658">
        <v>2</v>
      </c>
      <c r="R131" s="646" t="s">
        <v>57</v>
      </c>
      <c r="S131" s="654">
        <v>0.1</v>
      </c>
      <c r="T131" s="625"/>
      <c r="U131" s="658" t="s">
        <v>53</v>
      </c>
      <c r="V131" s="673"/>
      <c r="W131" s="659"/>
      <c r="X131" s="659">
        <f>ROUNDUP(M131*P131/Q131*S131,-3)</f>
        <v>385000</v>
      </c>
      <c r="Y131" s="632" t="s">
        <v>56</v>
      </c>
      <c r="Z131" s="558"/>
      <c r="AA131" s="678"/>
    </row>
    <row r="132" spans="1:27" s="9" customFormat="1" ht="19.5" customHeight="1">
      <c r="A132" s="45"/>
      <c r="B132" s="34"/>
      <c r="C132" s="34"/>
      <c r="D132" s="34"/>
      <c r="E132" s="36"/>
      <c r="F132" s="387"/>
      <c r="G132" s="423"/>
      <c r="H132" s="675"/>
      <c r="I132" s="640" t="s">
        <v>387</v>
      </c>
      <c r="J132" s="674"/>
      <c r="K132" s="673"/>
      <c r="L132" s="673"/>
      <c r="M132" s="673">
        <f>M129</f>
        <v>85498000</v>
      </c>
      <c r="N132" s="652" t="s">
        <v>56</v>
      </c>
      <c r="O132" s="646" t="s">
        <v>57</v>
      </c>
      <c r="P132" s="613">
        <v>6.8599999999999994E-2</v>
      </c>
      <c r="Q132" s="658">
        <v>2</v>
      </c>
      <c r="R132" s="646" t="s">
        <v>57</v>
      </c>
      <c r="S132" s="654">
        <v>0.1</v>
      </c>
      <c r="T132" s="625"/>
      <c r="U132" s="658" t="s">
        <v>53</v>
      </c>
      <c r="V132" s="673"/>
      <c r="W132" s="659"/>
      <c r="X132" s="659">
        <f>ROUND(M132*P132/Q132*S132,-3)</f>
        <v>293000</v>
      </c>
      <c r="Y132" s="632" t="s">
        <v>56</v>
      </c>
      <c r="Z132" s="558"/>
      <c r="AA132" s="678"/>
    </row>
    <row r="133" spans="1:27" s="9" customFormat="1" ht="19.5" customHeight="1">
      <c r="A133" s="45"/>
      <c r="B133" s="34"/>
      <c r="C133" s="34"/>
      <c r="D133" s="34"/>
      <c r="E133" s="36"/>
      <c r="F133" s="387"/>
      <c r="G133" s="423"/>
      <c r="H133" s="675"/>
      <c r="I133" s="640" t="s">
        <v>725</v>
      </c>
      <c r="J133" s="674"/>
      <c r="K133" s="673"/>
      <c r="L133" s="673"/>
      <c r="M133" s="673">
        <f>X132</f>
        <v>293000</v>
      </c>
      <c r="N133" s="652" t="s">
        <v>56</v>
      </c>
      <c r="O133" s="646" t="s">
        <v>57</v>
      </c>
      <c r="P133" s="603">
        <v>0.1152</v>
      </c>
      <c r="Q133" s="646"/>
      <c r="R133" s="646"/>
      <c r="S133" s="654"/>
      <c r="T133" s="625"/>
      <c r="U133" s="658" t="s">
        <v>53</v>
      </c>
      <c r="V133" s="673"/>
      <c r="W133" s="659"/>
      <c r="X133" s="659">
        <f>ROUND(M133*P133,-3)</f>
        <v>34000</v>
      </c>
      <c r="Y133" s="632" t="s">
        <v>56</v>
      </c>
      <c r="Z133" s="558"/>
      <c r="AA133" s="678"/>
    </row>
    <row r="134" spans="1:27" s="9" customFormat="1" ht="19.5" customHeight="1">
      <c r="A134" s="45"/>
      <c r="B134" s="34"/>
      <c r="C134" s="34"/>
      <c r="D134" s="34"/>
      <c r="E134" s="36"/>
      <c r="F134" s="387"/>
      <c r="G134" s="423"/>
      <c r="H134" s="675"/>
      <c r="I134" s="640" t="s">
        <v>389</v>
      </c>
      <c r="J134" s="674"/>
      <c r="K134" s="673"/>
      <c r="L134" s="673"/>
      <c r="M134" s="673">
        <f>M129</f>
        <v>85498000</v>
      </c>
      <c r="N134" s="652" t="s">
        <v>56</v>
      </c>
      <c r="O134" s="646" t="s">
        <v>57</v>
      </c>
      <c r="P134" s="603">
        <v>8.9999999999999993E-3</v>
      </c>
      <c r="Q134" s="646"/>
      <c r="R134" s="646" t="s">
        <v>57</v>
      </c>
      <c r="S134" s="654">
        <v>0.1</v>
      </c>
      <c r="T134" s="625"/>
      <c r="U134" s="658" t="s">
        <v>53</v>
      </c>
      <c r="V134" s="673"/>
      <c r="W134" s="659"/>
      <c r="X134" s="659">
        <f>ROUNDUP(M134*P134*S134,-3)</f>
        <v>77000</v>
      </c>
      <c r="Y134" s="632" t="s">
        <v>56</v>
      </c>
      <c r="Z134" s="558"/>
      <c r="AA134" s="678"/>
    </row>
    <row r="135" spans="1:27" s="9" customFormat="1" ht="19.5" customHeight="1">
      <c r="A135" s="45"/>
      <c r="B135" s="34"/>
      <c r="C135" s="34"/>
      <c r="D135" s="34"/>
      <c r="E135" s="36"/>
      <c r="F135" s="387"/>
      <c r="G135" s="423"/>
      <c r="H135" s="675"/>
      <c r="I135" s="640" t="s">
        <v>726</v>
      </c>
      <c r="J135" s="674"/>
      <c r="K135" s="673"/>
      <c r="L135" s="673"/>
      <c r="M135" s="673">
        <f>M129</f>
        <v>85498000</v>
      </c>
      <c r="N135" s="652" t="s">
        <v>56</v>
      </c>
      <c r="O135" s="646" t="s">
        <v>57</v>
      </c>
      <c r="P135" s="614">
        <v>6.9300000000000004E-3</v>
      </c>
      <c r="Q135" s="646"/>
      <c r="R135" s="646" t="s">
        <v>57</v>
      </c>
      <c r="S135" s="654">
        <v>0.1</v>
      </c>
      <c r="T135" s="625"/>
      <c r="U135" s="658" t="s">
        <v>53</v>
      </c>
      <c r="V135" s="673"/>
      <c r="W135" s="659"/>
      <c r="X135" s="659">
        <f>ROUND(M135*P135*S135,-3)</f>
        <v>59000</v>
      </c>
      <c r="Y135" s="632" t="s">
        <v>56</v>
      </c>
      <c r="Z135" s="558"/>
      <c r="AA135" s="678"/>
    </row>
    <row r="136" spans="1:27" s="9" customFormat="1" ht="19.5" customHeight="1">
      <c r="A136" s="45"/>
      <c r="B136" s="34"/>
      <c r="C136" s="34"/>
      <c r="D136" s="34"/>
      <c r="E136" s="36"/>
      <c r="F136" s="387"/>
      <c r="G136" s="423"/>
      <c r="H136" s="675"/>
      <c r="I136" s="640"/>
      <c r="J136" s="659"/>
      <c r="K136" s="538"/>
      <c r="L136" s="538"/>
      <c r="M136" s="673"/>
      <c r="N136" s="673"/>
      <c r="O136" s="534"/>
      <c r="P136" s="673"/>
      <c r="Q136" s="652"/>
      <c r="R136" s="537"/>
      <c r="S136" s="232"/>
      <c r="T136" s="658"/>
      <c r="U136" s="658"/>
      <c r="V136" s="654"/>
      <c r="W136" s="674"/>
      <c r="X136" s="659"/>
      <c r="Y136" s="632"/>
      <c r="Z136" s="558"/>
      <c r="AA136" s="678"/>
    </row>
    <row r="137" spans="1:27" s="9" customFormat="1" ht="19.5" customHeight="1">
      <c r="A137" s="45"/>
      <c r="B137" s="34"/>
      <c r="C137" s="34"/>
      <c r="D137" s="34"/>
      <c r="E137" s="36"/>
      <c r="F137" s="387"/>
      <c r="G137" s="423"/>
      <c r="H137" s="675"/>
      <c r="I137" s="641" t="s">
        <v>435</v>
      </c>
      <c r="J137" s="659"/>
      <c r="K137" s="538"/>
      <c r="L137" s="538"/>
      <c r="M137" s="673"/>
      <c r="N137" s="673"/>
      <c r="O137" s="534"/>
      <c r="P137" s="673"/>
      <c r="Q137" s="652"/>
      <c r="R137" s="537"/>
      <c r="S137" s="232"/>
      <c r="T137" s="658"/>
      <c r="U137" s="658"/>
      <c r="V137" s="670" t="s">
        <v>430</v>
      </c>
      <c r="W137" s="317"/>
      <c r="X137" s="670">
        <f>SUM(X138:X140)</f>
        <v>990000</v>
      </c>
      <c r="Y137" s="309" t="s">
        <v>25</v>
      </c>
      <c r="Z137" s="558"/>
      <c r="AA137" s="678"/>
    </row>
    <row r="138" spans="1:27" s="9" customFormat="1" ht="19.5" customHeight="1">
      <c r="A138" s="45"/>
      <c r="B138" s="34"/>
      <c r="C138" s="34"/>
      <c r="D138" s="34"/>
      <c r="E138" s="36"/>
      <c r="F138" s="387"/>
      <c r="G138" s="423"/>
      <c r="H138" s="675"/>
      <c r="I138" s="640" t="s">
        <v>436</v>
      </c>
      <c r="J138" s="674"/>
      <c r="K138" s="673"/>
      <c r="L138" s="673"/>
      <c r="M138" s="390">
        <v>300000</v>
      </c>
      <c r="N138" s="598" t="s">
        <v>56</v>
      </c>
      <c r="O138" s="598" t="s">
        <v>57</v>
      </c>
      <c r="P138" s="406">
        <v>1</v>
      </c>
      <c r="Q138" s="650">
        <v>12</v>
      </c>
      <c r="R138" s="598" t="s">
        <v>0</v>
      </c>
      <c r="S138" s="392">
        <v>0.1</v>
      </c>
      <c r="T138" s="598"/>
      <c r="U138" s="598" t="s">
        <v>53</v>
      </c>
      <c r="V138" s="673"/>
      <c r="W138" s="659"/>
      <c r="X138" s="673">
        <f>M138*P138*Q138*S138</f>
        <v>360000</v>
      </c>
      <c r="Y138" s="632" t="s">
        <v>56</v>
      </c>
      <c r="Z138" s="558"/>
      <c r="AA138" s="678"/>
    </row>
    <row r="139" spans="1:27" s="9" customFormat="1" ht="19.5" customHeight="1">
      <c r="A139" s="45"/>
      <c r="B139" s="34"/>
      <c r="C139" s="34"/>
      <c r="D139" s="34"/>
      <c r="E139" s="36"/>
      <c r="F139" s="387"/>
      <c r="G139" s="423"/>
      <c r="H139" s="675"/>
      <c r="I139" s="640" t="s">
        <v>437</v>
      </c>
      <c r="J139" s="674"/>
      <c r="K139" s="673"/>
      <c r="L139" s="673"/>
      <c r="M139" s="390">
        <v>0</v>
      </c>
      <c r="N139" s="598" t="s">
        <v>56</v>
      </c>
      <c r="O139" s="598" t="s">
        <v>57</v>
      </c>
      <c r="P139" s="654">
        <v>0.1</v>
      </c>
      <c r="Q139" s="650"/>
      <c r="R139" s="598"/>
      <c r="S139" s="392"/>
      <c r="T139" s="598"/>
      <c r="U139" s="598" t="s">
        <v>53</v>
      </c>
      <c r="V139" s="673"/>
      <c r="W139" s="659"/>
      <c r="X139" s="673">
        <f>M139*P139</f>
        <v>0</v>
      </c>
      <c r="Y139" s="632" t="s">
        <v>56</v>
      </c>
      <c r="Z139" s="558"/>
      <c r="AA139" s="678"/>
    </row>
    <row r="140" spans="1:27" s="9" customFormat="1" ht="19.5" customHeight="1">
      <c r="A140" s="45"/>
      <c r="B140" s="34"/>
      <c r="C140" s="34"/>
      <c r="D140" s="34"/>
      <c r="E140" s="36"/>
      <c r="F140" s="387"/>
      <c r="G140" s="423"/>
      <c r="H140" s="675"/>
      <c r="I140" s="640" t="s">
        <v>774</v>
      </c>
      <c r="J140" s="674"/>
      <c r="K140" s="673"/>
      <c r="L140" s="673"/>
      <c r="M140" s="390">
        <v>70000</v>
      </c>
      <c r="N140" s="598" t="s">
        <v>56</v>
      </c>
      <c r="O140" s="598" t="s">
        <v>57</v>
      </c>
      <c r="P140" s="391">
        <v>1</v>
      </c>
      <c r="Q140" s="650">
        <v>90</v>
      </c>
      <c r="R140" s="598" t="s">
        <v>85</v>
      </c>
      <c r="S140" s="392">
        <v>0.1</v>
      </c>
      <c r="T140" s="598"/>
      <c r="U140" s="598" t="s">
        <v>53</v>
      </c>
      <c r="V140" s="673"/>
      <c r="W140" s="659"/>
      <c r="X140" s="673">
        <f>M140*P140*Q140*S140</f>
        <v>630000</v>
      </c>
      <c r="Y140" s="632" t="s">
        <v>56</v>
      </c>
      <c r="Z140" s="558"/>
      <c r="AA140" s="678"/>
    </row>
    <row r="141" spans="1:27" s="9" customFormat="1" ht="19.5" customHeight="1">
      <c r="A141" s="45"/>
      <c r="B141" s="34"/>
      <c r="C141" s="34"/>
      <c r="D141" s="44"/>
      <c r="E141" s="46"/>
      <c r="F141" s="681"/>
      <c r="G141" s="679"/>
      <c r="H141" s="680"/>
      <c r="I141" s="671"/>
      <c r="J141" s="317"/>
      <c r="K141" s="541"/>
      <c r="L141" s="541"/>
      <c r="M141" s="670"/>
      <c r="N141" s="670"/>
      <c r="O141" s="542"/>
      <c r="P141" s="670"/>
      <c r="Q141" s="422"/>
      <c r="R141" s="543"/>
      <c r="S141" s="670"/>
      <c r="T141" s="545"/>
      <c r="U141" s="545"/>
      <c r="V141" s="546"/>
      <c r="W141" s="671"/>
      <c r="X141" s="317"/>
      <c r="Y141" s="309"/>
      <c r="Z141" s="558"/>
      <c r="AA141" s="678"/>
    </row>
    <row r="142" spans="1:27" s="9" customFormat="1" ht="19.5" customHeight="1">
      <c r="A142" s="45"/>
      <c r="B142" s="34"/>
      <c r="C142" s="34"/>
      <c r="D142" s="34" t="s">
        <v>439</v>
      </c>
      <c r="E142" s="36">
        <v>8800</v>
      </c>
      <c r="F142" s="682">
        <f>ROUND(X142/1000,0)</f>
        <v>6345</v>
      </c>
      <c r="G142" s="423">
        <f>F142-E142</f>
        <v>-2455</v>
      </c>
      <c r="H142" s="675">
        <f>IF(E142=0,0,G142/E142)</f>
        <v>-0.27897727272727274</v>
      </c>
      <c r="I142" s="641" t="s">
        <v>775</v>
      </c>
      <c r="J142" s="659"/>
      <c r="K142" s="538"/>
      <c r="L142" s="538"/>
      <c r="M142" s="673"/>
      <c r="N142" s="673"/>
      <c r="O142" s="534"/>
      <c r="P142" s="673"/>
      <c r="Q142" s="652"/>
      <c r="R142" s="537"/>
      <c r="S142" s="232"/>
      <c r="T142" s="658"/>
      <c r="U142" s="658"/>
      <c r="V142" s="670" t="s">
        <v>440</v>
      </c>
      <c r="W142" s="317"/>
      <c r="X142" s="670">
        <f>SUM(X143:X144)</f>
        <v>6345000</v>
      </c>
      <c r="Y142" s="309" t="s">
        <v>25</v>
      </c>
      <c r="Z142" s="558"/>
      <c r="AA142" s="678"/>
    </row>
    <row r="143" spans="1:27" s="9" customFormat="1" ht="19.5" customHeight="1">
      <c r="A143" s="45"/>
      <c r="B143" s="34"/>
      <c r="C143" s="34"/>
      <c r="D143" s="34"/>
      <c r="E143" s="36"/>
      <c r="F143" s="387"/>
      <c r="G143" s="423"/>
      <c r="H143" s="675"/>
      <c r="I143" s="674" t="s">
        <v>585</v>
      </c>
      <c r="J143" s="659"/>
      <c r="K143" s="538"/>
      <c r="L143" s="538"/>
      <c r="M143" s="390">
        <v>900000</v>
      </c>
      <c r="N143" s="598" t="s">
        <v>56</v>
      </c>
      <c r="O143" s="598" t="s">
        <v>57</v>
      </c>
      <c r="P143" s="654">
        <v>0.3</v>
      </c>
      <c r="Q143" s="650"/>
      <c r="R143" s="598"/>
      <c r="S143" s="392"/>
      <c r="T143" s="598"/>
      <c r="U143" s="598" t="s">
        <v>53</v>
      </c>
      <c r="V143" s="673"/>
      <c r="W143" s="659"/>
      <c r="X143" s="673">
        <f>ROUND(M143*P143,-3)</f>
        <v>270000</v>
      </c>
      <c r="Y143" s="632" t="s">
        <v>56</v>
      </c>
      <c r="Z143" s="558"/>
      <c r="AA143" s="678"/>
    </row>
    <row r="144" spans="1:27" s="9" customFormat="1" ht="19.5" customHeight="1">
      <c r="A144" s="45"/>
      <c r="B144" s="34"/>
      <c r="C144" s="34"/>
      <c r="D144" s="34"/>
      <c r="E144" s="36"/>
      <c r="F144" s="387"/>
      <c r="G144" s="423"/>
      <c r="H144" s="675"/>
      <c r="I144" s="674" t="s">
        <v>727</v>
      </c>
      <c r="J144" s="659"/>
      <c r="K144" s="538"/>
      <c r="L144" s="538"/>
      <c r="M144" s="390">
        <v>12149000</v>
      </c>
      <c r="N144" s="598" t="s">
        <v>56</v>
      </c>
      <c r="O144" s="598" t="s">
        <v>57</v>
      </c>
      <c r="P144" s="654">
        <v>0.5</v>
      </c>
      <c r="Q144" s="650"/>
      <c r="R144" s="598"/>
      <c r="S144" s="392"/>
      <c r="T144" s="598"/>
      <c r="U144" s="598" t="s">
        <v>53</v>
      </c>
      <c r="V144" s="673"/>
      <c r="W144" s="659"/>
      <c r="X144" s="673">
        <f>ROUND(M144*P144,-3)</f>
        <v>6075000</v>
      </c>
      <c r="Y144" s="632" t="s">
        <v>56</v>
      </c>
      <c r="Z144" s="558"/>
      <c r="AA144" s="678"/>
    </row>
    <row r="145" spans="1:27" s="9" customFormat="1" ht="19.5" customHeight="1">
      <c r="A145" s="45"/>
      <c r="B145" s="63"/>
      <c r="C145" s="64"/>
      <c r="D145" s="44"/>
      <c r="E145" s="46"/>
      <c r="F145" s="681"/>
      <c r="G145" s="679"/>
      <c r="H145" s="680"/>
      <c r="I145" s="671"/>
      <c r="J145" s="670"/>
      <c r="K145" s="308"/>
      <c r="L145" s="308"/>
      <c r="M145" s="670"/>
      <c r="N145" s="670"/>
      <c r="O145" s="671"/>
      <c r="P145" s="670"/>
      <c r="Q145" s="670"/>
      <c r="R145" s="671"/>
      <c r="S145" s="671"/>
      <c r="T145" s="671"/>
      <c r="U145" s="671"/>
      <c r="V145" s="671"/>
      <c r="W145" s="671"/>
      <c r="X145" s="670"/>
      <c r="Y145" s="309"/>
      <c r="Z145" s="558"/>
      <c r="AA145" s="678"/>
    </row>
    <row r="146" spans="1:27" ht="21" customHeight="1">
      <c r="A146" s="33"/>
      <c r="B146" s="34"/>
      <c r="C146" s="34" t="s">
        <v>442</v>
      </c>
      <c r="D146" s="335" t="s">
        <v>406</v>
      </c>
      <c r="E146" s="164">
        <f>SUM(E147:E227)</f>
        <v>669452</v>
      </c>
      <c r="F146" s="164">
        <f>SUM(F147:F227)</f>
        <v>637285</v>
      </c>
      <c r="G146" s="165">
        <f>F146-E146</f>
        <v>-32167</v>
      </c>
      <c r="H146" s="166">
        <f>IF(E146=0,0,G146/E146)</f>
        <v>-4.8049748152220025E-2</v>
      </c>
      <c r="I146" s="149" t="s">
        <v>443</v>
      </c>
      <c r="J146" s="150"/>
      <c r="K146" s="151"/>
      <c r="L146" s="151"/>
      <c r="M146" s="151"/>
      <c r="N146" s="151"/>
      <c r="O146" s="151"/>
      <c r="P146" s="152"/>
      <c r="Q146" s="152"/>
      <c r="R146" s="152"/>
      <c r="S146" s="152"/>
      <c r="T146" s="152"/>
      <c r="U146" s="152"/>
      <c r="V146" s="179" t="s">
        <v>378</v>
      </c>
      <c r="W146" s="180"/>
      <c r="X146" s="181">
        <f>SUM(X147,X155,X172,X188,X192,X199,X223)</f>
        <v>637285000</v>
      </c>
      <c r="Y146" s="208" t="s">
        <v>380</v>
      </c>
    </row>
    <row r="147" spans="1:27" ht="21" customHeight="1">
      <c r="A147" s="33"/>
      <c r="B147" s="34"/>
      <c r="C147" s="34" t="s">
        <v>408</v>
      </c>
      <c r="D147" s="24" t="s">
        <v>409</v>
      </c>
      <c r="E147" s="182">
        <v>2614</v>
      </c>
      <c r="F147" s="182">
        <f>ROUND(X147/1000,0)</f>
        <v>2614</v>
      </c>
      <c r="G147" s="214">
        <f>F147-E147</f>
        <v>0</v>
      </c>
      <c r="H147" s="136">
        <f>IF(E147=0,0,G147/E147)</f>
        <v>0</v>
      </c>
      <c r="I147" s="107" t="s">
        <v>410</v>
      </c>
      <c r="J147" s="120"/>
      <c r="K147" s="69"/>
      <c r="L147" s="69"/>
      <c r="M147" s="69"/>
      <c r="N147" s="463"/>
      <c r="O147" s="183"/>
      <c r="P147" s="69"/>
      <c r="Q147" s="184"/>
      <c r="R147" s="368"/>
      <c r="S147" s="367"/>
      <c r="T147" s="367"/>
      <c r="U147" s="463"/>
      <c r="V147" s="366" t="s">
        <v>392</v>
      </c>
      <c r="W147" s="109"/>
      <c r="X147" s="109">
        <f>SUM(X148:X153)</f>
        <v>2614000</v>
      </c>
      <c r="Y147" s="110" t="s">
        <v>380</v>
      </c>
    </row>
    <row r="148" spans="1:27" ht="21" customHeight="1">
      <c r="A148" s="33"/>
      <c r="B148" s="34"/>
      <c r="C148" s="34"/>
      <c r="D148" s="34"/>
      <c r="E148" s="36"/>
      <c r="F148" s="36"/>
      <c r="G148" s="37"/>
      <c r="H148" s="53"/>
      <c r="I148" s="223" t="s">
        <v>371</v>
      </c>
      <c r="J148" s="529"/>
      <c r="K148" s="528"/>
      <c r="L148" s="528"/>
      <c r="M148" s="528">
        <v>287225</v>
      </c>
      <c r="N148" s="475" t="s">
        <v>25</v>
      </c>
      <c r="O148" s="534" t="s">
        <v>26</v>
      </c>
      <c r="P148" s="528">
        <v>23</v>
      </c>
      <c r="Q148" s="413" t="s">
        <v>129</v>
      </c>
      <c r="R148" s="535" t="s">
        <v>26</v>
      </c>
      <c r="S148" s="557">
        <v>12</v>
      </c>
      <c r="T148" s="557" t="s">
        <v>29</v>
      </c>
      <c r="U148" s="475" t="s">
        <v>26</v>
      </c>
      <c r="V148" s="536">
        <v>0.03</v>
      </c>
      <c r="W148" s="476" t="s">
        <v>27</v>
      </c>
      <c r="X148" s="476">
        <f>ROUND(M148*P148*S148*V148,-3)</f>
        <v>2378000</v>
      </c>
      <c r="Y148" s="103" t="s">
        <v>56</v>
      </c>
      <c r="Z148" s="558"/>
    </row>
    <row r="149" spans="1:27" ht="21" customHeight="1">
      <c r="A149" s="33"/>
      <c r="B149" s="34"/>
      <c r="C149" s="34"/>
      <c r="D149" s="34"/>
      <c r="E149" s="36"/>
      <c r="F149" s="36"/>
      <c r="G149" s="37"/>
      <c r="H149" s="53"/>
      <c r="I149" s="223" t="s">
        <v>717</v>
      </c>
      <c r="J149" s="529"/>
      <c r="K149" s="528"/>
      <c r="L149" s="528"/>
      <c r="M149" s="528">
        <v>287225</v>
      </c>
      <c r="N149" s="475" t="s">
        <v>25</v>
      </c>
      <c r="O149" s="534" t="s">
        <v>26</v>
      </c>
      <c r="P149" s="528">
        <v>1</v>
      </c>
      <c r="Q149" s="413" t="s">
        <v>129</v>
      </c>
      <c r="R149" s="535" t="s">
        <v>26</v>
      </c>
      <c r="S149" s="557">
        <v>9</v>
      </c>
      <c r="T149" s="557" t="s">
        <v>29</v>
      </c>
      <c r="U149" s="475" t="s">
        <v>26</v>
      </c>
      <c r="V149" s="536">
        <v>0.03</v>
      </c>
      <c r="W149" s="476" t="s">
        <v>27</v>
      </c>
      <c r="X149" s="476">
        <f>ROUND(M149*P149*S149*V149,-3)</f>
        <v>78000</v>
      </c>
      <c r="Y149" s="103" t="s">
        <v>56</v>
      </c>
      <c r="Z149" s="558"/>
    </row>
    <row r="150" spans="1:27" ht="21" customHeight="1">
      <c r="A150" s="33"/>
      <c r="B150" s="34"/>
      <c r="C150" s="34"/>
      <c r="D150" s="34"/>
      <c r="E150" s="36"/>
      <c r="F150" s="36"/>
      <c r="G150" s="37"/>
      <c r="H150" s="53"/>
      <c r="I150" s="223" t="s">
        <v>718</v>
      </c>
      <c r="J150" s="529"/>
      <c r="K150" s="528"/>
      <c r="L150" s="528"/>
      <c r="M150" s="528">
        <v>150000</v>
      </c>
      <c r="N150" s="475" t="s">
        <v>25</v>
      </c>
      <c r="O150" s="534" t="s">
        <v>26</v>
      </c>
      <c r="P150" s="528">
        <v>1</v>
      </c>
      <c r="Q150" s="413" t="s">
        <v>129</v>
      </c>
      <c r="R150" s="535" t="s">
        <v>26</v>
      </c>
      <c r="S150" s="557">
        <v>12</v>
      </c>
      <c r="T150" s="557" t="s">
        <v>29</v>
      </c>
      <c r="U150" s="475" t="s">
        <v>26</v>
      </c>
      <c r="V150" s="536">
        <v>0.03</v>
      </c>
      <c r="W150" s="476" t="s">
        <v>27</v>
      </c>
      <c r="X150" s="476">
        <f>ROUND(M150*P150*S150*V150,-3)</f>
        <v>54000</v>
      </c>
      <c r="Y150" s="103" t="s">
        <v>56</v>
      </c>
      <c r="Z150" s="558"/>
    </row>
    <row r="151" spans="1:27" ht="21" customHeight="1">
      <c r="A151" s="33"/>
      <c r="B151" s="34"/>
      <c r="C151" s="34"/>
      <c r="D151" s="34"/>
      <c r="E151" s="36"/>
      <c r="F151" s="36"/>
      <c r="G151" s="37"/>
      <c r="H151" s="53"/>
      <c r="I151" s="223" t="s">
        <v>217</v>
      </c>
      <c r="J151" s="529"/>
      <c r="K151" s="528"/>
      <c r="L151" s="528"/>
      <c r="M151" s="528">
        <v>40000</v>
      </c>
      <c r="N151" s="475" t="s">
        <v>25</v>
      </c>
      <c r="O151" s="534" t="s">
        <v>26</v>
      </c>
      <c r="P151" s="528">
        <v>25</v>
      </c>
      <c r="Q151" s="413" t="s">
        <v>129</v>
      </c>
      <c r="R151" s="537" t="s">
        <v>26</v>
      </c>
      <c r="S151" s="557">
        <v>1</v>
      </c>
      <c r="T151" s="557" t="s">
        <v>215</v>
      </c>
      <c r="U151" s="475" t="s">
        <v>26</v>
      </c>
      <c r="V151" s="536">
        <v>0.03</v>
      </c>
      <c r="W151" s="476" t="s">
        <v>27</v>
      </c>
      <c r="X151" s="476">
        <f>ROUNDUP(M151*P151*S151*V151,-3)</f>
        <v>30000</v>
      </c>
      <c r="Y151" s="103" t="s">
        <v>56</v>
      </c>
      <c r="Z151" s="558"/>
    </row>
    <row r="152" spans="1:27" ht="21" customHeight="1">
      <c r="A152" s="33"/>
      <c r="B152" s="34"/>
      <c r="C152" s="34"/>
      <c r="D152" s="34"/>
      <c r="E152" s="36"/>
      <c r="F152" s="36"/>
      <c r="G152" s="37"/>
      <c r="H152" s="53"/>
      <c r="I152" s="223" t="s">
        <v>216</v>
      </c>
      <c r="J152" s="476"/>
      <c r="K152" s="538"/>
      <c r="L152" s="538"/>
      <c r="M152" s="528">
        <v>50000</v>
      </c>
      <c r="N152" s="528" t="s">
        <v>25</v>
      </c>
      <c r="O152" s="534" t="s">
        <v>26</v>
      </c>
      <c r="P152" s="528">
        <v>24</v>
      </c>
      <c r="Q152" s="413" t="s">
        <v>129</v>
      </c>
      <c r="R152" s="537" t="s">
        <v>26</v>
      </c>
      <c r="S152" s="232">
        <v>2</v>
      </c>
      <c r="T152" s="475" t="s">
        <v>215</v>
      </c>
      <c r="U152" s="475" t="s">
        <v>26</v>
      </c>
      <c r="V152" s="536">
        <v>0.03</v>
      </c>
      <c r="W152" s="529" t="s">
        <v>27</v>
      </c>
      <c r="X152" s="476">
        <f>ROUNDUP(M152*P152*S152*V152,-3)</f>
        <v>72000</v>
      </c>
      <c r="Y152" s="103" t="s">
        <v>56</v>
      </c>
      <c r="Z152" s="558"/>
    </row>
    <row r="153" spans="1:27" ht="21" customHeight="1">
      <c r="A153" s="33"/>
      <c r="B153" s="34"/>
      <c r="C153" s="34"/>
      <c r="D153" s="34"/>
      <c r="E153" s="36"/>
      <c r="F153" s="36"/>
      <c r="G153" s="37"/>
      <c r="H153" s="53"/>
      <c r="I153" s="223" t="s">
        <v>719</v>
      </c>
      <c r="J153" s="476"/>
      <c r="K153" s="538"/>
      <c r="L153" s="538"/>
      <c r="M153" s="528">
        <v>50000</v>
      </c>
      <c r="N153" s="528" t="s">
        <v>25</v>
      </c>
      <c r="O153" s="534" t="s">
        <v>26</v>
      </c>
      <c r="P153" s="528">
        <v>1</v>
      </c>
      <c r="Q153" s="413" t="s">
        <v>129</v>
      </c>
      <c r="R153" s="537" t="s">
        <v>26</v>
      </c>
      <c r="S153" s="232">
        <v>1</v>
      </c>
      <c r="T153" s="475" t="s">
        <v>215</v>
      </c>
      <c r="U153" s="475" t="s">
        <v>26</v>
      </c>
      <c r="V153" s="536">
        <v>0.03</v>
      </c>
      <c r="W153" s="529" t="s">
        <v>27</v>
      </c>
      <c r="X153" s="476">
        <f>ROUND(M153*P153*S153*V153,-3)</f>
        <v>2000</v>
      </c>
      <c r="Y153" s="103" t="s">
        <v>56</v>
      </c>
      <c r="Z153" s="558"/>
    </row>
    <row r="154" spans="1:27" ht="21" customHeight="1">
      <c r="A154" s="33"/>
      <c r="B154" s="34"/>
      <c r="C154" s="34"/>
      <c r="D154" s="44"/>
      <c r="E154" s="46"/>
      <c r="F154" s="46"/>
      <c r="G154" s="47"/>
      <c r="H154" s="65"/>
      <c r="I154" s="224"/>
      <c r="J154" s="317"/>
      <c r="K154" s="541"/>
      <c r="L154" s="541"/>
      <c r="M154" s="530"/>
      <c r="N154" s="530"/>
      <c r="O154" s="542"/>
      <c r="P154" s="530"/>
      <c r="Q154" s="422"/>
      <c r="R154" s="543"/>
      <c r="S154" s="544"/>
      <c r="T154" s="545"/>
      <c r="U154" s="545"/>
      <c r="V154" s="546"/>
      <c r="W154" s="531"/>
      <c r="X154" s="317"/>
      <c r="Y154" s="309"/>
      <c r="Z154" s="558"/>
    </row>
    <row r="155" spans="1:27" ht="21" customHeight="1" thickBot="1">
      <c r="A155" s="33"/>
      <c r="B155" s="34"/>
      <c r="C155" s="34"/>
      <c r="D155" s="24" t="s">
        <v>411</v>
      </c>
      <c r="E155" s="25">
        <v>500440</v>
      </c>
      <c r="F155" s="182">
        <f>ROUND(X155/1000,0)</f>
        <v>478953</v>
      </c>
      <c r="G155" s="425">
        <f>F155-E155</f>
        <v>-21487</v>
      </c>
      <c r="H155" s="676">
        <f>IF(E155=0,0,G155/E155)</f>
        <v>-4.293621612980577E-2</v>
      </c>
      <c r="I155" s="547" t="s">
        <v>771</v>
      </c>
      <c r="J155" s="602"/>
      <c r="K155" s="548"/>
      <c r="L155" s="548"/>
      <c r="M155" s="594"/>
      <c r="N155" s="594"/>
      <c r="O155" s="549"/>
      <c r="P155" s="594"/>
      <c r="Q155" s="420"/>
      <c r="R155" s="550"/>
      <c r="S155" s="551"/>
      <c r="T155" s="552"/>
      <c r="U155" s="552"/>
      <c r="V155" s="553" t="s">
        <v>714</v>
      </c>
      <c r="W155" s="554"/>
      <c r="X155" s="554">
        <f>SUM(X156,X157,X161,X165)</f>
        <v>478953000</v>
      </c>
      <c r="Y155" s="555" t="s">
        <v>56</v>
      </c>
      <c r="Z155" s="558"/>
      <c r="AA155" s="677"/>
    </row>
    <row r="156" spans="1:27" ht="21" customHeight="1">
      <c r="A156" s="33"/>
      <c r="B156" s="34"/>
      <c r="C156" s="34"/>
      <c r="D156" s="34"/>
      <c r="E156" s="36"/>
      <c r="F156" s="36"/>
      <c r="G156" s="423"/>
      <c r="H156" s="675"/>
      <c r="I156" s="641" t="s">
        <v>393</v>
      </c>
      <c r="J156" s="674"/>
      <c r="K156" s="673"/>
      <c r="L156" s="673"/>
      <c r="M156" s="673">
        <f>M24</f>
        <v>1204935000</v>
      </c>
      <c r="N156" s="673" t="s">
        <v>56</v>
      </c>
      <c r="O156" s="646" t="s">
        <v>57</v>
      </c>
      <c r="P156" s="539">
        <v>0.255</v>
      </c>
      <c r="Q156" s="673"/>
      <c r="R156" s="673"/>
      <c r="S156" s="673"/>
      <c r="T156" s="673"/>
      <c r="U156" s="673" t="s">
        <v>53</v>
      </c>
      <c r="V156" s="670" t="s">
        <v>375</v>
      </c>
      <c r="W156" s="317"/>
      <c r="X156" s="670">
        <f>ROUND(M156*P156,-3)</f>
        <v>307258000</v>
      </c>
      <c r="Y156" s="309" t="s">
        <v>25</v>
      </c>
      <c r="Z156" s="558"/>
      <c r="AA156" s="677"/>
    </row>
    <row r="157" spans="1:27" ht="21" customHeight="1">
      <c r="A157" s="33"/>
      <c r="B157" s="34"/>
      <c r="C157" s="34"/>
      <c r="D157" s="34"/>
      <c r="E157" s="36"/>
      <c r="F157" s="36"/>
      <c r="G157" s="423"/>
      <c r="H157" s="675"/>
      <c r="I157" s="225" t="s">
        <v>376</v>
      </c>
      <c r="J157" s="674"/>
      <c r="K157" s="673"/>
      <c r="L157" s="673"/>
      <c r="M157" s="673"/>
      <c r="N157" s="673"/>
      <c r="O157" s="673"/>
      <c r="P157" s="673"/>
      <c r="Q157" s="673"/>
      <c r="R157" s="673"/>
      <c r="S157" s="673"/>
      <c r="T157" s="673"/>
      <c r="U157" s="673"/>
      <c r="V157" s="332" t="s">
        <v>375</v>
      </c>
      <c r="W157" s="648"/>
      <c r="X157" s="332">
        <f>SUM(X158:X160)</f>
        <v>97195000</v>
      </c>
      <c r="Y157" s="333" t="s">
        <v>25</v>
      </c>
      <c r="Z157" s="558"/>
      <c r="AA157" s="677"/>
    </row>
    <row r="158" spans="1:27" ht="21" customHeight="1">
      <c r="A158" s="33"/>
      <c r="B158" s="34"/>
      <c r="C158" s="34"/>
      <c r="D158" s="34"/>
      <c r="E158" s="36"/>
      <c r="F158" s="36"/>
      <c r="G158" s="423"/>
      <c r="H158" s="675"/>
      <c r="I158" s="640" t="s">
        <v>395</v>
      </c>
      <c r="J158" s="674"/>
      <c r="K158" s="673"/>
      <c r="L158" s="673"/>
      <c r="M158" s="673">
        <f>M26</f>
        <v>124389000</v>
      </c>
      <c r="N158" s="673" t="s">
        <v>56</v>
      </c>
      <c r="O158" s="646" t="s">
        <v>57</v>
      </c>
      <c r="P158" s="539">
        <v>0.255</v>
      </c>
      <c r="Q158" s="673"/>
      <c r="R158" s="673"/>
      <c r="S158" s="673"/>
      <c r="T158" s="673"/>
      <c r="U158" s="673" t="s">
        <v>53</v>
      </c>
      <c r="V158" s="779"/>
      <c r="W158" s="779"/>
      <c r="X158" s="602">
        <f>ROUND(M158*P158,-3)</f>
        <v>31719000</v>
      </c>
      <c r="Y158" s="305" t="s">
        <v>56</v>
      </c>
      <c r="Z158" s="558"/>
      <c r="AA158" s="677"/>
    </row>
    <row r="159" spans="1:27" ht="21" customHeight="1">
      <c r="A159" s="33"/>
      <c r="B159" s="34"/>
      <c r="C159" s="34"/>
      <c r="D159" s="34"/>
      <c r="E159" s="36"/>
      <c r="F159" s="36"/>
      <c r="G159" s="423"/>
      <c r="H159" s="675"/>
      <c r="I159" s="640" t="s">
        <v>715</v>
      </c>
      <c r="J159" s="674"/>
      <c r="K159" s="673"/>
      <c r="L159" s="673"/>
      <c r="M159" s="673">
        <f t="shared" ref="M159:M162" si="1">M27</f>
        <v>23942000</v>
      </c>
      <c r="N159" s="673" t="s">
        <v>56</v>
      </c>
      <c r="O159" s="646" t="s">
        <v>57</v>
      </c>
      <c r="P159" s="539">
        <v>0.255</v>
      </c>
      <c r="Q159" s="673"/>
      <c r="R159" s="673"/>
      <c r="S159" s="673"/>
      <c r="T159" s="673"/>
      <c r="U159" s="673" t="s">
        <v>53</v>
      </c>
      <c r="V159" s="778"/>
      <c r="W159" s="778"/>
      <c r="X159" s="659">
        <f>ROUND(M159*P159,-3)</f>
        <v>6105000</v>
      </c>
      <c r="Y159" s="632" t="s">
        <v>56</v>
      </c>
      <c r="Z159" s="558"/>
      <c r="AA159" s="677"/>
    </row>
    <row r="160" spans="1:27" ht="21" customHeight="1">
      <c r="A160" s="33"/>
      <c r="B160" s="34"/>
      <c r="C160" s="34"/>
      <c r="D160" s="34"/>
      <c r="E160" s="36"/>
      <c r="F160" s="36"/>
      <c r="G160" s="423"/>
      <c r="H160" s="675"/>
      <c r="I160" s="640" t="s">
        <v>397</v>
      </c>
      <c r="J160" s="674"/>
      <c r="K160" s="673"/>
      <c r="L160" s="673"/>
      <c r="M160" s="673">
        <f t="shared" si="1"/>
        <v>232829000</v>
      </c>
      <c r="N160" s="673" t="s">
        <v>56</v>
      </c>
      <c r="O160" s="646" t="s">
        <v>57</v>
      </c>
      <c r="P160" s="539">
        <v>0.255</v>
      </c>
      <c r="Q160" s="673"/>
      <c r="R160" s="673"/>
      <c r="S160" s="673"/>
      <c r="T160" s="673"/>
      <c r="U160" s="673" t="s">
        <v>53</v>
      </c>
      <c r="V160" s="778"/>
      <c r="W160" s="778"/>
      <c r="X160" s="659">
        <f>ROUND(M160*P160,-3)</f>
        <v>59371000</v>
      </c>
      <c r="Y160" s="632" t="s">
        <v>56</v>
      </c>
      <c r="Z160" s="558"/>
      <c r="AA160" s="677"/>
    </row>
    <row r="161" spans="1:27" ht="21" customHeight="1">
      <c r="A161" s="33"/>
      <c r="B161" s="34"/>
      <c r="C161" s="34"/>
      <c r="D161" s="34"/>
      <c r="E161" s="36"/>
      <c r="F161" s="36"/>
      <c r="G161" s="423"/>
      <c r="H161" s="675"/>
      <c r="I161" s="641" t="s">
        <v>716</v>
      </c>
      <c r="J161" s="674"/>
      <c r="K161" s="673"/>
      <c r="L161" s="673"/>
      <c r="M161" s="673"/>
      <c r="N161" s="673"/>
      <c r="O161" s="673"/>
      <c r="P161" s="673"/>
      <c r="Q161" s="673"/>
      <c r="R161" s="673"/>
      <c r="S161" s="673"/>
      <c r="T161" s="673"/>
      <c r="U161" s="673"/>
      <c r="V161" s="670" t="s">
        <v>375</v>
      </c>
      <c r="W161" s="317"/>
      <c r="X161" s="670">
        <f>SUM(X162:X164)</f>
        <v>34386000</v>
      </c>
      <c r="Y161" s="309" t="s">
        <v>25</v>
      </c>
      <c r="Z161" s="558"/>
      <c r="AA161" s="677"/>
    </row>
    <row r="162" spans="1:27" ht="21" customHeight="1">
      <c r="A162" s="33"/>
      <c r="B162" s="34"/>
      <c r="C162" s="34"/>
      <c r="D162" s="34"/>
      <c r="E162" s="36"/>
      <c r="F162" s="36"/>
      <c r="G162" s="423"/>
      <c r="H162" s="675"/>
      <c r="I162" s="640" t="s">
        <v>772</v>
      </c>
      <c r="J162" s="674"/>
      <c r="K162" s="673"/>
      <c r="L162" s="673"/>
      <c r="M162" s="673">
        <f t="shared" si="1"/>
        <v>1586095000</v>
      </c>
      <c r="N162" s="652" t="s">
        <v>56</v>
      </c>
      <c r="O162" s="658" t="s">
        <v>61</v>
      </c>
      <c r="P162" s="415">
        <v>12</v>
      </c>
      <c r="Q162" s="534" t="s">
        <v>0</v>
      </c>
      <c r="R162" s="646" t="s">
        <v>57</v>
      </c>
      <c r="S162" s="539">
        <v>0.255</v>
      </c>
      <c r="T162" s="673"/>
      <c r="U162" s="673" t="s">
        <v>53</v>
      </c>
      <c r="V162" s="594"/>
      <c r="W162" s="594"/>
      <c r="X162" s="602">
        <f>ROUNDUP(M162/P162*S162,-3)</f>
        <v>33705000</v>
      </c>
      <c r="Y162" s="510" t="s">
        <v>56</v>
      </c>
      <c r="Z162" s="558"/>
      <c r="AA162" s="677"/>
    </row>
    <row r="163" spans="1:27" ht="21" customHeight="1">
      <c r="A163" s="33"/>
      <c r="B163" s="34"/>
      <c r="C163" s="34"/>
      <c r="D163" s="34"/>
      <c r="E163" s="36"/>
      <c r="F163" s="36"/>
      <c r="G163" s="423"/>
      <c r="H163" s="675"/>
      <c r="I163" s="640" t="s">
        <v>773</v>
      </c>
      <c r="J163" s="674"/>
      <c r="K163" s="673"/>
      <c r="L163" s="673"/>
      <c r="M163" s="673"/>
      <c r="N163" s="652"/>
      <c r="O163" s="658"/>
      <c r="P163" s="415"/>
      <c r="Q163" s="534"/>
      <c r="R163" s="646"/>
      <c r="S163" s="539"/>
      <c r="T163" s="673"/>
      <c r="U163" s="673"/>
      <c r="V163" s="673"/>
      <c r="W163" s="673"/>
      <c r="X163" s="659"/>
      <c r="Y163" s="540"/>
      <c r="Z163" s="558"/>
      <c r="AA163" s="677"/>
    </row>
    <row r="164" spans="1:27" ht="21" customHeight="1">
      <c r="A164" s="33"/>
      <c r="B164" s="34"/>
      <c r="C164" s="34"/>
      <c r="D164" s="34"/>
      <c r="E164" s="36"/>
      <c r="F164" s="36"/>
      <c r="G164" s="423"/>
      <c r="H164" s="675"/>
      <c r="I164" s="640"/>
      <c r="J164" s="674"/>
      <c r="K164" s="673"/>
      <c r="L164" s="673"/>
      <c r="M164" s="673">
        <v>2670000</v>
      </c>
      <c r="N164" s="652" t="s">
        <v>56</v>
      </c>
      <c r="O164" s="658"/>
      <c r="P164" s="415"/>
      <c r="Q164" s="534"/>
      <c r="R164" s="646" t="s">
        <v>57</v>
      </c>
      <c r="S164" s="539">
        <v>0.255</v>
      </c>
      <c r="T164" s="673"/>
      <c r="U164" s="673" t="s">
        <v>53</v>
      </c>
      <c r="V164" s="673"/>
      <c r="W164" s="673"/>
      <c r="X164" s="659">
        <f>ROUND(M164*S164,-3)</f>
        <v>681000</v>
      </c>
      <c r="Y164" s="540" t="s">
        <v>56</v>
      </c>
      <c r="Z164" s="558"/>
      <c r="AA164" s="677"/>
    </row>
    <row r="165" spans="1:27" ht="21" customHeight="1">
      <c r="A165" s="33"/>
      <c r="B165" s="34"/>
      <c r="C165" s="34"/>
      <c r="D165" s="34"/>
      <c r="E165" s="36"/>
      <c r="F165" s="36"/>
      <c r="G165" s="423"/>
      <c r="H165" s="675"/>
      <c r="I165" s="641" t="s">
        <v>385</v>
      </c>
      <c r="J165" s="674"/>
      <c r="K165" s="673"/>
      <c r="L165" s="673"/>
      <c r="M165" s="673"/>
      <c r="N165" s="652"/>
      <c r="O165" s="673"/>
      <c r="P165" s="673"/>
      <c r="Q165" s="673"/>
      <c r="R165" s="673"/>
      <c r="S165" s="673"/>
      <c r="T165" s="673"/>
      <c r="U165" s="673"/>
      <c r="V165" s="670" t="s">
        <v>375</v>
      </c>
      <c r="W165" s="317"/>
      <c r="X165" s="670">
        <f>SUM(X166:X170)</f>
        <v>40114000</v>
      </c>
      <c r="Y165" s="309" t="s">
        <v>25</v>
      </c>
      <c r="Z165" s="558"/>
      <c r="AA165" s="677"/>
    </row>
    <row r="166" spans="1:27" ht="21" customHeight="1">
      <c r="A166" s="33"/>
      <c r="B166" s="34"/>
      <c r="C166" s="34"/>
      <c r="D166" s="34"/>
      <c r="E166" s="36"/>
      <c r="F166" s="36"/>
      <c r="G166" s="423"/>
      <c r="H166" s="675"/>
      <c r="I166" s="640" t="s">
        <v>724</v>
      </c>
      <c r="J166" s="674"/>
      <c r="K166" s="673"/>
      <c r="L166" s="673"/>
      <c r="M166" s="673">
        <f>M162</f>
        <v>1586095000</v>
      </c>
      <c r="N166" s="652" t="s">
        <v>56</v>
      </c>
      <c r="O166" s="646" t="s">
        <v>57</v>
      </c>
      <c r="P166" s="612">
        <v>0.09</v>
      </c>
      <c r="Q166" s="658">
        <v>2</v>
      </c>
      <c r="R166" s="646" t="s">
        <v>57</v>
      </c>
      <c r="S166" s="539">
        <v>0.255</v>
      </c>
      <c r="T166" s="625"/>
      <c r="U166" s="658" t="s">
        <v>53</v>
      </c>
      <c r="V166" s="673"/>
      <c r="W166" s="659"/>
      <c r="X166" s="659">
        <f>ROUND(M166*P166/Q166*S166,-3)</f>
        <v>18200000</v>
      </c>
      <c r="Y166" s="632" t="s">
        <v>56</v>
      </c>
      <c r="Z166" s="558"/>
      <c r="AA166" s="677"/>
    </row>
    <row r="167" spans="1:27" ht="21" customHeight="1">
      <c r="A167" s="33"/>
      <c r="B167" s="34"/>
      <c r="C167" s="34"/>
      <c r="D167" s="34"/>
      <c r="E167" s="36"/>
      <c r="F167" s="36"/>
      <c r="G167" s="423"/>
      <c r="H167" s="675"/>
      <c r="I167" s="640" t="s">
        <v>387</v>
      </c>
      <c r="J167" s="674"/>
      <c r="K167" s="673"/>
      <c r="L167" s="673"/>
      <c r="M167" s="673">
        <f>M162</f>
        <v>1586095000</v>
      </c>
      <c r="N167" s="652" t="s">
        <v>56</v>
      </c>
      <c r="O167" s="646" t="s">
        <v>57</v>
      </c>
      <c r="P167" s="613">
        <v>6.8599999999999994E-2</v>
      </c>
      <c r="Q167" s="658">
        <v>2</v>
      </c>
      <c r="R167" s="646" t="s">
        <v>57</v>
      </c>
      <c r="S167" s="539">
        <v>0.255</v>
      </c>
      <c r="T167" s="625"/>
      <c r="U167" s="658" t="s">
        <v>53</v>
      </c>
      <c r="V167" s="673"/>
      <c r="W167" s="659"/>
      <c r="X167" s="659">
        <f>ROUNDUP(M167*P167/Q167*S167,-3)</f>
        <v>13873000</v>
      </c>
      <c r="Y167" s="632" t="s">
        <v>56</v>
      </c>
      <c r="Z167" s="558"/>
      <c r="AA167" s="677"/>
    </row>
    <row r="168" spans="1:27" ht="21" customHeight="1">
      <c r="A168" s="33"/>
      <c r="B168" s="34"/>
      <c r="C168" s="34"/>
      <c r="D168" s="34"/>
      <c r="E168" s="36"/>
      <c r="F168" s="36"/>
      <c r="G168" s="423"/>
      <c r="H168" s="675"/>
      <c r="I168" s="640" t="s">
        <v>725</v>
      </c>
      <c r="J168" s="674"/>
      <c r="K168" s="673"/>
      <c r="L168" s="673"/>
      <c r="M168" s="673">
        <f>X167</f>
        <v>13873000</v>
      </c>
      <c r="N168" s="652" t="s">
        <v>56</v>
      </c>
      <c r="O168" s="646" t="s">
        <v>57</v>
      </c>
      <c r="P168" s="603">
        <v>0.1152</v>
      </c>
      <c r="Q168" s="646"/>
      <c r="R168" s="646"/>
      <c r="S168" s="654"/>
      <c r="T168" s="625"/>
      <c r="U168" s="658" t="s">
        <v>53</v>
      </c>
      <c r="V168" s="673"/>
      <c r="W168" s="659"/>
      <c r="X168" s="659">
        <f>ROUNDDOWN(M168*P168,-3)</f>
        <v>1598000</v>
      </c>
      <c r="Y168" s="632" t="s">
        <v>56</v>
      </c>
      <c r="Z168" s="558"/>
      <c r="AA168" s="677"/>
    </row>
    <row r="169" spans="1:27" ht="21" customHeight="1">
      <c r="A169" s="33"/>
      <c r="B169" s="34"/>
      <c r="C169" s="34"/>
      <c r="D169" s="34"/>
      <c r="E169" s="36"/>
      <c r="F169" s="36"/>
      <c r="G169" s="423"/>
      <c r="H169" s="675"/>
      <c r="I169" s="640" t="s">
        <v>389</v>
      </c>
      <c r="J169" s="674"/>
      <c r="K169" s="673"/>
      <c r="L169" s="673"/>
      <c r="M169" s="673">
        <f>M162</f>
        <v>1586095000</v>
      </c>
      <c r="N169" s="652" t="s">
        <v>56</v>
      </c>
      <c r="O169" s="646" t="s">
        <v>57</v>
      </c>
      <c r="P169" s="603">
        <v>8.9999999999999993E-3</v>
      </c>
      <c r="Q169" s="646"/>
      <c r="R169" s="646" t="s">
        <v>57</v>
      </c>
      <c r="S169" s="539">
        <v>0.255</v>
      </c>
      <c r="T169" s="625"/>
      <c r="U169" s="658" t="s">
        <v>53</v>
      </c>
      <c r="V169" s="673"/>
      <c r="W169" s="659"/>
      <c r="X169" s="659">
        <f>ROUND(M169*P169*S169,-3)</f>
        <v>3640000</v>
      </c>
      <c r="Y169" s="632" t="s">
        <v>56</v>
      </c>
      <c r="Z169" s="558"/>
      <c r="AA169" s="677"/>
    </row>
    <row r="170" spans="1:27" ht="21" customHeight="1">
      <c r="A170" s="33"/>
      <c r="B170" s="34"/>
      <c r="C170" s="34"/>
      <c r="D170" s="34"/>
      <c r="E170" s="36"/>
      <c r="F170" s="36"/>
      <c r="G170" s="423"/>
      <c r="H170" s="675"/>
      <c r="I170" s="640" t="s">
        <v>726</v>
      </c>
      <c r="J170" s="674"/>
      <c r="K170" s="673"/>
      <c r="L170" s="673"/>
      <c r="M170" s="673">
        <f>M162</f>
        <v>1586095000</v>
      </c>
      <c r="N170" s="652" t="s">
        <v>56</v>
      </c>
      <c r="O170" s="646" t="s">
        <v>57</v>
      </c>
      <c r="P170" s="614">
        <v>6.9300000000000004E-3</v>
      </c>
      <c r="Q170" s="646"/>
      <c r="R170" s="646" t="s">
        <v>57</v>
      </c>
      <c r="S170" s="539">
        <v>0.255</v>
      </c>
      <c r="T170" s="625"/>
      <c r="U170" s="658" t="s">
        <v>53</v>
      </c>
      <c r="V170" s="673"/>
      <c r="W170" s="659"/>
      <c r="X170" s="659">
        <f>ROUNDUP(M170*P170*S170,-3)</f>
        <v>2803000</v>
      </c>
      <c r="Y170" s="632" t="s">
        <v>56</v>
      </c>
      <c r="Z170" s="558"/>
      <c r="AA170" s="677"/>
    </row>
    <row r="171" spans="1:27" ht="21" customHeight="1">
      <c r="A171" s="33"/>
      <c r="B171" s="34"/>
      <c r="C171" s="34"/>
      <c r="D171" s="34"/>
      <c r="E171" s="36"/>
      <c r="F171" s="36"/>
      <c r="G171" s="423"/>
      <c r="H171" s="675"/>
      <c r="I171" s="640"/>
      <c r="J171" s="674"/>
      <c r="K171" s="673"/>
      <c r="L171" s="673"/>
      <c r="M171" s="673"/>
      <c r="N171" s="652"/>
      <c r="O171" s="646"/>
      <c r="P171" s="614"/>
      <c r="Q171" s="646"/>
      <c r="R171" s="646"/>
      <c r="S171" s="539"/>
      <c r="T171" s="625"/>
      <c r="U171" s="658"/>
      <c r="V171" s="673"/>
      <c r="W171" s="659"/>
      <c r="X171" s="659"/>
      <c r="Y171" s="632"/>
      <c r="Z171" s="558"/>
      <c r="AA171" s="677"/>
    </row>
    <row r="172" spans="1:27" ht="21" customHeight="1" thickBot="1">
      <c r="A172" s="33"/>
      <c r="B172" s="34"/>
      <c r="C172" s="34"/>
      <c r="D172" s="34"/>
      <c r="E172" s="25">
        <v>0</v>
      </c>
      <c r="F172" s="182">
        <f>ROUND(X172/1000,0)</f>
        <v>0</v>
      </c>
      <c r="G172" s="425">
        <f>F172-E172</f>
        <v>0</v>
      </c>
      <c r="H172" s="676">
        <f>IF(E172=0,0,G172/E172)</f>
        <v>0</v>
      </c>
      <c r="I172" s="547" t="s">
        <v>391</v>
      </c>
      <c r="J172" s="602"/>
      <c r="K172" s="548"/>
      <c r="L172" s="548"/>
      <c r="M172" s="594"/>
      <c r="N172" s="594"/>
      <c r="O172" s="549"/>
      <c r="P172" s="594"/>
      <c r="Q172" s="420"/>
      <c r="R172" s="550"/>
      <c r="S172" s="551"/>
      <c r="T172" s="552"/>
      <c r="U172" s="552"/>
      <c r="V172" s="553" t="s">
        <v>714</v>
      </c>
      <c r="W172" s="554"/>
      <c r="X172" s="554">
        <f>SUM(X173,X174,X178,X180)</f>
        <v>0</v>
      </c>
      <c r="Y172" s="555" t="s">
        <v>56</v>
      </c>
      <c r="Z172" s="558"/>
      <c r="AA172" s="677"/>
    </row>
    <row r="173" spans="1:27" ht="21" customHeight="1">
      <c r="A173" s="33"/>
      <c r="B173" s="34"/>
      <c r="C173" s="34"/>
      <c r="D173" s="34"/>
      <c r="E173" s="36"/>
      <c r="F173" s="36"/>
      <c r="G173" s="37"/>
      <c r="H173" s="53"/>
      <c r="I173" s="224" t="s">
        <v>393</v>
      </c>
      <c r="J173" s="230"/>
      <c r="K173" s="229"/>
      <c r="L173" s="229"/>
      <c r="M173" s="229">
        <f>M41</f>
        <v>0</v>
      </c>
      <c r="N173" s="229" t="s">
        <v>380</v>
      </c>
      <c r="O173" s="57" t="s">
        <v>383</v>
      </c>
      <c r="P173" s="364">
        <v>0.255</v>
      </c>
      <c r="Q173" s="229"/>
      <c r="R173" s="229"/>
      <c r="S173" s="229"/>
      <c r="T173" s="229"/>
      <c r="U173" s="229" t="s">
        <v>384</v>
      </c>
      <c r="V173" s="169" t="s">
        <v>378</v>
      </c>
      <c r="W173" s="55"/>
      <c r="X173" s="473">
        <f>ROUNDDOWN(M173*P173,-3)</f>
        <v>0</v>
      </c>
      <c r="Y173" s="56" t="s">
        <v>25</v>
      </c>
    </row>
    <row r="174" spans="1:27" ht="21" customHeight="1">
      <c r="A174" s="33"/>
      <c r="B174" s="34"/>
      <c r="C174" s="34"/>
      <c r="D174" s="34"/>
      <c r="E174" s="36"/>
      <c r="F174" s="36"/>
      <c r="G174" s="37"/>
      <c r="H174" s="53"/>
      <c r="I174" s="225" t="s">
        <v>394</v>
      </c>
      <c r="J174" s="230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108" t="s">
        <v>378</v>
      </c>
      <c r="W174" s="109"/>
      <c r="X174" s="474">
        <f>SUM(X175:X177)</f>
        <v>0</v>
      </c>
      <c r="Y174" s="110" t="s">
        <v>25</v>
      </c>
    </row>
    <row r="175" spans="1:27" ht="21" customHeight="1">
      <c r="A175" s="33"/>
      <c r="B175" s="34"/>
      <c r="C175" s="34"/>
      <c r="D175" s="34"/>
      <c r="E175" s="36"/>
      <c r="F175" s="36"/>
      <c r="G175" s="37"/>
      <c r="H175" s="53"/>
      <c r="I175" s="223" t="s">
        <v>395</v>
      </c>
      <c r="J175" s="230"/>
      <c r="K175" s="229"/>
      <c r="L175" s="229"/>
      <c r="M175" s="229">
        <f>M43</f>
        <v>0</v>
      </c>
      <c r="N175" s="229" t="s">
        <v>380</v>
      </c>
      <c r="O175" s="57" t="s">
        <v>383</v>
      </c>
      <c r="P175" s="364">
        <v>0.255</v>
      </c>
      <c r="Q175" s="229"/>
      <c r="R175" s="229"/>
      <c r="S175" s="229"/>
      <c r="T175" s="229"/>
      <c r="U175" s="229" t="s">
        <v>384</v>
      </c>
      <c r="V175" s="777"/>
      <c r="W175" s="777"/>
      <c r="X175" s="385">
        <f>ROUNDDOWN(M175*P175,-3)</f>
        <v>0</v>
      </c>
      <c r="Y175" s="359" t="s">
        <v>380</v>
      </c>
    </row>
    <row r="176" spans="1:27" ht="21" customHeight="1">
      <c r="A176" s="33"/>
      <c r="B176" s="34"/>
      <c r="C176" s="34"/>
      <c r="D176" s="34"/>
      <c r="E176" s="36"/>
      <c r="F176" s="36"/>
      <c r="G176" s="667"/>
      <c r="H176" s="53"/>
      <c r="I176" s="223" t="s">
        <v>396</v>
      </c>
      <c r="J176" s="230"/>
      <c r="K176" s="229"/>
      <c r="L176" s="229"/>
      <c r="M176" s="229">
        <f>M44</f>
        <v>0</v>
      </c>
      <c r="N176" s="229" t="s">
        <v>380</v>
      </c>
      <c r="O176" s="57" t="s">
        <v>383</v>
      </c>
      <c r="P176" s="364">
        <v>0.255</v>
      </c>
      <c r="Q176" s="229"/>
      <c r="R176" s="229"/>
      <c r="S176" s="229"/>
      <c r="T176" s="229"/>
      <c r="U176" s="229" t="s">
        <v>384</v>
      </c>
      <c r="V176" s="775"/>
      <c r="W176" s="775"/>
      <c r="X176" s="219">
        <f>ROUNDDOWN(M176*P176,-3)</f>
        <v>0</v>
      </c>
      <c r="Y176" s="42" t="s">
        <v>380</v>
      </c>
    </row>
    <row r="177" spans="1:25" ht="21" customHeight="1">
      <c r="A177" s="33"/>
      <c r="B177" s="34"/>
      <c r="C177" s="34"/>
      <c r="D177" s="34"/>
      <c r="E177" s="36"/>
      <c r="F177" s="36"/>
      <c r="G177" s="37"/>
      <c r="H177" s="53"/>
      <c r="I177" s="223" t="s">
        <v>397</v>
      </c>
      <c r="J177" s="230"/>
      <c r="K177" s="229"/>
      <c r="L177" s="229"/>
      <c r="M177" s="229">
        <f>M45</f>
        <v>0</v>
      </c>
      <c r="N177" s="229" t="s">
        <v>380</v>
      </c>
      <c r="O177" s="57" t="s">
        <v>383</v>
      </c>
      <c r="P177" s="364">
        <v>0.255</v>
      </c>
      <c r="Q177" s="229"/>
      <c r="R177" s="229"/>
      <c r="S177" s="229"/>
      <c r="T177" s="229"/>
      <c r="U177" s="229" t="s">
        <v>384</v>
      </c>
      <c r="V177" s="775"/>
      <c r="W177" s="775"/>
      <c r="X177" s="219">
        <f>ROUND(M177*P177,-3)</f>
        <v>0</v>
      </c>
      <c r="Y177" s="42" t="s">
        <v>380</v>
      </c>
    </row>
    <row r="178" spans="1:25" ht="21" customHeight="1">
      <c r="A178" s="33"/>
      <c r="B178" s="34"/>
      <c r="C178" s="34"/>
      <c r="D178" s="34"/>
      <c r="E178" s="36"/>
      <c r="F178" s="36"/>
      <c r="G178" s="37"/>
      <c r="H178" s="53"/>
      <c r="I178" s="224" t="s">
        <v>377</v>
      </c>
      <c r="J178" s="230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169" t="s">
        <v>378</v>
      </c>
      <c r="W178" s="55"/>
      <c r="X178" s="473">
        <f>X179</f>
        <v>0</v>
      </c>
      <c r="Y178" s="56" t="s">
        <v>25</v>
      </c>
    </row>
    <row r="179" spans="1:25" ht="21" customHeight="1">
      <c r="A179" s="33"/>
      <c r="B179" s="34"/>
      <c r="C179" s="34"/>
      <c r="D179" s="34"/>
      <c r="E179" s="36"/>
      <c r="F179" s="36"/>
      <c r="G179" s="37"/>
      <c r="H179" s="53"/>
      <c r="I179" s="223" t="s">
        <v>379</v>
      </c>
      <c r="J179" s="230"/>
      <c r="K179" s="229"/>
      <c r="L179" s="229"/>
      <c r="M179" s="229">
        <f>SUM(M173:M177)</f>
        <v>0</v>
      </c>
      <c r="N179" s="39" t="s">
        <v>380</v>
      </c>
      <c r="O179" s="464" t="s">
        <v>381</v>
      </c>
      <c r="P179" s="358">
        <v>12</v>
      </c>
      <c r="Q179" s="153" t="s">
        <v>382</v>
      </c>
      <c r="R179" s="57" t="s">
        <v>383</v>
      </c>
      <c r="S179" s="364">
        <v>0.255</v>
      </c>
      <c r="T179" s="229"/>
      <c r="U179" s="229" t="s">
        <v>384</v>
      </c>
      <c r="V179" s="69"/>
      <c r="W179" s="69"/>
      <c r="X179" s="385">
        <f>ROUNDUP(M179/P179*S179,-3)</f>
        <v>0</v>
      </c>
      <c r="Y179" s="357" t="s">
        <v>380</v>
      </c>
    </row>
    <row r="180" spans="1:25" ht="21" customHeight="1">
      <c r="A180" s="33"/>
      <c r="B180" s="34"/>
      <c r="C180" s="34"/>
      <c r="D180" s="34"/>
      <c r="E180" s="36"/>
      <c r="F180" s="36"/>
      <c r="G180" s="37"/>
      <c r="H180" s="53"/>
      <c r="I180" s="224" t="s">
        <v>385</v>
      </c>
      <c r="J180" s="230"/>
      <c r="K180" s="229"/>
      <c r="L180" s="229"/>
      <c r="M180" s="229"/>
      <c r="N180" s="39"/>
      <c r="O180" s="229"/>
      <c r="P180" s="229"/>
      <c r="Q180" s="229"/>
      <c r="R180" s="229"/>
      <c r="S180" s="229"/>
      <c r="T180" s="229"/>
      <c r="U180" s="229"/>
      <c r="V180" s="169" t="s">
        <v>378</v>
      </c>
      <c r="W180" s="55"/>
      <c r="X180" s="473">
        <f>SUM(X181:X185)</f>
        <v>0</v>
      </c>
      <c r="Y180" s="56" t="s">
        <v>25</v>
      </c>
    </row>
    <row r="181" spans="1:25" ht="21" customHeight="1">
      <c r="A181" s="33"/>
      <c r="B181" s="34"/>
      <c r="C181" s="34"/>
      <c r="D181" s="34"/>
      <c r="E181" s="36"/>
      <c r="F181" s="36"/>
      <c r="G181" s="37"/>
      <c r="H181" s="53"/>
      <c r="I181" s="223" t="s">
        <v>386</v>
      </c>
      <c r="J181" s="230"/>
      <c r="K181" s="229"/>
      <c r="L181" s="229"/>
      <c r="M181" s="229">
        <f>M179</f>
        <v>0</v>
      </c>
      <c r="N181" s="39" t="s">
        <v>380</v>
      </c>
      <c r="O181" s="57" t="s">
        <v>383</v>
      </c>
      <c r="P181" s="347">
        <v>0.09</v>
      </c>
      <c r="Q181" s="464">
        <v>2</v>
      </c>
      <c r="R181" s="57" t="s">
        <v>383</v>
      </c>
      <c r="S181" s="364">
        <v>0.255</v>
      </c>
      <c r="T181" s="59"/>
      <c r="U181" s="464" t="s">
        <v>384</v>
      </c>
      <c r="V181" s="229"/>
      <c r="W181" s="51"/>
      <c r="X181" s="219">
        <f>ROUND(M181*P181/Q181*S181,-3)</f>
        <v>0</v>
      </c>
      <c r="Y181" s="42" t="s">
        <v>380</v>
      </c>
    </row>
    <row r="182" spans="1:25" ht="21" customHeight="1">
      <c r="A182" s="33"/>
      <c r="B182" s="34"/>
      <c r="C182" s="34"/>
      <c r="D182" s="34"/>
      <c r="E182" s="36"/>
      <c r="F182" s="36"/>
      <c r="G182" s="37"/>
      <c r="H182" s="53"/>
      <c r="I182" s="223" t="s">
        <v>387</v>
      </c>
      <c r="J182" s="230"/>
      <c r="K182" s="229"/>
      <c r="L182" s="229"/>
      <c r="M182" s="229">
        <f>M179</f>
        <v>0</v>
      </c>
      <c r="N182" s="39" t="s">
        <v>380</v>
      </c>
      <c r="O182" s="57" t="s">
        <v>383</v>
      </c>
      <c r="P182" s="346">
        <v>6.8599999999999994E-2</v>
      </c>
      <c r="Q182" s="464">
        <v>2</v>
      </c>
      <c r="R182" s="57" t="s">
        <v>383</v>
      </c>
      <c r="S182" s="364">
        <v>0.255</v>
      </c>
      <c r="T182" s="59"/>
      <c r="U182" s="464" t="s">
        <v>384</v>
      </c>
      <c r="V182" s="229"/>
      <c r="W182" s="51"/>
      <c r="X182" s="219">
        <f>ROUND(M182*P182/Q182*S182,-3)</f>
        <v>0</v>
      </c>
      <c r="Y182" s="42" t="s">
        <v>380</v>
      </c>
    </row>
    <row r="183" spans="1:25" ht="21" customHeight="1">
      <c r="A183" s="33"/>
      <c r="B183" s="34"/>
      <c r="C183" s="34"/>
      <c r="D183" s="34"/>
      <c r="E183" s="36"/>
      <c r="F183" s="36"/>
      <c r="G183" s="37"/>
      <c r="H183" s="53"/>
      <c r="I183" s="223" t="s">
        <v>388</v>
      </c>
      <c r="J183" s="230"/>
      <c r="K183" s="229"/>
      <c r="L183" s="229"/>
      <c r="M183" s="229">
        <f>X182</f>
        <v>0</v>
      </c>
      <c r="N183" s="39" t="s">
        <v>380</v>
      </c>
      <c r="O183" s="57" t="s">
        <v>383</v>
      </c>
      <c r="P183" s="61">
        <v>0.1152</v>
      </c>
      <c r="Q183" s="345"/>
      <c r="R183" s="57"/>
      <c r="S183" s="60"/>
      <c r="T183" s="344"/>
      <c r="U183" s="464" t="s">
        <v>384</v>
      </c>
      <c r="V183" s="229"/>
      <c r="W183" s="51"/>
      <c r="X183" s="219">
        <f>ROUNDDOWN(M183*P183,-3)</f>
        <v>0</v>
      </c>
      <c r="Y183" s="42" t="s">
        <v>380</v>
      </c>
    </row>
    <row r="184" spans="1:25" ht="21" customHeight="1">
      <c r="A184" s="33"/>
      <c r="B184" s="34"/>
      <c r="C184" s="34"/>
      <c r="D184" s="34"/>
      <c r="E184" s="36"/>
      <c r="F184" s="36"/>
      <c r="G184" s="37"/>
      <c r="H184" s="53"/>
      <c r="I184" s="223" t="s">
        <v>389</v>
      </c>
      <c r="J184" s="230"/>
      <c r="K184" s="229"/>
      <c r="L184" s="229"/>
      <c r="M184" s="229">
        <f>M179</f>
        <v>0</v>
      </c>
      <c r="N184" s="39" t="s">
        <v>380</v>
      </c>
      <c r="O184" s="57" t="s">
        <v>383</v>
      </c>
      <c r="P184" s="61">
        <v>8.9999999999999993E-3</v>
      </c>
      <c r="Q184" s="57"/>
      <c r="R184" s="57" t="s">
        <v>383</v>
      </c>
      <c r="S184" s="364">
        <v>0.255</v>
      </c>
      <c r="T184" s="59"/>
      <c r="U184" s="464" t="s">
        <v>384</v>
      </c>
      <c r="V184" s="229"/>
      <c r="W184" s="51"/>
      <c r="X184" s="219">
        <f>ROUNDUP(M184*P184*S184,-3)</f>
        <v>0</v>
      </c>
      <c r="Y184" s="42" t="s">
        <v>380</v>
      </c>
    </row>
    <row r="185" spans="1:25" ht="21" customHeight="1">
      <c r="A185" s="33"/>
      <c r="B185" s="34"/>
      <c r="C185" s="34"/>
      <c r="D185" s="34"/>
      <c r="E185" s="36"/>
      <c r="F185" s="36"/>
      <c r="G185" s="37"/>
      <c r="H185" s="53"/>
      <c r="I185" s="223" t="s">
        <v>390</v>
      </c>
      <c r="J185" s="230"/>
      <c r="K185" s="229"/>
      <c r="L185" s="229"/>
      <c r="M185" s="229">
        <f>M179</f>
        <v>0</v>
      </c>
      <c r="N185" s="39" t="s">
        <v>380</v>
      </c>
      <c r="O185" s="57" t="s">
        <v>383</v>
      </c>
      <c r="P185" s="343">
        <v>6.9300000000000004E-3</v>
      </c>
      <c r="Q185" s="57"/>
      <c r="R185" s="57" t="s">
        <v>383</v>
      </c>
      <c r="S185" s="364">
        <v>0.255</v>
      </c>
      <c r="T185" s="59"/>
      <c r="U185" s="464" t="s">
        <v>384</v>
      </c>
      <c r="V185" s="229"/>
      <c r="W185" s="51"/>
      <c r="X185" s="219">
        <f>ROUNDDOWN(M185*P185*S185,-3)</f>
        <v>0</v>
      </c>
      <c r="Y185" s="42" t="s">
        <v>380</v>
      </c>
    </row>
    <row r="186" spans="1:25" ht="21" customHeight="1">
      <c r="A186" s="33"/>
      <c r="B186" s="34"/>
      <c r="C186" s="34"/>
      <c r="D186" s="34"/>
      <c r="E186" s="36"/>
      <c r="F186" s="36"/>
      <c r="G186" s="37"/>
      <c r="H186" s="53"/>
      <c r="I186" s="223"/>
      <c r="J186" s="230"/>
      <c r="K186" s="229"/>
      <c r="L186" s="229"/>
      <c r="M186" s="229"/>
      <c r="N186" s="39"/>
      <c r="O186" s="57"/>
      <c r="P186" s="343"/>
      <c r="Q186" s="57"/>
      <c r="R186" s="57"/>
      <c r="S186" s="364"/>
      <c r="T186" s="59"/>
      <c r="U186" s="464"/>
      <c r="V186" s="229"/>
      <c r="W186" s="51"/>
      <c r="X186" s="51"/>
      <c r="Y186" s="42"/>
    </row>
    <row r="187" spans="1:25" ht="21" customHeight="1">
      <c r="A187" s="33"/>
      <c r="B187" s="34"/>
      <c r="C187" s="34"/>
      <c r="D187" s="44"/>
      <c r="E187" s="46"/>
      <c r="F187" s="46"/>
      <c r="G187" s="47"/>
      <c r="H187" s="65"/>
      <c r="I187" s="54"/>
      <c r="J187" s="55"/>
      <c r="K187" s="355"/>
      <c r="L187" s="355"/>
      <c r="M187" s="169"/>
      <c r="N187" s="169"/>
      <c r="O187" s="354"/>
      <c r="P187" s="169"/>
      <c r="Q187" s="100"/>
      <c r="R187" s="353"/>
      <c r="S187" s="361"/>
      <c r="T187" s="146"/>
      <c r="U187" s="146"/>
      <c r="V187" s="352"/>
      <c r="W187" s="273"/>
      <c r="X187" s="55"/>
      <c r="Y187" s="56"/>
    </row>
    <row r="188" spans="1:25" ht="21" customHeight="1" thickBot="1">
      <c r="A188" s="33"/>
      <c r="B188" s="34"/>
      <c r="C188" s="34"/>
      <c r="D188" s="24" t="s">
        <v>399</v>
      </c>
      <c r="E188" s="25">
        <v>24268</v>
      </c>
      <c r="F188" s="182">
        <f>ROUND(X188/1000,0)</f>
        <v>24268</v>
      </c>
      <c r="G188" s="26">
        <f>F188-E188</f>
        <v>0</v>
      </c>
      <c r="H188" s="93">
        <f>IF(E188=0,0,G188/E188)</f>
        <v>0</v>
      </c>
      <c r="I188" s="188" t="s">
        <v>412</v>
      </c>
      <c r="J188" s="187"/>
      <c r="K188" s="191"/>
      <c r="L188" s="191"/>
      <c r="M188" s="69"/>
      <c r="N188" s="69"/>
      <c r="O188" s="183"/>
      <c r="P188" s="69"/>
      <c r="Q188" s="184"/>
      <c r="R188" s="185"/>
      <c r="S188" s="186"/>
      <c r="T188" s="463"/>
      <c r="U188" s="463"/>
      <c r="V188" s="189" t="s">
        <v>392</v>
      </c>
      <c r="W188" s="190"/>
      <c r="X188" s="190">
        <f>SUM(X189:X190)</f>
        <v>24268000</v>
      </c>
      <c r="Y188" s="209" t="s">
        <v>380</v>
      </c>
    </row>
    <row r="189" spans="1:25" ht="21" customHeight="1">
      <c r="A189" s="33"/>
      <c r="B189" s="34"/>
      <c r="C189" s="34"/>
      <c r="D189" s="34"/>
      <c r="E189" s="36"/>
      <c r="F189" s="36"/>
      <c r="G189" s="37"/>
      <c r="H189" s="53"/>
      <c r="I189" s="230" t="s">
        <v>413</v>
      </c>
      <c r="J189" s="51"/>
      <c r="K189" s="155"/>
      <c r="L189" s="155"/>
      <c r="M189" s="217">
        <f>M104</f>
        <v>2425000</v>
      </c>
      <c r="N189" s="217" t="s">
        <v>25</v>
      </c>
      <c r="O189" s="274" t="s">
        <v>26</v>
      </c>
      <c r="P189" s="275">
        <v>30</v>
      </c>
      <c r="Q189" s="276" t="s">
        <v>402</v>
      </c>
      <c r="R189" s="471" t="s">
        <v>383</v>
      </c>
      <c r="S189" s="277">
        <v>0.255</v>
      </c>
      <c r="T189" s="266"/>
      <c r="U189" s="264" t="s">
        <v>384</v>
      </c>
      <c r="V189" s="775"/>
      <c r="W189" s="775"/>
      <c r="X189" s="51">
        <f>ROUND(M189*P189*S189,-3)</f>
        <v>18551000</v>
      </c>
      <c r="Y189" s="42" t="s">
        <v>380</v>
      </c>
    </row>
    <row r="190" spans="1:25" ht="21" customHeight="1">
      <c r="A190" s="33"/>
      <c r="B190" s="34"/>
      <c r="C190" s="34"/>
      <c r="D190" s="34"/>
      <c r="E190" s="36"/>
      <c r="F190" s="36"/>
      <c r="G190" s="37"/>
      <c r="H190" s="53"/>
      <c r="I190" s="230" t="s">
        <v>414</v>
      </c>
      <c r="J190" s="51"/>
      <c r="K190" s="155"/>
      <c r="L190" s="155"/>
      <c r="M190" s="217">
        <f>M105</f>
        <v>1019000</v>
      </c>
      <c r="N190" s="217" t="s">
        <v>25</v>
      </c>
      <c r="O190" s="274" t="s">
        <v>26</v>
      </c>
      <c r="P190" s="275">
        <v>22</v>
      </c>
      <c r="Q190" s="276" t="s">
        <v>402</v>
      </c>
      <c r="R190" s="471" t="s">
        <v>383</v>
      </c>
      <c r="S190" s="277">
        <v>0.255</v>
      </c>
      <c r="T190" s="266"/>
      <c r="U190" s="264" t="s">
        <v>384</v>
      </c>
      <c r="V190" s="775"/>
      <c r="W190" s="775"/>
      <c r="X190" s="51">
        <f>ROUND(M190*P190*S190,-3)</f>
        <v>5717000</v>
      </c>
      <c r="Y190" s="42" t="s">
        <v>380</v>
      </c>
    </row>
    <row r="191" spans="1:25" ht="21" customHeight="1">
      <c r="A191" s="33"/>
      <c r="B191" s="34"/>
      <c r="C191" s="34"/>
      <c r="D191" s="44"/>
      <c r="E191" s="46"/>
      <c r="F191" s="46"/>
      <c r="G191" s="47"/>
      <c r="H191" s="65"/>
      <c r="I191" s="54"/>
      <c r="J191" s="55"/>
      <c r="K191" s="355"/>
      <c r="L191" s="355"/>
      <c r="M191" s="169"/>
      <c r="N191" s="169"/>
      <c r="O191" s="354"/>
      <c r="P191" s="169"/>
      <c r="Q191" s="100"/>
      <c r="R191" s="353"/>
      <c r="S191" s="361"/>
      <c r="T191" s="146"/>
      <c r="U191" s="146"/>
      <c r="V191" s="352"/>
      <c r="W191" s="273"/>
      <c r="X191" s="55"/>
      <c r="Y191" s="56"/>
    </row>
    <row r="192" spans="1:25" ht="21" customHeight="1" thickBot="1">
      <c r="A192" s="33"/>
      <c r="B192" s="34"/>
      <c r="C192" s="34"/>
      <c r="D192" s="24" t="s">
        <v>415</v>
      </c>
      <c r="E192" s="25">
        <v>14942</v>
      </c>
      <c r="F192" s="182">
        <f>ROUND(X192/1000,0)</f>
        <v>14942</v>
      </c>
      <c r="G192" s="26">
        <f>F192-E192</f>
        <v>0</v>
      </c>
      <c r="H192" s="93">
        <f>IF(E192=0,0,G192/E192)</f>
        <v>0</v>
      </c>
      <c r="I192" s="188" t="s">
        <v>416</v>
      </c>
      <c r="J192" s="187"/>
      <c r="K192" s="191"/>
      <c r="L192" s="191"/>
      <c r="M192" s="69"/>
      <c r="N192" s="69"/>
      <c r="O192" s="183"/>
      <c r="P192" s="69"/>
      <c r="Q192" s="184"/>
      <c r="R192" s="185"/>
      <c r="S192" s="186"/>
      <c r="T192" s="463"/>
      <c r="U192" s="463"/>
      <c r="V192" s="189" t="s">
        <v>392</v>
      </c>
      <c r="W192" s="190"/>
      <c r="X192" s="190">
        <f>SUM(X193:X197)</f>
        <v>14942000</v>
      </c>
      <c r="Y192" s="209" t="s">
        <v>380</v>
      </c>
    </row>
    <row r="193" spans="1:26" ht="21" customHeight="1">
      <c r="A193" s="33"/>
      <c r="B193" s="34"/>
      <c r="C193" s="34"/>
      <c r="D193" s="34" t="s">
        <v>417</v>
      </c>
      <c r="E193" s="36"/>
      <c r="F193" s="36"/>
      <c r="G193" s="37"/>
      <c r="H193" s="53"/>
      <c r="I193" s="50" t="s">
        <v>418</v>
      </c>
      <c r="J193" s="230"/>
      <c r="K193" s="229"/>
      <c r="L193" s="229"/>
      <c r="M193" s="229">
        <v>500</v>
      </c>
      <c r="N193" s="229" t="s">
        <v>380</v>
      </c>
      <c r="O193" s="230" t="s">
        <v>383</v>
      </c>
      <c r="P193" s="363">
        <v>52</v>
      </c>
      <c r="Q193" s="356">
        <v>365</v>
      </c>
      <c r="R193" s="229" t="s">
        <v>419</v>
      </c>
      <c r="S193" s="362">
        <v>0.7</v>
      </c>
      <c r="T193" s="229"/>
      <c r="U193" s="229" t="s">
        <v>384</v>
      </c>
      <c r="V193" s="229"/>
      <c r="W193" s="51"/>
      <c r="X193" s="476">
        <f>ROUNDUP(M193*P193*Q193*S193,-3)</f>
        <v>6643000</v>
      </c>
      <c r="Y193" s="42" t="s">
        <v>25</v>
      </c>
    </row>
    <row r="194" spans="1:26" ht="21" customHeight="1">
      <c r="A194" s="33"/>
      <c r="B194" s="34"/>
      <c r="C194" s="34"/>
      <c r="D194" s="34"/>
      <c r="E194" s="36"/>
      <c r="F194" s="36"/>
      <c r="G194" s="37"/>
      <c r="H194" s="53"/>
      <c r="I194" s="50" t="s">
        <v>420</v>
      </c>
      <c r="J194" s="230"/>
      <c r="K194" s="229"/>
      <c r="L194" s="229"/>
      <c r="M194" s="229">
        <v>5000</v>
      </c>
      <c r="N194" s="229" t="s">
        <v>380</v>
      </c>
      <c r="O194" s="230" t="s">
        <v>383</v>
      </c>
      <c r="P194" s="363">
        <v>52</v>
      </c>
      <c r="Q194" s="349">
        <v>12</v>
      </c>
      <c r="R194" s="229" t="s">
        <v>382</v>
      </c>
      <c r="S194" s="362">
        <v>0.7</v>
      </c>
      <c r="T194" s="229"/>
      <c r="U194" s="229" t="s">
        <v>384</v>
      </c>
      <c r="V194" s="229"/>
      <c r="W194" s="51"/>
      <c r="X194" s="51">
        <f>ROUND(M194*P194*Q194*S194,-3)</f>
        <v>2184000</v>
      </c>
      <c r="Y194" s="42" t="s">
        <v>25</v>
      </c>
    </row>
    <row r="195" spans="1:26" ht="21" customHeight="1">
      <c r="A195" s="33"/>
      <c r="B195" s="34"/>
      <c r="C195" s="34"/>
      <c r="D195" s="34"/>
      <c r="E195" s="36"/>
      <c r="F195" s="36"/>
      <c r="G195" s="37"/>
      <c r="H195" s="53"/>
      <c r="I195" s="50" t="s">
        <v>421</v>
      </c>
      <c r="J195" s="230"/>
      <c r="K195" s="229"/>
      <c r="L195" s="229"/>
      <c r="M195" s="229">
        <v>20000</v>
      </c>
      <c r="N195" s="229" t="s">
        <v>380</v>
      </c>
      <c r="O195" s="230" t="s">
        <v>383</v>
      </c>
      <c r="P195" s="363">
        <v>52</v>
      </c>
      <c r="Q195" s="349">
        <v>4</v>
      </c>
      <c r="R195" s="229" t="s">
        <v>422</v>
      </c>
      <c r="S195" s="362">
        <v>0.7</v>
      </c>
      <c r="T195" s="229"/>
      <c r="U195" s="229" t="s">
        <v>384</v>
      </c>
      <c r="V195" s="229"/>
      <c r="W195" s="51"/>
      <c r="X195" s="51">
        <f>ROUND(M195*P195*Q195*S195,-3)</f>
        <v>2912000</v>
      </c>
      <c r="Y195" s="42" t="s">
        <v>25</v>
      </c>
    </row>
    <row r="196" spans="1:26" ht="21" customHeight="1">
      <c r="A196" s="33"/>
      <c r="B196" s="34"/>
      <c r="C196" s="34"/>
      <c r="D196" s="34"/>
      <c r="E196" s="36"/>
      <c r="F196" s="36"/>
      <c r="G196" s="37"/>
      <c r="H196" s="53"/>
      <c r="I196" s="459" t="s">
        <v>444</v>
      </c>
      <c r="J196" s="230"/>
      <c r="K196" s="229"/>
      <c r="L196" s="229"/>
      <c r="M196" s="229">
        <v>12000</v>
      </c>
      <c r="N196" s="229" t="s">
        <v>380</v>
      </c>
      <c r="O196" s="230" t="s">
        <v>383</v>
      </c>
      <c r="P196" s="363">
        <v>52</v>
      </c>
      <c r="Q196" s="349">
        <v>4</v>
      </c>
      <c r="R196" s="229" t="s">
        <v>422</v>
      </c>
      <c r="S196" s="362">
        <v>0.7</v>
      </c>
      <c r="T196" s="229"/>
      <c r="U196" s="229" t="s">
        <v>384</v>
      </c>
      <c r="V196" s="229"/>
      <c r="W196" s="51"/>
      <c r="X196" s="51">
        <f>ROUND(M196*P196*Q196*S196,-3)</f>
        <v>1747000</v>
      </c>
      <c r="Y196" s="42" t="s">
        <v>25</v>
      </c>
    </row>
    <row r="197" spans="1:26" ht="21" customHeight="1">
      <c r="A197" s="33"/>
      <c r="B197" s="34"/>
      <c r="C197" s="34"/>
      <c r="D197" s="34"/>
      <c r="E197" s="36"/>
      <c r="F197" s="36"/>
      <c r="G197" s="37"/>
      <c r="H197" s="53"/>
      <c r="I197" s="50" t="s">
        <v>425</v>
      </c>
      <c r="J197" s="230"/>
      <c r="K197" s="229"/>
      <c r="L197" s="229"/>
      <c r="M197" s="229">
        <v>40000</v>
      </c>
      <c r="N197" s="229" t="s">
        <v>380</v>
      </c>
      <c r="O197" s="230" t="s">
        <v>383</v>
      </c>
      <c r="P197" s="363">
        <v>52</v>
      </c>
      <c r="Q197" s="349">
        <v>1</v>
      </c>
      <c r="R197" s="229" t="s">
        <v>422</v>
      </c>
      <c r="S197" s="362">
        <v>0.7</v>
      </c>
      <c r="T197" s="229"/>
      <c r="U197" s="229" t="s">
        <v>384</v>
      </c>
      <c r="V197" s="229"/>
      <c r="W197" s="51"/>
      <c r="X197" s="51">
        <f>ROUNDUP(M197*P197*Q197*S197,-3)</f>
        <v>1456000</v>
      </c>
      <c r="Y197" s="42" t="s">
        <v>25</v>
      </c>
    </row>
    <row r="198" spans="1:26" ht="21" customHeight="1">
      <c r="A198" s="33"/>
      <c r="B198" s="34"/>
      <c r="C198" s="34"/>
      <c r="D198" s="44"/>
      <c r="E198" s="46"/>
      <c r="F198" s="46"/>
      <c r="G198" s="47"/>
      <c r="H198" s="65"/>
      <c r="I198" s="54"/>
      <c r="J198" s="55"/>
      <c r="K198" s="355"/>
      <c r="L198" s="355"/>
      <c r="M198" s="169"/>
      <c r="N198" s="169"/>
      <c r="O198" s="354"/>
      <c r="P198" s="169"/>
      <c r="Q198" s="100"/>
      <c r="R198" s="353"/>
      <c r="S198" s="361"/>
      <c r="T198" s="146"/>
      <c r="U198" s="146"/>
      <c r="V198" s="352"/>
      <c r="W198" s="273"/>
      <c r="X198" s="55"/>
      <c r="Y198" s="56"/>
    </row>
    <row r="199" spans="1:26" ht="21" customHeight="1" thickBot="1">
      <c r="A199" s="33"/>
      <c r="B199" s="34"/>
      <c r="C199" s="34"/>
      <c r="D199" s="24" t="s">
        <v>426</v>
      </c>
      <c r="E199" s="25">
        <v>108128</v>
      </c>
      <c r="F199" s="182">
        <f>ROUND(X199/1000,0)</f>
        <v>99904</v>
      </c>
      <c r="G199" s="26">
        <f>F199-E199</f>
        <v>-8224</v>
      </c>
      <c r="H199" s="93">
        <f>IF(E199=0,0,G199/E199)</f>
        <v>-7.6058005327019826E-2</v>
      </c>
      <c r="I199" s="188" t="s">
        <v>427</v>
      </c>
      <c r="J199" s="187"/>
      <c r="K199" s="191"/>
      <c r="L199" s="191"/>
      <c r="M199" s="69"/>
      <c r="N199" s="69"/>
      <c r="O199" s="183"/>
      <c r="P199" s="69"/>
      <c r="Q199" s="184"/>
      <c r="R199" s="185"/>
      <c r="S199" s="186"/>
      <c r="T199" s="463"/>
      <c r="U199" s="463"/>
      <c r="V199" s="189" t="s">
        <v>392</v>
      </c>
      <c r="W199" s="190"/>
      <c r="X199" s="190">
        <f>X200+X218</f>
        <v>99904000</v>
      </c>
      <c r="Y199" s="209" t="s">
        <v>380</v>
      </c>
    </row>
    <row r="200" spans="1:26" ht="21" customHeight="1">
      <c r="A200" s="33"/>
      <c r="B200" s="34"/>
      <c r="C200" s="34"/>
      <c r="D200" s="34" t="s">
        <v>428</v>
      </c>
      <c r="E200" s="36"/>
      <c r="F200" s="36"/>
      <c r="G200" s="37"/>
      <c r="H200" s="53"/>
      <c r="I200" s="360" t="s">
        <v>429</v>
      </c>
      <c r="J200" s="51"/>
      <c r="K200" s="155"/>
      <c r="L200" s="155"/>
      <c r="M200" s="229"/>
      <c r="N200" s="229"/>
      <c r="O200" s="153"/>
      <c r="P200" s="229"/>
      <c r="Q200" s="39"/>
      <c r="R200" s="351"/>
      <c r="S200" s="41"/>
      <c r="T200" s="464"/>
      <c r="U200" s="464"/>
      <c r="V200" s="169" t="s">
        <v>430</v>
      </c>
      <c r="W200" s="55"/>
      <c r="X200" s="169">
        <f>SUM(X201,X205,X209,X211)</f>
        <v>90994000</v>
      </c>
      <c r="Y200" s="56" t="s">
        <v>25</v>
      </c>
    </row>
    <row r="201" spans="1:26" ht="21" customHeight="1">
      <c r="A201" s="33"/>
      <c r="B201" s="34"/>
      <c r="C201" s="34"/>
      <c r="D201" s="34"/>
      <c r="E201" s="36"/>
      <c r="F201" s="36"/>
      <c r="G201" s="37"/>
      <c r="H201" s="53"/>
      <c r="I201" s="54" t="s">
        <v>431</v>
      </c>
      <c r="J201" s="230"/>
      <c r="K201" s="229"/>
      <c r="L201" s="229"/>
      <c r="M201" s="229"/>
      <c r="N201" s="229"/>
      <c r="O201" s="57"/>
      <c r="P201" s="60"/>
      <c r="Q201" s="229"/>
      <c r="R201" s="229"/>
      <c r="S201" s="229"/>
      <c r="T201" s="229"/>
      <c r="U201" s="229"/>
      <c r="V201" s="169" t="s">
        <v>378</v>
      </c>
      <c r="W201" s="55"/>
      <c r="X201" s="169">
        <f>SUM(X202:X204)</f>
        <v>61021000</v>
      </c>
      <c r="Y201" s="56" t="s">
        <v>25</v>
      </c>
    </row>
    <row r="202" spans="1:26" ht="21" customHeight="1">
      <c r="A202" s="33"/>
      <c r="B202" s="34"/>
      <c r="C202" s="34"/>
      <c r="D202" s="34"/>
      <c r="E202" s="36"/>
      <c r="F202" s="36"/>
      <c r="G202" s="37"/>
      <c r="H202" s="675"/>
      <c r="I202" s="226" t="s">
        <v>432</v>
      </c>
      <c r="J202" s="674"/>
      <c r="K202" s="673"/>
      <c r="L202" s="673"/>
      <c r="M202" s="673">
        <v>24200000</v>
      </c>
      <c r="N202" s="673" t="s">
        <v>56</v>
      </c>
      <c r="O202" s="646" t="s">
        <v>57</v>
      </c>
      <c r="P202" s="654">
        <v>0.9</v>
      </c>
      <c r="Q202" s="673"/>
      <c r="R202" s="673"/>
      <c r="S202" s="673"/>
      <c r="T202" s="673"/>
      <c r="U202" s="673" t="s">
        <v>53</v>
      </c>
      <c r="V202" s="594"/>
      <c r="W202" s="602"/>
      <c r="X202" s="594">
        <f>ROUNDUP(M202*P202,-3)</f>
        <v>21780000</v>
      </c>
      <c r="Y202" s="305" t="s">
        <v>56</v>
      </c>
      <c r="Z202" s="558"/>
    </row>
    <row r="203" spans="1:26" ht="21" customHeight="1">
      <c r="A203" s="33"/>
      <c r="B203" s="34"/>
      <c r="C203" s="34"/>
      <c r="D203" s="34"/>
      <c r="E203" s="36"/>
      <c r="F203" s="36"/>
      <c r="G203" s="37"/>
      <c r="H203" s="675"/>
      <c r="I203" s="640" t="s">
        <v>433</v>
      </c>
      <c r="J203" s="674"/>
      <c r="K203" s="673"/>
      <c r="L203" s="673"/>
      <c r="M203" s="673">
        <v>23794000</v>
      </c>
      <c r="N203" s="673" t="s">
        <v>56</v>
      </c>
      <c r="O203" s="646" t="s">
        <v>57</v>
      </c>
      <c r="P203" s="654">
        <v>0.9</v>
      </c>
      <c r="Q203" s="673"/>
      <c r="R203" s="673"/>
      <c r="S203" s="673"/>
      <c r="T203" s="673"/>
      <c r="U203" s="673" t="s">
        <v>53</v>
      </c>
      <c r="V203" s="673"/>
      <c r="W203" s="659"/>
      <c r="X203" s="673">
        <f>ROUND(M203*P203,-3)</f>
        <v>21415000</v>
      </c>
      <c r="Y203" s="632" t="s">
        <v>56</v>
      </c>
      <c r="Z203" s="558"/>
    </row>
    <row r="204" spans="1:26" ht="21" customHeight="1">
      <c r="A204" s="33"/>
      <c r="B204" s="34"/>
      <c r="C204" s="34"/>
      <c r="D204" s="34"/>
      <c r="E204" s="36"/>
      <c r="F204" s="36"/>
      <c r="G204" s="37"/>
      <c r="H204" s="675"/>
      <c r="I204" s="640" t="s">
        <v>723</v>
      </c>
      <c r="J204" s="674"/>
      <c r="K204" s="673"/>
      <c r="L204" s="673"/>
      <c r="M204" s="673">
        <v>19807000</v>
      </c>
      <c r="N204" s="673" t="s">
        <v>56</v>
      </c>
      <c r="O204" s="646" t="s">
        <v>57</v>
      </c>
      <c r="P204" s="654">
        <v>0.9</v>
      </c>
      <c r="Q204" s="673"/>
      <c r="R204" s="673"/>
      <c r="S204" s="673"/>
      <c r="T204" s="673"/>
      <c r="U204" s="673" t="s">
        <v>53</v>
      </c>
      <c r="V204" s="673"/>
      <c r="W204" s="659"/>
      <c r="X204" s="673">
        <f>ROUNDDOWN(M204*P204,-3)</f>
        <v>17826000</v>
      </c>
      <c r="Y204" s="632" t="s">
        <v>56</v>
      </c>
      <c r="Z204" s="558"/>
    </row>
    <row r="205" spans="1:26" ht="21" customHeight="1">
      <c r="A205" s="33"/>
      <c r="B205" s="34"/>
      <c r="C205" s="34"/>
      <c r="D205" s="34"/>
      <c r="E205" s="36"/>
      <c r="F205" s="36"/>
      <c r="G205" s="37"/>
      <c r="H205" s="675"/>
      <c r="I205" s="641" t="s">
        <v>768</v>
      </c>
      <c r="J205" s="674"/>
      <c r="K205" s="673"/>
      <c r="L205" s="673"/>
      <c r="M205" s="673"/>
      <c r="N205" s="673"/>
      <c r="O205" s="673"/>
      <c r="P205" s="673"/>
      <c r="Q205" s="673"/>
      <c r="R205" s="673"/>
      <c r="S205" s="673"/>
      <c r="T205" s="673"/>
      <c r="U205" s="673"/>
      <c r="V205" s="670" t="s">
        <v>375</v>
      </c>
      <c r="W205" s="317"/>
      <c r="X205" s="670">
        <f>SUM(X206:X208)</f>
        <v>15927000</v>
      </c>
      <c r="Y205" s="309" t="s">
        <v>25</v>
      </c>
      <c r="Z205" s="558"/>
    </row>
    <row r="206" spans="1:26" ht="21" customHeight="1">
      <c r="A206" s="33"/>
      <c r="B206" s="34"/>
      <c r="C206" s="34"/>
      <c r="D206" s="34"/>
      <c r="E206" s="36"/>
      <c r="F206" s="36"/>
      <c r="G206" s="37"/>
      <c r="H206" s="675"/>
      <c r="I206" s="640" t="s">
        <v>395</v>
      </c>
      <c r="J206" s="674"/>
      <c r="K206" s="673"/>
      <c r="L206" s="673"/>
      <c r="M206" s="673">
        <v>5991000</v>
      </c>
      <c r="N206" s="673" t="s">
        <v>56</v>
      </c>
      <c r="O206" s="646" t="s">
        <v>57</v>
      </c>
      <c r="P206" s="654">
        <v>0.9</v>
      </c>
      <c r="Q206" s="673"/>
      <c r="R206" s="673"/>
      <c r="S206" s="673"/>
      <c r="T206" s="673"/>
      <c r="U206" s="673" t="s">
        <v>53</v>
      </c>
      <c r="V206" s="779"/>
      <c r="W206" s="779"/>
      <c r="X206" s="602">
        <f>ROUND(M206*P206,-3)</f>
        <v>5392000</v>
      </c>
      <c r="Y206" s="305" t="s">
        <v>56</v>
      </c>
      <c r="Z206" s="558"/>
    </row>
    <row r="207" spans="1:26" ht="21" customHeight="1">
      <c r="A207" s="33"/>
      <c r="B207" s="34"/>
      <c r="C207" s="34"/>
      <c r="D207" s="34"/>
      <c r="E207" s="36"/>
      <c r="F207" s="36"/>
      <c r="G207" s="37"/>
      <c r="H207" s="675"/>
      <c r="I207" s="640" t="s">
        <v>715</v>
      </c>
      <c r="J207" s="674"/>
      <c r="K207" s="673"/>
      <c r="L207" s="673"/>
      <c r="M207" s="673">
        <v>730000</v>
      </c>
      <c r="N207" s="673" t="s">
        <v>56</v>
      </c>
      <c r="O207" s="646" t="s">
        <v>57</v>
      </c>
      <c r="P207" s="654">
        <v>0.9</v>
      </c>
      <c r="Q207" s="673"/>
      <c r="R207" s="673"/>
      <c r="S207" s="673"/>
      <c r="T207" s="673"/>
      <c r="U207" s="673" t="s">
        <v>53</v>
      </c>
      <c r="V207" s="778"/>
      <c r="W207" s="778"/>
      <c r="X207" s="659">
        <f>ROUND(M207*P207,-3)</f>
        <v>657000</v>
      </c>
      <c r="Y207" s="632" t="s">
        <v>56</v>
      </c>
      <c r="Z207" s="558"/>
    </row>
    <row r="208" spans="1:26" ht="21" customHeight="1">
      <c r="A208" s="33"/>
      <c r="B208" s="34"/>
      <c r="C208" s="34"/>
      <c r="D208" s="34"/>
      <c r="E208" s="36"/>
      <c r="F208" s="36"/>
      <c r="G208" s="37"/>
      <c r="H208" s="675"/>
      <c r="I208" s="640" t="s">
        <v>397</v>
      </c>
      <c r="J208" s="674"/>
      <c r="K208" s="673"/>
      <c r="L208" s="673"/>
      <c r="M208" s="673">
        <v>10976000</v>
      </c>
      <c r="N208" s="673" t="s">
        <v>56</v>
      </c>
      <c r="O208" s="646" t="s">
        <v>57</v>
      </c>
      <c r="P208" s="654">
        <v>0.9</v>
      </c>
      <c r="Q208" s="673"/>
      <c r="R208" s="673"/>
      <c r="S208" s="673"/>
      <c r="T208" s="673"/>
      <c r="U208" s="673" t="s">
        <v>53</v>
      </c>
      <c r="V208" s="778"/>
      <c r="W208" s="778"/>
      <c r="X208" s="659">
        <f>ROUND(M208*P208,-3)</f>
        <v>9878000</v>
      </c>
      <c r="Y208" s="632" t="s">
        <v>56</v>
      </c>
      <c r="Z208" s="558"/>
    </row>
    <row r="209" spans="1:26" ht="21" customHeight="1">
      <c r="A209" s="33"/>
      <c r="B209" s="34"/>
      <c r="C209" s="34"/>
      <c r="D209" s="34"/>
      <c r="E209" s="36"/>
      <c r="F209" s="36"/>
      <c r="G209" s="37"/>
      <c r="H209" s="675"/>
      <c r="I209" s="641" t="s">
        <v>434</v>
      </c>
      <c r="J209" s="674"/>
      <c r="K209" s="673"/>
      <c r="L209" s="673"/>
      <c r="M209" s="673"/>
      <c r="N209" s="673"/>
      <c r="O209" s="673"/>
      <c r="P209" s="673"/>
      <c r="Q209" s="673"/>
      <c r="R209" s="673"/>
      <c r="S209" s="673"/>
      <c r="T209" s="673"/>
      <c r="U209" s="673"/>
      <c r="V209" s="670" t="s">
        <v>375</v>
      </c>
      <c r="W209" s="317"/>
      <c r="X209" s="670">
        <f>X210</f>
        <v>6412000</v>
      </c>
      <c r="Y209" s="309" t="s">
        <v>25</v>
      </c>
      <c r="Z209" s="558"/>
    </row>
    <row r="210" spans="1:26" ht="21" customHeight="1">
      <c r="A210" s="33"/>
      <c r="B210" s="34"/>
      <c r="C210" s="34"/>
      <c r="D210" s="34"/>
      <c r="E210" s="36"/>
      <c r="F210" s="36"/>
      <c r="G210" s="37"/>
      <c r="H210" s="675"/>
      <c r="I210" s="640" t="s">
        <v>769</v>
      </c>
      <c r="J210" s="674"/>
      <c r="K210" s="673"/>
      <c r="L210" s="673"/>
      <c r="M210" s="673">
        <v>85498000</v>
      </c>
      <c r="N210" s="652" t="s">
        <v>56</v>
      </c>
      <c r="O210" s="658" t="s">
        <v>61</v>
      </c>
      <c r="P210" s="415">
        <v>12</v>
      </c>
      <c r="Q210" s="534" t="s">
        <v>0</v>
      </c>
      <c r="R210" s="646" t="s">
        <v>57</v>
      </c>
      <c r="S210" s="654">
        <v>0.9</v>
      </c>
      <c r="T210" s="673"/>
      <c r="U210" s="673" t="s">
        <v>53</v>
      </c>
      <c r="V210" s="594"/>
      <c r="W210" s="594"/>
      <c r="X210" s="602">
        <f>ROUND(M210/P210*S210,-3)</f>
        <v>6412000</v>
      </c>
      <c r="Y210" s="510" t="s">
        <v>56</v>
      </c>
      <c r="Z210" s="558"/>
    </row>
    <row r="211" spans="1:26" ht="21" customHeight="1">
      <c r="A211" s="33"/>
      <c r="B211" s="34"/>
      <c r="C211" s="34"/>
      <c r="D211" s="34"/>
      <c r="E211" s="36"/>
      <c r="F211" s="36"/>
      <c r="G211" s="37"/>
      <c r="H211" s="675"/>
      <c r="I211" s="641" t="s">
        <v>770</v>
      </c>
      <c r="J211" s="674"/>
      <c r="K211" s="673"/>
      <c r="L211" s="673"/>
      <c r="M211" s="673"/>
      <c r="N211" s="652"/>
      <c r="O211" s="673"/>
      <c r="P211" s="673"/>
      <c r="Q211" s="673"/>
      <c r="R211" s="673"/>
      <c r="S211" s="673"/>
      <c r="T211" s="673"/>
      <c r="U211" s="673"/>
      <c r="V211" s="670" t="s">
        <v>375</v>
      </c>
      <c r="W211" s="317"/>
      <c r="X211" s="670">
        <f>SUM(X212:X216)</f>
        <v>7634000</v>
      </c>
      <c r="Y211" s="309" t="s">
        <v>25</v>
      </c>
      <c r="Z211" s="558"/>
    </row>
    <row r="212" spans="1:26" ht="21" customHeight="1">
      <c r="A212" s="33"/>
      <c r="B212" s="34"/>
      <c r="C212" s="34"/>
      <c r="D212" s="34"/>
      <c r="E212" s="36"/>
      <c r="F212" s="36"/>
      <c r="G212" s="37"/>
      <c r="H212" s="675"/>
      <c r="I212" s="640" t="s">
        <v>724</v>
      </c>
      <c r="J212" s="674"/>
      <c r="K212" s="673"/>
      <c r="L212" s="673"/>
      <c r="M212" s="673">
        <v>85498000</v>
      </c>
      <c r="N212" s="652" t="s">
        <v>56</v>
      </c>
      <c r="O212" s="646" t="s">
        <v>57</v>
      </c>
      <c r="P212" s="612">
        <v>0.09</v>
      </c>
      <c r="Q212" s="658">
        <v>2</v>
      </c>
      <c r="R212" s="646" t="s">
        <v>57</v>
      </c>
      <c r="S212" s="654">
        <v>0.9</v>
      </c>
      <c r="T212" s="525"/>
      <c r="U212" s="658" t="s">
        <v>53</v>
      </c>
      <c r="V212" s="673"/>
      <c r="W212" s="659"/>
      <c r="X212" s="659">
        <f>ROUND(M212*P212/Q212*S212,-3)</f>
        <v>3463000</v>
      </c>
      <c r="Y212" s="632" t="s">
        <v>56</v>
      </c>
      <c r="Z212" s="558"/>
    </row>
    <row r="213" spans="1:26" ht="21" customHeight="1">
      <c r="A213" s="33"/>
      <c r="B213" s="34"/>
      <c r="C213" s="34"/>
      <c r="D213" s="34"/>
      <c r="E213" s="36"/>
      <c r="F213" s="36"/>
      <c r="G213" s="37"/>
      <c r="H213" s="675"/>
      <c r="I213" s="640" t="s">
        <v>387</v>
      </c>
      <c r="J213" s="674"/>
      <c r="K213" s="673"/>
      <c r="L213" s="673"/>
      <c r="M213" s="673">
        <v>85498000</v>
      </c>
      <c r="N213" s="652" t="s">
        <v>56</v>
      </c>
      <c r="O213" s="646" t="s">
        <v>57</v>
      </c>
      <c r="P213" s="613">
        <v>6.8599999999999994E-2</v>
      </c>
      <c r="Q213" s="658">
        <v>2</v>
      </c>
      <c r="R213" s="646" t="s">
        <v>57</v>
      </c>
      <c r="S213" s="654">
        <v>0.9</v>
      </c>
      <c r="T213" s="525"/>
      <c r="U213" s="658" t="s">
        <v>53</v>
      </c>
      <c r="V213" s="673"/>
      <c r="W213" s="659"/>
      <c r="X213" s="659">
        <f>ROUNDUP(M213*P213/Q213*S213,-3)</f>
        <v>2640000</v>
      </c>
      <c r="Y213" s="632" t="s">
        <v>56</v>
      </c>
      <c r="Z213" s="558"/>
    </row>
    <row r="214" spans="1:26" ht="21" customHeight="1">
      <c r="A214" s="33"/>
      <c r="B214" s="34"/>
      <c r="C214" s="34"/>
      <c r="D214" s="34"/>
      <c r="E214" s="36"/>
      <c r="F214" s="36"/>
      <c r="G214" s="37"/>
      <c r="H214" s="675"/>
      <c r="I214" s="640" t="s">
        <v>725</v>
      </c>
      <c r="J214" s="674"/>
      <c r="K214" s="673"/>
      <c r="L214" s="673"/>
      <c r="M214" s="673">
        <f>X213</f>
        <v>2640000</v>
      </c>
      <c r="N214" s="652" t="s">
        <v>56</v>
      </c>
      <c r="O214" s="646" t="s">
        <v>57</v>
      </c>
      <c r="P214" s="613">
        <v>0.1152</v>
      </c>
      <c r="Q214" s="658"/>
      <c r="R214" s="646"/>
      <c r="S214" s="654"/>
      <c r="T214" s="525"/>
      <c r="U214" s="658" t="s">
        <v>53</v>
      </c>
      <c r="V214" s="673"/>
      <c r="W214" s="659"/>
      <c r="X214" s="659">
        <f>ROUND(M214*P214,-3)</f>
        <v>304000</v>
      </c>
      <c r="Y214" s="632" t="s">
        <v>56</v>
      </c>
      <c r="Z214" s="558"/>
    </row>
    <row r="215" spans="1:26" ht="21" customHeight="1">
      <c r="A215" s="33"/>
      <c r="B215" s="34"/>
      <c r="C215" s="34"/>
      <c r="D215" s="34"/>
      <c r="E215" s="36"/>
      <c r="F215" s="36"/>
      <c r="G215" s="37"/>
      <c r="H215" s="675"/>
      <c r="I215" s="640" t="s">
        <v>389</v>
      </c>
      <c r="J215" s="674"/>
      <c r="K215" s="673"/>
      <c r="L215" s="673"/>
      <c r="M215" s="673">
        <v>85498000</v>
      </c>
      <c r="N215" s="652" t="s">
        <v>56</v>
      </c>
      <c r="O215" s="646" t="s">
        <v>57</v>
      </c>
      <c r="P215" s="603">
        <v>8.9999999999999993E-3</v>
      </c>
      <c r="Q215" s="646"/>
      <c r="R215" s="646" t="s">
        <v>57</v>
      </c>
      <c r="S215" s="654">
        <v>0.9</v>
      </c>
      <c r="T215" s="525"/>
      <c r="U215" s="658" t="s">
        <v>53</v>
      </c>
      <c r="V215" s="673"/>
      <c r="W215" s="659"/>
      <c r="X215" s="659">
        <f>ROUND(M215*P215*S215,-3)</f>
        <v>693000</v>
      </c>
      <c r="Y215" s="632" t="s">
        <v>56</v>
      </c>
      <c r="Z215" s="558"/>
    </row>
    <row r="216" spans="1:26" ht="21" customHeight="1">
      <c r="A216" s="33"/>
      <c r="B216" s="34"/>
      <c r="C216" s="34"/>
      <c r="D216" s="34"/>
      <c r="E216" s="36"/>
      <c r="F216" s="36"/>
      <c r="G216" s="37"/>
      <c r="H216" s="675"/>
      <c r="I216" s="640" t="s">
        <v>726</v>
      </c>
      <c r="J216" s="674"/>
      <c r="K216" s="673"/>
      <c r="L216" s="673"/>
      <c r="M216" s="673">
        <v>85498000</v>
      </c>
      <c r="N216" s="652" t="s">
        <v>56</v>
      </c>
      <c r="O216" s="646" t="s">
        <v>57</v>
      </c>
      <c r="P216" s="614">
        <v>6.9300000000000004E-3</v>
      </c>
      <c r="Q216" s="646"/>
      <c r="R216" s="646" t="s">
        <v>57</v>
      </c>
      <c r="S216" s="654">
        <v>0.9</v>
      </c>
      <c r="T216" s="525"/>
      <c r="U216" s="658" t="s">
        <v>53</v>
      </c>
      <c r="V216" s="673"/>
      <c r="W216" s="659"/>
      <c r="X216" s="659">
        <f>ROUNDUP(M216*P216*S216,-3)</f>
        <v>534000</v>
      </c>
      <c r="Y216" s="632" t="s">
        <v>56</v>
      </c>
      <c r="Z216" s="558"/>
    </row>
    <row r="217" spans="1:26" ht="21" customHeight="1">
      <c r="A217" s="33"/>
      <c r="B217" s="34"/>
      <c r="C217" s="34"/>
      <c r="D217" s="34"/>
      <c r="E217" s="36"/>
      <c r="F217" s="36"/>
      <c r="G217" s="37"/>
      <c r="H217" s="675"/>
      <c r="I217" s="640"/>
      <c r="J217" s="659"/>
      <c r="K217" s="538"/>
      <c r="L217" s="538"/>
      <c r="M217" s="673"/>
      <c r="N217" s="673"/>
      <c r="O217" s="534"/>
      <c r="P217" s="673"/>
      <c r="Q217" s="652"/>
      <c r="R217" s="537"/>
      <c r="S217" s="232"/>
      <c r="T217" s="658"/>
      <c r="U217" s="658"/>
      <c r="V217" s="654"/>
      <c r="W217" s="674"/>
      <c r="X217" s="659"/>
      <c r="Y217" s="632"/>
      <c r="Z217" s="558"/>
    </row>
    <row r="218" spans="1:26" ht="21" customHeight="1">
      <c r="A218" s="33"/>
      <c r="B218" s="34"/>
      <c r="C218" s="34"/>
      <c r="D218" s="34"/>
      <c r="E218" s="36"/>
      <c r="F218" s="36"/>
      <c r="G218" s="37"/>
      <c r="H218" s="675"/>
      <c r="I218" s="641" t="s">
        <v>435</v>
      </c>
      <c r="J218" s="659"/>
      <c r="K218" s="538"/>
      <c r="L218" s="538"/>
      <c r="M218" s="673"/>
      <c r="N218" s="673"/>
      <c r="O218" s="534"/>
      <c r="P218" s="673"/>
      <c r="Q218" s="652"/>
      <c r="R218" s="537"/>
      <c r="S218" s="232"/>
      <c r="T218" s="658"/>
      <c r="U218" s="658"/>
      <c r="V218" s="670" t="s">
        <v>430</v>
      </c>
      <c r="W218" s="317"/>
      <c r="X218" s="670">
        <f>SUM(X219:X221)</f>
        <v>8910000</v>
      </c>
      <c r="Y218" s="309" t="s">
        <v>25</v>
      </c>
      <c r="Z218" s="558"/>
    </row>
    <row r="219" spans="1:26" ht="21" customHeight="1">
      <c r="A219" s="33"/>
      <c r="B219" s="34"/>
      <c r="C219" s="34"/>
      <c r="D219" s="34"/>
      <c r="E219" s="36"/>
      <c r="F219" s="36"/>
      <c r="G219" s="37"/>
      <c r="H219" s="53"/>
      <c r="I219" s="223" t="s">
        <v>436</v>
      </c>
      <c r="J219" s="466"/>
      <c r="K219" s="465"/>
      <c r="L219" s="465"/>
      <c r="M219" s="390">
        <v>300000</v>
      </c>
      <c r="N219" s="301" t="s">
        <v>380</v>
      </c>
      <c r="O219" s="301" t="s">
        <v>383</v>
      </c>
      <c r="P219" s="406">
        <v>1</v>
      </c>
      <c r="Q219" s="356">
        <v>12</v>
      </c>
      <c r="R219" s="301" t="s">
        <v>382</v>
      </c>
      <c r="S219" s="392">
        <v>0.9</v>
      </c>
      <c r="T219" s="301"/>
      <c r="U219" s="301" t="s">
        <v>384</v>
      </c>
      <c r="V219" s="465"/>
      <c r="W219" s="470"/>
      <c r="X219" s="673">
        <f>M219*P219*Q219*S219</f>
        <v>3240000</v>
      </c>
      <c r="Y219" s="103" t="s">
        <v>380</v>
      </c>
    </row>
    <row r="220" spans="1:26" ht="21" customHeight="1">
      <c r="A220" s="33"/>
      <c r="B220" s="34"/>
      <c r="C220" s="34"/>
      <c r="D220" s="34"/>
      <c r="E220" s="36"/>
      <c r="F220" s="36"/>
      <c r="G220" s="37"/>
      <c r="H220" s="53"/>
      <c r="I220" s="223" t="s">
        <v>437</v>
      </c>
      <c r="J220" s="230"/>
      <c r="K220" s="229"/>
      <c r="L220" s="229"/>
      <c r="M220" s="350">
        <v>0</v>
      </c>
      <c r="N220" s="52" t="s">
        <v>380</v>
      </c>
      <c r="O220" s="52" t="s">
        <v>383</v>
      </c>
      <c r="P220" s="60">
        <v>0.9</v>
      </c>
      <c r="Q220" s="349"/>
      <c r="R220" s="52"/>
      <c r="S220" s="348"/>
      <c r="T220" s="52"/>
      <c r="U220" s="52" t="s">
        <v>384</v>
      </c>
      <c r="V220" s="229"/>
      <c r="W220" s="51"/>
      <c r="X220" s="673">
        <f>M220*P220</f>
        <v>0</v>
      </c>
      <c r="Y220" s="42" t="s">
        <v>380</v>
      </c>
    </row>
    <row r="221" spans="1:26" ht="21" customHeight="1">
      <c r="A221" s="33"/>
      <c r="B221" s="34"/>
      <c r="C221" s="34"/>
      <c r="D221" s="34"/>
      <c r="E221" s="36"/>
      <c r="F221" s="36"/>
      <c r="G221" s="37"/>
      <c r="H221" s="53"/>
      <c r="I221" s="223" t="s">
        <v>438</v>
      </c>
      <c r="J221" s="466"/>
      <c r="K221" s="465"/>
      <c r="L221" s="465"/>
      <c r="M221" s="390">
        <v>70000</v>
      </c>
      <c r="N221" s="301" t="s">
        <v>380</v>
      </c>
      <c r="O221" s="301" t="s">
        <v>383</v>
      </c>
      <c r="P221" s="391">
        <v>1</v>
      </c>
      <c r="Q221" s="356">
        <v>90</v>
      </c>
      <c r="R221" s="301" t="s">
        <v>419</v>
      </c>
      <c r="S221" s="392">
        <v>0.9</v>
      </c>
      <c r="T221" s="301"/>
      <c r="U221" s="301" t="s">
        <v>384</v>
      </c>
      <c r="V221" s="465"/>
      <c r="W221" s="470"/>
      <c r="X221" s="673">
        <f>M221*P221*Q221*S221</f>
        <v>5670000</v>
      </c>
      <c r="Y221" s="103" t="s">
        <v>380</v>
      </c>
    </row>
    <row r="222" spans="1:26" ht="21" customHeight="1">
      <c r="A222" s="33"/>
      <c r="B222" s="34"/>
      <c r="C222" s="34"/>
      <c r="D222" s="44"/>
      <c r="E222" s="46"/>
      <c r="F222" s="46"/>
      <c r="G222" s="47"/>
      <c r="H222" s="65"/>
      <c r="I222" s="273"/>
      <c r="J222" s="55"/>
      <c r="K222" s="355"/>
      <c r="L222" s="355"/>
      <c r="M222" s="467"/>
      <c r="N222" s="169"/>
      <c r="O222" s="354"/>
      <c r="P222" s="169"/>
      <c r="Q222" s="100"/>
      <c r="R222" s="353"/>
      <c r="S222" s="169"/>
      <c r="T222" s="146"/>
      <c r="U222" s="146"/>
      <c r="V222" s="352"/>
      <c r="W222" s="273"/>
      <c r="X222" s="317"/>
      <c r="Y222" s="56"/>
    </row>
    <row r="223" spans="1:26" ht="21" customHeight="1">
      <c r="A223" s="33"/>
      <c r="B223" s="34"/>
      <c r="C223" s="34"/>
      <c r="D223" s="34" t="s">
        <v>439</v>
      </c>
      <c r="E223" s="36">
        <v>19060</v>
      </c>
      <c r="F223" s="182">
        <f>ROUND(X223/1000,0)</f>
        <v>16604</v>
      </c>
      <c r="G223" s="37">
        <f>F223-E223</f>
        <v>-2456</v>
      </c>
      <c r="H223" s="53">
        <f>IF(E223=0,0,G223/E223)</f>
        <v>-0.12885624344176286</v>
      </c>
      <c r="I223" s="328"/>
      <c r="J223" s="51"/>
      <c r="K223" s="155"/>
      <c r="L223" s="155"/>
      <c r="M223" s="229"/>
      <c r="N223" s="229"/>
      <c r="O223" s="153"/>
      <c r="P223" s="229"/>
      <c r="Q223" s="39"/>
      <c r="R223" s="351"/>
      <c r="S223" s="41"/>
      <c r="T223" s="464"/>
      <c r="U223" s="464"/>
      <c r="V223" s="169" t="s">
        <v>440</v>
      </c>
      <c r="W223" s="55"/>
      <c r="X223" s="670">
        <f>SUM(X224:X227)</f>
        <v>16604000</v>
      </c>
      <c r="Y223" s="56" t="s">
        <v>25</v>
      </c>
    </row>
    <row r="224" spans="1:26" ht="21" customHeight="1">
      <c r="A224" s="33"/>
      <c r="B224" s="34"/>
      <c r="C224" s="34"/>
      <c r="D224" s="34"/>
      <c r="E224" s="36"/>
      <c r="F224" s="36"/>
      <c r="G224" s="37"/>
      <c r="H224" s="53"/>
      <c r="I224" s="218" t="s">
        <v>586</v>
      </c>
      <c r="J224" s="51"/>
      <c r="K224" s="155"/>
      <c r="L224" s="155"/>
      <c r="M224" s="350">
        <v>900000</v>
      </c>
      <c r="N224" s="52" t="s">
        <v>380</v>
      </c>
      <c r="O224" s="52" t="s">
        <v>383</v>
      </c>
      <c r="P224" s="60">
        <v>0.7</v>
      </c>
      <c r="Q224" s="349"/>
      <c r="R224" s="52"/>
      <c r="S224" s="348"/>
      <c r="T224" s="52"/>
      <c r="U224" s="52" t="s">
        <v>384</v>
      </c>
      <c r="V224" s="229"/>
      <c r="W224" s="51"/>
      <c r="X224" s="673">
        <f>ROUND(M224*P224,-3)</f>
        <v>630000</v>
      </c>
      <c r="Y224" s="42" t="s">
        <v>380</v>
      </c>
    </row>
    <row r="225" spans="1:27" ht="21" customHeight="1">
      <c r="A225" s="33"/>
      <c r="B225" s="34"/>
      <c r="C225" s="34"/>
      <c r="D225" s="34"/>
      <c r="E225" s="36"/>
      <c r="F225" s="36"/>
      <c r="G225" s="37"/>
      <c r="H225" s="53"/>
      <c r="I225" s="218" t="s">
        <v>441</v>
      </c>
      <c r="J225" s="51"/>
      <c r="K225" s="155"/>
      <c r="L225" s="155"/>
      <c r="M225" s="350">
        <v>12149000</v>
      </c>
      <c r="N225" s="52" t="s">
        <v>380</v>
      </c>
      <c r="O225" s="52" t="s">
        <v>383</v>
      </c>
      <c r="P225" s="60">
        <v>0.5</v>
      </c>
      <c r="Q225" s="349"/>
      <c r="R225" s="52"/>
      <c r="S225" s="348"/>
      <c r="T225" s="52"/>
      <c r="U225" s="52" t="s">
        <v>384</v>
      </c>
      <c r="V225" s="229"/>
      <c r="W225" s="51"/>
      <c r="X225" s="673">
        <f>ROUNDDOWN(M225*P225,-3)</f>
        <v>6074000</v>
      </c>
      <c r="Y225" s="42" t="s">
        <v>380</v>
      </c>
    </row>
    <row r="226" spans="1:27" ht="21" customHeight="1">
      <c r="A226" s="33"/>
      <c r="B226" s="34"/>
      <c r="C226" s="34"/>
      <c r="D226" s="34"/>
      <c r="E226" s="36"/>
      <c r="F226" s="36"/>
      <c r="G226" s="37"/>
      <c r="H226" s="53"/>
      <c r="I226" s="223" t="s">
        <v>445</v>
      </c>
      <c r="J226" s="466"/>
      <c r="K226" s="465"/>
      <c r="L226" s="465"/>
      <c r="M226" s="390">
        <v>300000</v>
      </c>
      <c r="N226" s="301" t="s">
        <v>380</v>
      </c>
      <c r="O226" s="301" t="s">
        <v>383</v>
      </c>
      <c r="P226" s="391">
        <v>27</v>
      </c>
      <c r="Q226" s="356"/>
      <c r="R226" s="301"/>
      <c r="S226" s="392"/>
      <c r="T226" s="301"/>
      <c r="U226" s="301" t="s">
        <v>384</v>
      </c>
      <c r="V226" s="465"/>
      <c r="W226" s="470"/>
      <c r="X226" s="673">
        <f>ROUND(M226*P226,-3)</f>
        <v>8100000</v>
      </c>
      <c r="Y226" s="103" t="s">
        <v>380</v>
      </c>
    </row>
    <row r="227" spans="1:27" ht="21" customHeight="1">
      <c r="A227" s="33"/>
      <c r="B227" s="34"/>
      <c r="C227" s="34"/>
      <c r="D227" s="34"/>
      <c r="E227" s="36"/>
      <c r="F227" s="36"/>
      <c r="G227" s="37"/>
      <c r="H227" s="53"/>
      <c r="I227" s="223" t="s">
        <v>634</v>
      </c>
      <c r="J227" s="466"/>
      <c r="K227" s="465"/>
      <c r="L227" s="465"/>
      <c r="M227" s="465"/>
      <c r="N227" s="413"/>
      <c r="O227" s="298"/>
      <c r="P227" s="431"/>
      <c r="Q227" s="298"/>
      <c r="R227" s="298"/>
      <c r="S227" s="432"/>
      <c r="T227" s="59"/>
      <c r="U227" s="469"/>
      <c r="V227" s="465"/>
      <c r="W227" s="470"/>
      <c r="X227" s="476">
        <v>1800000</v>
      </c>
      <c r="Y227" s="103" t="s">
        <v>380</v>
      </c>
    </row>
    <row r="228" spans="1:27" ht="21" customHeight="1">
      <c r="A228" s="33"/>
      <c r="B228" s="34"/>
      <c r="C228" s="24" t="s">
        <v>446</v>
      </c>
      <c r="D228" s="335" t="s">
        <v>406</v>
      </c>
      <c r="E228" s="164">
        <f>E229</f>
        <v>0</v>
      </c>
      <c r="F228" s="164">
        <f>F229</f>
        <v>0</v>
      </c>
      <c r="G228" s="165">
        <f>F228-E228</f>
        <v>0</v>
      </c>
      <c r="H228" s="166">
        <f>IF(E228=0,0,G228/E228)</f>
        <v>0</v>
      </c>
      <c r="I228" s="149" t="s">
        <v>443</v>
      </c>
      <c r="J228" s="150"/>
      <c r="K228" s="151"/>
      <c r="L228" s="151"/>
      <c r="M228" s="151"/>
      <c r="N228" s="151"/>
      <c r="O228" s="151"/>
      <c r="P228" s="152"/>
      <c r="Q228" s="152"/>
      <c r="R228" s="152"/>
      <c r="S228" s="152"/>
      <c r="T228" s="152"/>
      <c r="U228" s="152"/>
      <c r="V228" s="179" t="s">
        <v>378</v>
      </c>
      <c r="W228" s="180"/>
      <c r="X228" s="180">
        <f>SUM(X229:X229)</f>
        <v>0</v>
      </c>
      <c r="Y228" s="208" t="s">
        <v>380</v>
      </c>
    </row>
    <row r="229" spans="1:27" ht="21" customHeight="1">
      <c r="A229" s="33"/>
      <c r="B229" s="34"/>
      <c r="C229" s="34" t="s">
        <v>408</v>
      </c>
      <c r="D229" s="34" t="s">
        <v>447</v>
      </c>
      <c r="E229" s="36">
        <v>0</v>
      </c>
      <c r="F229" s="36">
        <f>ROUND(X229/1000,0)</f>
        <v>0</v>
      </c>
      <c r="G229" s="214">
        <f>F229-E229</f>
        <v>0</v>
      </c>
      <c r="H229" s="136">
        <f>IF(E229=0,0,G229/E229)</f>
        <v>0</v>
      </c>
      <c r="I229" s="223" t="s">
        <v>448</v>
      </c>
      <c r="J229" s="466"/>
      <c r="K229" s="465"/>
      <c r="L229" s="465"/>
      <c r="M229" s="465">
        <v>0</v>
      </c>
      <c r="N229" s="469" t="s">
        <v>380</v>
      </c>
      <c r="O229" s="298" t="s">
        <v>383</v>
      </c>
      <c r="P229" s="301">
        <v>0</v>
      </c>
      <c r="Q229" s="298" t="s">
        <v>419</v>
      </c>
      <c r="R229" s="302"/>
      <c r="S229" s="59"/>
      <c r="T229" s="59"/>
      <c r="U229" s="469" t="s">
        <v>384</v>
      </c>
      <c r="V229" s="465"/>
      <c r="W229" s="470"/>
      <c r="X229" s="219">
        <v>0</v>
      </c>
      <c r="Y229" s="103" t="s">
        <v>380</v>
      </c>
    </row>
    <row r="230" spans="1:27" s="9" customFormat="1" ht="19.5" customHeight="1">
      <c r="A230" s="210"/>
      <c r="B230" s="64"/>
      <c r="C230" s="64"/>
      <c r="D230" s="44"/>
      <c r="E230" s="46"/>
      <c r="F230" s="46"/>
      <c r="G230" s="47"/>
      <c r="H230" s="65"/>
      <c r="I230" s="54"/>
      <c r="J230" s="169"/>
      <c r="K230" s="66"/>
      <c r="L230" s="66"/>
      <c r="M230" s="67"/>
      <c r="N230" s="169"/>
      <c r="O230" s="66"/>
      <c r="P230" s="169"/>
      <c r="Q230" s="169"/>
      <c r="R230" s="169"/>
      <c r="S230" s="169"/>
      <c r="T230" s="169"/>
      <c r="U230" s="169"/>
      <c r="V230" s="169"/>
      <c r="W230" s="169"/>
      <c r="X230" s="169"/>
      <c r="Y230" s="56"/>
    </row>
    <row r="231" spans="1:27" ht="21" customHeight="1">
      <c r="A231" s="23" t="s">
        <v>449</v>
      </c>
      <c r="B231" s="24" t="s">
        <v>30</v>
      </c>
      <c r="C231" s="780" t="s">
        <v>450</v>
      </c>
      <c r="D231" s="781"/>
      <c r="E231" s="192">
        <f>SUM(E232,E249)</f>
        <v>283690</v>
      </c>
      <c r="F231" s="192">
        <f>SUM(F232,F249)</f>
        <v>304410</v>
      </c>
      <c r="G231" s="193">
        <f>F231-E231</f>
        <v>20720</v>
      </c>
      <c r="H231" s="194">
        <f>IF(E231=0,0,G231/E231)</f>
        <v>7.3037470478339028E-2</v>
      </c>
      <c r="I231" s="195" t="s">
        <v>451</v>
      </c>
      <c r="J231" s="196"/>
      <c r="K231" s="197"/>
      <c r="L231" s="197"/>
      <c r="M231" s="196"/>
      <c r="N231" s="196"/>
      <c r="O231" s="196"/>
      <c r="P231" s="196"/>
      <c r="Q231" s="196" t="s">
        <v>452</v>
      </c>
      <c r="R231" s="198"/>
      <c r="S231" s="198"/>
      <c r="T231" s="198"/>
      <c r="U231" s="198"/>
      <c r="V231" s="198"/>
      <c r="W231" s="198"/>
      <c r="X231" s="199">
        <f>X232+X249</f>
        <v>304410000</v>
      </c>
      <c r="Y231" s="207" t="s">
        <v>25</v>
      </c>
    </row>
    <row r="232" spans="1:27" ht="21" customHeight="1">
      <c r="A232" s="33" t="s">
        <v>453</v>
      </c>
      <c r="B232" s="34" t="s">
        <v>453</v>
      </c>
      <c r="C232" s="24" t="s">
        <v>454</v>
      </c>
      <c r="D232" s="335" t="s">
        <v>406</v>
      </c>
      <c r="E232" s="164">
        <f>E233+E245</f>
        <v>205210</v>
      </c>
      <c r="F232" s="164">
        <f>F233+F245</f>
        <v>225930</v>
      </c>
      <c r="G232" s="165">
        <f>F232-E232</f>
        <v>20720</v>
      </c>
      <c r="H232" s="166">
        <f>IF(E232=0,0,G232/E232)</f>
        <v>0.10096973831684616</v>
      </c>
      <c r="I232" s="149" t="s">
        <v>455</v>
      </c>
      <c r="J232" s="150"/>
      <c r="K232" s="151"/>
      <c r="L232" s="151"/>
      <c r="M232" s="151"/>
      <c r="N232" s="151"/>
      <c r="O232" s="151"/>
      <c r="P232" s="152"/>
      <c r="Q232" s="152"/>
      <c r="R232" s="152"/>
      <c r="S232" s="152"/>
      <c r="T232" s="152"/>
      <c r="U232" s="152"/>
      <c r="V232" s="179" t="s">
        <v>378</v>
      </c>
      <c r="W232" s="180"/>
      <c r="X232" s="181">
        <f>SUM(X233,X245)</f>
        <v>225930000</v>
      </c>
      <c r="Y232" s="208" t="s">
        <v>380</v>
      </c>
    </row>
    <row r="233" spans="1:27" ht="21.75" customHeight="1">
      <c r="A233" s="33"/>
      <c r="B233" s="34"/>
      <c r="C233" s="34" t="s">
        <v>449</v>
      </c>
      <c r="D233" s="24" t="s">
        <v>456</v>
      </c>
      <c r="E233" s="25">
        <v>203770</v>
      </c>
      <c r="F233" s="36">
        <f>ROUND(X233/1000,0)</f>
        <v>224640</v>
      </c>
      <c r="G233" s="214">
        <f>F233-E233</f>
        <v>20870</v>
      </c>
      <c r="H233" s="136">
        <f>IF(E233=0,0,G233/E233)</f>
        <v>0.10241939441527212</v>
      </c>
      <c r="I233" s="107" t="s">
        <v>457</v>
      </c>
      <c r="J233" s="120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774" t="s">
        <v>378</v>
      </c>
      <c r="W233" s="774"/>
      <c r="X233" s="109">
        <f>SUM(X234:X244)</f>
        <v>224640000</v>
      </c>
      <c r="Y233" s="110" t="s">
        <v>380</v>
      </c>
      <c r="AA233" s="523"/>
    </row>
    <row r="234" spans="1:27" ht="18" customHeight="1">
      <c r="A234" s="33"/>
      <c r="B234" s="34"/>
      <c r="C234" s="34"/>
      <c r="D234" s="34"/>
      <c r="E234" s="36"/>
      <c r="F234" s="36"/>
      <c r="G234" s="37"/>
      <c r="H234" s="21"/>
      <c r="I234" s="223" t="s">
        <v>552</v>
      </c>
      <c r="J234" s="230"/>
      <c r="K234" s="229"/>
      <c r="L234" s="229"/>
      <c r="M234" s="229"/>
      <c r="N234" s="464"/>
      <c r="O234" s="57"/>
      <c r="P234" s="52"/>
      <c r="Q234" s="57"/>
      <c r="R234" s="62"/>
      <c r="S234" s="59"/>
      <c r="T234" s="59"/>
      <c r="U234" s="464"/>
      <c r="V234" s="229"/>
      <c r="W234" s="51"/>
      <c r="X234" s="219">
        <v>0</v>
      </c>
      <c r="Y234" s="42" t="s">
        <v>380</v>
      </c>
    </row>
    <row r="235" spans="1:27" ht="18" customHeight="1">
      <c r="A235" s="33"/>
      <c r="B235" s="34"/>
      <c r="C235" s="34"/>
      <c r="D235" s="34"/>
      <c r="E235" s="36"/>
      <c r="F235" s="36"/>
      <c r="G235" s="37"/>
      <c r="H235" s="21"/>
      <c r="I235" s="223" t="s">
        <v>619</v>
      </c>
      <c r="J235" s="466"/>
      <c r="K235" s="465"/>
      <c r="L235" s="465"/>
      <c r="M235" s="514">
        <v>214000</v>
      </c>
      <c r="N235" s="475" t="s">
        <v>56</v>
      </c>
      <c r="O235" s="298" t="s">
        <v>57</v>
      </c>
      <c r="P235" s="301">
        <v>12</v>
      </c>
      <c r="Q235" s="298" t="s">
        <v>382</v>
      </c>
      <c r="R235" s="302"/>
      <c r="S235" s="59"/>
      <c r="T235" s="59"/>
      <c r="U235" s="475" t="s">
        <v>384</v>
      </c>
      <c r="V235" s="229"/>
      <c r="W235" s="51"/>
      <c r="X235" s="659">
        <f>ROUNDUP(M235*P235,-4)+30000</f>
        <v>2600000</v>
      </c>
      <c r="Y235" s="42" t="s">
        <v>56</v>
      </c>
    </row>
    <row r="236" spans="1:27" ht="18" customHeight="1">
      <c r="A236" s="33"/>
      <c r="B236" s="34"/>
      <c r="C236" s="34"/>
      <c r="D236" s="34"/>
      <c r="E236" s="36"/>
      <c r="F236" s="36"/>
      <c r="G236" s="37"/>
      <c r="H236" s="21"/>
      <c r="I236" s="223" t="s">
        <v>620</v>
      </c>
      <c r="J236" s="484"/>
      <c r="K236" s="483"/>
      <c r="L236" s="483"/>
      <c r="M236" s="229"/>
      <c r="N236" s="482"/>
      <c r="O236" s="57"/>
      <c r="P236" s="52"/>
      <c r="Q236" s="57"/>
      <c r="R236" s="62"/>
      <c r="S236" s="59"/>
      <c r="T236" s="59"/>
      <c r="U236" s="482"/>
      <c r="V236" s="229"/>
      <c r="W236" s="51"/>
      <c r="X236" s="659">
        <v>5000000</v>
      </c>
      <c r="Y236" s="42" t="s">
        <v>614</v>
      </c>
    </row>
    <row r="237" spans="1:27" ht="18" customHeight="1">
      <c r="A237" s="33"/>
      <c r="B237" s="34"/>
      <c r="C237" s="34"/>
      <c r="D237" s="34"/>
      <c r="E237" s="36"/>
      <c r="F237" s="36"/>
      <c r="G237" s="37"/>
      <c r="H237" s="21"/>
      <c r="I237" s="223" t="s">
        <v>621</v>
      </c>
      <c r="J237" s="484"/>
      <c r="K237" s="483"/>
      <c r="L237" s="483"/>
      <c r="M237" s="229"/>
      <c r="N237" s="482"/>
      <c r="O237" s="57"/>
      <c r="P237" s="52"/>
      <c r="Q237" s="57"/>
      <c r="R237" s="62"/>
      <c r="S237" s="59"/>
      <c r="T237" s="59"/>
      <c r="U237" s="482"/>
      <c r="V237" s="229"/>
      <c r="W237" s="51"/>
      <c r="X237" s="659">
        <v>3060000</v>
      </c>
      <c r="Y237" s="42" t="s">
        <v>614</v>
      </c>
    </row>
    <row r="238" spans="1:27" ht="18" customHeight="1">
      <c r="A238" s="33"/>
      <c r="B238" s="34"/>
      <c r="C238" s="34"/>
      <c r="D238" s="34"/>
      <c r="E238" s="36"/>
      <c r="F238" s="36"/>
      <c r="G238" s="37"/>
      <c r="H238" s="21"/>
      <c r="I238" s="223" t="s">
        <v>617</v>
      </c>
      <c r="J238" s="466"/>
      <c r="K238" s="465"/>
      <c r="L238" s="465"/>
      <c r="M238" s="465"/>
      <c r="N238" s="469"/>
      <c r="O238" s="298"/>
      <c r="P238" s="301"/>
      <c r="Q238" s="298"/>
      <c r="R238" s="302"/>
      <c r="S238" s="59"/>
      <c r="T238" s="59"/>
      <c r="U238" s="469"/>
      <c r="V238" s="465"/>
      <c r="W238" s="470"/>
      <c r="X238" s="659">
        <v>18300000</v>
      </c>
      <c r="Y238" s="103" t="s">
        <v>380</v>
      </c>
      <c r="AA238" s="495"/>
    </row>
    <row r="239" spans="1:27" ht="18" customHeight="1">
      <c r="A239" s="33"/>
      <c r="B239" s="34"/>
      <c r="C239" s="34"/>
      <c r="D239" s="34"/>
      <c r="E239" s="36"/>
      <c r="F239" s="36"/>
      <c r="G239" s="37"/>
      <c r="H239" s="21"/>
      <c r="I239" s="223" t="s">
        <v>622</v>
      </c>
      <c r="J239" s="484"/>
      <c r="K239" s="483"/>
      <c r="L239" s="483"/>
      <c r="M239" s="483"/>
      <c r="N239" s="475"/>
      <c r="O239" s="298"/>
      <c r="P239" s="301"/>
      <c r="Q239" s="298"/>
      <c r="R239" s="302"/>
      <c r="S239" s="511"/>
      <c r="T239" s="59"/>
      <c r="U239" s="475"/>
      <c r="V239" s="483"/>
      <c r="W239" s="476"/>
      <c r="X239" s="659">
        <f>150000000</f>
        <v>150000000</v>
      </c>
      <c r="Y239" s="103" t="s">
        <v>614</v>
      </c>
    </row>
    <row r="240" spans="1:27" ht="18" customHeight="1">
      <c r="A240" s="33"/>
      <c r="B240" s="34"/>
      <c r="C240" s="34"/>
      <c r="D240" s="34"/>
      <c r="E240" s="36"/>
      <c r="F240" s="36"/>
      <c r="G240" s="37"/>
      <c r="H240" s="21"/>
      <c r="I240" s="223" t="s">
        <v>618</v>
      </c>
      <c r="J240" s="484"/>
      <c r="K240" s="483"/>
      <c r="L240" s="483"/>
      <c r="M240" s="483"/>
      <c r="N240" s="475"/>
      <c r="O240" s="298"/>
      <c r="P240" s="301"/>
      <c r="Q240" s="298"/>
      <c r="R240" s="302"/>
      <c r="S240" s="59"/>
      <c r="T240" s="59"/>
      <c r="U240" s="475"/>
      <c r="V240" s="483"/>
      <c r="W240" s="476"/>
      <c r="X240" s="659">
        <v>45170000</v>
      </c>
      <c r="Y240" s="103" t="s">
        <v>56</v>
      </c>
    </row>
    <row r="241" spans="1:25" ht="18" customHeight="1">
      <c r="A241" s="33"/>
      <c r="B241" s="34"/>
      <c r="C241" s="34"/>
      <c r="D241" s="34"/>
      <c r="E241" s="36"/>
      <c r="F241" s="36"/>
      <c r="G241" s="37"/>
      <c r="H241" s="21"/>
      <c r="I241" s="223" t="s">
        <v>613</v>
      </c>
      <c r="J241" s="466"/>
      <c r="K241" s="465"/>
      <c r="L241" s="465"/>
      <c r="M241" s="465"/>
      <c r="N241" s="469"/>
      <c r="O241" s="298"/>
      <c r="P241" s="301"/>
      <c r="Q241" s="298"/>
      <c r="R241" s="302"/>
      <c r="S241" s="59"/>
      <c r="T241" s="59"/>
      <c r="U241" s="469"/>
      <c r="V241" s="465"/>
      <c r="W241" s="470"/>
      <c r="X241" s="659">
        <v>0</v>
      </c>
      <c r="Y241" s="103" t="s">
        <v>380</v>
      </c>
    </row>
    <row r="242" spans="1:25" ht="18" customHeight="1">
      <c r="A242" s="33"/>
      <c r="B242" s="34"/>
      <c r="C242" s="34"/>
      <c r="D242" s="34"/>
      <c r="E242" s="36"/>
      <c r="F242" s="36"/>
      <c r="G242" s="37"/>
      <c r="H242" s="21"/>
      <c r="I242" s="223" t="s">
        <v>615</v>
      </c>
      <c r="J242" s="466"/>
      <c r="K242" s="465"/>
      <c r="L242" s="465"/>
      <c r="M242" s="465"/>
      <c r="N242" s="469"/>
      <c r="O242" s="298"/>
      <c r="P242" s="301"/>
      <c r="Q242" s="298"/>
      <c r="R242" s="302"/>
      <c r="S242" s="59"/>
      <c r="T242" s="59"/>
      <c r="U242" s="469"/>
      <c r="V242" s="465"/>
      <c r="W242" s="470"/>
      <c r="X242" s="659">
        <v>0</v>
      </c>
      <c r="Y242" s="103" t="s">
        <v>380</v>
      </c>
    </row>
    <row r="243" spans="1:25" ht="18" customHeight="1">
      <c r="A243" s="33"/>
      <c r="B243" s="34"/>
      <c r="C243" s="34"/>
      <c r="D243" s="34"/>
      <c r="E243" s="36"/>
      <c r="F243" s="36"/>
      <c r="G243" s="37"/>
      <c r="H243" s="21"/>
      <c r="I243" s="223" t="s">
        <v>590</v>
      </c>
      <c r="J243" s="484"/>
      <c r="K243" s="483"/>
      <c r="L243" s="465"/>
      <c r="M243" s="465"/>
      <c r="N243" s="469"/>
      <c r="O243" s="298"/>
      <c r="P243" s="301"/>
      <c r="Q243" s="298"/>
      <c r="R243" s="302"/>
      <c r="S243" s="59"/>
      <c r="T243" s="59"/>
      <c r="U243" s="469"/>
      <c r="V243" s="465"/>
      <c r="W243" s="470"/>
      <c r="X243" s="659">
        <v>10000</v>
      </c>
      <c r="Y243" s="103" t="s">
        <v>380</v>
      </c>
    </row>
    <row r="244" spans="1:25" ht="18" customHeight="1">
      <c r="A244" s="33"/>
      <c r="B244" s="34"/>
      <c r="C244" s="34"/>
      <c r="D244" s="34"/>
      <c r="E244" s="36"/>
      <c r="F244" s="46"/>
      <c r="G244" s="37"/>
      <c r="H244" s="21"/>
      <c r="I244" s="480" t="s">
        <v>671</v>
      </c>
      <c r="J244" s="327"/>
      <c r="K244" s="507"/>
      <c r="L244" s="507"/>
      <c r="M244" s="507"/>
      <c r="N244" s="398"/>
      <c r="O244" s="481"/>
      <c r="P244" s="489"/>
      <c r="Q244" s="481"/>
      <c r="R244" s="522"/>
      <c r="S244" s="511"/>
      <c r="T244" s="511"/>
      <c r="U244" s="398"/>
      <c r="V244" s="507"/>
      <c r="W244" s="399"/>
      <c r="X244" s="659">
        <v>500000</v>
      </c>
      <c r="Y244" s="103" t="s">
        <v>706</v>
      </c>
    </row>
    <row r="245" spans="1:25" ht="18" customHeight="1">
      <c r="A245" s="33"/>
      <c r="B245" s="34"/>
      <c r="C245" s="34"/>
      <c r="D245" s="24" t="s">
        <v>458</v>
      </c>
      <c r="E245" s="25">
        <v>1440</v>
      </c>
      <c r="F245" s="25">
        <f>ROUND(X245/1000,0)</f>
        <v>1290</v>
      </c>
      <c r="G245" s="26">
        <f>F245-E245</f>
        <v>-150</v>
      </c>
      <c r="H245" s="27">
        <f>IF(E245=0,0,G245/E245)</f>
        <v>-0.10416666666666667</v>
      </c>
      <c r="I245" s="107" t="s">
        <v>457</v>
      </c>
      <c r="J245" s="120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774" t="s">
        <v>378</v>
      </c>
      <c r="W245" s="774"/>
      <c r="X245" s="648">
        <f>SUM(X246:X248)</f>
        <v>1290000</v>
      </c>
      <c r="Y245" s="110" t="s">
        <v>380</v>
      </c>
    </row>
    <row r="246" spans="1:25" ht="18" customHeight="1">
      <c r="A246" s="33"/>
      <c r="B246" s="34"/>
      <c r="C246" s="34"/>
      <c r="D246" s="34"/>
      <c r="E246" s="36"/>
      <c r="F246" s="36"/>
      <c r="G246" s="37"/>
      <c r="H246" s="21"/>
      <c r="I246" s="50" t="s">
        <v>459</v>
      </c>
      <c r="J246" s="230"/>
      <c r="K246" s="229"/>
      <c r="L246" s="229"/>
      <c r="M246" s="465">
        <v>87500</v>
      </c>
      <c r="N246" s="469" t="s">
        <v>380</v>
      </c>
      <c r="O246" s="298" t="s">
        <v>383</v>
      </c>
      <c r="P246" s="301">
        <v>12</v>
      </c>
      <c r="Q246" s="298" t="s">
        <v>382</v>
      </c>
      <c r="R246" s="302"/>
      <c r="S246" s="59"/>
      <c r="T246" s="59"/>
      <c r="U246" s="469" t="s">
        <v>384</v>
      </c>
      <c r="V246" s="465"/>
      <c r="W246" s="470"/>
      <c r="X246" s="659">
        <f>M246*P246</f>
        <v>1050000</v>
      </c>
      <c r="Y246" s="103" t="s">
        <v>380</v>
      </c>
    </row>
    <row r="247" spans="1:25" ht="18" customHeight="1">
      <c r="A247" s="33"/>
      <c r="B247" s="34"/>
      <c r="C247" s="34"/>
      <c r="D247" s="34"/>
      <c r="E247" s="36"/>
      <c r="F247" s="36"/>
      <c r="G247" s="37"/>
      <c r="H247" s="21"/>
      <c r="I247" s="50" t="s">
        <v>460</v>
      </c>
      <c r="J247" s="230"/>
      <c r="K247" s="229"/>
      <c r="L247" s="229"/>
      <c r="M247" s="465">
        <v>20000</v>
      </c>
      <c r="N247" s="469" t="s">
        <v>380</v>
      </c>
      <c r="O247" s="298" t="s">
        <v>383</v>
      </c>
      <c r="P247" s="301">
        <v>12</v>
      </c>
      <c r="Q247" s="298" t="s">
        <v>382</v>
      </c>
      <c r="R247" s="302"/>
      <c r="S247" s="59"/>
      <c r="T247" s="59"/>
      <c r="U247" s="469" t="s">
        <v>384</v>
      </c>
      <c r="V247" s="465"/>
      <c r="W247" s="470"/>
      <c r="X247" s="659">
        <f>M247*P247</f>
        <v>240000</v>
      </c>
      <c r="Y247" s="103" t="s">
        <v>380</v>
      </c>
    </row>
    <row r="248" spans="1:25" ht="25.5" customHeight="1">
      <c r="A248" s="33"/>
      <c r="B248" s="34"/>
      <c r="C248" s="44"/>
      <c r="D248" s="44"/>
      <c r="E248" s="46"/>
      <c r="F248" s="46"/>
      <c r="G248" s="47"/>
      <c r="H248" s="148"/>
      <c r="I248" s="223"/>
      <c r="J248" s="466"/>
      <c r="K248" s="465"/>
      <c r="L248" s="465"/>
      <c r="M248" s="465"/>
      <c r="N248" s="469"/>
      <c r="O248" s="298"/>
      <c r="P248" s="301"/>
      <c r="Q248" s="298"/>
      <c r="R248" s="302"/>
      <c r="S248" s="59"/>
      <c r="T248" s="59"/>
      <c r="U248" s="469"/>
      <c r="V248" s="465"/>
      <c r="W248" s="470"/>
      <c r="X248" s="476"/>
      <c r="Y248" s="103" t="s">
        <v>380</v>
      </c>
    </row>
    <row r="249" spans="1:25" ht="21" customHeight="1">
      <c r="A249" s="33"/>
      <c r="B249" s="34"/>
      <c r="C249" s="34" t="s">
        <v>461</v>
      </c>
      <c r="D249" s="335" t="s">
        <v>406</v>
      </c>
      <c r="E249" s="164">
        <f>E250</f>
        <v>78480</v>
      </c>
      <c r="F249" s="164">
        <f>F250</f>
        <v>78480</v>
      </c>
      <c r="G249" s="165">
        <f>F249-E249</f>
        <v>0</v>
      </c>
      <c r="H249" s="166">
        <f>IF(E249=0,0,G249/E249)</f>
        <v>0</v>
      </c>
      <c r="I249" s="149" t="s">
        <v>462</v>
      </c>
      <c r="J249" s="150"/>
      <c r="K249" s="151"/>
      <c r="L249" s="151"/>
      <c r="M249" s="151"/>
      <c r="N249" s="151"/>
      <c r="O249" s="151"/>
      <c r="P249" s="152"/>
      <c r="Q249" s="152"/>
      <c r="R249" s="152"/>
      <c r="S249" s="152"/>
      <c r="T249" s="152"/>
      <c r="U249" s="152"/>
      <c r="V249" s="179" t="s">
        <v>378</v>
      </c>
      <c r="W249" s="180"/>
      <c r="X249" s="180">
        <f>X250</f>
        <v>78480000</v>
      </c>
      <c r="Y249" s="208" t="s">
        <v>380</v>
      </c>
    </row>
    <row r="250" spans="1:25" ht="21" customHeight="1">
      <c r="A250" s="33"/>
      <c r="B250" s="34"/>
      <c r="C250" s="34" t="s">
        <v>449</v>
      </c>
      <c r="D250" s="34" t="s">
        <v>463</v>
      </c>
      <c r="E250" s="36">
        <v>78480</v>
      </c>
      <c r="F250" s="36">
        <f>ROUND(X250/1000,0)</f>
        <v>78480</v>
      </c>
      <c r="G250" s="214">
        <f>F250-E250</f>
        <v>0</v>
      </c>
      <c r="H250" s="136">
        <f>IF(E250=0,0,G250/E250)</f>
        <v>0</v>
      </c>
      <c r="I250" s="107" t="s">
        <v>464</v>
      </c>
      <c r="J250" s="120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774" t="s">
        <v>378</v>
      </c>
      <c r="W250" s="774"/>
      <c r="X250" s="109">
        <f>SUM(X251:X251)</f>
        <v>78480000</v>
      </c>
      <c r="Y250" s="110" t="s">
        <v>380</v>
      </c>
    </row>
    <row r="251" spans="1:25" ht="21" customHeight="1">
      <c r="A251" s="33"/>
      <c r="B251" s="34"/>
      <c r="C251" s="34"/>
      <c r="D251" s="34"/>
      <c r="E251" s="36"/>
      <c r="F251" s="36"/>
      <c r="G251" s="212"/>
      <c r="H251" s="213"/>
      <c r="I251" s="223" t="s">
        <v>465</v>
      </c>
      <c r="J251" s="466" t="s">
        <v>461</v>
      </c>
      <c r="K251" s="465"/>
      <c r="L251" s="465"/>
      <c r="M251" s="465">
        <v>6540000</v>
      </c>
      <c r="N251" s="469" t="s">
        <v>380</v>
      </c>
      <c r="O251" s="298" t="s">
        <v>383</v>
      </c>
      <c r="P251" s="301">
        <v>12</v>
      </c>
      <c r="Q251" s="298" t="s">
        <v>382</v>
      </c>
      <c r="R251" s="302"/>
      <c r="S251" s="59"/>
      <c r="T251" s="59"/>
      <c r="U251" s="469" t="s">
        <v>384</v>
      </c>
      <c r="V251" s="465"/>
      <c r="W251" s="470"/>
      <c r="X251" s="476">
        <f>M251*P251</f>
        <v>78480000</v>
      </c>
      <c r="Y251" s="103" t="s">
        <v>380</v>
      </c>
    </row>
    <row r="252" spans="1:25" ht="21" customHeight="1">
      <c r="A252" s="43"/>
      <c r="B252" s="44"/>
      <c r="C252" s="44"/>
      <c r="D252" s="44"/>
      <c r="E252" s="46"/>
      <c r="F252" s="46"/>
      <c r="G252" s="47"/>
      <c r="H252" s="148"/>
      <c r="I252" s="54"/>
      <c r="J252" s="273"/>
      <c r="K252" s="169"/>
      <c r="L252" s="169"/>
      <c r="M252" s="169"/>
      <c r="N252" s="146"/>
      <c r="O252" s="157"/>
      <c r="P252" s="158"/>
      <c r="Q252" s="157"/>
      <c r="R252" s="159"/>
      <c r="S252" s="160"/>
      <c r="T252" s="160"/>
      <c r="U252" s="146"/>
      <c r="V252" s="169"/>
      <c r="W252" s="55"/>
      <c r="X252" s="55"/>
      <c r="Y252" s="56"/>
    </row>
    <row r="253" spans="1:25" ht="21" customHeight="1">
      <c r="A253" s="23" t="s">
        <v>466</v>
      </c>
      <c r="B253" s="24" t="s">
        <v>466</v>
      </c>
      <c r="C253" s="780" t="s">
        <v>450</v>
      </c>
      <c r="D253" s="781"/>
      <c r="E253" s="192">
        <f>E254+E257</f>
        <v>0</v>
      </c>
      <c r="F253" s="192">
        <f>F254+F257</f>
        <v>0</v>
      </c>
      <c r="G253" s="193">
        <f>F253-E253</f>
        <v>0</v>
      </c>
      <c r="H253" s="194">
        <f>IF(E253=0,0,G253/E253)</f>
        <v>0</v>
      </c>
      <c r="I253" s="195" t="s">
        <v>467</v>
      </c>
      <c r="J253" s="196"/>
      <c r="K253" s="197"/>
      <c r="L253" s="197"/>
      <c r="M253" s="196"/>
      <c r="N253" s="196"/>
      <c r="O253" s="196"/>
      <c r="P253" s="196"/>
      <c r="Q253" s="196" t="s">
        <v>452</v>
      </c>
      <c r="R253" s="198"/>
      <c r="S253" s="198"/>
      <c r="T253" s="198"/>
      <c r="U253" s="198"/>
      <c r="V253" s="198"/>
      <c r="W253" s="198"/>
      <c r="X253" s="199">
        <f>X254+X257</f>
        <v>0</v>
      </c>
      <c r="Y253" s="207" t="s">
        <v>25</v>
      </c>
    </row>
    <row r="254" spans="1:25" ht="21" customHeight="1">
      <c r="A254" s="33"/>
      <c r="B254" s="34"/>
      <c r="C254" s="24" t="s">
        <v>468</v>
      </c>
      <c r="D254" s="335" t="s">
        <v>406</v>
      </c>
      <c r="E254" s="164">
        <f>E255</f>
        <v>0</v>
      </c>
      <c r="F254" s="164">
        <f>F255</f>
        <v>0</v>
      </c>
      <c r="G254" s="165">
        <f>F254-E254</f>
        <v>0</v>
      </c>
      <c r="H254" s="166">
        <f>IF(E254=0,0,G254/E254)</f>
        <v>0</v>
      </c>
      <c r="I254" s="149" t="s">
        <v>469</v>
      </c>
      <c r="J254" s="150"/>
      <c r="K254" s="151"/>
      <c r="L254" s="151"/>
      <c r="M254" s="151"/>
      <c r="N254" s="151"/>
      <c r="O254" s="151"/>
      <c r="P254" s="152"/>
      <c r="Q254" s="152"/>
      <c r="R254" s="152"/>
      <c r="S254" s="152"/>
      <c r="T254" s="152"/>
      <c r="U254" s="152"/>
      <c r="V254" s="179" t="s">
        <v>378</v>
      </c>
      <c r="W254" s="180"/>
      <c r="X254" s="181">
        <f>X255</f>
        <v>0</v>
      </c>
      <c r="Y254" s="208" t="s">
        <v>380</v>
      </c>
    </row>
    <row r="255" spans="1:25" ht="21" customHeight="1">
      <c r="A255" s="33"/>
      <c r="B255" s="34"/>
      <c r="C255" s="34" t="s">
        <v>470</v>
      </c>
      <c r="D255" s="24" t="s">
        <v>471</v>
      </c>
      <c r="E255" s="25">
        <v>0</v>
      </c>
      <c r="F255" s="36">
        <f>ROUND(X255/1000,0)</f>
        <v>0</v>
      </c>
      <c r="G255" s="26">
        <f>F255-E255</f>
        <v>0</v>
      </c>
      <c r="H255" s="27">
        <f>IF(E255=0,0,G255/E255)</f>
        <v>0</v>
      </c>
      <c r="I255" s="107" t="s">
        <v>472</v>
      </c>
      <c r="J255" s="120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774" t="s">
        <v>375</v>
      </c>
      <c r="W255" s="774"/>
      <c r="X255" s="109">
        <f>X256</f>
        <v>0</v>
      </c>
      <c r="Y255" s="110" t="s">
        <v>374</v>
      </c>
    </row>
    <row r="256" spans="1:25" ht="21" customHeight="1">
      <c r="A256" s="33"/>
      <c r="B256" s="34"/>
      <c r="C256" s="34" t="s">
        <v>473</v>
      </c>
      <c r="D256" s="34" t="s">
        <v>473</v>
      </c>
      <c r="E256" s="36"/>
      <c r="F256" s="36"/>
      <c r="G256" s="37"/>
      <c r="H256" s="21"/>
      <c r="I256" s="50" t="s">
        <v>474</v>
      </c>
      <c r="J256" s="230"/>
      <c r="K256" s="229"/>
      <c r="L256" s="229"/>
      <c r="M256" s="229"/>
      <c r="N256" s="464"/>
      <c r="O256" s="57"/>
      <c r="P256" s="52"/>
      <c r="Q256" s="57"/>
      <c r="R256" s="62"/>
      <c r="S256" s="59"/>
      <c r="T256" s="59"/>
      <c r="U256" s="464"/>
      <c r="V256" s="229"/>
      <c r="W256" s="51"/>
      <c r="X256" s="51">
        <v>0</v>
      </c>
      <c r="Y256" s="42" t="s">
        <v>374</v>
      </c>
    </row>
    <row r="257" spans="1:25" ht="21" customHeight="1">
      <c r="A257" s="33"/>
      <c r="B257" s="34"/>
      <c r="C257" s="24" t="s">
        <v>475</v>
      </c>
      <c r="D257" s="335" t="s">
        <v>476</v>
      </c>
      <c r="E257" s="164">
        <f>E258</f>
        <v>0</v>
      </c>
      <c r="F257" s="164">
        <f>F258</f>
        <v>0</v>
      </c>
      <c r="G257" s="165">
        <f>F257-E257</f>
        <v>0</v>
      </c>
      <c r="H257" s="166">
        <f>IF(E257=0,0,G257/E257)</f>
        <v>0</v>
      </c>
      <c r="I257" s="149" t="s">
        <v>477</v>
      </c>
      <c r="J257" s="150"/>
      <c r="K257" s="151"/>
      <c r="L257" s="151"/>
      <c r="M257" s="151"/>
      <c r="N257" s="151"/>
      <c r="O257" s="151"/>
      <c r="P257" s="152"/>
      <c r="Q257" s="152"/>
      <c r="R257" s="152"/>
      <c r="S257" s="152"/>
      <c r="T257" s="152"/>
      <c r="U257" s="152"/>
      <c r="V257" s="179" t="s">
        <v>375</v>
      </c>
      <c r="W257" s="180"/>
      <c r="X257" s="180">
        <f>X258</f>
        <v>0</v>
      </c>
      <c r="Y257" s="208" t="s">
        <v>374</v>
      </c>
    </row>
    <row r="258" spans="1:25" ht="21" customHeight="1">
      <c r="A258" s="33"/>
      <c r="B258" s="34"/>
      <c r="C258" s="34" t="s">
        <v>473</v>
      </c>
      <c r="D258" s="34" t="s">
        <v>478</v>
      </c>
      <c r="E258" s="36">
        <v>0</v>
      </c>
      <c r="F258" s="36">
        <f>ROUND(X258/1000,0)</f>
        <v>0</v>
      </c>
      <c r="G258" s="26">
        <f>F258-E258</f>
        <v>0</v>
      </c>
      <c r="H258" s="27">
        <f>IF(E258=0,0,G258/E258)</f>
        <v>0</v>
      </c>
      <c r="I258" s="50" t="s">
        <v>479</v>
      </c>
      <c r="J258" s="230"/>
      <c r="K258" s="229"/>
      <c r="L258" s="229"/>
      <c r="M258" s="229"/>
      <c r="N258" s="464"/>
      <c r="O258" s="57"/>
      <c r="P258" s="52"/>
      <c r="Q258" s="57"/>
      <c r="R258" s="62"/>
      <c r="S258" s="59"/>
      <c r="T258" s="59"/>
      <c r="U258" s="464"/>
      <c r="V258" s="229"/>
      <c r="W258" s="51"/>
      <c r="X258" s="51">
        <v>0</v>
      </c>
      <c r="Y258" s="42" t="s">
        <v>374</v>
      </c>
    </row>
    <row r="259" spans="1:25" ht="21" customHeight="1">
      <c r="A259" s="43"/>
      <c r="B259" s="44"/>
      <c r="C259" s="44"/>
      <c r="D259" s="44"/>
      <c r="E259" s="46"/>
      <c r="F259" s="46"/>
      <c r="G259" s="47"/>
      <c r="H259" s="148"/>
      <c r="I259" s="54"/>
      <c r="J259" s="273"/>
      <c r="K259" s="169"/>
      <c r="L259" s="169"/>
      <c r="M259" s="169"/>
      <c r="N259" s="146"/>
      <c r="O259" s="157"/>
      <c r="P259" s="158"/>
      <c r="Q259" s="157"/>
      <c r="R259" s="159"/>
      <c r="S259" s="160"/>
      <c r="T259" s="160"/>
      <c r="U259" s="146"/>
      <c r="V259" s="169"/>
      <c r="W259" s="55"/>
      <c r="X259" s="55"/>
      <c r="Y259" s="56"/>
    </row>
    <row r="260" spans="1:25" ht="21" customHeight="1">
      <c r="A260" s="23" t="s">
        <v>480</v>
      </c>
      <c r="B260" s="24" t="s">
        <v>13</v>
      </c>
      <c r="C260" s="780" t="s">
        <v>450</v>
      </c>
      <c r="D260" s="781"/>
      <c r="E260" s="192">
        <f>SUM(E261,E302)</f>
        <v>172504</v>
      </c>
      <c r="F260" s="192">
        <f>SUM(F261,F302)</f>
        <v>184378</v>
      </c>
      <c r="G260" s="193">
        <f>F260-E260</f>
        <v>11874</v>
      </c>
      <c r="H260" s="194">
        <f>IF(E260=0,0,G260/E260)</f>
        <v>6.8833186476835326E-2</v>
      </c>
      <c r="I260" s="195" t="s">
        <v>481</v>
      </c>
      <c r="J260" s="196"/>
      <c r="K260" s="197"/>
      <c r="L260" s="197"/>
      <c r="M260" s="196"/>
      <c r="N260" s="196"/>
      <c r="O260" s="196"/>
      <c r="P260" s="196"/>
      <c r="Q260" s="196" t="s">
        <v>452</v>
      </c>
      <c r="R260" s="198"/>
      <c r="S260" s="198"/>
      <c r="T260" s="198"/>
      <c r="U260" s="198"/>
      <c r="V260" s="198"/>
      <c r="W260" s="198"/>
      <c r="X260" s="199">
        <f>X262+X302</f>
        <v>184378000</v>
      </c>
      <c r="Y260" s="207" t="s">
        <v>25</v>
      </c>
    </row>
    <row r="261" spans="1:25" ht="21" customHeight="1">
      <c r="A261" s="33"/>
      <c r="B261" s="34"/>
      <c r="C261" s="24" t="s">
        <v>482</v>
      </c>
      <c r="D261" s="335" t="s">
        <v>406</v>
      </c>
      <c r="E261" s="164">
        <f>E262</f>
        <v>0</v>
      </c>
      <c r="F261" s="164">
        <f>F262</f>
        <v>0</v>
      </c>
      <c r="G261" s="165">
        <f>F261-E261</f>
        <v>0</v>
      </c>
      <c r="H261" s="166">
        <f>IF(E261=0,0,G261/E261)</f>
        <v>0</v>
      </c>
      <c r="I261" s="149" t="s">
        <v>483</v>
      </c>
      <c r="J261" s="150"/>
      <c r="K261" s="151"/>
      <c r="L261" s="151"/>
      <c r="M261" s="151"/>
      <c r="N261" s="151"/>
      <c r="O261" s="151"/>
      <c r="P261" s="152"/>
      <c r="Q261" s="152"/>
      <c r="R261" s="152"/>
      <c r="S261" s="152"/>
      <c r="T261" s="152"/>
      <c r="U261" s="152"/>
      <c r="V261" s="179" t="s">
        <v>378</v>
      </c>
      <c r="W261" s="180"/>
      <c r="X261" s="181">
        <f>SUM(X262:X262)</f>
        <v>0</v>
      </c>
      <c r="Y261" s="208" t="s">
        <v>380</v>
      </c>
    </row>
    <row r="262" spans="1:25" ht="21" hidden="1" customHeight="1" thickBot="1">
      <c r="A262" s="33"/>
      <c r="B262" s="34"/>
      <c r="C262" s="34" t="s">
        <v>480</v>
      </c>
      <c r="D262" s="24" t="s">
        <v>484</v>
      </c>
      <c r="E262" s="25">
        <v>0</v>
      </c>
      <c r="F262" s="36">
        <f>ROUND(X262/1000,0)</f>
        <v>0</v>
      </c>
      <c r="G262" s="26">
        <f>F262-E262</f>
        <v>0</v>
      </c>
      <c r="H262" s="27">
        <f>IF(E262=0,0,G262/E262)</f>
        <v>0</v>
      </c>
      <c r="I262" s="107" t="s">
        <v>483</v>
      </c>
      <c r="J262" s="120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774" t="s">
        <v>378</v>
      </c>
      <c r="W262" s="774"/>
      <c r="X262" s="109">
        <f>SUM(X263,X269,X277,X287,X290,X292,X294,X297)</f>
        <v>0</v>
      </c>
      <c r="Y262" s="110" t="s">
        <v>380</v>
      </c>
    </row>
    <row r="263" spans="1:25" ht="21" hidden="1" customHeight="1">
      <c r="A263" s="33"/>
      <c r="B263" s="34"/>
      <c r="C263" s="34"/>
      <c r="D263" s="34"/>
      <c r="E263" s="36"/>
      <c r="F263" s="36"/>
      <c r="G263" s="37"/>
      <c r="H263" s="21"/>
      <c r="I263" s="310" t="s">
        <v>485</v>
      </c>
      <c r="J263" s="466"/>
      <c r="K263" s="466"/>
      <c r="L263" s="466"/>
      <c r="M263" s="466"/>
      <c r="N263" s="466"/>
      <c r="O263" s="466"/>
      <c r="P263" s="466"/>
      <c r="Q263" s="397" t="s">
        <v>486</v>
      </c>
      <c r="R263" s="466"/>
      <c r="S263" s="466"/>
      <c r="T263" s="466"/>
      <c r="U263" s="466"/>
      <c r="V263" s="466"/>
      <c r="W263" s="466"/>
      <c r="X263" s="397">
        <f>SUM(X264:X268)</f>
        <v>0</v>
      </c>
      <c r="Y263" s="103" t="s">
        <v>380</v>
      </c>
    </row>
    <row r="264" spans="1:25" ht="21" hidden="1" customHeight="1">
      <c r="A264" s="33"/>
      <c r="B264" s="34"/>
      <c r="C264" s="34"/>
      <c r="D264" s="34"/>
      <c r="E264" s="36"/>
      <c r="F264" s="36"/>
      <c r="G264" s="37"/>
      <c r="H264" s="21"/>
      <c r="I264" s="310" t="s">
        <v>487</v>
      </c>
      <c r="J264" s="466"/>
      <c r="K264" s="466"/>
      <c r="L264" s="466"/>
      <c r="M264" s="466"/>
      <c r="N264" s="466"/>
      <c r="O264" s="466"/>
      <c r="P264" s="466"/>
      <c r="Q264" s="466"/>
      <c r="R264" s="466"/>
      <c r="S264" s="466"/>
      <c r="T264" s="466"/>
      <c r="U264" s="466"/>
      <c r="V264" s="466"/>
      <c r="W264" s="466"/>
      <c r="X264" s="499"/>
      <c r="Y264" s="103" t="s">
        <v>380</v>
      </c>
    </row>
    <row r="265" spans="1:25" ht="21" hidden="1" customHeight="1">
      <c r="A265" s="33"/>
      <c r="B265" s="34"/>
      <c r="C265" s="34"/>
      <c r="D265" s="34"/>
      <c r="E265" s="36"/>
      <c r="F265" s="36"/>
      <c r="G265" s="37"/>
      <c r="H265" s="21"/>
      <c r="I265" s="310" t="s">
        <v>488</v>
      </c>
      <c r="J265" s="466"/>
      <c r="K265" s="466"/>
      <c r="L265" s="466"/>
      <c r="M265" s="466"/>
      <c r="N265" s="466"/>
      <c r="O265" s="466"/>
      <c r="P265" s="466"/>
      <c r="Q265" s="466"/>
      <c r="R265" s="466"/>
      <c r="S265" s="466"/>
      <c r="T265" s="466"/>
      <c r="U265" s="466"/>
      <c r="V265" s="466"/>
      <c r="W265" s="466"/>
      <c r="X265" s="499"/>
      <c r="Y265" s="103" t="s">
        <v>380</v>
      </c>
    </row>
    <row r="266" spans="1:25" ht="21" hidden="1" customHeight="1">
      <c r="A266" s="33"/>
      <c r="B266" s="34"/>
      <c r="C266" s="34"/>
      <c r="D266" s="34"/>
      <c r="E266" s="36"/>
      <c r="F266" s="36"/>
      <c r="G266" s="37"/>
      <c r="H266" s="21"/>
      <c r="I266" s="310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/>
      <c r="W266" s="466"/>
      <c r="X266" s="499"/>
      <c r="Y266" s="103" t="s">
        <v>380</v>
      </c>
    </row>
    <row r="267" spans="1:25" ht="21" hidden="1" customHeight="1">
      <c r="A267" s="33"/>
      <c r="B267" s="34"/>
      <c r="C267" s="34"/>
      <c r="D267" s="34"/>
      <c r="E267" s="36"/>
      <c r="F267" s="36"/>
      <c r="G267" s="37"/>
      <c r="H267" s="21"/>
      <c r="I267" s="310"/>
      <c r="J267" s="466"/>
      <c r="K267" s="466"/>
      <c r="L267" s="466"/>
      <c r="M267" s="466"/>
      <c r="N267" s="466"/>
      <c r="O267" s="466"/>
      <c r="P267" s="466"/>
      <c r="Q267" s="466"/>
      <c r="R267" s="466"/>
      <c r="S267" s="466"/>
      <c r="T267" s="466"/>
      <c r="U267" s="466"/>
      <c r="V267" s="466"/>
      <c r="W267" s="466"/>
      <c r="X267" s="499"/>
      <c r="Y267" s="103" t="s">
        <v>380</v>
      </c>
    </row>
    <row r="268" spans="1:25" ht="21" hidden="1" customHeight="1" thickBot="1">
      <c r="A268" s="33"/>
      <c r="B268" s="34"/>
      <c r="C268" s="34"/>
      <c r="D268" s="34"/>
      <c r="E268" s="36"/>
      <c r="F268" s="36"/>
      <c r="G268" s="37"/>
      <c r="H268" s="21"/>
      <c r="I268" s="466"/>
      <c r="J268" s="466"/>
      <c r="K268" s="466"/>
      <c r="L268" s="466"/>
      <c r="M268" s="466"/>
      <c r="N268" s="466"/>
      <c r="O268" s="466"/>
      <c r="P268" s="466"/>
      <c r="Q268" s="466"/>
      <c r="R268" s="466"/>
      <c r="S268" s="466"/>
      <c r="T268" s="466"/>
      <c r="U268" s="466"/>
      <c r="V268" s="466"/>
      <c r="W268" s="466"/>
      <c r="X268" s="499"/>
      <c r="Y268" s="103" t="s">
        <v>380</v>
      </c>
    </row>
    <row r="269" spans="1:25" ht="21" hidden="1" customHeight="1">
      <c r="A269" s="33"/>
      <c r="B269" s="34"/>
      <c r="C269" s="34"/>
      <c r="D269" s="34"/>
      <c r="E269" s="36"/>
      <c r="F269" s="36"/>
      <c r="G269" s="37"/>
      <c r="H269" s="21"/>
      <c r="I269" s="339" t="s">
        <v>489</v>
      </c>
      <c r="J269" s="48"/>
      <c r="K269" s="229"/>
      <c r="L269" s="229"/>
      <c r="M269" s="229"/>
      <c r="N269" s="229"/>
      <c r="O269" s="229"/>
      <c r="P269" s="229"/>
      <c r="Q269" s="397" t="s">
        <v>490</v>
      </c>
      <c r="R269" s="397"/>
      <c r="S269" s="397"/>
      <c r="T269" s="397"/>
      <c r="U269" s="397"/>
      <c r="V269" s="397"/>
      <c r="W269" s="397"/>
      <c r="X269" s="397">
        <f>SUM(X270:X276)</f>
        <v>0</v>
      </c>
      <c r="Y269" s="336" t="s">
        <v>380</v>
      </c>
    </row>
    <row r="270" spans="1:25" ht="21" hidden="1" customHeight="1">
      <c r="A270" s="33"/>
      <c r="B270" s="34"/>
      <c r="C270" s="34"/>
      <c r="D270" s="34"/>
      <c r="E270" s="36"/>
      <c r="F270" s="36"/>
      <c r="G270" s="37"/>
      <c r="H270" s="21"/>
      <c r="I270" s="466" t="s">
        <v>491</v>
      </c>
      <c r="J270" s="466"/>
      <c r="K270" s="465"/>
      <c r="L270" s="465"/>
      <c r="M270" s="465"/>
      <c r="N270" s="465" t="s">
        <v>380</v>
      </c>
      <c r="O270" s="298" t="s">
        <v>383</v>
      </c>
      <c r="P270" s="465">
        <v>39</v>
      </c>
      <c r="Q270" s="465" t="s">
        <v>402</v>
      </c>
      <c r="R270" s="298"/>
      <c r="S270" s="465"/>
      <c r="T270" s="465"/>
      <c r="U270" s="465" t="s">
        <v>384</v>
      </c>
      <c r="V270" s="465"/>
      <c r="W270" s="470"/>
      <c r="X270" s="476">
        <f>M270*P270</f>
        <v>0</v>
      </c>
      <c r="Y270" s="103" t="s">
        <v>380</v>
      </c>
    </row>
    <row r="271" spans="1:25" ht="21" hidden="1" customHeight="1">
      <c r="A271" s="33"/>
      <c r="B271" s="34"/>
      <c r="C271" s="34"/>
      <c r="D271" s="34"/>
      <c r="E271" s="36"/>
      <c r="F271" s="36"/>
      <c r="G271" s="37"/>
      <c r="H271" s="21"/>
      <c r="I271" s="466" t="s">
        <v>492</v>
      </c>
      <c r="J271" s="466"/>
      <c r="K271" s="465"/>
      <c r="L271" s="465"/>
      <c r="M271" s="465"/>
      <c r="N271" s="465" t="s">
        <v>380</v>
      </c>
      <c r="O271" s="298" t="s">
        <v>383</v>
      </c>
      <c r="P271" s="465">
        <v>39</v>
      </c>
      <c r="Q271" s="465" t="s">
        <v>402</v>
      </c>
      <c r="R271" s="298"/>
      <c r="S271" s="465"/>
      <c r="T271" s="465"/>
      <c r="U271" s="465" t="s">
        <v>384</v>
      </c>
      <c r="V271" s="465"/>
      <c r="W271" s="470"/>
      <c r="X271" s="476">
        <f>M271*P271</f>
        <v>0</v>
      </c>
      <c r="Y271" s="103" t="s">
        <v>380</v>
      </c>
    </row>
    <row r="272" spans="1:25" ht="21" hidden="1" customHeight="1">
      <c r="A272" s="33"/>
      <c r="B272" s="34"/>
      <c r="C272" s="34"/>
      <c r="D272" s="34"/>
      <c r="E272" s="36"/>
      <c r="F272" s="36"/>
      <c r="G272" s="37"/>
      <c r="H272" s="21"/>
      <c r="I272" s="218" t="s">
        <v>493</v>
      </c>
      <c r="J272" s="230"/>
      <c r="K272" s="229"/>
      <c r="L272" s="229"/>
      <c r="M272" s="229"/>
      <c r="N272" s="58" t="s">
        <v>380</v>
      </c>
      <c r="O272" s="57" t="s">
        <v>383</v>
      </c>
      <c r="P272" s="58">
        <v>3</v>
      </c>
      <c r="Q272" s="229" t="s">
        <v>402</v>
      </c>
      <c r="R272" s="57"/>
      <c r="S272" s="58"/>
      <c r="T272" s="58"/>
      <c r="U272" s="342" t="s">
        <v>384</v>
      </c>
      <c r="V272" s="58"/>
      <c r="W272" s="58"/>
      <c r="X272" s="476">
        <f>M272*P272</f>
        <v>0</v>
      </c>
      <c r="Y272" s="300" t="s">
        <v>380</v>
      </c>
    </row>
    <row r="273" spans="1:25" ht="21" hidden="1" customHeight="1">
      <c r="A273" s="33"/>
      <c r="B273" s="34"/>
      <c r="C273" s="34"/>
      <c r="D273" s="34"/>
      <c r="E273" s="36"/>
      <c r="F273" s="36"/>
      <c r="G273" s="37"/>
      <c r="H273" s="21"/>
      <c r="I273" s="466" t="s">
        <v>494</v>
      </c>
      <c r="J273" s="466"/>
      <c r="K273" s="465"/>
      <c r="L273" s="465"/>
      <c r="M273" s="465"/>
      <c r="N273" s="299" t="s">
        <v>380</v>
      </c>
      <c r="O273" s="298" t="s">
        <v>383</v>
      </c>
      <c r="P273" s="299">
        <v>39</v>
      </c>
      <c r="Q273" s="465" t="s">
        <v>402</v>
      </c>
      <c r="R273" s="298"/>
      <c r="S273" s="299"/>
      <c r="T273" s="299"/>
      <c r="U273" s="304" t="s">
        <v>384</v>
      </c>
      <c r="V273" s="299"/>
      <c r="W273" s="299"/>
      <c r="X273" s="499">
        <v>0</v>
      </c>
      <c r="Y273" s="300" t="s">
        <v>380</v>
      </c>
    </row>
    <row r="274" spans="1:25" ht="21" hidden="1" customHeight="1">
      <c r="A274" s="33"/>
      <c r="B274" s="34"/>
      <c r="C274" s="34"/>
      <c r="D274" s="34"/>
      <c r="E274" s="36"/>
      <c r="F274" s="36"/>
      <c r="G274" s="37"/>
      <c r="H274" s="21"/>
      <c r="I274" s="466" t="s">
        <v>495</v>
      </c>
      <c r="J274" s="466"/>
      <c r="K274" s="466"/>
      <c r="L274" s="466"/>
      <c r="M274" s="465"/>
      <c r="N274" s="299" t="s">
        <v>380</v>
      </c>
      <c r="O274" s="298" t="s">
        <v>383</v>
      </c>
      <c r="P274" s="307">
        <v>39</v>
      </c>
      <c r="Q274" s="465" t="s">
        <v>402</v>
      </c>
      <c r="R274" s="298" t="s">
        <v>383</v>
      </c>
      <c r="S274" s="299">
        <v>1</v>
      </c>
      <c r="T274" s="299" t="s">
        <v>422</v>
      </c>
      <c r="U274" s="304" t="s">
        <v>384</v>
      </c>
      <c r="V274" s="299"/>
      <c r="W274" s="299"/>
      <c r="X274" s="476">
        <f>M274*P274*S274</f>
        <v>0</v>
      </c>
      <c r="Y274" s="300" t="s">
        <v>380</v>
      </c>
    </row>
    <row r="275" spans="1:25" ht="21" hidden="1" customHeight="1">
      <c r="A275" s="33"/>
      <c r="B275" s="34"/>
      <c r="C275" s="34"/>
      <c r="D275" s="34"/>
      <c r="E275" s="36"/>
      <c r="F275" s="36"/>
      <c r="G275" s="37"/>
      <c r="H275" s="21"/>
      <c r="I275" s="50" t="s">
        <v>496</v>
      </c>
      <c r="J275" s="230"/>
      <c r="K275" s="230"/>
      <c r="L275" s="230"/>
      <c r="M275" s="229"/>
      <c r="N275" s="58"/>
      <c r="O275" s="58"/>
      <c r="P275" s="58"/>
      <c r="Q275" s="229"/>
      <c r="R275" s="229"/>
      <c r="S275" s="58"/>
      <c r="T275" s="58"/>
      <c r="U275" s="58"/>
      <c r="V275" s="58"/>
      <c r="W275" s="58"/>
      <c r="X275" s="499"/>
      <c r="Y275" s="300" t="s">
        <v>380</v>
      </c>
    </row>
    <row r="276" spans="1:25" ht="21" hidden="1" customHeight="1" thickBot="1">
      <c r="A276" s="33"/>
      <c r="B276" s="34"/>
      <c r="C276" s="34"/>
      <c r="D276" s="34"/>
      <c r="E276" s="36"/>
      <c r="F276" s="36"/>
      <c r="G276" s="37"/>
      <c r="H276" s="21"/>
      <c r="I276" s="223" t="s">
        <v>497</v>
      </c>
      <c r="J276" s="466"/>
      <c r="K276" s="465"/>
      <c r="L276" s="465"/>
      <c r="M276" s="465"/>
      <c r="N276" s="465"/>
      <c r="O276" s="466"/>
      <c r="P276" s="465"/>
      <c r="Q276" s="465"/>
      <c r="R276" s="465"/>
      <c r="S276" s="465"/>
      <c r="T276" s="465"/>
      <c r="U276" s="465"/>
      <c r="V276" s="465"/>
      <c r="W276" s="470"/>
      <c r="X276" s="476">
        <v>0</v>
      </c>
      <c r="Y276" s="103" t="s">
        <v>380</v>
      </c>
    </row>
    <row r="277" spans="1:25" ht="21" hidden="1" customHeight="1">
      <c r="A277" s="33"/>
      <c r="B277" s="34"/>
      <c r="C277" s="34"/>
      <c r="D277" s="34"/>
      <c r="E277" s="36"/>
      <c r="F277" s="36"/>
      <c r="G277" s="37"/>
      <c r="H277" s="21"/>
      <c r="I277" s="339" t="s">
        <v>498</v>
      </c>
      <c r="J277" s="48"/>
      <c r="K277" s="229"/>
      <c r="L277" s="229"/>
      <c r="M277" s="230"/>
      <c r="N277" s="230"/>
      <c r="O277" s="230"/>
      <c r="P277" s="230"/>
      <c r="Q277" s="397" t="s">
        <v>499</v>
      </c>
      <c r="R277" s="397"/>
      <c r="S277" s="397"/>
      <c r="T277" s="397"/>
      <c r="U277" s="397"/>
      <c r="V277" s="397"/>
      <c r="W277" s="397"/>
      <c r="X277" s="397">
        <f>SUM(X278:X286)</f>
        <v>0</v>
      </c>
      <c r="Y277" s="336" t="s">
        <v>380</v>
      </c>
    </row>
    <row r="278" spans="1:25" ht="21" hidden="1" customHeight="1">
      <c r="A278" s="33"/>
      <c r="B278" s="34"/>
      <c r="C278" s="34"/>
      <c r="D278" s="34"/>
      <c r="E278" s="36"/>
      <c r="F278" s="36"/>
      <c r="G278" s="37"/>
      <c r="H278" s="21"/>
      <c r="I278" s="223" t="s">
        <v>500</v>
      </c>
      <c r="J278" s="466"/>
      <c r="K278" s="466"/>
      <c r="L278" s="466"/>
      <c r="M278" s="465"/>
      <c r="N278" s="299" t="s">
        <v>380</v>
      </c>
      <c r="O278" s="298" t="s">
        <v>383</v>
      </c>
      <c r="P278" s="299">
        <v>14</v>
      </c>
      <c r="Q278" s="465" t="s">
        <v>402</v>
      </c>
      <c r="R278" s="465"/>
      <c r="S278" s="299"/>
      <c r="T278" s="299"/>
      <c r="U278" s="299" t="s">
        <v>384</v>
      </c>
      <c r="V278" s="299"/>
      <c r="W278" s="299"/>
      <c r="X278" s="499">
        <f>M278*P278</f>
        <v>0</v>
      </c>
      <c r="Y278" s="300" t="s">
        <v>25</v>
      </c>
    </row>
    <row r="279" spans="1:25" ht="21" hidden="1" customHeight="1">
      <c r="A279" s="33"/>
      <c r="B279" s="34"/>
      <c r="C279" s="34"/>
      <c r="D279" s="34"/>
      <c r="E279" s="36"/>
      <c r="F279" s="36"/>
      <c r="G279" s="37"/>
      <c r="H279" s="21"/>
      <c r="I279" s="466" t="s">
        <v>501</v>
      </c>
      <c r="J279" s="466"/>
      <c r="K279" s="466"/>
      <c r="L279" s="466"/>
      <c r="M279" s="229"/>
      <c r="N279" s="229" t="s">
        <v>380</v>
      </c>
      <c r="O279" s="57" t="s">
        <v>383</v>
      </c>
      <c r="P279" s="465">
        <v>14</v>
      </c>
      <c r="Q279" s="229" t="s">
        <v>402</v>
      </c>
      <c r="R279" s="57" t="s">
        <v>383</v>
      </c>
      <c r="S279" s="229">
        <v>2</v>
      </c>
      <c r="T279" s="229" t="s">
        <v>422</v>
      </c>
      <c r="U279" s="229" t="s">
        <v>384</v>
      </c>
      <c r="V279" s="299"/>
      <c r="W279" s="299"/>
      <c r="X279" s="499">
        <f>M279*P279*S279</f>
        <v>0</v>
      </c>
      <c r="Y279" s="300" t="s">
        <v>25</v>
      </c>
    </row>
    <row r="280" spans="1:25" ht="21" hidden="1" customHeight="1">
      <c r="A280" s="33"/>
      <c r="B280" s="34"/>
      <c r="C280" s="34"/>
      <c r="D280" s="34"/>
      <c r="E280" s="36"/>
      <c r="F280" s="36"/>
      <c r="G280" s="37"/>
      <c r="H280" s="21"/>
      <c r="I280" s="230" t="s">
        <v>502</v>
      </c>
      <c r="J280" s="230"/>
      <c r="K280" s="230"/>
      <c r="L280" s="230"/>
      <c r="M280" s="229"/>
      <c r="N280" s="229" t="s">
        <v>380</v>
      </c>
      <c r="O280" s="57" t="s">
        <v>383</v>
      </c>
      <c r="P280" s="465">
        <v>39</v>
      </c>
      <c r="Q280" s="229" t="s">
        <v>402</v>
      </c>
      <c r="R280" s="57" t="s">
        <v>383</v>
      </c>
      <c r="S280" s="229">
        <v>1</v>
      </c>
      <c r="T280" s="229" t="s">
        <v>422</v>
      </c>
      <c r="U280" s="229" t="s">
        <v>384</v>
      </c>
      <c r="V280" s="229"/>
      <c r="W280" s="51"/>
      <c r="X280" s="499">
        <f>M280*P280*S280</f>
        <v>0</v>
      </c>
      <c r="Y280" s="103" t="s">
        <v>380</v>
      </c>
    </row>
    <row r="281" spans="1:25" ht="21" hidden="1" customHeight="1">
      <c r="A281" s="33"/>
      <c r="B281" s="34"/>
      <c r="C281" s="34"/>
      <c r="D281" s="34"/>
      <c r="E281" s="36"/>
      <c r="F281" s="36"/>
      <c r="G281" s="37"/>
      <c r="H281" s="21"/>
      <c r="I281" s="466" t="s">
        <v>503</v>
      </c>
      <c r="J281" s="466"/>
      <c r="K281" s="466"/>
      <c r="L281" s="466"/>
      <c r="M281" s="465"/>
      <c r="N281" s="299" t="s">
        <v>380</v>
      </c>
      <c r="O281" s="298" t="s">
        <v>383</v>
      </c>
      <c r="P281" s="299">
        <v>4</v>
      </c>
      <c r="Q281" s="465" t="s">
        <v>422</v>
      </c>
      <c r="R281" s="299"/>
      <c r="S281" s="299"/>
      <c r="T281" s="299"/>
      <c r="U281" s="304" t="s">
        <v>384</v>
      </c>
      <c r="V281" s="299"/>
      <c r="W281" s="299"/>
      <c r="X281" s="499">
        <f>M281*P281*S281</f>
        <v>0</v>
      </c>
      <c r="Y281" s="300" t="s">
        <v>380</v>
      </c>
    </row>
    <row r="282" spans="1:25" ht="21" hidden="1" customHeight="1">
      <c r="A282" s="33"/>
      <c r="B282" s="34"/>
      <c r="C282" s="34"/>
      <c r="D282" s="34"/>
      <c r="E282" s="36"/>
      <c r="F282" s="36"/>
      <c r="G282" s="37"/>
      <c r="H282" s="21"/>
      <c r="I282" s="466" t="s">
        <v>504</v>
      </c>
      <c r="J282" s="466"/>
      <c r="K282" s="466"/>
      <c r="L282" s="466"/>
      <c r="M282" s="465"/>
      <c r="N282" s="299" t="s">
        <v>380</v>
      </c>
      <c r="O282" s="298" t="s">
        <v>383</v>
      </c>
      <c r="P282" s="299">
        <v>39</v>
      </c>
      <c r="Q282" s="465" t="s">
        <v>402</v>
      </c>
      <c r="R282" s="299"/>
      <c r="S282" s="299"/>
      <c r="T282" s="299"/>
      <c r="U282" s="304" t="s">
        <v>384</v>
      </c>
      <c r="V282" s="299"/>
      <c r="W282" s="418"/>
      <c r="X282" s="499">
        <v>0</v>
      </c>
      <c r="Y282" s="300" t="s">
        <v>380</v>
      </c>
    </row>
    <row r="283" spans="1:25" ht="21" hidden="1" customHeight="1">
      <c r="A283" s="33"/>
      <c r="B283" s="34"/>
      <c r="C283" s="34"/>
      <c r="D283" s="34"/>
      <c r="E283" s="36"/>
      <c r="F283" s="36"/>
      <c r="G283" s="37"/>
      <c r="H283" s="21"/>
      <c r="I283" s="230" t="s">
        <v>505</v>
      </c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445"/>
      <c r="Y283" s="341" t="s">
        <v>380</v>
      </c>
    </row>
    <row r="284" spans="1:25" ht="21" hidden="1" customHeight="1">
      <c r="A284" s="33"/>
      <c r="B284" s="34"/>
      <c r="C284" s="34"/>
      <c r="D284" s="34"/>
      <c r="E284" s="36"/>
      <c r="F284" s="36"/>
      <c r="G284" s="37"/>
      <c r="H284" s="21"/>
      <c r="I284" s="230" t="s">
        <v>506</v>
      </c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445"/>
      <c r="Y284" s="341" t="s">
        <v>380</v>
      </c>
    </row>
    <row r="285" spans="1:25" ht="21" hidden="1" customHeight="1">
      <c r="A285" s="33"/>
      <c r="B285" s="34"/>
      <c r="C285" s="34"/>
      <c r="D285" s="34"/>
      <c r="E285" s="36"/>
      <c r="F285" s="36"/>
      <c r="G285" s="37"/>
      <c r="H285" s="21"/>
      <c r="I285" s="230" t="s">
        <v>507</v>
      </c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445"/>
      <c r="Y285" s="341" t="s">
        <v>380</v>
      </c>
    </row>
    <row r="286" spans="1:25" ht="21" hidden="1" customHeight="1" thickBot="1">
      <c r="A286" s="33"/>
      <c r="B286" s="34"/>
      <c r="C286" s="34"/>
      <c r="D286" s="34"/>
      <c r="E286" s="36"/>
      <c r="F286" s="36"/>
      <c r="G286" s="37"/>
      <c r="H286" s="21"/>
      <c r="I286" s="230" t="s">
        <v>508</v>
      </c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445"/>
      <c r="Y286" s="341" t="s">
        <v>380</v>
      </c>
    </row>
    <row r="287" spans="1:25" ht="21" hidden="1" customHeight="1">
      <c r="A287" s="33"/>
      <c r="B287" s="34"/>
      <c r="C287" s="34"/>
      <c r="D287" s="34"/>
      <c r="E287" s="36"/>
      <c r="F287" s="36"/>
      <c r="G287" s="37"/>
      <c r="H287" s="21"/>
      <c r="I287" s="339" t="s">
        <v>509</v>
      </c>
      <c r="J287" s="48"/>
      <c r="K287" s="229"/>
      <c r="L287" s="229"/>
      <c r="M287" s="229"/>
      <c r="N287" s="229"/>
      <c r="O287" s="229"/>
      <c r="P287" s="230"/>
      <c r="Q287" s="230"/>
      <c r="R287" s="230"/>
      <c r="S287" s="340" t="s">
        <v>510</v>
      </c>
      <c r="T287" s="48"/>
      <c r="U287" s="48"/>
      <c r="V287" s="340"/>
      <c r="W287" s="340"/>
      <c r="X287" s="397">
        <f>SUM(X288:X289)</f>
        <v>0</v>
      </c>
      <c r="Y287" s="336" t="s">
        <v>380</v>
      </c>
    </row>
    <row r="288" spans="1:25" ht="21" hidden="1" customHeight="1">
      <c r="A288" s="33"/>
      <c r="B288" s="34"/>
      <c r="C288" s="34"/>
      <c r="D288" s="34"/>
      <c r="E288" s="36"/>
      <c r="F288" s="36"/>
      <c r="G288" s="37"/>
      <c r="H288" s="21"/>
      <c r="I288" s="223" t="s">
        <v>511</v>
      </c>
      <c r="J288" s="466"/>
      <c r="K288" s="465"/>
      <c r="L288" s="465"/>
      <c r="M288" s="465"/>
      <c r="N288" s="465" t="s">
        <v>380</v>
      </c>
      <c r="O288" s="298" t="s">
        <v>383</v>
      </c>
      <c r="P288" s="465">
        <v>4</v>
      </c>
      <c r="Q288" s="465" t="s">
        <v>402</v>
      </c>
      <c r="R288" s="298" t="s">
        <v>383</v>
      </c>
      <c r="S288" s="465">
        <v>4</v>
      </c>
      <c r="T288" s="465" t="s">
        <v>422</v>
      </c>
      <c r="U288" s="465" t="s">
        <v>384</v>
      </c>
      <c r="V288" s="465"/>
      <c r="W288" s="470"/>
      <c r="X288" s="217">
        <f>M288*P288*S288</f>
        <v>0</v>
      </c>
      <c r="Y288" s="103" t="s">
        <v>380</v>
      </c>
    </row>
    <row r="289" spans="1:25" ht="21" hidden="1" customHeight="1" thickBot="1">
      <c r="A289" s="33"/>
      <c r="B289" s="34"/>
      <c r="C289" s="34"/>
      <c r="D289" s="34"/>
      <c r="E289" s="36"/>
      <c r="F289" s="36"/>
      <c r="G289" s="37"/>
      <c r="H289" s="21"/>
      <c r="I289" s="50" t="s">
        <v>512</v>
      </c>
      <c r="J289" s="230"/>
      <c r="K289" s="229"/>
      <c r="L289" s="229"/>
      <c r="M289" s="229"/>
      <c r="N289" s="229"/>
      <c r="O289" s="230"/>
      <c r="P289" s="229"/>
      <c r="Q289" s="229"/>
      <c r="R289" s="229"/>
      <c r="S289" s="229"/>
      <c r="T289" s="229"/>
      <c r="U289" s="229"/>
      <c r="V289" s="229"/>
      <c r="W289" s="51"/>
      <c r="X289" s="476"/>
      <c r="Y289" s="103" t="s">
        <v>380</v>
      </c>
    </row>
    <row r="290" spans="1:25" ht="21" hidden="1" customHeight="1">
      <c r="A290" s="33"/>
      <c r="B290" s="34"/>
      <c r="C290" s="34"/>
      <c r="D290" s="34"/>
      <c r="E290" s="36"/>
      <c r="F290" s="36"/>
      <c r="G290" s="37"/>
      <c r="H290" s="21"/>
      <c r="I290" s="339" t="s">
        <v>513</v>
      </c>
      <c r="J290" s="338"/>
      <c r="K290" s="131"/>
      <c r="L290" s="131"/>
      <c r="M290" s="131"/>
      <c r="N290" s="131"/>
      <c r="O290" s="131"/>
      <c r="P290" s="131"/>
      <c r="Q290" s="131"/>
      <c r="R290" s="131"/>
      <c r="S290" s="338" t="s">
        <v>514</v>
      </c>
      <c r="T290" s="338"/>
      <c r="U290" s="338"/>
      <c r="V290" s="338"/>
      <c r="W290" s="338"/>
      <c r="X290" s="337">
        <f>X291</f>
        <v>0</v>
      </c>
      <c r="Y290" s="336" t="s">
        <v>380</v>
      </c>
    </row>
    <row r="291" spans="1:25" ht="21" hidden="1" customHeight="1" thickBot="1">
      <c r="A291" s="33"/>
      <c r="B291" s="34"/>
      <c r="C291" s="34"/>
      <c r="D291" s="34"/>
      <c r="E291" s="36"/>
      <c r="F291" s="36"/>
      <c r="G291" s="37"/>
      <c r="H291" s="21"/>
      <c r="I291" s="466" t="s">
        <v>515</v>
      </c>
      <c r="J291" s="466"/>
      <c r="K291" s="466"/>
      <c r="L291" s="466"/>
      <c r="M291" s="466"/>
      <c r="N291" s="466"/>
      <c r="O291" s="466"/>
      <c r="P291" s="466"/>
      <c r="Q291" s="466"/>
      <c r="R291" s="466"/>
      <c r="S291" s="466"/>
      <c r="T291" s="466"/>
      <c r="U291" s="466"/>
      <c r="V291" s="466"/>
      <c r="W291" s="466"/>
      <c r="X291" s="446"/>
      <c r="Y291" s="103" t="s">
        <v>380</v>
      </c>
    </row>
    <row r="292" spans="1:25" ht="21" hidden="1" customHeight="1">
      <c r="A292" s="33"/>
      <c r="B292" s="34"/>
      <c r="C292" s="34"/>
      <c r="D292" s="34"/>
      <c r="E292" s="36"/>
      <c r="F292" s="36"/>
      <c r="G292" s="37"/>
      <c r="H292" s="21"/>
      <c r="I292" s="339" t="s">
        <v>516</v>
      </c>
      <c r="J292" s="338"/>
      <c r="K292" s="131"/>
      <c r="L292" s="131"/>
      <c r="M292" s="131"/>
      <c r="N292" s="131"/>
      <c r="O292" s="131"/>
      <c r="P292" s="131"/>
      <c r="Q292" s="131"/>
      <c r="R292" s="131"/>
      <c r="S292" s="338" t="s">
        <v>514</v>
      </c>
      <c r="T292" s="338"/>
      <c r="U292" s="338"/>
      <c r="V292" s="338"/>
      <c r="W292" s="338"/>
      <c r="X292" s="438">
        <f>X293</f>
        <v>0</v>
      </c>
      <c r="Y292" s="439" t="s">
        <v>380</v>
      </c>
    </row>
    <row r="293" spans="1:25" ht="21" hidden="1" customHeight="1" thickBot="1">
      <c r="A293" s="33"/>
      <c r="B293" s="34"/>
      <c r="C293" s="34"/>
      <c r="D293" s="34"/>
      <c r="E293" s="36"/>
      <c r="F293" s="36"/>
      <c r="G293" s="37"/>
      <c r="H293" s="21"/>
      <c r="I293" s="466" t="s">
        <v>517</v>
      </c>
      <c r="J293" s="327"/>
      <c r="K293" s="327"/>
      <c r="L293" s="327"/>
      <c r="M293" s="327"/>
      <c r="N293" s="327"/>
      <c r="O293" s="327"/>
      <c r="P293" s="327"/>
      <c r="Q293" s="327"/>
      <c r="R293" s="327"/>
      <c r="S293" s="327"/>
      <c r="T293" s="327"/>
      <c r="U293" s="327"/>
      <c r="V293" s="327"/>
      <c r="W293" s="327"/>
      <c r="X293" s="446"/>
      <c r="Y293" s="103" t="s">
        <v>380</v>
      </c>
    </row>
    <row r="294" spans="1:25" ht="21" hidden="1" customHeight="1">
      <c r="A294" s="33"/>
      <c r="B294" s="34"/>
      <c r="C294" s="34"/>
      <c r="D294" s="34"/>
      <c r="E294" s="36"/>
      <c r="F294" s="36"/>
      <c r="G294" s="37"/>
      <c r="H294" s="21"/>
      <c r="I294" s="339" t="s">
        <v>518</v>
      </c>
      <c r="J294" s="338"/>
      <c r="K294" s="131"/>
      <c r="L294" s="131"/>
      <c r="M294" s="131"/>
      <c r="N294" s="131"/>
      <c r="O294" s="131"/>
      <c r="P294" s="131"/>
      <c r="Q294" s="131"/>
      <c r="R294" s="131"/>
      <c r="S294" s="338" t="s">
        <v>519</v>
      </c>
      <c r="T294" s="338"/>
      <c r="U294" s="338"/>
      <c r="V294" s="338"/>
      <c r="W294" s="338"/>
      <c r="X294" s="438">
        <f>SUM(X295:X295)</f>
        <v>0</v>
      </c>
      <c r="Y294" s="439" t="s">
        <v>380</v>
      </c>
    </row>
    <row r="295" spans="1:25" ht="21" hidden="1" customHeight="1">
      <c r="A295" s="33"/>
      <c r="B295" s="34"/>
      <c r="C295" s="34"/>
      <c r="D295" s="34"/>
      <c r="E295" s="36"/>
      <c r="F295" s="36"/>
      <c r="G295" s="37"/>
      <c r="H295" s="21"/>
      <c r="I295" s="466" t="s">
        <v>520</v>
      </c>
      <c r="J295" s="466"/>
      <c r="K295" s="466"/>
      <c r="L295" s="466"/>
      <c r="M295" s="466"/>
      <c r="N295" s="466"/>
      <c r="O295" s="466"/>
      <c r="P295" s="466"/>
      <c r="Q295" s="466"/>
      <c r="R295" s="466"/>
      <c r="S295" s="466"/>
      <c r="T295" s="466"/>
      <c r="U295" s="466"/>
      <c r="V295" s="466"/>
      <c r="W295" s="466"/>
      <c r="X295" s="499">
        <v>0</v>
      </c>
      <c r="Y295" s="103" t="s">
        <v>380</v>
      </c>
    </row>
    <row r="296" spans="1:25" ht="21" customHeight="1">
      <c r="A296" s="33"/>
      <c r="B296" s="34"/>
      <c r="C296" s="34" t="s">
        <v>480</v>
      </c>
      <c r="D296" s="34"/>
      <c r="E296" s="36"/>
      <c r="F296" s="36"/>
      <c r="G296" s="37"/>
      <c r="H296" s="21"/>
      <c r="I296" s="640"/>
      <c r="J296" s="674"/>
      <c r="K296" s="674"/>
      <c r="L296" s="674"/>
      <c r="M296" s="674"/>
      <c r="N296" s="674"/>
      <c r="O296" s="674"/>
      <c r="P296" s="674"/>
      <c r="Q296" s="674"/>
      <c r="R296" s="674"/>
      <c r="S296" s="674"/>
      <c r="T296" s="674"/>
      <c r="U296" s="674"/>
      <c r="V296" s="674"/>
      <c r="W296" s="674"/>
      <c r="X296" s="673">
        <v>0</v>
      </c>
      <c r="Y296" s="632" t="s">
        <v>777</v>
      </c>
    </row>
    <row r="297" spans="1:25" ht="21" customHeight="1">
      <c r="A297" s="33"/>
      <c r="B297" s="34"/>
      <c r="C297" s="34"/>
      <c r="D297" s="34"/>
      <c r="E297" s="36"/>
      <c r="F297" s="36"/>
      <c r="G297" s="37"/>
      <c r="H297" s="21"/>
      <c r="I297" s="490"/>
      <c r="J297" s="227"/>
      <c r="K297" s="671"/>
      <c r="L297" s="671"/>
      <c r="M297" s="671"/>
      <c r="N297" s="671"/>
      <c r="O297" s="671"/>
      <c r="P297" s="671"/>
      <c r="Q297" s="671"/>
      <c r="R297" s="671"/>
      <c r="S297" s="90"/>
      <c r="T297" s="90"/>
      <c r="U297" s="90"/>
      <c r="V297" s="90"/>
      <c r="W297" s="90"/>
      <c r="X297" s="684"/>
      <c r="Y297" s="92"/>
    </row>
    <row r="298" spans="1:25" ht="21" hidden="1" customHeight="1">
      <c r="A298" s="33"/>
      <c r="B298" s="34"/>
      <c r="C298" s="34"/>
      <c r="D298" s="34"/>
      <c r="E298" s="36"/>
      <c r="F298" s="36"/>
      <c r="G298" s="37"/>
      <c r="H298" s="21"/>
      <c r="I298" s="665"/>
      <c r="J298" s="647"/>
      <c r="K298" s="466"/>
      <c r="L298" s="466"/>
      <c r="M298" s="465"/>
      <c r="N298" s="469"/>
      <c r="O298" s="298"/>
      <c r="P298" s="301"/>
      <c r="Q298" s="298"/>
      <c r="R298" s="302"/>
      <c r="S298" s="59"/>
      <c r="T298" s="59"/>
      <c r="U298" s="469"/>
      <c r="V298" s="465"/>
      <c r="W298" s="470"/>
      <c r="X298" s="476"/>
      <c r="Y298" s="103" t="s">
        <v>380</v>
      </c>
    </row>
    <row r="299" spans="1:25" ht="21" hidden="1" customHeight="1">
      <c r="A299" s="33"/>
      <c r="B299" s="34"/>
      <c r="C299" s="34"/>
      <c r="D299" s="34"/>
      <c r="E299" s="36"/>
      <c r="F299" s="36"/>
      <c r="G299" s="37"/>
      <c r="H299" s="21"/>
      <c r="I299" s="310"/>
      <c r="J299" s="310"/>
      <c r="K299" s="466"/>
      <c r="L299" s="466"/>
      <c r="M299" s="465"/>
      <c r="N299" s="469"/>
      <c r="O299" s="298"/>
      <c r="P299" s="301"/>
      <c r="Q299" s="298"/>
      <c r="R299" s="302"/>
      <c r="S299" s="59"/>
      <c r="T299" s="59"/>
      <c r="U299" s="469"/>
      <c r="V299" s="466"/>
      <c r="W299" s="466"/>
      <c r="X299" s="476"/>
      <c r="Y299" s="103" t="s">
        <v>380</v>
      </c>
    </row>
    <row r="300" spans="1:25" ht="21" hidden="1" customHeight="1">
      <c r="A300" s="33"/>
      <c r="B300" s="34"/>
      <c r="C300" s="34"/>
      <c r="D300" s="34"/>
      <c r="E300" s="36"/>
      <c r="F300" s="36"/>
      <c r="G300" s="37"/>
      <c r="H300" s="21"/>
      <c r="I300" s="310"/>
      <c r="J300" s="310"/>
      <c r="K300" s="466"/>
      <c r="L300" s="466"/>
      <c r="M300" s="465"/>
      <c r="N300" s="469"/>
      <c r="O300" s="464"/>
      <c r="P300" s="301"/>
      <c r="Q300" s="298"/>
      <c r="R300" s="302"/>
      <c r="S300" s="59"/>
      <c r="T300" s="59"/>
      <c r="U300" s="469"/>
      <c r="V300" s="466"/>
      <c r="W300" s="466"/>
      <c r="X300" s="476"/>
      <c r="Y300" s="103" t="s">
        <v>380</v>
      </c>
    </row>
    <row r="301" spans="1:25" ht="21" hidden="1" customHeight="1">
      <c r="A301" s="33"/>
      <c r="B301" s="34"/>
      <c r="C301" s="34"/>
      <c r="D301" s="34"/>
      <c r="E301" s="36"/>
      <c r="F301" s="36"/>
      <c r="G301" s="37"/>
      <c r="H301" s="21"/>
      <c r="I301" s="310"/>
      <c r="J301" s="310"/>
      <c r="K301" s="466"/>
      <c r="L301" s="466"/>
      <c r="M301" s="466"/>
      <c r="N301" s="466"/>
      <c r="O301" s="466"/>
      <c r="P301" s="466"/>
      <c r="Q301" s="466"/>
      <c r="R301" s="466"/>
      <c r="S301" s="466"/>
      <c r="T301" s="466"/>
      <c r="U301" s="466"/>
      <c r="V301" s="466"/>
      <c r="W301" s="466"/>
      <c r="X301" s="476"/>
      <c r="Y301" s="103" t="s">
        <v>380</v>
      </c>
    </row>
    <row r="302" spans="1:25" ht="21" customHeight="1">
      <c r="A302" s="33"/>
      <c r="B302" s="34"/>
      <c r="C302" s="24" t="s">
        <v>521</v>
      </c>
      <c r="D302" s="335" t="s">
        <v>406</v>
      </c>
      <c r="E302" s="164">
        <f>E303</f>
        <v>172504</v>
      </c>
      <c r="F302" s="164">
        <f>F303</f>
        <v>184378</v>
      </c>
      <c r="G302" s="165">
        <f>F302-E302</f>
        <v>11874</v>
      </c>
      <c r="H302" s="166">
        <f>IF(E302=0,0,G302/E302)</f>
        <v>6.8833186476835326E-2</v>
      </c>
      <c r="I302" s="149" t="s">
        <v>522</v>
      </c>
      <c r="J302" s="150"/>
      <c r="K302" s="151"/>
      <c r="L302" s="151"/>
      <c r="M302" s="151"/>
      <c r="N302" s="151"/>
      <c r="O302" s="151"/>
      <c r="P302" s="152"/>
      <c r="Q302" s="152"/>
      <c r="R302" s="152"/>
      <c r="S302" s="152"/>
      <c r="T302" s="152"/>
      <c r="U302" s="152"/>
      <c r="V302" s="179" t="s">
        <v>378</v>
      </c>
      <c r="W302" s="180"/>
      <c r="X302" s="180">
        <f>X303+X307+X316+X321+X328+X333+X361+X364+X366</f>
        <v>184378000</v>
      </c>
      <c r="Y302" s="208" t="s">
        <v>380</v>
      </c>
    </row>
    <row r="303" spans="1:25" ht="21" customHeight="1">
      <c r="A303" s="33"/>
      <c r="B303" s="34"/>
      <c r="C303" s="34" t="s">
        <v>480</v>
      </c>
      <c r="D303" s="34" t="s">
        <v>484</v>
      </c>
      <c r="E303" s="36">
        <v>172504</v>
      </c>
      <c r="F303" s="36">
        <f>ROUND(X302/1000,0)</f>
        <v>184378</v>
      </c>
      <c r="G303" s="26">
        <f>F303-E303</f>
        <v>11874</v>
      </c>
      <c r="H303" s="27">
        <f>IF(E303=0,0,G303/E303)</f>
        <v>6.8833186476835326E-2</v>
      </c>
      <c r="I303" s="235" t="s">
        <v>624</v>
      </c>
      <c r="J303" s="695"/>
      <c r="K303" s="466"/>
      <c r="L303" s="466"/>
      <c r="M303" s="466"/>
      <c r="N303" s="466"/>
      <c r="O303" s="466"/>
      <c r="P303" s="466"/>
      <c r="Q303" s="466"/>
      <c r="R303" s="466"/>
      <c r="S303" s="90" t="s">
        <v>631</v>
      </c>
      <c r="T303" s="90"/>
      <c r="U303" s="90"/>
      <c r="V303" s="90"/>
      <c r="W303" s="90"/>
      <c r="X303" s="684">
        <f>SUM(X304:X305)</f>
        <v>15030000</v>
      </c>
      <c r="Y303" s="92" t="s">
        <v>380</v>
      </c>
    </row>
    <row r="304" spans="1:25" s="1" customFormat="1" ht="21" customHeight="1">
      <c r="A304" s="33"/>
      <c r="B304" s="34"/>
      <c r="C304" s="34" t="s">
        <v>523</v>
      </c>
      <c r="D304" s="34" t="s">
        <v>524</v>
      </c>
      <c r="E304" s="36"/>
      <c r="F304" s="36"/>
      <c r="G304" s="37"/>
      <c r="H304" s="21"/>
      <c r="I304" s="640" t="s">
        <v>623</v>
      </c>
      <c r="J304" s="647"/>
      <c r="K304" s="466"/>
      <c r="L304" s="466"/>
      <c r="M304" s="465">
        <v>1050000</v>
      </c>
      <c r="N304" s="469" t="s">
        <v>380</v>
      </c>
      <c r="O304" s="298" t="s">
        <v>383</v>
      </c>
      <c r="P304" s="598">
        <v>12</v>
      </c>
      <c r="Q304" s="298" t="s">
        <v>382</v>
      </c>
      <c r="R304" s="302"/>
      <c r="S304" s="59"/>
      <c r="T304" s="59"/>
      <c r="U304" s="469" t="s">
        <v>384</v>
      </c>
      <c r="V304" s="465"/>
      <c r="W304" s="470"/>
      <c r="X304" s="610">
        <f>M304*P304</f>
        <v>12600000</v>
      </c>
      <c r="Y304" s="103" t="s">
        <v>380</v>
      </c>
    </row>
    <row r="305" spans="1:26" ht="21" customHeight="1">
      <c r="A305" s="33"/>
      <c r="B305" s="34"/>
      <c r="C305" s="34"/>
      <c r="D305" s="34"/>
      <c r="E305" s="36"/>
      <c r="F305" s="36"/>
      <c r="G305" s="37"/>
      <c r="H305" s="21"/>
      <c r="I305" s="574" t="s">
        <v>736</v>
      </c>
      <c r="J305" s="577"/>
      <c r="K305" s="580"/>
      <c r="L305" s="580"/>
      <c r="M305" s="579">
        <v>270000</v>
      </c>
      <c r="N305" s="581" t="s">
        <v>25</v>
      </c>
      <c r="O305" s="575" t="s">
        <v>26</v>
      </c>
      <c r="P305" s="598">
        <v>9</v>
      </c>
      <c r="Q305" s="575" t="s">
        <v>29</v>
      </c>
      <c r="R305" s="576"/>
      <c r="S305" s="572"/>
      <c r="T305" s="572"/>
      <c r="U305" s="581" t="s">
        <v>27</v>
      </c>
      <c r="V305" s="579"/>
      <c r="W305" s="582"/>
      <c r="X305" s="582">
        <f>M305*P305</f>
        <v>2430000</v>
      </c>
      <c r="Y305" s="573" t="s">
        <v>25</v>
      </c>
    </row>
    <row r="306" spans="1:26" ht="21" customHeight="1">
      <c r="A306" s="33"/>
      <c r="B306" s="34"/>
      <c r="C306" s="34"/>
      <c r="D306" s="34"/>
      <c r="E306" s="36"/>
      <c r="F306" s="36"/>
      <c r="G306" s="37"/>
      <c r="H306" s="21"/>
      <c r="I306" s="310"/>
      <c r="J306" s="310"/>
      <c r="K306" s="466"/>
      <c r="L306" s="466"/>
      <c r="M306" s="466"/>
      <c r="N306" s="466"/>
      <c r="O306" s="466"/>
      <c r="P306" s="466"/>
      <c r="Q306" s="466"/>
      <c r="R306" s="466"/>
      <c r="S306" s="466"/>
      <c r="T306" s="466"/>
      <c r="U306" s="466"/>
      <c r="V306" s="466"/>
      <c r="W306" s="466"/>
      <c r="X306" s="476"/>
      <c r="Y306" s="103"/>
    </row>
    <row r="307" spans="1:26" ht="21" customHeight="1">
      <c r="A307" s="33"/>
      <c r="B307" s="34"/>
      <c r="C307" s="34"/>
      <c r="D307" s="34"/>
      <c r="E307" s="36"/>
      <c r="F307" s="36"/>
      <c r="G307" s="37"/>
      <c r="H307" s="21"/>
      <c r="I307" s="490" t="s">
        <v>625</v>
      </c>
      <c r="J307" s="227"/>
      <c r="K307" s="466"/>
      <c r="L307" s="466"/>
      <c r="M307" s="466"/>
      <c r="N307" s="466"/>
      <c r="O307" s="466"/>
      <c r="P307" s="466"/>
      <c r="Q307" s="466"/>
      <c r="R307" s="466"/>
      <c r="S307" s="90" t="s">
        <v>630</v>
      </c>
      <c r="T307" s="90"/>
      <c r="U307" s="90"/>
      <c r="V307" s="90"/>
      <c r="W307" s="90"/>
      <c r="X307" s="684">
        <f>SUM(X308,X313,X312,X314)</f>
        <v>4189000</v>
      </c>
      <c r="Y307" s="92" t="s">
        <v>380</v>
      </c>
    </row>
    <row r="308" spans="1:26" ht="21" customHeight="1">
      <c r="A308" s="33"/>
      <c r="B308" s="34"/>
      <c r="C308" s="34"/>
      <c r="D308" s="34"/>
      <c r="E308" s="36"/>
      <c r="F308" s="36"/>
      <c r="G308" s="37"/>
      <c r="H308" s="21"/>
      <c r="I308" s="226" t="s">
        <v>626</v>
      </c>
      <c r="J308" s="120"/>
      <c r="K308" s="229"/>
      <c r="L308" s="229"/>
      <c r="M308" s="229"/>
      <c r="N308" s="229"/>
      <c r="O308" s="230"/>
      <c r="P308" s="60"/>
      <c r="Q308" s="349"/>
      <c r="R308" s="229"/>
      <c r="S308" s="642"/>
      <c r="T308" s="642"/>
      <c r="U308" s="642"/>
      <c r="V308" s="775"/>
      <c r="W308" s="775"/>
      <c r="X308" s="624">
        <f>SUM(X309:X310)</f>
        <v>1212000</v>
      </c>
      <c r="Y308" s="623" t="s">
        <v>56</v>
      </c>
    </row>
    <row r="309" spans="1:26" ht="21" customHeight="1">
      <c r="A309" s="33"/>
      <c r="B309" s="34"/>
      <c r="C309" s="34"/>
      <c r="D309" s="34"/>
      <c r="E309" s="36"/>
      <c r="F309" s="36"/>
      <c r="G309" s="37"/>
      <c r="H309" s="21"/>
      <c r="I309" s="223" t="s">
        <v>627</v>
      </c>
      <c r="J309" s="230"/>
      <c r="K309" s="229"/>
      <c r="L309" s="229"/>
      <c r="M309" s="642">
        <v>1050000</v>
      </c>
      <c r="N309" s="642" t="s">
        <v>25</v>
      </c>
      <c r="O309" s="643" t="s">
        <v>26</v>
      </c>
      <c r="P309" s="626">
        <v>0.5</v>
      </c>
      <c r="Q309" s="649">
        <v>2</v>
      </c>
      <c r="R309" s="642" t="s">
        <v>215</v>
      </c>
      <c r="S309" s="229"/>
      <c r="T309" s="229"/>
      <c r="U309" s="229" t="s">
        <v>384</v>
      </c>
      <c r="V309" s="775"/>
      <c r="W309" s="775"/>
      <c r="X309" s="624">
        <f>ROUND(M309*P309*Q309,-3)</f>
        <v>1050000</v>
      </c>
      <c r="Y309" s="42" t="s">
        <v>56</v>
      </c>
    </row>
    <row r="310" spans="1:26" ht="21" customHeight="1">
      <c r="A310" s="33"/>
      <c r="B310" s="34"/>
      <c r="C310" s="34"/>
      <c r="D310" s="34"/>
      <c r="E310" s="36"/>
      <c r="F310" s="36"/>
      <c r="G310" s="37"/>
      <c r="H310" s="21"/>
      <c r="I310" s="223" t="s">
        <v>628</v>
      </c>
      <c r="J310" s="230"/>
      <c r="K310" s="229"/>
      <c r="L310" s="229"/>
      <c r="M310" s="229">
        <v>270000</v>
      </c>
      <c r="N310" s="229" t="s">
        <v>56</v>
      </c>
      <c r="O310" s="230" t="s">
        <v>57</v>
      </c>
      <c r="P310" s="60">
        <v>0.6</v>
      </c>
      <c r="Q310" s="349">
        <v>1</v>
      </c>
      <c r="R310" s="229" t="s">
        <v>62</v>
      </c>
      <c r="S310" s="229"/>
      <c r="T310" s="229"/>
      <c r="U310" s="229" t="s">
        <v>384</v>
      </c>
      <c r="V310" s="775"/>
      <c r="W310" s="775"/>
      <c r="X310" s="51">
        <f>ROUND(M310*P310*Q310,-3)</f>
        <v>162000</v>
      </c>
      <c r="Y310" s="42" t="s">
        <v>56</v>
      </c>
    </row>
    <row r="311" spans="1:26" ht="21" customHeight="1">
      <c r="A311" s="33"/>
      <c r="B311" s="34"/>
      <c r="C311" s="34"/>
      <c r="D311" s="34"/>
      <c r="E311" s="36"/>
      <c r="F311" s="36"/>
      <c r="G311" s="37"/>
      <c r="H311" s="21"/>
      <c r="I311" s="223"/>
      <c r="J311" s="230"/>
      <c r="K311" s="229"/>
      <c r="L311" s="229"/>
      <c r="M311" s="229"/>
      <c r="N311" s="229"/>
      <c r="O311" s="230"/>
      <c r="P311" s="60"/>
      <c r="Q311" s="349"/>
      <c r="R311" s="229"/>
      <c r="S311" s="229"/>
      <c r="T311" s="717"/>
      <c r="U311" s="717"/>
      <c r="V311" s="482"/>
      <c r="W311" s="482"/>
      <c r="X311" s="659"/>
      <c r="Y311" s="42"/>
    </row>
    <row r="312" spans="1:26" ht="21" customHeight="1">
      <c r="A312" s="33"/>
      <c r="B312" s="34"/>
      <c r="C312" s="34"/>
      <c r="D312" s="34"/>
      <c r="E312" s="36"/>
      <c r="F312" s="36"/>
      <c r="G312" s="37"/>
      <c r="H312" s="21"/>
      <c r="I312" s="223" t="s">
        <v>664</v>
      </c>
      <c r="J312" s="509"/>
      <c r="K312" s="508"/>
      <c r="L312" s="508"/>
      <c r="M312" s="508">
        <v>70000</v>
      </c>
      <c r="N312" s="508" t="s">
        <v>660</v>
      </c>
      <c r="O312" s="298" t="s">
        <v>661</v>
      </c>
      <c r="P312" s="598">
        <v>9</v>
      </c>
      <c r="Q312" s="298" t="s">
        <v>662</v>
      </c>
      <c r="R312" s="508"/>
      <c r="S312" s="607"/>
      <c r="T312" s="717"/>
      <c r="U312" s="717" t="s">
        <v>821</v>
      </c>
      <c r="V312" s="776"/>
      <c r="W312" s="776"/>
      <c r="X312" s="659">
        <f>ROUND(M312*P312,-3)</f>
        <v>630000</v>
      </c>
      <c r="Y312" s="632" t="s">
        <v>659</v>
      </c>
    </row>
    <row r="313" spans="1:26" ht="21" customHeight="1">
      <c r="A313" s="33"/>
      <c r="B313" s="34"/>
      <c r="C313" s="34"/>
      <c r="D313" s="34"/>
      <c r="E313" s="36"/>
      <c r="F313" s="36"/>
      <c r="G313" s="37"/>
      <c r="H313" s="21"/>
      <c r="I313" s="223" t="s">
        <v>665</v>
      </c>
      <c r="J313" s="509"/>
      <c r="K313" s="508"/>
      <c r="L313" s="508"/>
      <c r="M313" s="508">
        <v>270000</v>
      </c>
      <c r="N313" s="508" t="s">
        <v>660</v>
      </c>
      <c r="O313" s="475" t="s">
        <v>666</v>
      </c>
      <c r="P313" s="301">
        <v>209</v>
      </c>
      <c r="Q313" s="356">
        <v>1.5</v>
      </c>
      <c r="R313" s="512">
        <v>25</v>
      </c>
      <c r="S313" s="513">
        <v>9</v>
      </c>
      <c r="T313" s="229"/>
      <c r="U313" s="595" t="s">
        <v>384</v>
      </c>
      <c r="V313" s="719"/>
      <c r="W313" s="719"/>
      <c r="X313" s="659">
        <f>ROUNDUP(M313/P313*Q313*R313*S313,-3)</f>
        <v>437000</v>
      </c>
      <c r="Y313" s="632" t="s">
        <v>659</v>
      </c>
    </row>
    <row r="314" spans="1:26" ht="21" customHeight="1">
      <c r="A314" s="33"/>
      <c r="B314" s="34"/>
      <c r="C314" s="34"/>
      <c r="D314" s="34"/>
      <c r="E314" s="36"/>
      <c r="F314" s="36"/>
      <c r="G314" s="37"/>
      <c r="H314" s="21"/>
      <c r="I314" s="223" t="s">
        <v>667</v>
      </c>
      <c r="J314" s="509"/>
      <c r="K314" s="508"/>
      <c r="L314" s="508"/>
      <c r="M314" s="508"/>
      <c r="N314" s="508"/>
      <c r="O314" s="475"/>
      <c r="P314" s="301"/>
      <c r="Q314" s="356"/>
      <c r="R314" s="512"/>
      <c r="S314" s="664"/>
      <c r="T314" s="656"/>
      <c r="U314" s="656" t="s">
        <v>742</v>
      </c>
      <c r="V314" s="718"/>
      <c r="W314" s="398"/>
      <c r="X314" s="659">
        <v>1910000</v>
      </c>
      <c r="Y314" s="632" t="s">
        <v>659</v>
      </c>
    </row>
    <row r="315" spans="1:26" s="584" customFormat="1" ht="21" customHeight="1">
      <c r="A315" s="586"/>
      <c r="B315" s="587"/>
      <c r="C315" s="587"/>
      <c r="D315" s="587"/>
      <c r="E315" s="588"/>
      <c r="F315" s="588"/>
      <c r="G315" s="589"/>
      <c r="H315" s="585"/>
      <c r="I315" s="608"/>
      <c r="J315" s="599"/>
      <c r="K315" s="608"/>
      <c r="L315" s="608"/>
      <c r="M315" s="608"/>
      <c r="N315" s="608"/>
      <c r="O315" s="608"/>
      <c r="P315" s="608"/>
      <c r="Q315" s="608"/>
      <c r="R315" s="608"/>
      <c r="S315" s="599"/>
      <c r="T315" s="599"/>
      <c r="U315" s="599"/>
      <c r="V315" s="599"/>
      <c r="W315" s="599"/>
      <c r="X315" s="611"/>
      <c r="Y315" s="605"/>
      <c r="Z315" s="606"/>
    </row>
    <row r="316" spans="1:26" ht="21" customHeight="1">
      <c r="A316" s="33"/>
      <c r="B316" s="34"/>
      <c r="C316" s="34"/>
      <c r="D316" s="34"/>
      <c r="E316" s="36"/>
      <c r="F316" s="36"/>
      <c r="G316" s="37"/>
      <c r="H316" s="21"/>
      <c r="I316" s="490" t="s">
        <v>668</v>
      </c>
      <c r="J316" s="227"/>
      <c r="K316" s="509"/>
      <c r="L316" s="509"/>
      <c r="M316" s="529"/>
      <c r="N316" s="529"/>
      <c r="O316" s="529"/>
      <c r="P316" s="529"/>
      <c r="Q316" s="529"/>
      <c r="R316" s="529"/>
      <c r="S316" s="227" t="s">
        <v>720</v>
      </c>
      <c r="T316" s="227"/>
      <c r="U316" s="227"/>
      <c r="V316" s="227"/>
      <c r="W316" s="227"/>
      <c r="X316" s="727">
        <f>SUM(X317:X320)</f>
        <v>2616000</v>
      </c>
      <c r="Y316" s="683" t="s">
        <v>659</v>
      </c>
    </row>
    <row r="317" spans="1:26" ht="21" customHeight="1">
      <c r="A317" s="33"/>
      <c r="B317" s="34"/>
      <c r="C317" s="34"/>
      <c r="D317" s="34"/>
      <c r="E317" s="36"/>
      <c r="F317" s="36"/>
      <c r="G317" s="37"/>
      <c r="H317" s="21"/>
      <c r="I317" s="509" t="s">
        <v>669</v>
      </c>
      <c r="J317" s="310"/>
      <c r="K317" s="509"/>
      <c r="L317" s="509"/>
      <c r="M317" s="528">
        <f>X303+X307-M318</f>
        <v>17309000</v>
      </c>
      <c r="N317" s="413" t="s">
        <v>56</v>
      </c>
      <c r="O317" s="609" t="s">
        <v>61</v>
      </c>
      <c r="P317" s="598"/>
      <c r="Q317" s="298"/>
      <c r="R317" s="298"/>
      <c r="S317" s="583">
        <v>12</v>
      </c>
      <c r="T317" s="598" t="s">
        <v>0</v>
      </c>
      <c r="U317" s="301" t="s">
        <v>53</v>
      </c>
      <c r="V317" s="528"/>
      <c r="W317" s="720"/>
      <c r="X317" s="659">
        <f>ROUNDUP(M317/S317,-3)</f>
        <v>1443000</v>
      </c>
      <c r="Y317" s="565" t="s">
        <v>659</v>
      </c>
    </row>
    <row r="318" spans="1:26" ht="21" customHeight="1">
      <c r="A318" s="33"/>
      <c r="B318" s="34"/>
      <c r="C318" s="34"/>
      <c r="D318" s="34"/>
      <c r="E318" s="36"/>
      <c r="F318" s="36"/>
      <c r="G318" s="37"/>
      <c r="H318" s="21"/>
      <c r="I318" s="509" t="s">
        <v>670</v>
      </c>
      <c r="J318" s="310"/>
      <c r="K318" s="509"/>
      <c r="L318" s="509"/>
      <c r="M318" s="528">
        <f>X314</f>
        <v>1910000</v>
      </c>
      <c r="N318" s="413" t="s">
        <v>56</v>
      </c>
      <c r="O318" s="475" t="s">
        <v>61</v>
      </c>
      <c r="P318" s="1"/>
      <c r="Q318" s="1"/>
      <c r="R318" s="298"/>
      <c r="S318" s="583">
        <v>12</v>
      </c>
      <c r="T318" s="301" t="s">
        <v>0</v>
      </c>
      <c r="U318" s="301" t="s">
        <v>53</v>
      </c>
      <c r="V318" s="528"/>
      <c r="W318" s="607"/>
      <c r="X318" s="659">
        <f>ROUNDUP(M318/S318,-3)</f>
        <v>160000</v>
      </c>
      <c r="Y318" s="565" t="s">
        <v>659</v>
      </c>
    </row>
    <row r="319" spans="1:26" ht="21" customHeight="1">
      <c r="A319" s="33"/>
      <c r="B319" s="34"/>
      <c r="C319" s="34"/>
      <c r="D319" s="34"/>
      <c r="E319" s="36"/>
      <c r="F319" s="36"/>
      <c r="G319" s="37"/>
      <c r="H319" s="21"/>
      <c r="I319" s="484" t="s">
        <v>629</v>
      </c>
      <c r="J319" s="310"/>
      <c r="K319" s="484"/>
      <c r="L319" s="484"/>
      <c r="M319" s="528">
        <v>12149000</v>
      </c>
      <c r="N319" s="475" t="s">
        <v>56</v>
      </c>
      <c r="O319" s="475" t="s">
        <v>61</v>
      </c>
      <c r="P319" s="1"/>
      <c r="Q319" s="1"/>
      <c r="R319" s="298"/>
      <c r="S319" s="583">
        <v>12</v>
      </c>
      <c r="T319" s="301" t="s">
        <v>0</v>
      </c>
      <c r="U319" s="301" t="s">
        <v>53</v>
      </c>
      <c r="V319" s="528"/>
      <c r="W319" s="476"/>
      <c r="X319" s="591">
        <f>ROUNDUP(M319/S319,-3)</f>
        <v>1013000</v>
      </c>
      <c r="Y319" s="103" t="s">
        <v>703</v>
      </c>
    </row>
    <row r="320" spans="1:26" ht="21" customHeight="1">
      <c r="A320" s="33"/>
      <c r="B320" s="34"/>
      <c r="C320" s="34"/>
      <c r="D320" s="34"/>
      <c r="E320" s="36"/>
      <c r="F320" s="36"/>
      <c r="G320" s="37"/>
      <c r="H320" s="21"/>
      <c r="I320" s="310"/>
      <c r="J320" s="310"/>
      <c r="K320" s="466"/>
      <c r="L320" s="466"/>
      <c r="M320" s="529"/>
      <c r="N320" s="529"/>
      <c r="O320" s="529"/>
      <c r="P320" s="529"/>
      <c r="Q320" s="529"/>
      <c r="R320" s="529"/>
      <c r="S320" s="529"/>
      <c r="T320" s="529"/>
      <c r="U320" s="529"/>
      <c r="V320" s="529"/>
      <c r="W320" s="529"/>
      <c r="X320" s="476"/>
      <c r="Y320" s="103"/>
    </row>
    <row r="321" spans="1:26" ht="21" customHeight="1">
      <c r="A321" s="33"/>
      <c r="B321" s="34"/>
      <c r="C321" s="34"/>
      <c r="D321" s="34"/>
      <c r="E321" s="36"/>
      <c r="F321" s="36"/>
      <c r="G321" s="37"/>
      <c r="H321" s="21"/>
      <c r="I321" s="490" t="s">
        <v>632</v>
      </c>
      <c r="J321" s="227"/>
      <c r="K321" s="466"/>
      <c r="L321" s="466"/>
      <c r="M321" s="529"/>
      <c r="N321" s="529"/>
      <c r="O321" s="529"/>
      <c r="P321" s="529"/>
      <c r="Q321" s="529"/>
      <c r="R321" s="529"/>
      <c r="S321" s="227" t="s">
        <v>651</v>
      </c>
      <c r="T321" s="227"/>
      <c r="U321" s="227"/>
      <c r="V321" s="227"/>
      <c r="W321" s="227"/>
      <c r="X321" s="727">
        <f>SUM(X322:X327)</f>
        <v>1908000</v>
      </c>
      <c r="Y321" s="92" t="s">
        <v>380</v>
      </c>
    </row>
    <row r="322" spans="1:26" ht="21" customHeight="1">
      <c r="A322" s="33"/>
      <c r="B322" s="34"/>
      <c r="C322" s="34"/>
      <c r="D322" s="34"/>
      <c r="E322" s="36"/>
      <c r="F322" s="36"/>
      <c r="G322" s="37"/>
      <c r="H322" s="21"/>
      <c r="I322" s="593" t="s">
        <v>737</v>
      </c>
      <c r="J322" s="596"/>
      <c r="K322" s="595"/>
      <c r="L322" s="595"/>
      <c r="M322" s="607">
        <f>X303+X307</f>
        <v>19219000</v>
      </c>
      <c r="N322" s="601" t="s">
        <v>25</v>
      </c>
      <c r="O322" s="597" t="s">
        <v>26</v>
      </c>
      <c r="P322" s="612">
        <v>0.09</v>
      </c>
      <c r="Q322" s="609">
        <v>2</v>
      </c>
      <c r="R322" s="597"/>
      <c r="S322" s="604"/>
      <c r="T322" s="592"/>
      <c r="U322" s="609" t="s">
        <v>27</v>
      </c>
      <c r="V322" s="607"/>
      <c r="W322" s="610"/>
      <c r="X322" s="610">
        <f>ROUNDUP(M322*P322/Q322,-3)</f>
        <v>865000</v>
      </c>
      <c r="Y322" s="590" t="s">
        <v>25</v>
      </c>
    </row>
    <row r="323" spans="1:26" s="566" customFormat="1" ht="21" customHeight="1">
      <c r="A323" s="568"/>
      <c r="B323" s="569"/>
      <c r="C323" s="569"/>
      <c r="D323" s="569"/>
      <c r="E323" s="570"/>
      <c r="F323" s="570"/>
      <c r="G323" s="571"/>
      <c r="H323" s="567"/>
      <c r="I323" s="593" t="s">
        <v>738</v>
      </c>
      <c r="J323" s="596"/>
      <c r="K323" s="595"/>
      <c r="L323" s="595"/>
      <c r="M323" s="607">
        <f>M322</f>
        <v>19219000</v>
      </c>
      <c r="N323" s="601" t="s">
        <v>25</v>
      </c>
      <c r="O323" s="597" t="s">
        <v>26</v>
      </c>
      <c r="P323" s="613">
        <v>6.8599999999999994E-2</v>
      </c>
      <c r="Q323" s="609">
        <v>2</v>
      </c>
      <c r="R323" s="597"/>
      <c r="S323" s="604"/>
      <c r="T323" s="592"/>
      <c r="U323" s="609" t="s">
        <v>27</v>
      </c>
      <c r="V323" s="607"/>
      <c r="W323" s="610"/>
      <c r="X323" s="610">
        <f>ROUNDUP(M323*P323/Q323,-3)</f>
        <v>660000</v>
      </c>
      <c r="Y323" s="590" t="s">
        <v>25</v>
      </c>
      <c r="Z323" s="578"/>
    </row>
    <row r="324" spans="1:26" s="566" customFormat="1" ht="21" customHeight="1">
      <c r="A324" s="568"/>
      <c r="B324" s="569"/>
      <c r="C324" s="569"/>
      <c r="D324" s="569"/>
      <c r="E324" s="570"/>
      <c r="F324" s="570"/>
      <c r="G324" s="571"/>
      <c r="H324" s="567"/>
      <c r="I324" s="593" t="s">
        <v>739</v>
      </c>
      <c r="J324" s="596"/>
      <c r="K324" s="595"/>
      <c r="L324" s="595"/>
      <c r="M324" s="607">
        <v>659000</v>
      </c>
      <c r="N324" s="601" t="s">
        <v>25</v>
      </c>
      <c r="O324" s="597" t="s">
        <v>26</v>
      </c>
      <c r="P324" s="603">
        <v>0.1152</v>
      </c>
      <c r="Q324" s="597"/>
      <c r="R324" s="597"/>
      <c r="S324" s="604"/>
      <c r="T324" s="592"/>
      <c r="U324" s="609" t="s">
        <v>27</v>
      </c>
      <c r="V324" s="607"/>
      <c r="W324" s="610"/>
      <c r="X324" s="610">
        <f>ROUNDUP(M324*P324,-3)</f>
        <v>76000</v>
      </c>
      <c r="Y324" s="590" t="s">
        <v>25</v>
      </c>
      <c r="Z324" s="578"/>
    </row>
    <row r="325" spans="1:26" s="566" customFormat="1" ht="21" customHeight="1">
      <c r="A325" s="568"/>
      <c r="B325" s="569"/>
      <c r="C325" s="569"/>
      <c r="D325" s="569"/>
      <c r="E325" s="570"/>
      <c r="F325" s="570"/>
      <c r="G325" s="571"/>
      <c r="H325" s="567"/>
      <c r="I325" s="593" t="s">
        <v>740</v>
      </c>
      <c r="J325" s="596"/>
      <c r="K325" s="595"/>
      <c r="L325" s="595"/>
      <c r="M325" s="607">
        <f>M322</f>
        <v>19219000</v>
      </c>
      <c r="N325" s="601" t="s">
        <v>25</v>
      </c>
      <c r="O325" s="597" t="s">
        <v>26</v>
      </c>
      <c r="P325" s="603">
        <v>8.9999999999999993E-3</v>
      </c>
      <c r="Q325" s="597"/>
      <c r="R325" s="597"/>
      <c r="S325" s="604"/>
      <c r="T325" s="592"/>
      <c r="U325" s="609" t="s">
        <v>27</v>
      </c>
      <c r="V325" s="607"/>
      <c r="W325" s="610"/>
      <c r="X325" s="610">
        <f>ROUNDUP(M325*P325,-3)</f>
        <v>173000</v>
      </c>
      <c r="Y325" s="590" t="s">
        <v>25</v>
      </c>
      <c r="Z325" s="578"/>
    </row>
    <row r="326" spans="1:26" ht="21" customHeight="1">
      <c r="A326" s="33"/>
      <c r="B326" s="34"/>
      <c r="C326" s="34"/>
      <c r="D326" s="34"/>
      <c r="E326" s="36"/>
      <c r="F326" s="36"/>
      <c r="G326" s="37"/>
      <c r="H326" s="21"/>
      <c r="I326" s="593" t="s">
        <v>741</v>
      </c>
      <c r="J326" s="596"/>
      <c r="K326" s="595"/>
      <c r="L326" s="595"/>
      <c r="M326" s="607">
        <f>M322</f>
        <v>19219000</v>
      </c>
      <c r="N326" s="601" t="s">
        <v>25</v>
      </c>
      <c r="O326" s="597" t="s">
        <v>26</v>
      </c>
      <c r="P326" s="614">
        <v>6.9300000000000004E-3</v>
      </c>
      <c r="Q326" s="597"/>
      <c r="R326" s="597"/>
      <c r="S326" s="604"/>
      <c r="T326" s="592"/>
      <c r="U326" s="609" t="s">
        <v>27</v>
      </c>
      <c r="V326" s="607"/>
      <c r="W326" s="610"/>
      <c r="X326" s="610">
        <f>ROUNDUP(M326*P326,-3)</f>
        <v>134000</v>
      </c>
      <c r="Y326" s="590" t="s">
        <v>25</v>
      </c>
    </row>
    <row r="327" spans="1:26" ht="21" customHeight="1">
      <c r="A327" s="33"/>
      <c r="B327" s="34"/>
      <c r="C327" s="34"/>
      <c r="D327" s="34"/>
      <c r="E327" s="36"/>
      <c r="F327" s="36"/>
      <c r="G327" s="37"/>
      <c r="H327" s="21"/>
      <c r="I327" s="310"/>
      <c r="J327" s="310"/>
      <c r="K327" s="466"/>
      <c r="L327" s="466"/>
      <c r="M327" s="529"/>
      <c r="N327" s="529"/>
      <c r="O327" s="529"/>
      <c r="P327" s="529"/>
      <c r="Q327" s="529"/>
      <c r="R327" s="529"/>
      <c r="S327" s="529"/>
      <c r="T327" s="529"/>
      <c r="U327" s="529"/>
      <c r="V327" s="529"/>
      <c r="W327" s="529"/>
      <c r="X327" s="476"/>
      <c r="Y327" s="103"/>
    </row>
    <row r="328" spans="1:26" ht="21" customHeight="1">
      <c r="A328" s="33"/>
      <c r="B328" s="34"/>
      <c r="C328" s="34"/>
      <c r="D328" s="34"/>
      <c r="E328" s="36"/>
      <c r="F328" s="36"/>
      <c r="G328" s="37"/>
      <c r="H328" s="21"/>
      <c r="I328" s="490" t="s">
        <v>600</v>
      </c>
      <c r="J328" s="227"/>
      <c r="K328" s="466"/>
      <c r="L328" s="466"/>
      <c r="M328" s="529"/>
      <c r="N328" s="529"/>
      <c r="O328" s="529"/>
      <c r="P328" s="529"/>
      <c r="Q328" s="529"/>
      <c r="R328" s="529"/>
      <c r="S328" s="227" t="s">
        <v>588</v>
      </c>
      <c r="T328" s="227"/>
      <c r="U328" s="227"/>
      <c r="V328" s="227"/>
      <c r="W328" s="227"/>
      <c r="X328" s="727">
        <f>SUM(X329:X331)</f>
        <v>140496000</v>
      </c>
      <c r="Y328" s="92" t="s">
        <v>380</v>
      </c>
    </row>
    <row r="329" spans="1:26" ht="21" customHeight="1">
      <c r="A329" s="33"/>
      <c r="B329" s="34"/>
      <c r="C329" s="34"/>
      <c r="D329" s="34"/>
      <c r="E329" s="36"/>
      <c r="F329" s="36"/>
      <c r="G329" s="37"/>
      <c r="H329" s="21"/>
      <c r="I329" s="484" t="s">
        <v>587</v>
      </c>
      <c r="J329" s="310"/>
      <c r="K329" s="466"/>
      <c r="L329" s="466"/>
      <c r="M329" s="529"/>
      <c r="N329" s="529"/>
      <c r="O329" s="529"/>
      <c r="P329" s="529"/>
      <c r="Q329" s="529"/>
      <c r="R329" s="529"/>
      <c r="S329" s="529"/>
      <c r="T329" s="529"/>
      <c r="U329" s="529"/>
      <c r="V329" s="529"/>
      <c r="W329" s="529"/>
      <c r="X329" s="659">
        <f>19320000+71000000</f>
        <v>90320000</v>
      </c>
      <c r="Y329" s="103" t="s">
        <v>336</v>
      </c>
    </row>
    <row r="330" spans="1:26" s="615" customFormat="1" ht="21" customHeight="1">
      <c r="A330" s="619"/>
      <c r="B330" s="620"/>
      <c r="C330" s="620"/>
      <c r="D330" s="620"/>
      <c r="E330" s="621"/>
      <c r="F330" s="621"/>
      <c r="G330" s="622"/>
      <c r="H330" s="618"/>
      <c r="I330" s="668" t="s">
        <v>589</v>
      </c>
      <c r="J330" s="647"/>
      <c r="K330" s="668"/>
      <c r="L330" s="668"/>
      <c r="M330" s="668"/>
      <c r="N330" s="668"/>
      <c r="O330" s="668"/>
      <c r="P330" s="668"/>
      <c r="Q330" s="668"/>
      <c r="R330" s="668"/>
      <c r="S330" s="668"/>
      <c r="T330" s="668"/>
      <c r="U330" s="668"/>
      <c r="V330" s="668"/>
      <c r="W330" s="668"/>
      <c r="X330" s="659">
        <v>30856000</v>
      </c>
      <c r="Y330" s="632" t="s">
        <v>336</v>
      </c>
      <c r="Z330" s="606"/>
    </row>
    <row r="331" spans="1:26" ht="21" customHeight="1">
      <c r="A331" s="33"/>
      <c r="B331" s="34"/>
      <c r="C331" s="34"/>
      <c r="D331" s="34"/>
      <c r="E331" s="36"/>
      <c r="F331" s="36"/>
      <c r="G331" s="37"/>
      <c r="H331" s="21"/>
      <c r="I331" s="668" t="s">
        <v>767</v>
      </c>
      <c r="J331" s="310"/>
      <c r="K331" s="466"/>
      <c r="L331" s="466"/>
      <c r="M331" s="529"/>
      <c r="N331" s="529"/>
      <c r="O331" s="529"/>
      <c r="P331" s="529"/>
      <c r="Q331" s="529"/>
      <c r="R331" s="529"/>
      <c r="S331" s="529"/>
      <c r="T331" s="529"/>
      <c r="U331" s="529"/>
      <c r="V331" s="529"/>
      <c r="W331" s="529"/>
      <c r="X331" s="659">
        <v>19320000</v>
      </c>
      <c r="Y331" s="103" t="s">
        <v>336</v>
      </c>
    </row>
    <row r="332" spans="1:26" ht="21" customHeight="1">
      <c r="A332" s="33"/>
      <c r="B332" s="34"/>
      <c r="C332" s="34"/>
      <c r="D332" s="34"/>
      <c r="E332" s="36"/>
      <c r="F332" s="36"/>
      <c r="G332" s="37"/>
      <c r="H332" s="21"/>
      <c r="I332" s="668"/>
      <c r="J332" s="310"/>
      <c r="K332" s="472"/>
      <c r="L332" s="472"/>
      <c r="M332" s="529"/>
      <c r="N332" s="529"/>
      <c r="O332" s="529"/>
      <c r="P332" s="529"/>
      <c r="Q332" s="529"/>
      <c r="R332" s="529"/>
      <c r="S332" s="529"/>
      <c r="T332" s="529"/>
      <c r="U332" s="529"/>
      <c r="V332" s="529"/>
      <c r="W332" s="529"/>
      <c r="X332" s="659"/>
      <c r="Y332" s="103"/>
    </row>
    <row r="333" spans="1:26" ht="21" customHeight="1">
      <c r="A333" s="33"/>
      <c r="B333" s="34"/>
      <c r="C333" s="34"/>
      <c r="D333" s="34"/>
      <c r="E333" s="36"/>
      <c r="F333" s="36"/>
      <c r="G333" s="37"/>
      <c r="H333" s="21"/>
      <c r="I333" s="490" t="s">
        <v>601</v>
      </c>
      <c r="J333" s="227"/>
      <c r="K333" s="472"/>
      <c r="L333" s="472"/>
      <c r="M333" s="529"/>
      <c r="N333" s="529"/>
      <c r="O333" s="529"/>
      <c r="P333" s="529"/>
      <c r="Q333" s="529"/>
      <c r="R333" s="529"/>
      <c r="S333" s="227" t="s">
        <v>721</v>
      </c>
      <c r="T333" s="227"/>
      <c r="U333" s="227"/>
      <c r="V333" s="227"/>
      <c r="W333" s="227"/>
      <c r="X333" s="727">
        <f>X334+X347</f>
        <v>17579000</v>
      </c>
      <c r="Y333" s="92" t="s">
        <v>56</v>
      </c>
    </row>
    <row r="334" spans="1:26" ht="21" customHeight="1">
      <c r="A334" s="33"/>
      <c r="B334" s="34"/>
      <c r="C334" s="34"/>
      <c r="D334" s="34"/>
      <c r="E334" s="36"/>
      <c r="F334" s="36"/>
      <c r="G334" s="37"/>
      <c r="H334" s="21"/>
      <c r="I334" s="226" t="s">
        <v>751</v>
      </c>
      <c r="J334" s="647"/>
      <c r="K334" s="472"/>
      <c r="L334" s="472"/>
      <c r="M334" s="529"/>
      <c r="N334" s="529"/>
      <c r="O334" s="529"/>
      <c r="P334" s="529"/>
      <c r="Q334" s="529"/>
      <c r="R334" s="529"/>
      <c r="S334" s="529"/>
      <c r="T334" s="529"/>
      <c r="U334" s="529"/>
      <c r="V334" s="240"/>
      <c r="W334" s="594"/>
      <c r="X334" s="602">
        <v>12230000</v>
      </c>
      <c r="Y334" s="600" t="s">
        <v>56</v>
      </c>
    </row>
    <row r="335" spans="1:26" ht="21" hidden="1" customHeight="1">
      <c r="A335" s="33"/>
      <c r="B335" s="34"/>
      <c r="C335" s="34"/>
      <c r="D335" s="34"/>
      <c r="E335" s="36"/>
      <c r="F335" s="36"/>
      <c r="G335" s="37"/>
      <c r="H335" s="21"/>
      <c r="I335" s="657" t="s">
        <v>752</v>
      </c>
      <c r="J335" s="647"/>
      <c r="K335" s="484"/>
      <c r="L335" s="484"/>
      <c r="M335" s="529"/>
      <c r="N335" s="529"/>
      <c r="O335" s="529"/>
      <c r="P335" s="529"/>
      <c r="Q335" s="529"/>
      <c r="R335" s="529"/>
      <c r="S335" s="529"/>
      <c r="T335" s="529"/>
      <c r="U335" s="529"/>
      <c r="V335" s="529"/>
      <c r="W335" s="529"/>
      <c r="X335" s="659">
        <v>530000</v>
      </c>
      <c r="Y335" s="103" t="s">
        <v>614</v>
      </c>
    </row>
    <row r="336" spans="1:26" ht="21" hidden="1" customHeight="1">
      <c r="A336" s="33"/>
      <c r="B336" s="34"/>
      <c r="C336" s="34"/>
      <c r="D336" s="34"/>
      <c r="E336" s="36"/>
      <c r="F336" s="36"/>
      <c r="G336" s="37"/>
      <c r="H336" s="21"/>
      <c r="I336" s="657" t="s">
        <v>753</v>
      </c>
      <c r="J336" s="647"/>
      <c r="K336" s="484"/>
      <c r="L336" s="484"/>
      <c r="M336" s="528">
        <v>20000</v>
      </c>
      <c r="N336" s="413" t="s">
        <v>56</v>
      </c>
      <c r="O336" s="356">
        <v>38</v>
      </c>
      <c r="P336" s="528" t="s">
        <v>55</v>
      </c>
      <c r="Q336" s="298"/>
      <c r="R336" s="298"/>
      <c r="S336" s="432"/>
      <c r="T336" s="59"/>
      <c r="U336" s="475" t="s">
        <v>53</v>
      </c>
      <c r="V336" s="528"/>
      <c r="W336" s="476"/>
      <c r="X336" s="659">
        <f>M336*O336</f>
        <v>760000</v>
      </c>
      <c r="Y336" s="103" t="s">
        <v>614</v>
      </c>
    </row>
    <row r="337" spans="1:26" ht="21" hidden="1" customHeight="1">
      <c r="A337" s="33"/>
      <c r="B337" s="34"/>
      <c r="C337" s="34"/>
      <c r="D337" s="34"/>
      <c r="E337" s="36"/>
      <c r="F337" s="36"/>
      <c r="G337" s="37"/>
      <c r="H337" s="21"/>
      <c r="I337" s="657" t="s">
        <v>754</v>
      </c>
      <c r="J337" s="647"/>
      <c r="K337" s="484"/>
      <c r="L337" s="484"/>
      <c r="M337" s="528">
        <v>40000</v>
      </c>
      <c r="N337" s="413" t="s">
        <v>56</v>
      </c>
      <c r="O337" s="356">
        <v>18</v>
      </c>
      <c r="P337" s="528" t="s">
        <v>55</v>
      </c>
      <c r="Q337" s="298"/>
      <c r="R337" s="298"/>
      <c r="S337" s="432"/>
      <c r="T337" s="59"/>
      <c r="U337" s="475" t="s">
        <v>53</v>
      </c>
      <c r="V337" s="528"/>
      <c r="W337" s="476"/>
      <c r="X337" s="659">
        <f>M337*O337</f>
        <v>720000</v>
      </c>
      <c r="Y337" s="103" t="s">
        <v>614</v>
      </c>
      <c r="Z337" s="1"/>
    </row>
    <row r="338" spans="1:26" ht="21" hidden="1" customHeight="1">
      <c r="A338" s="33"/>
      <c r="B338" s="34"/>
      <c r="C338" s="34"/>
      <c r="D338" s="34"/>
      <c r="E338" s="36"/>
      <c r="F338" s="36"/>
      <c r="G338" s="37"/>
      <c r="H338" s="21"/>
      <c r="I338" s="657" t="s">
        <v>755</v>
      </c>
      <c r="J338" s="647"/>
      <c r="K338" s="484"/>
      <c r="L338" s="484"/>
      <c r="M338" s="528">
        <v>40000</v>
      </c>
      <c r="N338" s="413" t="s">
        <v>56</v>
      </c>
      <c r="O338" s="356">
        <v>38</v>
      </c>
      <c r="P338" s="528" t="s">
        <v>55</v>
      </c>
      <c r="Q338" s="298"/>
      <c r="R338" s="298"/>
      <c r="S338" s="432"/>
      <c r="T338" s="59"/>
      <c r="U338" s="475" t="s">
        <v>53</v>
      </c>
      <c r="V338" s="528"/>
      <c r="W338" s="476"/>
      <c r="X338" s="659">
        <f>M338*O338</f>
        <v>1520000</v>
      </c>
      <c r="Y338" s="103" t="s">
        <v>614</v>
      </c>
      <c r="Z338" s="1"/>
    </row>
    <row r="339" spans="1:26" ht="21" hidden="1" customHeight="1">
      <c r="A339" s="33"/>
      <c r="B339" s="34"/>
      <c r="C339" s="34"/>
      <c r="D339" s="34"/>
      <c r="E339" s="36"/>
      <c r="F339" s="36"/>
      <c r="G339" s="37"/>
      <c r="H339" s="21"/>
      <c r="I339" s="657" t="s">
        <v>756</v>
      </c>
      <c r="J339" s="647"/>
      <c r="K339" s="484"/>
      <c r="L339" s="484"/>
      <c r="M339" s="528">
        <v>940000</v>
      </c>
      <c r="N339" s="413" t="s">
        <v>56</v>
      </c>
      <c r="O339" s="356">
        <v>2</v>
      </c>
      <c r="P339" s="528" t="s">
        <v>62</v>
      </c>
      <c r="Q339" s="298"/>
      <c r="R339" s="298"/>
      <c r="S339" s="432"/>
      <c r="T339" s="59"/>
      <c r="U339" s="475" t="s">
        <v>53</v>
      </c>
      <c r="V339" s="528"/>
      <c r="W339" s="476"/>
      <c r="X339" s="659">
        <f>M339*O339</f>
        <v>1880000</v>
      </c>
      <c r="Y339" s="103" t="s">
        <v>614</v>
      </c>
      <c r="Z339" s="1"/>
    </row>
    <row r="340" spans="1:26" ht="21" hidden="1" customHeight="1">
      <c r="A340" s="33"/>
      <c r="B340" s="34"/>
      <c r="C340" s="34"/>
      <c r="D340" s="34"/>
      <c r="E340" s="36"/>
      <c r="F340" s="36"/>
      <c r="G340" s="37"/>
      <c r="H340" s="21"/>
      <c r="I340" s="657" t="s">
        <v>757</v>
      </c>
      <c r="J340" s="647"/>
      <c r="K340" s="484"/>
      <c r="L340" s="484"/>
      <c r="M340" s="528">
        <v>700000</v>
      </c>
      <c r="N340" s="413" t="s">
        <v>56</v>
      </c>
      <c r="O340" s="356">
        <v>2</v>
      </c>
      <c r="P340" s="528" t="s">
        <v>62</v>
      </c>
      <c r="Q340" s="298"/>
      <c r="R340" s="298"/>
      <c r="S340" s="432"/>
      <c r="T340" s="59"/>
      <c r="U340" s="475" t="s">
        <v>53</v>
      </c>
      <c r="V340" s="528"/>
      <c r="W340" s="476"/>
      <c r="X340" s="659">
        <v>0</v>
      </c>
      <c r="Y340" s="103" t="s">
        <v>614</v>
      </c>
      <c r="Z340" s="1"/>
    </row>
    <row r="341" spans="1:26" ht="21" hidden="1" customHeight="1">
      <c r="A341" s="33"/>
      <c r="B341" s="34"/>
      <c r="C341" s="34"/>
      <c r="D341" s="34"/>
      <c r="E341" s="36"/>
      <c r="F341" s="36"/>
      <c r="G341" s="37"/>
      <c r="H341" s="21"/>
      <c r="I341" s="657" t="s">
        <v>758</v>
      </c>
      <c r="J341" s="647"/>
      <c r="K341" s="484"/>
      <c r="L341" s="484"/>
      <c r="M341" s="529"/>
      <c r="N341" s="529"/>
      <c r="O341" s="529"/>
      <c r="P341" s="529"/>
      <c r="Q341" s="529"/>
      <c r="R341" s="529"/>
      <c r="S341" s="529"/>
      <c r="T341" s="529"/>
      <c r="U341" s="529"/>
      <c r="V341" s="529"/>
      <c r="W341" s="529"/>
      <c r="X341" s="659">
        <v>370000</v>
      </c>
      <c r="Y341" s="103" t="s">
        <v>614</v>
      </c>
      <c r="Z341" s="1"/>
    </row>
    <row r="342" spans="1:26" ht="21" hidden="1" customHeight="1">
      <c r="A342" s="33"/>
      <c r="B342" s="34"/>
      <c r="C342" s="34"/>
      <c r="D342" s="34"/>
      <c r="E342" s="36"/>
      <c r="F342" s="36"/>
      <c r="G342" s="37"/>
      <c r="H342" s="21"/>
      <c r="I342" s="657" t="s">
        <v>759</v>
      </c>
      <c r="J342" s="647"/>
      <c r="K342" s="484"/>
      <c r="L342" s="484"/>
      <c r="M342" s="528">
        <v>50000</v>
      </c>
      <c r="N342" s="413" t="s">
        <v>56</v>
      </c>
      <c r="O342" s="356">
        <v>20</v>
      </c>
      <c r="P342" s="528" t="s">
        <v>62</v>
      </c>
      <c r="Q342" s="298"/>
      <c r="R342" s="298"/>
      <c r="S342" s="432"/>
      <c r="T342" s="59"/>
      <c r="U342" s="475" t="s">
        <v>53</v>
      </c>
      <c r="V342" s="528"/>
      <c r="W342" s="476"/>
      <c r="X342" s="659">
        <f>M342*O342</f>
        <v>1000000</v>
      </c>
      <c r="Y342" s="103" t="s">
        <v>614</v>
      </c>
      <c r="Z342" s="1"/>
    </row>
    <row r="343" spans="1:26" ht="21" hidden="1" customHeight="1">
      <c r="A343" s="33"/>
      <c r="B343" s="34"/>
      <c r="C343" s="34"/>
      <c r="D343" s="34"/>
      <c r="E343" s="36"/>
      <c r="F343" s="36"/>
      <c r="G343" s="37"/>
      <c r="H343" s="21"/>
      <c r="I343" s="657" t="s">
        <v>760</v>
      </c>
      <c r="J343" s="647"/>
      <c r="K343" s="484"/>
      <c r="L343" s="484"/>
      <c r="M343" s="528">
        <v>130000</v>
      </c>
      <c r="N343" s="413" t="s">
        <v>56</v>
      </c>
      <c r="O343" s="356">
        <v>3</v>
      </c>
      <c r="P343" s="528" t="s">
        <v>55</v>
      </c>
      <c r="Q343" s="298"/>
      <c r="R343" s="298"/>
      <c r="S343" s="432"/>
      <c r="T343" s="59"/>
      <c r="U343" s="475" t="s">
        <v>53</v>
      </c>
      <c r="V343" s="528"/>
      <c r="W343" s="476"/>
      <c r="X343" s="659">
        <f>M343*O343</f>
        <v>390000</v>
      </c>
      <c r="Y343" s="103" t="s">
        <v>614</v>
      </c>
      <c r="Z343" s="1"/>
    </row>
    <row r="344" spans="1:26" ht="21" hidden="1" customHeight="1">
      <c r="A344" s="33"/>
      <c r="B344" s="34"/>
      <c r="C344" s="34"/>
      <c r="D344" s="34"/>
      <c r="E344" s="36"/>
      <c r="F344" s="36"/>
      <c r="G344" s="37"/>
      <c r="H344" s="21"/>
      <c r="I344" s="657" t="s">
        <v>761</v>
      </c>
      <c r="J344" s="647"/>
      <c r="K344" s="484"/>
      <c r="L344" s="484"/>
      <c r="M344" s="528">
        <v>20000</v>
      </c>
      <c r="N344" s="413" t="s">
        <v>56</v>
      </c>
      <c r="O344" s="356">
        <v>2</v>
      </c>
      <c r="P344" s="528" t="s">
        <v>62</v>
      </c>
      <c r="Q344" s="356">
        <v>20</v>
      </c>
      <c r="R344" s="528" t="s">
        <v>55</v>
      </c>
      <c r="S344" s="432"/>
      <c r="T344" s="59"/>
      <c r="U344" s="475" t="s">
        <v>53</v>
      </c>
      <c r="V344" s="528"/>
      <c r="W344" s="476"/>
      <c r="X344" s="659">
        <f>M344*O344*Q344</f>
        <v>800000</v>
      </c>
      <c r="Y344" s="103" t="s">
        <v>614</v>
      </c>
      <c r="Z344" s="1"/>
    </row>
    <row r="345" spans="1:26" ht="21" hidden="1" customHeight="1">
      <c r="A345" s="33"/>
      <c r="B345" s="34"/>
      <c r="C345" s="34"/>
      <c r="D345" s="34"/>
      <c r="E345" s="36"/>
      <c r="F345" s="36"/>
      <c r="G345" s="37"/>
      <c r="H345" s="21"/>
      <c r="I345" s="657" t="s">
        <v>762</v>
      </c>
      <c r="J345" s="647"/>
      <c r="K345" s="484"/>
      <c r="L345" s="484"/>
      <c r="M345" s="528">
        <v>100000</v>
      </c>
      <c r="N345" s="413" t="s">
        <v>56</v>
      </c>
      <c r="O345" s="356">
        <v>4</v>
      </c>
      <c r="P345" s="528" t="s">
        <v>62</v>
      </c>
      <c r="Q345" s="298"/>
      <c r="R345" s="298"/>
      <c r="S345" s="432"/>
      <c r="T345" s="59"/>
      <c r="U345" s="475" t="s">
        <v>53</v>
      </c>
      <c r="V345" s="528"/>
      <c r="W345" s="476"/>
      <c r="X345" s="659">
        <f t="shared" ref="X345" si="2">M345*O345</f>
        <v>400000</v>
      </c>
      <c r="Y345" s="103" t="s">
        <v>614</v>
      </c>
      <c r="Z345" s="1"/>
    </row>
    <row r="346" spans="1:26" ht="21" hidden="1" customHeight="1">
      <c r="A346" s="33"/>
      <c r="B346" s="34"/>
      <c r="C346" s="34"/>
      <c r="D346" s="34"/>
      <c r="E346" s="36"/>
      <c r="F346" s="36"/>
      <c r="G346" s="37"/>
      <c r="H346" s="21"/>
      <c r="I346" s="657"/>
      <c r="J346" s="647"/>
      <c r="K346" s="484"/>
      <c r="L346" s="484"/>
      <c r="M346" s="529"/>
      <c r="N346" s="529"/>
      <c r="O346" s="529"/>
      <c r="P346" s="529"/>
      <c r="Q346" s="529"/>
      <c r="R346" s="529"/>
      <c r="S346" s="529"/>
      <c r="T346" s="529"/>
      <c r="U346" s="529"/>
      <c r="V346" s="529"/>
      <c r="W346" s="529"/>
      <c r="X346" s="659"/>
      <c r="Y346" s="103"/>
      <c r="Z346" s="1"/>
    </row>
    <row r="347" spans="1:26" ht="21" customHeight="1">
      <c r="A347" s="33"/>
      <c r="B347" s="34"/>
      <c r="C347" s="34"/>
      <c r="D347" s="34"/>
      <c r="E347" s="36"/>
      <c r="F347" s="36"/>
      <c r="G347" s="37"/>
      <c r="H347" s="21"/>
      <c r="I347" s="640" t="s">
        <v>763</v>
      </c>
      <c r="J347" s="647"/>
      <c r="K347" s="484"/>
      <c r="L347" s="484"/>
      <c r="M347" s="529"/>
      <c r="N347" s="529"/>
      <c r="O347" s="529"/>
      <c r="P347" s="529"/>
      <c r="Q347" s="529"/>
      <c r="R347" s="529"/>
      <c r="S347" s="529"/>
      <c r="T347" s="529"/>
      <c r="U347" s="529"/>
      <c r="V347" s="721"/>
      <c r="W347" s="721"/>
      <c r="X347" s="659">
        <f>5120000+229000</f>
        <v>5349000</v>
      </c>
      <c r="Y347" s="632" t="s">
        <v>56</v>
      </c>
      <c r="Z347" s="1"/>
    </row>
    <row r="348" spans="1:26" ht="21" hidden="1" customHeight="1">
      <c r="A348" s="33"/>
      <c r="B348" s="34"/>
      <c r="C348" s="34"/>
      <c r="D348" s="34"/>
      <c r="E348" s="36"/>
      <c r="F348" s="36"/>
      <c r="G348" s="37"/>
      <c r="H348" s="21"/>
      <c r="I348" s="490" t="s">
        <v>602</v>
      </c>
      <c r="J348" s="647"/>
      <c r="K348" s="484"/>
      <c r="L348" s="484"/>
      <c r="M348" s="529"/>
      <c r="N348" s="529"/>
      <c r="O348" s="529"/>
      <c r="P348" s="529"/>
      <c r="Q348" s="529"/>
      <c r="R348" s="529"/>
      <c r="S348" s="529"/>
      <c r="T348" s="529"/>
      <c r="U348" s="529"/>
      <c r="V348" s="531"/>
      <c r="W348" s="531"/>
      <c r="X348" s="454">
        <v>7910001</v>
      </c>
      <c r="Y348" s="309" t="s">
        <v>56</v>
      </c>
      <c r="Z348" s="1"/>
    </row>
    <row r="349" spans="1:26" ht="21" hidden="1" customHeight="1">
      <c r="A349" s="33"/>
      <c r="B349" s="34"/>
      <c r="C349" s="34"/>
      <c r="D349" s="34"/>
      <c r="E349" s="36"/>
      <c r="F349" s="36"/>
      <c r="G349" s="37"/>
      <c r="H349" s="21"/>
      <c r="I349" s="490" t="s">
        <v>602</v>
      </c>
      <c r="J349" s="647"/>
      <c r="K349" s="484"/>
      <c r="L349" s="484"/>
      <c r="M349" s="529"/>
      <c r="N349" s="529"/>
      <c r="O349" s="529"/>
      <c r="P349" s="529"/>
      <c r="Q349" s="529"/>
      <c r="R349" s="529"/>
      <c r="S349" s="529"/>
      <c r="T349" s="529"/>
      <c r="U349" s="529"/>
      <c r="V349" s="531"/>
      <c r="W349" s="531"/>
      <c r="X349" s="454">
        <v>7910002</v>
      </c>
      <c r="Y349" s="309" t="s">
        <v>56</v>
      </c>
      <c r="Z349" s="1"/>
    </row>
    <row r="350" spans="1:26" ht="21" hidden="1" customHeight="1">
      <c r="A350" s="33"/>
      <c r="B350" s="34"/>
      <c r="C350" s="34"/>
      <c r="D350" s="34"/>
      <c r="E350" s="36"/>
      <c r="F350" s="36"/>
      <c r="G350" s="37"/>
      <c r="H350" s="21"/>
      <c r="I350" s="490" t="s">
        <v>602</v>
      </c>
      <c r="J350" s="647"/>
      <c r="K350" s="484"/>
      <c r="L350" s="484"/>
      <c r="M350" s="529"/>
      <c r="N350" s="529"/>
      <c r="O350" s="529"/>
      <c r="P350" s="529"/>
      <c r="Q350" s="529"/>
      <c r="R350" s="529"/>
      <c r="S350" s="529"/>
      <c r="T350" s="529"/>
      <c r="U350" s="529"/>
      <c r="V350" s="531"/>
      <c r="W350" s="531"/>
      <c r="X350" s="454">
        <v>7910003</v>
      </c>
      <c r="Y350" s="309" t="s">
        <v>56</v>
      </c>
      <c r="Z350" s="1"/>
    </row>
    <row r="351" spans="1:26" ht="21" hidden="1" customHeight="1">
      <c r="A351" s="33"/>
      <c r="B351" s="34"/>
      <c r="C351" s="34"/>
      <c r="D351" s="34"/>
      <c r="E351" s="36"/>
      <c r="F351" s="36"/>
      <c r="G351" s="37"/>
      <c r="H351" s="21"/>
      <c r="I351" s="490" t="s">
        <v>602</v>
      </c>
      <c r="J351" s="647"/>
      <c r="K351" s="484"/>
      <c r="L351" s="484"/>
      <c r="M351" s="529"/>
      <c r="N351" s="529"/>
      <c r="O351" s="529"/>
      <c r="P351" s="529"/>
      <c r="Q351" s="529"/>
      <c r="R351" s="529"/>
      <c r="S351" s="529"/>
      <c r="T351" s="529"/>
      <c r="U351" s="529"/>
      <c r="V351" s="531"/>
      <c r="W351" s="531"/>
      <c r="X351" s="454">
        <v>7910004</v>
      </c>
      <c r="Y351" s="309" t="s">
        <v>56</v>
      </c>
      <c r="Z351" s="1"/>
    </row>
    <row r="352" spans="1:26" ht="21" hidden="1" customHeight="1">
      <c r="A352" s="33"/>
      <c r="B352" s="34"/>
      <c r="C352" s="34"/>
      <c r="D352" s="34"/>
      <c r="E352" s="36"/>
      <c r="F352" s="36"/>
      <c r="G352" s="37"/>
      <c r="H352" s="21"/>
      <c r="I352" s="490" t="s">
        <v>602</v>
      </c>
      <c r="J352" s="647"/>
      <c r="K352" s="484"/>
      <c r="L352" s="484"/>
      <c r="M352" s="528">
        <v>440000</v>
      </c>
      <c r="N352" s="413" t="s">
        <v>56</v>
      </c>
      <c r="O352" s="356">
        <v>3</v>
      </c>
      <c r="P352" s="528" t="s">
        <v>62</v>
      </c>
      <c r="Q352" s="298"/>
      <c r="R352" s="298"/>
      <c r="S352" s="432"/>
      <c r="T352" s="59"/>
      <c r="U352" s="475" t="s">
        <v>53</v>
      </c>
      <c r="V352" s="531"/>
      <c r="W352" s="531"/>
      <c r="X352" s="454">
        <v>7910005</v>
      </c>
      <c r="Y352" s="309" t="s">
        <v>56</v>
      </c>
      <c r="Z352" s="1"/>
    </row>
    <row r="353" spans="1:26" ht="21" hidden="1" customHeight="1">
      <c r="A353" s="33"/>
      <c r="B353" s="34"/>
      <c r="C353" s="34"/>
      <c r="D353" s="34"/>
      <c r="E353" s="36"/>
      <c r="F353" s="36"/>
      <c r="G353" s="37"/>
      <c r="H353" s="21"/>
      <c r="I353" s="490" t="s">
        <v>602</v>
      </c>
      <c r="J353" s="647"/>
      <c r="K353" s="484"/>
      <c r="L353" s="484"/>
      <c r="M353" s="528">
        <v>50000</v>
      </c>
      <c r="N353" s="413" t="s">
        <v>56</v>
      </c>
      <c r="O353" s="356">
        <v>45</v>
      </c>
      <c r="P353" s="528" t="s">
        <v>55</v>
      </c>
      <c r="Q353" s="298"/>
      <c r="R353" s="298"/>
      <c r="S353" s="432"/>
      <c r="T353" s="59"/>
      <c r="U353" s="475" t="s">
        <v>53</v>
      </c>
      <c r="V353" s="531"/>
      <c r="W353" s="531"/>
      <c r="X353" s="454">
        <v>7910006</v>
      </c>
      <c r="Y353" s="309" t="s">
        <v>56</v>
      </c>
      <c r="Z353" s="1"/>
    </row>
    <row r="354" spans="1:26" ht="21" hidden="1" customHeight="1">
      <c r="A354" s="33"/>
      <c r="B354" s="34"/>
      <c r="C354" s="34"/>
      <c r="D354" s="34"/>
      <c r="E354" s="36"/>
      <c r="F354" s="36"/>
      <c r="G354" s="37"/>
      <c r="H354" s="21"/>
      <c r="I354" s="490" t="s">
        <v>602</v>
      </c>
      <c r="J354" s="647"/>
      <c r="K354" s="484"/>
      <c r="L354" s="484"/>
      <c r="M354" s="528">
        <v>50000</v>
      </c>
      <c r="N354" s="413" t="s">
        <v>56</v>
      </c>
      <c r="O354" s="356">
        <v>4</v>
      </c>
      <c r="P354" s="528" t="s">
        <v>62</v>
      </c>
      <c r="Q354" s="298"/>
      <c r="R354" s="298"/>
      <c r="S354" s="432"/>
      <c r="T354" s="59"/>
      <c r="U354" s="475" t="s">
        <v>53</v>
      </c>
      <c r="V354" s="531"/>
      <c r="W354" s="531"/>
      <c r="X354" s="454">
        <v>7910007</v>
      </c>
      <c r="Y354" s="309" t="s">
        <v>56</v>
      </c>
      <c r="Z354" s="1"/>
    </row>
    <row r="355" spans="1:26" ht="21" hidden="1" customHeight="1">
      <c r="A355" s="33"/>
      <c r="B355" s="34"/>
      <c r="C355" s="34"/>
      <c r="D355" s="34"/>
      <c r="E355" s="36"/>
      <c r="F355" s="36"/>
      <c r="G355" s="37"/>
      <c r="H355" s="21"/>
      <c r="I355" s="490" t="s">
        <v>602</v>
      </c>
      <c r="J355" s="647"/>
      <c r="K355" s="484"/>
      <c r="L355" s="484"/>
      <c r="M355" s="528">
        <v>70000</v>
      </c>
      <c r="N355" s="413" t="s">
        <v>56</v>
      </c>
      <c r="O355" s="356">
        <v>2</v>
      </c>
      <c r="P355" s="528" t="s">
        <v>62</v>
      </c>
      <c r="Q355" s="298"/>
      <c r="R355" s="298"/>
      <c r="S355" s="432"/>
      <c r="T355" s="59"/>
      <c r="U355" s="475" t="s">
        <v>53</v>
      </c>
      <c r="V355" s="531"/>
      <c r="W355" s="531"/>
      <c r="X355" s="454">
        <v>7910008</v>
      </c>
      <c r="Y355" s="309" t="s">
        <v>56</v>
      </c>
      <c r="Z355" s="1"/>
    </row>
    <row r="356" spans="1:26" ht="21" hidden="1" customHeight="1">
      <c r="A356" s="33"/>
      <c r="B356" s="34"/>
      <c r="C356" s="34"/>
      <c r="D356" s="34"/>
      <c r="E356" s="36"/>
      <c r="F356" s="36"/>
      <c r="G356" s="37"/>
      <c r="H356" s="21"/>
      <c r="I356" s="490" t="s">
        <v>602</v>
      </c>
      <c r="J356" s="647"/>
      <c r="K356" s="484"/>
      <c r="L356" s="484"/>
      <c r="M356" s="528">
        <v>35000</v>
      </c>
      <c r="N356" s="413" t="s">
        <v>56</v>
      </c>
      <c r="O356" s="356">
        <v>14</v>
      </c>
      <c r="P356" s="528" t="s">
        <v>55</v>
      </c>
      <c r="Q356" s="298"/>
      <c r="R356" s="298"/>
      <c r="S356" s="432"/>
      <c r="T356" s="59"/>
      <c r="U356" s="475" t="s">
        <v>53</v>
      </c>
      <c r="V356" s="531"/>
      <c r="W356" s="531"/>
      <c r="X356" s="454">
        <v>7910009</v>
      </c>
      <c r="Y356" s="309" t="s">
        <v>56</v>
      </c>
      <c r="Z356" s="1"/>
    </row>
    <row r="357" spans="1:26" ht="21" hidden="1" customHeight="1">
      <c r="A357" s="33"/>
      <c r="B357" s="34"/>
      <c r="C357" s="34"/>
      <c r="D357" s="34"/>
      <c r="E357" s="36"/>
      <c r="F357" s="36"/>
      <c r="G357" s="37"/>
      <c r="H357" s="21"/>
      <c r="I357" s="490" t="s">
        <v>602</v>
      </c>
      <c r="J357" s="647"/>
      <c r="K357" s="484"/>
      <c r="L357" s="484"/>
      <c r="M357" s="528">
        <v>20000</v>
      </c>
      <c r="N357" s="413" t="s">
        <v>56</v>
      </c>
      <c r="O357" s="356">
        <v>14</v>
      </c>
      <c r="P357" s="528" t="s">
        <v>55</v>
      </c>
      <c r="Q357" s="356">
        <v>2</v>
      </c>
      <c r="R357" s="528" t="s">
        <v>62</v>
      </c>
      <c r="S357" s="432"/>
      <c r="T357" s="59"/>
      <c r="U357" s="475" t="s">
        <v>53</v>
      </c>
      <c r="V357" s="531"/>
      <c r="W357" s="531"/>
      <c r="X357" s="454">
        <v>7910010</v>
      </c>
      <c r="Y357" s="309" t="s">
        <v>56</v>
      </c>
      <c r="Z357" s="1"/>
    </row>
    <row r="358" spans="1:26" ht="21" hidden="1" customHeight="1">
      <c r="A358" s="33"/>
      <c r="B358" s="34"/>
      <c r="C358" s="34"/>
      <c r="D358" s="34"/>
      <c r="E358" s="36"/>
      <c r="F358" s="36"/>
      <c r="G358" s="37"/>
      <c r="H358" s="21"/>
      <c r="I358" s="490" t="s">
        <v>602</v>
      </c>
      <c r="J358" s="647"/>
      <c r="K358" s="484"/>
      <c r="L358" s="484"/>
      <c r="M358" s="528">
        <v>1000000</v>
      </c>
      <c r="N358" s="413" t="s">
        <v>56</v>
      </c>
      <c r="O358" s="356">
        <v>1</v>
      </c>
      <c r="P358" s="528" t="s">
        <v>62</v>
      </c>
      <c r="Q358" s="298"/>
      <c r="R358" s="298"/>
      <c r="S358" s="432"/>
      <c r="T358" s="59"/>
      <c r="U358" s="475" t="s">
        <v>53</v>
      </c>
      <c r="V358" s="531"/>
      <c r="W358" s="531"/>
      <c r="X358" s="454">
        <v>7910011</v>
      </c>
      <c r="Y358" s="309" t="s">
        <v>56</v>
      </c>
      <c r="Z358" s="1"/>
    </row>
    <row r="359" spans="1:26" ht="21" hidden="1" customHeight="1">
      <c r="A359" s="33"/>
      <c r="B359" s="34"/>
      <c r="C359" s="34"/>
      <c r="D359" s="34"/>
      <c r="E359" s="36"/>
      <c r="F359" s="36"/>
      <c r="G359" s="37"/>
      <c r="H359" s="21"/>
      <c r="I359" s="490" t="s">
        <v>602</v>
      </c>
      <c r="J359" s="647"/>
      <c r="K359" s="484"/>
      <c r="L359" s="484"/>
      <c r="M359" s="528"/>
      <c r="N359" s="413"/>
      <c r="O359" s="356"/>
      <c r="P359" s="528"/>
      <c r="Q359" s="298"/>
      <c r="R359" s="298"/>
      <c r="S359" s="432"/>
      <c r="T359" s="59"/>
      <c r="U359" s="475"/>
      <c r="V359" s="531"/>
      <c r="W359" s="531"/>
      <c r="X359" s="454">
        <v>7910012</v>
      </c>
      <c r="Y359" s="309" t="s">
        <v>56</v>
      </c>
      <c r="Z359" s="1"/>
    </row>
    <row r="360" spans="1:26" s="615" customFormat="1" ht="21" customHeight="1">
      <c r="A360" s="619"/>
      <c r="B360" s="620"/>
      <c r="C360" s="620"/>
      <c r="D360" s="620"/>
      <c r="E360" s="621"/>
      <c r="F360" s="621"/>
      <c r="G360" s="622"/>
      <c r="H360" s="618"/>
      <c r="I360" s="665"/>
      <c r="J360" s="647"/>
      <c r="K360" s="657"/>
      <c r="L360" s="657"/>
      <c r="M360" s="656"/>
      <c r="N360" s="652"/>
      <c r="O360" s="650"/>
      <c r="P360" s="656"/>
      <c r="Q360" s="646"/>
      <c r="R360" s="646"/>
      <c r="S360" s="654"/>
      <c r="T360" s="625"/>
      <c r="U360" s="658"/>
      <c r="V360" s="657"/>
      <c r="W360" s="657"/>
      <c r="X360" s="666"/>
      <c r="Y360" s="632"/>
    </row>
    <row r="361" spans="1:26" s="615" customFormat="1" ht="21" customHeight="1">
      <c r="A361" s="619"/>
      <c r="B361" s="620"/>
      <c r="C361" s="620"/>
      <c r="D361" s="620"/>
      <c r="E361" s="621"/>
      <c r="F361" s="621"/>
      <c r="G361" s="622"/>
      <c r="H361" s="618"/>
      <c r="I361" s="490" t="s">
        <v>745</v>
      </c>
      <c r="J361" s="227"/>
      <c r="K361" s="657"/>
      <c r="L361" s="657"/>
      <c r="M361" s="656"/>
      <c r="N361" s="652"/>
      <c r="O361" s="650"/>
      <c r="P361" s="656"/>
      <c r="Q361" s="646"/>
      <c r="R361" s="646"/>
      <c r="S361" s="227" t="s">
        <v>746</v>
      </c>
      <c r="T361" s="227"/>
      <c r="U361" s="227"/>
      <c r="V361" s="227"/>
      <c r="W361" s="227"/>
      <c r="X361" s="727">
        <f>X362</f>
        <v>2000000</v>
      </c>
      <c r="Y361" s="92" t="s">
        <v>56</v>
      </c>
    </row>
    <row r="362" spans="1:26" s="615" customFormat="1" ht="21" customHeight="1">
      <c r="A362" s="619"/>
      <c r="B362" s="620"/>
      <c r="C362" s="620"/>
      <c r="D362" s="620"/>
      <c r="E362" s="621"/>
      <c r="F362" s="621"/>
      <c r="G362" s="622"/>
      <c r="H362" s="618"/>
      <c r="I362" s="640" t="s">
        <v>748</v>
      </c>
      <c r="J362" s="647"/>
      <c r="K362" s="657"/>
      <c r="L362" s="657"/>
      <c r="M362" s="656"/>
      <c r="N362" s="652"/>
      <c r="O362" s="650"/>
      <c r="P362" s="656"/>
      <c r="Q362" s="646"/>
      <c r="R362" s="646"/>
      <c r="S362" s="657"/>
      <c r="T362" s="657"/>
      <c r="U362" s="657"/>
      <c r="V362" s="721"/>
      <c r="W362" s="721"/>
      <c r="X362" s="655">
        <v>2000000</v>
      </c>
      <c r="Y362" s="623" t="s">
        <v>747</v>
      </c>
    </row>
    <row r="363" spans="1:26" ht="21" customHeight="1">
      <c r="A363" s="33"/>
      <c r="B363" s="34"/>
      <c r="C363" s="34"/>
      <c r="D363" s="34"/>
      <c r="E363" s="36"/>
      <c r="F363" s="36"/>
      <c r="G363" s="37"/>
      <c r="H363" s="21"/>
      <c r="I363" s="665"/>
      <c r="J363" s="599"/>
      <c r="K363" s="509"/>
      <c r="L363" s="509"/>
      <c r="M363" s="528"/>
      <c r="N363" s="413"/>
      <c r="O363" s="356"/>
      <c r="P363" s="528"/>
      <c r="Q363" s="298"/>
      <c r="R363" s="298"/>
      <c r="S363" s="432"/>
      <c r="T363" s="59"/>
      <c r="U363" s="475"/>
      <c r="V363" s="720"/>
      <c r="W363" s="659"/>
      <c r="X363" s="651"/>
      <c r="Y363" s="623"/>
      <c r="Z363" s="1"/>
    </row>
    <row r="364" spans="1:26" ht="21" customHeight="1">
      <c r="A364" s="33"/>
      <c r="B364" s="34"/>
      <c r="C364" s="34"/>
      <c r="D364" s="34"/>
      <c r="E364" s="36"/>
      <c r="F364" s="36"/>
      <c r="G364" s="37"/>
      <c r="H364" s="21"/>
      <c r="I364" s="490" t="s">
        <v>663</v>
      </c>
      <c r="J364" s="227"/>
      <c r="K364" s="509"/>
      <c r="L364" s="509"/>
      <c r="M364" s="528"/>
      <c r="N364" s="413"/>
      <c r="O364" s="356"/>
      <c r="P364" s="528"/>
      <c r="Q364" s="298"/>
      <c r="R364" s="298"/>
      <c r="S364" s="227" t="s">
        <v>63</v>
      </c>
      <c r="T364" s="227"/>
      <c r="U364" s="227"/>
      <c r="V364" s="227"/>
      <c r="W364" s="227"/>
      <c r="X364" s="727">
        <v>160000</v>
      </c>
      <c r="Y364" s="92" t="s">
        <v>56</v>
      </c>
      <c r="Z364" s="1"/>
    </row>
    <row r="365" spans="1:26" ht="21" customHeight="1">
      <c r="A365" s="33"/>
      <c r="B365" s="34"/>
      <c r="C365" s="34"/>
      <c r="D365" s="34"/>
      <c r="E365" s="36"/>
      <c r="F365" s="36"/>
      <c r="G365" s="37"/>
      <c r="H365" s="21"/>
      <c r="I365" s="310"/>
      <c r="J365" s="310"/>
      <c r="K365" s="509"/>
      <c r="L365" s="509"/>
      <c r="M365" s="528"/>
      <c r="N365" s="413"/>
      <c r="O365" s="356"/>
      <c r="P365" s="528"/>
      <c r="Q365" s="298"/>
      <c r="R365" s="298"/>
      <c r="S365" s="310"/>
      <c r="T365" s="310"/>
      <c r="U365" s="310"/>
      <c r="V365" s="647"/>
      <c r="W365" s="647"/>
      <c r="X365" s="726"/>
      <c r="Y365" s="22"/>
      <c r="Z365" s="1"/>
    </row>
    <row r="366" spans="1:26" ht="21" customHeight="1">
      <c r="A366" s="33"/>
      <c r="B366" s="34"/>
      <c r="C366" s="34"/>
      <c r="D366" s="34"/>
      <c r="E366" s="36"/>
      <c r="F366" s="36"/>
      <c r="G366" s="37"/>
      <c r="H366" s="21"/>
      <c r="I366" s="490" t="s">
        <v>749</v>
      </c>
      <c r="J366" s="227"/>
      <c r="K366" s="657"/>
      <c r="L366" s="657"/>
      <c r="M366" s="656"/>
      <c r="N366" s="652"/>
      <c r="O366" s="650"/>
      <c r="P366" s="656"/>
      <c r="Q366" s="646"/>
      <c r="R366" s="646"/>
      <c r="S366" s="227" t="s">
        <v>750</v>
      </c>
      <c r="T366" s="227"/>
      <c r="U366" s="227"/>
      <c r="V366" s="227"/>
      <c r="W366" s="227"/>
      <c r="X366" s="727">
        <v>400000</v>
      </c>
      <c r="Y366" s="92" t="s">
        <v>56</v>
      </c>
      <c r="Z366" s="1"/>
    </row>
    <row r="367" spans="1:26" ht="21" customHeight="1">
      <c r="A367" s="23" t="s">
        <v>14</v>
      </c>
      <c r="B367" s="24" t="s">
        <v>14</v>
      </c>
      <c r="C367" s="780" t="s">
        <v>450</v>
      </c>
      <c r="D367" s="781"/>
      <c r="E367" s="192">
        <f>SUM(E368,E387)</f>
        <v>92762</v>
      </c>
      <c r="F367" s="192">
        <f>SUM(F368,F387)</f>
        <v>92760</v>
      </c>
      <c r="G367" s="193">
        <f>F367-E367</f>
        <v>-2</v>
      </c>
      <c r="H367" s="194">
        <f>IF(E367=0,0,G367/E367)</f>
        <v>-2.1560552812574116E-5</v>
      </c>
      <c r="I367" s="722" t="s">
        <v>525</v>
      </c>
      <c r="J367" s="723"/>
      <c r="K367" s="197"/>
      <c r="L367" s="197"/>
      <c r="M367" s="196"/>
      <c r="N367" s="196"/>
      <c r="O367" s="196"/>
      <c r="P367" s="196"/>
      <c r="Q367" s="196" t="s">
        <v>452</v>
      </c>
      <c r="R367" s="198"/>
      <c r="S367" s="724"/>
      <c r="T367" s="724"/>
      <c r="U367" s="724"/>
      <c r="V367" s="724"/>
      <c r="W367" s="724"/>
      <c r="X367" s="199">
        <f>SUM(X368,X387)</f>
        <v>92760000</v>
      </c>
      <c r="Y367" s="725" t="s">
        <v>25</v>
      </c>
      <c r="Z367" s="1"/>
    </row>
    <row r="368" spans="1:26" ht="21" customHeight="1">
      <c r="A368" s="33"/>
      <c r="B368" s="34"/>
      <c r="C368" s="24" t="s">
        <v>526</v>
      </c>
      <c r="D368" s="335" t="s">
        <v>527</v>
      </c>
      <c r="E368" s="164">
        <f>SUM(E369,E372,E375,E379,E382)</f>
        <v>26057</v>
      </c>
      <c r="F368" s="164">
        <f>SUM(F369,F372,F375,F379,F382)</f>
        <v>26057</v>
      </c>
      <c r="G368" s="165">
        <f>F368-E368</f>
        <v>0</v>
      </c>
      <c r="H368" s="166">
        <f>IF(E368=0,0,G368/E368)</f>
        <v>0</v>
      </c>
      <c r="I368" s="149" t="s">
        <v>528</v>
      </c>
      <c r="J368" s="150"/>
      <c r="K368" s="151"/>
      <c r="L368" s="151"/>
      <c r="M368" s="151"/>
      <c r="N368" s="151"/>
      <c r="O368" s="151"/>
      <c r="P368" s="152"/>
      <c r="Q368" s="152"/>
      <c r="R368" s="152"/>
      <c r="S368" s="152"/>
      <c r="T368" s="152"/>
      <c r="U368" s="152"/>
      <c r="V368" s="179" t="s">
        <v>529</v>
      </c>
      <c r="W368" s="180"/>
      <c r="X368" s="181">
        <f>SUM(X369,X372,X375,X379,X382)</f>
        <v>26057000</v>
      </c>
      <c r="Y368" s="208" t="s">
        <v>530</v>
      </c>
      <c r="Z368" s="1"/>
    </row>
    <row r="369" spans="1:28" ht="21" customHeight="1">
      <c r="A369" s="33"/>
      <c r="B369" s="34"/>
      <c r="C369" s="34" t="s">
        <v>533</v>
      </c>
      <c r="D369" s="404" t="s">
        <v>531</v>
      </c>
      <c r="E369" s="25">
        <v>0</v>
      </c>
      <c r="F369" s="25">
        <f>ROUND(X369/1000,0)</f>
        <v>0</v>
      </c>
      <c r="G369" s="26">
        <f>F369-E369</f>
        <v>0</v>
      </c>
      <c r="H369" s="27">
        <f>IF(E369=0,0,G369/E369)</f>
        <v>0</v>
      </c>
      <c r="I369" s="107" t="s">
        <v>532</v>
      </c>
      <c r="J369" s="120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774" t="s">
        <v>529</v>
      </c>
      <c r="W369" s="774"/>
      <c r="X369" s="109">
        <f>ROUNDUP(SUM(W370:X371),-3)</f>
        <v>0</v>
      </c>
      <c r="Y369" s="110" t="s">
        <v>530</v>
      </c>
      <c r="Z369" s="1"/>
    </row>
    <row r="370" spans="1:28" ht="21" customHeight="1">
      <c r="A370" s="33"/>
      <c r="B370" s="34"/>
      <c r="C370" s="34"/>
      <c r="D370" s="405"/>
      <c r="E370" s="36"/>
      <c r="F370" s="36"/>
      <c r="G370" s="37"/>
      <c r="H370" s="21"/>
      <c r="I370" s="223"/>
      <c r="J370" s="230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464"/>
      <c r="W370" s="464"/>
      <c r="X370" s="51">
        <v>0</v>
      </c>
      <c r="Y370" s="42" t="s">
        <v>530</v>
      </c>
      <c r="Z370" s="1"/>
    </row>
    <row r="371" spans="1:28" ht="21" customHeight="1">
      <c r="A371" s="33"/>
      <c r="B371" s="34"/>
      <c r="C371" s="34"/>
      <c r="D371" s="400"/>
      <c r="E371" s="401"/>
      <c r="F371" s="402"/>
      <c r="G371" s="402"/>
      <c r="H371" s="403"/>
      <c r="I371" s="224"/>
      <c r="J371" s="273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46"/>
      <c r="W371" s="146"/>
      <c r="X371" s="271">
        <v>0</v>
      </c>
      <c r="Y371" s="56" t="s">
        <v>530</v>
      </c>
      <c r="Z371" s="1"/>
    </row>
    <row r="372" spans="1:28" ht="21" customHeight="1">
      <c r="A372" s="33"/>
      <c r="B372" s="34"/>
      <c r="C372" s="34"/>
      <c r="D372" s="24" t="s">
        <v>534</v>
      </c>
      <c r="E372" s="25">
        <v>14859</v>
      </c>
      <c r="F372" s="25">
        <f>ROUND(X372/1000,0)</f>
        <v>14859</v>
      </c>
      <c r="G372" s="26">
        <f>F372-E372</f>
        <v>0</v>
      </c>
      <c r="H372" s="27">
        <f>IF(E372=0,0,G372/E372)</f>
        <v>0</v>
      </c>
      <c r="I372" s="107" t="s">
        <v>535</v>
      </c>
      <c r="J372" s="120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774" t="s">
        <v>529</v>
      </c>
      <c r="W372" s="774"/>
      <c r="X372" s="109">
        <f>ROUNDUP(SUM(W373:X374),-3)</f>
        <v>14859000</v>
      </c>
      <c r="Y372" s="110" t="s">
        <v>530</v>
      </c>
    </row>
    <row r="373" spans="1:28" ht="21" customHeight="1">
      <c r="A373" s="33"/>
      <c r="B373" s="34"/>
      <c r="C373" s="34"/>
      <c r="D373" s="34"/>
      <c r="E373" s="36"/>
      <c r="F373" s="36"/>
      <c r="G373" s="37"/>
      <c r="H373" s="21"/>
      <c r="I373" s="223" t="s">
        <v>536</v>
      </c>
      <c r="J373" s="230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464"/>
      <c r="W373" s="464"/>
      <c r="X373" s="51">
        <v>14859000</v>
      </c>
      <c r="Y373" s="42" t="s">
        <v>530</v>
      </c>
    </row>
    <row r="374" spans="1:28" ht="21" customHeight="1">
      <c r="A374" s="33"/>
      <c r="B374" s="34"/>
      <c r="C374" s="34"/>
      <c r="D374" s="44"/>
      <c r="E374" s="46"/>
      <c r="F374" s="46"/>
      <c r="G374" s="47"/>
      <c r="H374" s="148"/>
      <c r="I374" s="224" t="s">
        <v>537</v>
      </c>
      <c r="J374" s="273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46"/>
      <c r="W374" s="146"/>
      <c r="X374" s="55">
        <v>0</v>
      </c>
      <c r="Y374" s="56" t="s">
        <v>530</v>
      </c>
    </row>
    <row r="375" spans="1:28" ht="21" customHeight="1">
      <c r="A375" s="33"/>
      <c r="B375" s="34"/>
      <c r="C375" s="34"/>
      <c r="D375" s="24" t="s">
        <v>538</v>
      </c>
      <c r="E375" s="25">
        <v>6342</v>
      </c>
      <c r="F375" s="25">
        <f>ROUND(X375/1000,0)</f>
        <v>6342</v>
      </c>
      <c r="G375" s="26">
        <f>F375-E375</f>
        <v>0</v>
      </c>
      <c r="H375" s="27">
        <f>IF(E375=0,0,G375/E375)</f>
        <v>0</v>
      </c>
      <c r="I375" s="107" t="s">
        <v>539</v>
      </c>
      <c r="J375" s="120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774" t="s">
        <v>529</v>
      </c>
      <c r="W375" s="774"/>
      <c r="X375" s="109">
        <f>ROUNDUP(SUM(W376:X377),-3)</f>
        <v>6342000</v>
      </c>
      <c r="Y375" s="110" t="s">
        <v>530</v>
      </c>
    </row>
    <row r="376" spans="1:28" ht="21" customHeight="1">
      <c r="A376" s="33"/>
      <c r="B376" s="34"/>
      <c r="C376" s="34"/>
      <c r="D376" s="34"/>
      <c r="E376" s="36"/>
      <c r="F376" s="36"/>
      <c r="G376" s="37"/>
      <c r="H376" s="21"/>
      <c r="I376" s="223" t="s">
        <v>540</v>
      </c>
      <c r="J376" s="230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464"/>
      <c r="W376" s="464"/>
      <c r="X376" s="51">
        <v>6104000</v>
      </c>
      <c r="Y376" s="42" t="s">
        <v>530</v>
      </c>
      <c r="Z376" s="560"/>
      <c r="AA376" s="561"/>
      <c r="AB376" s="561"/>
    </row>
    <row r="377" spans="1:28" ht="21" customHeight="1">
      <c r="A377" s="33"/>
      <c r="B377" s="34"/>
      <c r="C377" s="34"/>
      <c r="D377" s="34"/>
      <c r="E377" s="36"/>
      <c r="F377" s="36"/>
      <c r="G377" s="37"/>
      <c r="H377" s="21"/>
      <c r="I377" s="223" t="s">
        <v>541</v>
      </c>
      <c r="J377" s="230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464"/>
      <c r="W377" s="464"/>
      <c r="X377" s="51">
        <v>238000</v>
      </c>
      <c r="Y377" s="42" t="s">
        <v>530</v>
      </c>
      <c r="Z377" s="560"/>
    </row>
    <row r="378" spans="1:28" ht="21" customHeight="1">
      <c r="A378" s="33"/>
      <c r="B378" s="34"/>
      <c r="C378" s="34"/>
      <c r="D378" s="44"/>
      <c r="E378" s="46"/>
      <c r="F378" s="46"/>
      <c r="G378" s="47"/>
      <c r="H378" s="148"/>
      <c r="I378" s="54"/>
      <c r="J378" s="273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46"/>
      <c r="W378" s="146"/>
      <c r="X378" s="55"/>
      <c r="Y378" s="56"/>
    </row>
    <row r="379" spans="1:28" ht="21" customHeight="1">
      <c r="A379" s="33"/>
      <c r="B379" s="34"/>
      <c r="C379" s="34"/>
      <c r="D379" s="24" t="s">
        <v>214</v>
      </c>
      <c r="E379" s="25">
        <v>600</v>
      </c>
      <c r="F379" s="25">
        <f>ROUND(X379/1000,0)</f>
        <v>600</v>
      </c>
      <c r="G379" s="26">
        <f>F379-E379</f>
        <v>0</v>
      </c>
      <c r="H379" s="27">
        <f>IF(E379=0,0,G379/E379)</f>
        <v>0</v>
      </c>
      <c r="I379" s="107" t="s">
        <v>674</v>
      </c>
      <c r="J379" s="120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774" t="s">
        <v>529</v>
      </c>
      <c r="W379" s="774"/>
      <c r="X379" s="109">
        <f>X380</f>
        <v>600000</v>
      </c>
      <c r="Y379" s="110" t="s">
        <v>530</v>
      </c>
    </row>
    <row r="380" spans="1:28" ht="21" customHeight="1">
      <c r="A380" s="33"/>
      <c r="B380" s="34"/>
      <c r="C380" s="34"/>
      <c r="D380" s="34" t="s">
        <v>636</v>
      </c>
      <c r="E380" s="36"/>
      <c r="F380" s="36"/>
      <c r="G380" s="37"/>
      <c r="H380" s="21"/>
      <c r="I380" s="223" t="s">
        <v>637</v>
      </c>
      <c r="J380" s="230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482"/>
      <c r="W380" s="482"/>
      <c r="X380" s="51">
        <v>600000</v>
      </c>
      <c r="Y380" s="42" t="s">
        <v>530</v>
      </c>
    </row>
    <row r="381" spans="1:28" ht="21" customHeight="1">
      <c r="A381" s="33"/>
      <c r="B381" s="34"/>
      <c r="C381" s="34"/>
      <c r="D381" s="44"/>
      <c r="E381" s="46"/>
      <c r="F381" s="46"/>
      <c r="G381" s="47"/>
      <c r="H381" s="148"/>
      <c r="I381" s="224"/>
      <c r="J381" s="273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46"/>
      <c r="W381" s="146"/>
      <c r="X381" s="55"/>
      <c r="Y381" s="56"/>
    </row>
    <row r="382" spans="1:28" ht="21" customHeight="1">
      <c r="A382" s="33"/>
      <c r="B382" s="34"/>
      <c r="C382" s="34"/>
      <c r="D382" s="416" t="s">
        <v>542</v>
      </c>
      <c r="E382" s="387">
        <v>4256</v>
      </c>
      <c r="F382" s="25">
        <f>ROUND(X382/1000,0)</f>
        <v>4256</v>
      </c>
      <c r="G382" s="423">
        <f>F382-E382</f>
        <v>0</v>
      </c>
      <c r="H382" s="424">
        <f>IF(E382=0,0,G382/E382)</f>
        <v>0</v>
      </c>
      <c r="I382" s="107" t="s">
        <v>635</v>
      </c>
      <c r="J382" s="120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774" t="s">
        <v>529</v>
      </c>
      <c r="W382" s="774"/>
      <c r="X382" s="109">
        <f>ROUND(SUM(X383:X385),-3)</f>
        <v>4256000</v>
      </c>
      <c r="Y382" s="110" t="s">
        <v>56</v>
      </c>
      <c r="Z382" s="1"/>
    </row>
    <row r="383" spans="1:28" ht="21" customHeight="1">
      <c r="A383" s="33"/>
      <c r="B383" s="34"/>
      <c r="C383" s="34"/>
      <c r="D383" s="416" t="s">
        <v>544</v>
      </c>
      <c r="E383" s="387"/>
      <c r="F383" s="387"/>
      <c r="G383" s="423"/>
      <c r="H383" s="424"/>
      <c r="I383" s="223" t="s">
        <v>543</v>
      </c>
      <c r="J383" s="484"/>
      <c r="K383" s="483"/>
      <c r="L383" s="483"/>
      <c r="M383" s="483"/>
      <c r="N383" s="483"/>
      <c r="O383" s="483"/>
      <c r="P383" s="483"/>
      <c r="Q383" s="483"/>
      <c r="R383" s="483"/>
      <c r="S383" s="483"/>
      <c r="T383" s="483"/>
      <c r="U383" s="483"/>
      <c r="V383" s="475"/>
      <c r="W383" s="475"/>
      <c r="X383" s="659">
        <v>1608000</v>
      </c>
      <c r="Y383" s="103" t="s">
        <v>56</v>
      </c>
      <c r="Z383" s="1"/>
    </row>
    <row r="384" spans="1:28" ht="21" customHeight="1">
      <c r="A384" s="33"/>
      <c r="B384" s="34"/>
      <c r="C384" s="34"/>
      <c r="D384" s="416"/>
      <c r="E384" s="387"/>
      <c r="F384" s="387"/>
      <c r="G384" s="423"/>
      <c r="H384" s="424"/>
      <c r="I384" s="223" t="s">
        <v>545</v>
      </c>
      <c r="J384" s="466"/>
      <c r="K384" s="465"/>
      <c r="L384" s="465"/>
      <c r="M384" s="465"/>
      <c r="N384" s="465"/>
      <c r="O384" s="465"/>
      <c r="P384" s="465"/>
      <c r="Q384" s="465"/>
      <c r="R384" s="465"/>
      <c r="S384" s="465"/>
      <c r="T384" s="465"/>
      <c r="U384" s="465"/>
      <c r="V384" s="469"/>
      <c r="W384" s="469"/>
      <c r="X384" s="659">
        <f>ROUNDUP(1827250,-3)</f>
        <v>1828000</v>
      </c>
      <c r="Y384" s="103" t="s">
        <v>380</v>
      </c>
      <c r="Z384" s="1"/>
    </row>
    <row r="385" spans="1:45" ht="21" customHeight="1">
      <c r="A385" s="33"/>
      <c r="B385" s="34"/>
      <c r="C385" s="34"/>
      <c r="D385" s="416"/>
      <c r="E385" s="387"/>
      <c r="F385" s="387"/>
      <c r="G385" s="423"/>
      <c r="H385" s="424"/>
      <c r="I385" s="223" t="s">
        <v>546</v>
      </c>
      <c r="J385" s="466"/>
      <c r="K385" s="465"/>
      <c r="L385" s="465"/>
      <c r="M385" s="465"/>
      <c r="N385" s="465"/>
      <c r="O385" s="465"/>
      <c r="P385" s="465"/>
      <c r="Q385" s="465"/>
      <c r="R385" s="465"/>
      <c r="S385" s="465"/>
      <c r="T385" s="465"/>
      <c r="U385" s="465"/>
      <c r="V385" s="469"/>
      <c r="W385" s="469"/>
      <c r="X385" s="659">
        <v>820000</v>
      </c>
      <c r="Y385" s="103" t="s">
        <v>380</v>
      </c>
      <c r="Z385" s="1"/>
    </row>
    <row r="386" spans="1:45" ht="21" customHeight="1">
      <c r="A386" s="33"/>
      <c r="B386" s="34"/>
      <c r="C386" s="34"/>
      <c r="D386" s="416"/>
      <c r="E386" s="387"/>
      <c r="F386" s="387"/>
      <c r="G386" s="423"/>
      <c r="H386" s="424"/>
      <c r="I386" s="223"/>
      <c r="J386" s="466"/>
      <c r="K386" s="465"/>
      <c r="L386" s="465"/>
      <c r="M386" s="465"/>
      <c r="N386" s="469"/>
      <c r="O386" s="298"/>
      <c r="P386" s="301"/>
      <c r="Q386" s="298"/>
      <c r="R386" s="302"/>
      <c r="S386" s="59"/>
      <c r="T386" s="59"/>
      <c r="U386" s="469"/>
      <c r="V386" s="465"/>
      <c r="W386" s="470"/>
      <c r="X386" s="659"/>
      <c r="Y386" s="103"/>
      <c r="Z386" s="1"/>
    </row>
    <row r="387" spans="1:45" ht="21" customHeight="1">
      <c r="A387" s="33"/>
      <c r="B387" s="34"/>
      <c r="C387" s="24" t="s">
        <v>547</v>
      </c>
      <c r="D387" s="335" t="s">
        <v>406</v>
      </c>
      <c r="E387" s="164">
        <f>E388+E396</f>
        <v>66705</v>
      </c>
      <c r="F387" s="164">
        <f>SUM(F388,F396)</f>
        <v>66703</v>
      </c>
      <c r="G387" s="165">
        <f>F387-E387</f>
        <v>-2</v>
      </c>
      <c r="H387" s="166">
        <f>IF(E387=0,0,G387/E387)</f>
        <v>-2.9982759913049995E-5</v>
      </c>
      <c r="I387" s="149" t="s">
        <v>548</v>
      </c>
      <c r="J387" s="150"/>
      <c r="K387" s="151"/>
      <c r="L387" s="151"/>
      <c r="M387" s="151"/>
      <c r="N387" s="151"/>
      <c r="O387" s="151"/>
      <c r="P387" s="152"/>
      <c r="Q387" s="152"/>
      <c r="R387" s="152"/>
      <c r="S387" s="152"/>
      <c r="T387" s="152"/>
      <c r="U387" s="152"/>
      <c r="V387" s="179" t="s">
        <v>378</v>
      </c>
      <c r="W387" s="180"/>
      <c r="X387" s="109">
        <f>X388+X396</f>
        <v>66703000</v>
      </c>
      <c r="Y387" s="208" t="s">
        <v>380</v>
      </c>
    </row>
    <row r="388" spans="1:45" ht="21" customHeight="1">
      <c r="A388" s="33"/>
      <c r="B388" s="34"/>
      <c r="C388" s="34" t="s">
        <v>549</v>
      </c>
      <c r="D388" s="34" t="s">
        <v>550</v>
      </c>
      <c r="E388" s="36">
        <v>29096</v>
      </c>
      <c r="F388" s="36">
        <f>ROUND(X388/1000,0)</f>
        <v>29094</v>
      </c>
      <c r="G388" s="26">
        <f>F388-E388</f>
        <v>-2</v>
      </c>
      <c r="H388" s="27">
        <f>IF(E388=0,0,G388/E388)</f>
        <v>-6.8737970855100363E-5</v>
      </c>
      <c r="I388" s="223" t="s">
        <v>551</v>
      </c>
      <c r="J388" s="466"/>
      <c r="K388" s="465"/>
      <c r="L388" s="465"/>
      <c r="M388" s="465"/>
      <c r="N388" s="465"/>
      <c r="O388" s="465"/>
      <c r="P388" s="465"/>
      <c r="Q388" s="413"/>
      <c r="R388" s="413"/>
      <c r="S388" s="413"/>
      <c r="T388" s="465"/>
      <c r="U388" s="465"/>
      <c r="V388" s="465"/>
      <c r="W388" s="470"/>
      <c r="X388" s="109">
        <f>ROUNDUP(SUM(W389:X395),-3)</f>
        <v>29094000</v>
      </c>
      <c r="Y388" s="103" t="s">
        <v>380</v>
      </c>
    </row>
    <row r="389" spans="1:45" ht="21" customHeight="1">
      <c r="A389" s="33"/>
      <c r="B389" s="34"/>
      <c r="C389" s="34" t="s">
        <v>523</v>
      </c>
      <c r="D389" s="34" t="s">
        <v>553</v>
      </c>
      <c r="E389" s="36"/>
      <c r="F389" s="36"/>
      <c r="G389" s="37"/>
      <c r="H389" s="21"/>
      <c r="I389" s="223" t="s">
        <v>722</v>
      </c>
      <c r="J389" s="466"/>
      <c r="K389" s="465"/>
      <c r="L389" s="465"/>
      <c r="M389" s="465"/>
      <c r="N389" s="465"/>
      <c r="O389" s="465"/>
      <c r="P389" s="465"/>
      <c r="Q389" s="413"/>
      <c r="R389" s="413"/>
      <c r="S389" s="413"/>
      <c r="T389" s="465"/>
      <c r="U389" s="465"/>
      <c r="V389" s="465"/>
      <c r="W389" s="470"/>
      <c r="X389" s="476">
        <v>2322000</v>
      </c>
      <c r="Y389" s="103" t="s">
        <v>380</v>
      </c>
    </row>
    <row r="390" spans="1:45" ht="21" customHeight="1">
      <c r="A390" s="33"/>
      <c r="B390" s="34"/>
      <c r="C390" s="34"/>
      <c r="D390" s="34"/>
      <c r="E390" s="36"/>
      <c r="F390" s="36"/>
      <c r="G390" s="37"/>
      <c r="H390" s="21"/>
      <c r="I390" s="223" t="s">
        <v>616</v>
      </c>
      <c r="J390" s="466"/>
      <c r="K390" s="465"/>
      <c r="L390" s="465"/>
      <c r="M390" s="465"/>
      <c r="N390" s="465"/>
      <c r="O390" s="465"/>
      <c r="P390" s="465"/>
      <c r="Q390" s="413"/>
      <c r="R390" s="413"/>
      <c r="S390" s="413"/>
      <c r="T390" s="465"/>
      <c r="U390" s="465"/>
      <c r="V390" s="465"/>
      <c r="W390" s="470"/>
      <c r="X390" s="476">
        <v>2059000</v>
      </c>
      <c r="Y390" s="103" t="s">
        <v>380</v>
      </c>
    </row>
    <row r="391" spans="1:45" ht="21" customHeight="1">
      <c r="A391" s="33"/>
      <c r="B391" s="34"/>
      <c r="C391" s="34"/>
      <c r="D391" s="34"/>
      <c r="E391" s="36"/>
      <c r="F391" s="36"/>
      <c r="G391" s="37"/>
      <c r="H391" s="21"/>
      <c r="I391" s="223" t="s">
        <v>617</v>
      </c>
      <c r="J391" s="466"/>
      <c r="K391" s="465"/>
      <c r="L391" s="465"/>
      <c r="M391" s="465"/>
      <c r="N391" s="465"/>
      <c r="O391" s="465"/>
      <c r="P391" s="465"/>
      <c r="Q391" s="413"/>
      <c r="R391" s="413"/>
      <c r="S391" s="413"/>
      <c r="T391" s="465"/>
      <c r="U391" s="465"/>
      <c r="V391" s="465"/>
      <c r="W391" s="470"/>
      <c r="X391" s="476">
        <v>17592000</v>
      </c>
      <c r="Y391" s="103" t="s">
        <v>380</v>
      </c>
    </row>
    <row r="392" spans="1:45" ht="21" customHeight="1">
      <c r="A392" s="33"/>
      <c r="B392" s="34"/>
      <c r="C392" s="34"/>
      <c r="D392" s="34"/>
      <c r="E392" s="36"/>
      <c r="F392" s="36"/>
      <c r="G392" s="37"/>
      <c r="H392" s="21"/>
      <c r="I392" s="223" t="s">
        <v>618</v>
      </c>
      <c r="J392" s="500"/>
      <c r="K392" s="483"/>
      <c r="L392" s="483"/>
      <c r="M392" s="483"/>
      <c r="N392" s="483"/>
      <c r="O392" s="483"/>
      <c r="P392" s="483"/>
      <c r="Q392" s="413"/>
      <c r="R392" s="413"/>
      <c r="S392" s="413"/>
      <c r="T392" s="483"/>
      <c r="U392" s="483"/>
      <c r="V392" s="483"/>
      <c r="W392" s="476"/>
      <c r="X392" s="476">
        <v>780000</v>
      </c>
      <c r="Y392" s="103" t="s">
        <v>614</v>
      </c>
    </row>
    <row r="393" spans="1:45" ht="21" customHeight="1">
      <c r="A393" s="33"/>
      <c r="B393" s="34"/>
      <c r="C393" s="34"/>
      <c r="D393" s="34"/>
      <c r="E393" s="36"/>
      <c r="F393" s="36"/>
      <c r="G393" s="37"/>
      <c r="H393" s="21"/>
      <c r="I393" s="223" t="s">
        <v>613</v>
      </c>
      <c r="J393" s="466"/>
      <c r="K393" s="465"/>
      <c r="L393" s="465"/>
      <c r="M393" s="465"/>
      <c r="N393" s="465"/>
      <c r="O393" s="465"/>
      <c r="P393" s="465"/>
      <c r="Q393" s="413"/>
      <c r="R393" s="413"/>
      <c r="S393" s="413"/>
      <c r="T393" s="465"/>
      <c r="U393" s="465"/>
      <c r="V393" s="465"/>
      <c r="W393" s="470"/>
      <c r="X393" s="476">
        <v>851000</v>
      </c>
      <c r="Y393" s="103" t="s">
        <v>380</v>
      </c>
    </row>
    <row r="394" spans="1:45" ht="21" customHeight="1">
      <c r="A394" s="33"/>
      <c r="B394" s="34"/>
      <c r="C394" s="34"/>
      <c r="D394" s="34"/>
      <c r="E394" s="36"/>
      <c r="F394" s="36"/>
      <c r="G394" s="37"/>
      <c r="H394" s="21"/>
      <c r="I394" s="223" t="s">
        <v>615</v>
      </c>
      <c r="J394" s="484"/>
      <c r="K394" s="483"/>
      <c r="L394" s="483"/>
      <c r="M394" s="483"/>
      <c r="N394" s="483"/>
      <c r="O394" s="483"/>
      <c r="P394" s="483"/>
      <c r="Q394" s="413"/>
      <c r="R394" s="413"/>
      <c r="S394" s="413"/>
      <c r="T394" s="483"/>
      <c r="U394" s="483"/>
      <c r="V394" s="483"/>
      <c r="W394" s="476"/>
      <c r="X394" s="476">
        <v>2000000</v>
      </c>
      <c r="Y394" s="103" t="s">
        <v>614</v>
      </c>
    </row>
    <row r="395" spans="1:45" ht="21" customHeight="1">
      <c r="A395" s="33"/>
      <c r="B395" s="34"/>
      <c r="C395" s="34"/>
      <c r="D395" s="34"/>
      <c r="E395" s="36"/>
      <c r="F395" s="46"/>
      <c r="G395" s="37"/>
      <c r="H395" s="53"/>
      <c r="I395" s="224" t="s">
        <v>590</v>
      </c>
      <c r="J395" s="468"/>
      <c r="K395" s="467"/>
      <c r="L395" s="467"/>
      <c r="M395" s="467"/>
      <c r="N395" s="467"/>
      <c r="O395" s="467"/>
      <c r="P395" s="467"/>
      <c r="Q395" s="422"/>
      <c r="R395" s="422"/>
      <c r="S395" s="422"/>
      <c r="T395" s="467"/>
      <c r="U395" s="467"/>
      <c r="V395" s="467"/>
      <c r="W395" s="317"/>
      <c r="X395" s="317">
        <v>3490000</v>
      </c>
      <c r="Y395" s="309" t="s">
        <v>380</v>
      </c>
    </row>
    <row r="396" spans="1:45" ht="21" customHeight="1">
      <c r="A396" s="33"/>
      <c r="B396" s="34"/>
      <c r="C396" s="34"/>
      <c r="D396" s="24" t="s">
        <v>550</v>
      </c>
      <c r="E396" s="25">
        <v>37609</v>
      </c>
      <c r="F396" s="25">
        <f>ROUND(X396/1000,0)</f>
        <v>37609</v>
      </c>
      <c r="G396" s="26">
        <f>F396-E396</f>
        <v>0</v>
      </c>
      <c r="H396" s="27">
        <f>IF(E396=0,0,G396/E396)</f>
        <v>0</v>
      </c>
      <c r="I396" s="226" t="s">
        <v>554</v>
      </c>
      <c r="J396" s="240"/>
      <c r="K396" s="228"/>
      <c r="L396" s="228"/>
      <c r="M396" s="228"/>
      <c r="N396" s="228"/>
      <c r="O396" s="228"/>
      <c r="P396" s="228"/>
      <c r="Q396" s="420"/>
      <c r="R396" s="420"/>
      <c r="S396" s="420"/>
      <c r="T396" s="228"/>
      <c r="U396" s="228"/>
      <c r="V396" s="228"/>
      <c r="W396" s="421"/>
      <c r="X396" s="421">
        <v>37609000</v>
      </c>
      <c r="Y396" s="305" t="s">
        <v>380</v>
      </c>
    </row>
    <row r="397" spans="1:45" ht="21" customHeight="1">
      <c r="A397" s="33"/>
      <c r="B397" s="34"/>
      <c r="C397" s="34"/>
      <c r="D397" s="34" t="s">
        <v>555</v>
      </c>
      <c r="E397" s="36"/>
      <c r="F397" s="36"/>
      <c r="G397" s="37"/>
      <c r="H397" s="53"/>
      <c r="I397" s="223"/>
      <c r="J397" s="466"/>
      <c r="K397" s="465"/>
      <c r="L397" s="465"/>
      <c r="M397" s="465"/>
      <c r="N397" s="465"/>
      <c r="O397" s="465"/>
      <c r="P397" s="465"/>
      <c r="Q397" s="413"/>
      <c r="R397" s="413"/>
      <c r="S397" s="413"/>
      <c r="T397" s="465"/>
      <c r="U397" s="465"/>
      <c r="V397" s="465"/>
      <c r="W397" s="470"/>
      <c r="X397" s="476"/>
      <c r="Y397" s="103"/>
    </row>
    <row r="398" spans="1:45" ht="21" customHeight="1">
      <c r="A398" s="33"/>
      <c r="B398" s="34"/>
      <c r="C398" s="34"/>
      <c r="D398" s="34"/>
      <c r="E398" s="36"/>
      <c r="F398" s="36"/>
      <c r="G398" s="37"/>
      <c r="H398" s="53"/>
      <c r="I398" s="50"/>
      <c r="J398" s="230"/>
      <c r="K398" s="229"/>
      <c r="L398" s="229"/>
      <c r="M398" s="229"/>
      <c r="N398" s="229"/>
      <c r="O398" s="229"/>
      <c r="P398" s="229"/>
      <c r="Q398" s="39"/>
      <c r="R398" s="39"/>
      <c r="S398" s="39"/>
      <c r="T398" s="229"/>
      <c r="U398" s="229"/>
      <c r="V398" s="229"/>
      <c r="W398" s="51"/>
      <c r="X398" s="51"/>
      <c r="Y398" s="42"/>
    </row>
    <row r="399" spans="1:45" s="4" customFormat="1" ht="21" customHeight="1">
      <c r="A399" s="33" t="s">
        <v>556</v>
      </c>
      <c r="B399" s="68" t="s">
        <v>16</v>
      </c>
      <c r="C399" s="780" t="s">
        <v>450</v>
      </c>
      <c r="D399" s="781"/>
      <c r="E399" s="192">
        <f>SUM(E400,E404,E418)</f>
        <v>59805</v>
      </c>
      <c r="F399" s="192">
        <f>SUM(F400,F404,F418)</f>
        <v>58905</v>
      </c>
      <c r="G399" s="193">
        <f>F399-E399</f>
        <v>-900</v>
      </c>
      <c r="H399" s="194">
        <f>IF(E399=0,0,G399/E399)</f>
        <v>-1.5048908954100828E-2</v>
      </c>
      <c r="I399" s="195" t="s">
        <v>557</v>
      </c>
      <c r="J399" s="196"/>
      <c r="K399" s="197"/>
      <c r="L399" s="197"/>
      <c r="M399" s="196"/>
      <c r="N399" s="196"/>
      <c r="O399" s="196"/>
      <c r="P399" s="196"/>
      <c r="Q399" s="196" t="s">
        <v>452</v>
      </c>
      <c r="R399" s="198"/>
      <c r="S399" s="198"/>
      <c r="T399" s="198"/>
      <c r="U399" s="198"/>
      <c r="V399" s="198"/>
      <c r="W399" s="198"/>
      <c r="X399" s="206">
        <f>SUM(X400,X404,X418)</f>
        <v>58905000</v>
      </c>
      <c r="Y399" s="211" t="s">
        <v>380</v>
      </c>
      <c r="Z399" s="296"/>
      <c r="AA399" s="200"/>
      <c r="AB399" s="201"/>
      <c r="AC399" s="202"/>
      <c r="AD399" s="203"/>
      <c r="AE399" s="204"/>
      <c r="AF399" s="204"/>
      <c r="AG399" s="203"/>
      <c r="AH399" s="203"/>
      <c r="AI399" s="203"/>
      <c r="AJ399" s="203"/>
      <c r="AK399" s="203"/>
      <c r="AL399" s="202"/>
      <c r="AM399" s="202"/>
      <c r="AN399" s="202"/>
      <c r="AO399" s="202"/>
      <c r="AP399" s="202"/>
      <c r="AQ399" s="202"/>
      <c r="AR399" s="205"/>
      <c r="AS399" s="203"/>
    </row>
    <row r="400" spans="1:45" ht="21" customHeight="1">
      <c r="A400" s="33"/>
      <c r="B400" s="74"/>
      <c r="C400" s="24" t="s">
        <v>558</v>
      </c>
      <c r="D400" s="335" t="s">
        <v>406</v>
      </c>
      <c r="E400" s="164">
        <f>E401</f>
        <v>400</v>
      </c>
      <c r="F400" s="164">
        <f>F401</f>
        <v>400</v>
      </c>
      <c r="G400" s="165">
        <f>F400-E400</f>
        <v>0</v>
      </c>
      <c r="H400" s="166">
        <f>IF(E400=0,0,G400/E400)</f>
        <v>0</v>
      </c>
      <c r="I400" s="149" t="s">
        <v>559</v>
      </c>
      <c r="J400" s="150"/>
      <c r="K400" s="151"/>
      <c r="L400" s="151"/>
      <c r="M400" s="151"/>
      <c r="N400" s="151"/>
      <c r="O400" s="151"/>
      <c r="P400" s="152"/>
      <c r="Q400" s="152"/>
      <c r="R400" s="152"/>
      <c r="S400" s="152"/>
      <c r="T400" s="152"/>
      <c r="U400" s="152"/>
      <c r="V400" s="179" t="s">
        <v>378</v>
      </c>
      <c r="W400" s="180"/>
      <c r="X400" s="181">
        <f>SUM(X401:X401)</f>
        <v>400000</v>
      </c>
      <c r="Y400" s="208" t="s">
        <v>380</v>
      </c>
    </row>
    <row r="401" spans="1:26" s="9" customFormat="1" ht="19.5" customHeight="1">
      <c r="A401" s="45"/>
      <c r="B401" s="76"/>
      <c r="C401" s="34" t="s">
        <v>560</v>
      </c>
      <c r="D401" s="24" t="s">
        <v>561</v>
      </c>
      <c r="E401" s="25">
        <v>400</v>
      </c>
      <c r="F401" s="36">
        <f>ROUND(X401/1000,0)</f>
        <v>400</v>
      </c>
      <c r="G401" s="26">
        <f>F401-E401</f>
        <v>0</v>
      </c>
      <c r="H401" s="27">
        <f>IF(E401=0,0,G401/E401)</f>
        <v>0</v>
      </c>
      <c r="I401" s="107" t="s">
        <v>559</v>
      </c>
      <c r="J401" s="120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774" t="s">
        <v>378</v>
      </c>
      <c r="W401" s="774"/>
      <c r="X401" s="109">
        <f>ROUNDUP(SUM(W402:X403),-3)</f>
        <v>400000</v>
      </c>
      <c r="Y401" s="110" t="s">
        <v>380</v>
      </c>
      <c r="Z401" s="461"/>
    </row>
    <row r="402" spans="1:26" s="9" customFormat="1" ht="19.5" customHeight="1">
      <c r="A402" s="45"/>
      <c r="B402" s="76"/>
      <c r="C402" s="34"/>
      <c r="D402" s="34"/>
      <c r="E402" s="36"/>
      <c r="F402" s="36"/>
      <c r="G402" s="37"/>
      <c r="H402" s="21"/>
      <c r="I402" s="223"/>
      <c r="J402" s="466"/>
      <c r="K402" s="465"/>
      <c r="L402" s="465"/>
      <c r="M402" s="465"/>
      <c r="N402" s="465"/>
      <c r="O402" s="465"/>
      <c r="P402" s="465"/>
      <c r="Q402" s="465"/>
      <c r="R402" s="465"/>
      <c r="S402" s="465"/>
      <c r="T402" s="465"/>
      <c r="U402" s="465"/>
      <c r="V402" s="469"/>
      <c r="W402" s="469"/>
      <c r="X402" s="219">
        <v>400000</v>
      </c>
      <c r="Y402" s="103" t="s">
        <v>380</v>
      </c>
      <c r="Z402" s="461"/>
    </row>
    <row r="403" spans="1:26" s="9" customFormat="1" ht="19.5" customHeight="1">
      <c r="A403" s="45"/>
      <c r="B403" s="70"/>
      <c r="C403" s="34"/>
      <c r="D403" s="34"/>
      <c r="E403" s="36"/>
      <c r="F403" s="36"/>
      <c r="G403" s="37"/>
      <c r="H403" s="21"/>
      <c r="I403" s="223"/>
      <c r="J403" s="466"/>
      <c r="K403" s="465"/>
      <c r="L403" s="465"/>
      <c r="M403" s="465"/>
      <c r="N403" s="469"/>
      <c r="O403" s="298"/>
      <c r="P403" s="301"/>
      <c r="Q403" s="298"/>
      <c r="R403" s="302"/>
      <c r="S403" s="59"/>
      <c r="T403" s="59"/>
      <c r="U403" s="469"/>
      <c r="V403" s="465"/>
      <c r="W403" s="470"/>
      <c r="X403" s="476"/>
      <c r="Y403" s="103"/>
      <c r="Z403" s="461"/>
    </row>
    <row r="404" spans="1:26" s="9" customFormat="1" ht="19.5" customHeight="1">
      <c r="A404" s="45"/>
      <c r="B404" s="70"/>
      <c r="C404" s="24" t="s">
        <v>562</v>
      </c>
      <c r="D404" s="335" t="s">
        <v>406</v>
      </c>
      <c r="E404" s="164">
        <f>E405</f>
        <v>405</v>
      </c>
      <c r="F404" s="164">
        <f>F405</f>
        <v>605</v>
      </c>
      <c r="G404" s="165">
        <f>F404-E404</f>
        <v>200</v>
      </c>
      <c r="H404" s="166">
        <f>IF(E404=0,0,G404/E404)</f>
        <v>0.49382716049382713</v>
      </c>
      <c r="I404" s="149" t="s">
        <v>563</v>
      </c>
      <c r="J404" s="150"/>
      <c r="K404" s="151"/>
      <c r="L404" s="151"/>
      <c r="M404" s="151"/>
      <c r="N404" s="151"/>
      <c r="O404" s="151"/>
      <c r="P404" s="152"/>
      <c r="Q404" s="152"/>
      <c r="R404" s="152"/>
      <c r="S404" s="152"/>
      <c r="T404" s="152"/>
      <c r="U404" s="152"/>
      <c r="V404" s="179" t="s">
        <v>378</v>
      </c>
      <c r="W404" s="180"/>
      <c r="X404" s="180">
        <f>SUM(X405:X405)</f>
        <v>605000</v>
      </c>
      <c r="Y404" s="208" t="s">
        <v>380</v>
      </c>
      <c r="Z404" s="461"/>
    </row>
    <row r="405" spans="1:26" s="9" customFormat="1" ht="19.5" customHeight="1">
      <c r="A405" s="45"/>
      <c r="B405" s="70"/>
      <c r="C405" s="34" t="s">
        <v>564</v>
      </c>
      <c r="D405" s="34" t="s">
        <v>565</v>
      </c>
      <c r="E405" s="36">
        <v>405</v>
      </c>
      <c r="F405" s="36">
        <f>ROUND(X405/1000,0)</f>
        <v>605</v>
      </c>
      <c r="G405" s="26">
        <f>F405-E405</f>
        <v>200</v>
      </c>
      <c r="H405" s="27">
        <f>IF(E405=0,0,G405/E405)</f>
        <v>0.49382716049382713</v>
      </c>
      <c r="I405" s="107" t="s">
        <v>566</v>
      </c>
      <c r="J405" s="120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774"/>
      <c r="W405" s="774"/>
      <c r="X405" s="109">
        <f>ROUND(SUM(W406:X417),-3)</f>
        <v>605000</v>
      </c>
      <c r="Y405" s="110" t="s">
        <v>380</v>
      </c>
      <c r="Z405" s="461"/>
    </row>
    <row r="406" spans="1:26" s="9" customFormat="1" ht="19.5" customHeight="1">
      <c r="A406" s="45"/>
      <c r="B406" s="70"/>
      <c r="C406" s="34" t="s">
        <v>453</v>
      </c>
      <c r="D406" s="34" t="s">
        <v>567</v>
      </c>
      <c r="E406" s="36"/>
      <c r="F406" s="36"/>
      <c r="G406" s="37"/>
      <c r="H406" s="53"/>
      <c r="I406" s="50" t="s">
        <v>568</v>
      </c>
      <c r="J406" s="230"/>
      <c r="K406" s="229"/>
      <c r="L406" s="229"/>
      <c r="M406" s="229"/>
      <c r="N406" s="229"/>
      <c r="O406" s="229"/>
      <c r="P406" s="229"/>
      <c r="Q406" s="39"/>
      <c r="R406" s="39"/>
      <c r="S406" s="39"/>
      <c r="T406" s="229"/>
      <c r="U406" s="229"/>
      <c r="V406" s="229"/>
      <c r="W406" s="51"/>
      <c r="X406" s="51">
        <v>250000</v>
      </c>
      <c r="Y406" s="42" t="s">
        <v>380</v>
      </c>
      <c r="Z406" s="461"/>
    </row>
    <row r="407" spans="1:26" s="9" customFormat="1" ht="19.5" customHeight="1">
      <c r="A407" s="45"/>
      <c r="B407" s="70"/>
      <c r="C407" s="34"/>
      <c r="D407" s="34"/>
      <c r="E407" s="36"/>
      <c r="F407" s="36"/>
      <c r="G407" s="37"/>
      <c r="H407" s="53"/>
      <c r="I407" s="50" t="s">
        <v>569</v>
      </c>
      <c r="J407" s="230"/>
      <c r="K407" s="229"/>
      <c r="L407" s="229"/>
      <c r="M407" s="229"/>
      <c r="N407" s="229"/>
      <c r="O407" s="229"/>
      <c r="P407" s="229"/>
      <c r="Q407" s="39"/>
      <c r="R407" s="39"/>
      <c r="S407" s="39"/>
      <c r="T407" s="229"/>
      <c r="U407" s="229"/>
      <c r="V407" s="229"/>
      <c r="W407" s="51"/>
      <c r="X407" s="51">
        <v>5000</v>
      </c>
      <c r="Y407" s="42" t="s">
        <v>380</v>
      </c>
      <c r="Z407" s="461"/>
    </row>
    <row r="408" spans="1:26" s="9" customFormat="1" ht="19.5" customHeight="1">
      <c r="A408" s="45"/>
      <c r="B408" s="70"/>
      <c r="C408" s="34"/>
      <c r="D408" s="34"/>
      <c r="E408" s="36"/>
      <c r="F408" s="36"/>
      <c r="G408" s="37"/>
      <c r="H408" s="53"/>
      <c r="I408" s="50" t="s">
        <v>570</v>
      </c>
      <c r="J408" s="230"/>
      <c r="K408" s="229"/>
      <c r="L408" s="229"/>
      <c r="M408" s="229"/>
      <c r="N408" s="229"/>
      <c r="O408" s="229"/>
      <c r="P408" s="229"/>
      <c r="Q408" s="39"/>
      <c r="R408" s="39"/>
      <c r="S408" s="39"/>
      <c r="T408" s="229"/>
      <c r="U408" s="229"/>
      <c r="V408" s="229"/>
      <c r="W408" s="51"/>
      <c r="X408" s="51">
        <v>5000</v>
      </c>
      <c r="Y408" s="42" t="s">
        <v>380</v>
      </c>
      <c r="Z408" s="461"/>
    </row>
    <row r="409" spans="1:26" s="9" customFormat="1" ht="19.5" customHeight="1">
      <c r="A409" s="45"/>
      <c r="B409" s="70"/>
      <c r="C409" s="34"/>
      <c r="D409" s="34"/>
      <c r="E409" s="36"/>
      <c r="F409" s="36"/>
      <c r="G409" s="37"/>
      <c r="H409" s="53"/>
      <c r="I409" s="50" t="s">
        <v>571</v>
      </c>
      <c r="J409" s="230"/>
      <c r="K409" s="229"/>
      <c r="L409" s="229"/>
      <c r="M409" s="229"/>
      <c r="N409" s="229"/>
      <c r="O409" s="229"/>
      <c r="P409" s="229"/>
      <c r="Q409" s="39"/>
      <c r="R409" s="39"/>
      <c r="S409" s="39"/>
      <c r="T409" s="229"/>
      <c r="U409" s="229"/>
      <c r="V409" s="229"/>
      <c r="W409" s="51"/>
      <c r="X409" s="51">
        <v>25000</v>
      </c>
      <c r="Y409" s="42" t="s">
        <v>380</v>
      </c>
      <c r="Z409" s="461"/>
    </row>
    <row r="410" spans="1:26" s="9" customFormat="1" ht="19.5" customHeight="1">
      <c r="A410" s="45"/>
      <c r="B410" s="70"/>
      <c r="C410" s="34"/>
      <c r="D410" s="34"/>
      <c r="E410" s="36"/>
      <c r="F410" s="36"/>
      <c r="G410" s="37"/>
      <c r="H410" s="53"/>
      <c r="I410" s="50" t="s">
        <v>572</v>
      </c>
      <c r="J410" s="230"/>
      <c r="K410" s="506"/>
      <c r="L410" s="506"/>
      <c r="M410" s="506"/>
      <c r="N410" s="506"/>
      <c r="O410" s="506"/>
      <c r="P410" s="506"/>
      <c r="Q410" s="39"/>
      <c r="R410" s="39"/>
      <c r="S410" s="39"/>
      <c r="T410" s="506"/>
      <c r="U410" s="506"/>
      <c r="V410" s="506"/>
      <c r="W410" s="51"/>
      <c r="X410" s="51">
        <v>5000</v>
      </c>
      <c r="Y410" s="42" t="s">
        <v>380</v>
      </c>
      <c r="Z410" s="461"/>
    </row>
    <row r="411" spans="1:26" s="9" customFormat="1" ht="19.5" customHeight="1">
      <c r="A411" s="45"/>
      <c r="B411" s="70"/>
      <c r="C411" s="34"/>
      <c r="D411" s="34"/>
      <c r="E411" s="36"/>
      <c r="F411" s="36"/>
      <c r="G411" s="37"/>
      <c r="H411" s="53"/>
      <c r="I411" s="50" t="s">
        <v>573</v>
      </c>
      <c r="J411" s="230"/>
      <c r="K411" s="506"/>
      <c r="L411" s="506"/>
      <c r="M411" s="506"/>
      <c r="N411" s="506"/>
      <c r="O411" s="506"/>
      <c r="P411" s="506"/>
      <c r="Q411" s="39"/>
      <c r="R411" s="39"/>
      <c r="S411" s="39"/>
      <c r="T411" s="506"/>
      <c r="U411" s="506"/>
      <c r="V411" s="506"/>
      <c r="W411" s="51"/>
      <c r="X411" s="51">
        <v>5000</v>
      </c>
      <c r="Y411" s="42" t="s">
        <v>380</v>
      </c>
      <c r="Z411" s="461"/>
    </row>
    <row r="412" spans="1:26" s="9" customFormat="1" ht="19.5" customHeight="1">
      <c r="A412" s="45"/>
      <c r="B412" s="70"/>
      <c r="C412" s="34"/>
      <c r="D412" s="34"/>
      <c r="E412" s="36"/>
      <c r="F412" s="36"/>
      <c r="G412" s="37"/>
      <c r="H412" s="53"/>
      <c r="I412" s="50" t="s">
        <v>675</v>
      </c>
      <c r="J412" s="230"/>
      <c r="K412" s="506"/>
      <c r="L412" s="506"/>
      <c r="M412" s="506"/>
      <c r="N412" s="506"/>
      <c r="O412" s="506"/>
      <c r="P412" s="506"/>
      <c r="Q412" s="39"/>
      <c r="R412" s="39"/>
      <c r="S412" s="39"/>
      <c r="T412" s="506"/>
      <c r="U412" s="506"/>
      <c r="V412" s="506"/>
      <c r="W412" s="51"/>
      <c r="X412" s="219">
        <v>200000</v>
      </c>
      <c r="Y412" s="42" t="s">
        <v>380</v>
      </c>
      <c r="Z412" s="461"/>
    </row>
    <row r="413" spans="1:26" s="9" customFormat="1" ht="19.5" customHeight="1">
      <c r="A413" s="45"/>
      <c r="B413" s="70"/>
      <c r="C413" s="34"/>
      <c r="D413" s="34"/>
      <c r="E413" s="36"/>
      <c r="F413" s="36"/>
      <c r="G413" s="37"/>
      <c r="H413" s="53"/>
      <c r="I413" s="50" t="s">
        <v>574</v>
      </c>
      <c r="J413" s="230"/>
      <c r="K413" s="506"/>
      <c r="L413" s="506"/>
      <c r="M413" s="506"/>
      <c r="N413" s="506"/>
      <c r="O413" s="506"/>
      <c r="P413" s="506"/>
      <c r="Q413" s="39"/>
      <c r="R413" s="39"/>
      <c r="S413" s="39"/>
      <c r="T413" s="506"/>
      <c r="U413" s="506"/>
      <c r="V413" s="506"/>
      <c r="W413" s="51"/>
      <c r="X413" s="659">
        <v>30000</v>
      </c>
      <c r="Y413" s="42" t="s">
        <v>380</v>
      </c>
      <c r="Z413" s="461"/>
    </row>
    <row r="414" spans="1:26" s="9" customFormat="1" ht="19.5" customHeight="1">
      <c r="A414" s="45"/>
      <c r="B414" s="70"/>
      <c r="C414" s="34"/>
      <c r="D414" s="34"/>
      <c r="E414" s="36"/>
      <c r="F414" s="36"/>
      <c r="G414" s="37"/>
      <c r="H414" s="53"/>
      <c r="I414" s="50" t="s">
        <v>672</v>
      </c>
      <c r="J414" s="230"/>
      <c r="K414" s="506"/>
      <c r="L414" s="506"/>
      <c r="M414" s="506"/>
      <c r="N414" s="506"/>
      <c r="O414" s="506"/>
      <c r="P414" s="506"/>
      <c r="Q414" s="39"/>
      <c r="R414" s="39"/>
      <c r="S414" s="39"/>
      <c r="T414" s="506"/>
      <c r="U414" s="506"/>
      <c r="V414" s="506"/>
      <c r="W414" s="51"/>
      <c r="X414" s="659">
        <v>30000</v>
      </c>
      <c r="Y414" s="42" t="s">
        <v>380</v>
      </c>
      <c r="Z414" s="461"/>
    </row>
    <row r="415" spans="1:26" s="9" customFormat="1" ht="19.5" customHeight="1">
      <c r="A415" s="45"/>
      <c r="B415" s="70"/>
      <c r="C415" s="34"/>
      <c r="D415" s="34"/>
      <c r="E415" s="36"/>
      <c r="F415" s="36"/>
      <c r="G415" s="37"/>
      <c r="H415" s="53"/>
      <c r="I415" s="50" t="s">
        <v>673</v>
      </c>
      <c r="J415" s="230"/>
      <c r="K415" s="506"/>
      <c r="L415" s="506"/>
      <c r="M415" s="506"/>
      <c r="N415" s="506"/>
      <c r="O415" s="506"/>
      <c r="P415" s="506"/>
      <c r="Q415" s="39"/>
      <c r="R415" s="39"/>
      <c r="S415" s="39"/>
      <c r="T415" s="506"/>
      <c r="U415" s="506"/>
      <c r="V415" s="506"/>
      <c r="W415" s="51"/>
      <c r="X415" s="659">
        <v>30000</v>
      </c>
      <c r="Y415" s="42" t="s">
        <v>56</v>
      </c>
      <c r="Z415" s="461"/>
    </row>
    <row r="416" spans="1:26" s="9" customFormat="1" ht="19.5" customHeight="1">
      <c r="A416" s="45"/>
      <c r="B416" s="70"/>
      <c r="C416" s="34"/>
      <c r="D416" s="34"/>
      <c r="E416" s="36"/>
      <c r="F416" s="36"/>
      <c r="G416" s="37"/>
      <c r="H416" s="53"/>
      <c r="I416" s="50" t="s">
        <v>575</v>
      </c>
      <c r="J416" s="230"/>
      <c r="K416" s="506"/>
      <c r="L416" s="506"/>
      <c r="M416" s="506"/>
      <c r="N416" s="506"/>
      <c r="O416" s="506"/>
      <c r="P416" s="506"/>
      <c r="Q416" s="39"/>
      <c r="R416" s="39"/>
      <c r="S416" s="39"/>
      <c r="T416" s="506"/>
      <c r="U416" s="506"/>
      <c r="V416" s="506"/>
      <c r="W416" s="51"/>
      <c r="X416" s="659">
        <v>10000</v>
      </c>
      <c r="Y416" s="42" t="s">
        <v>380</v>
      </c>
      <c r="Z416" s="461"/>
    </row>
    <row r="417" spans="1:28" s="9" customFormat="1" ht="19.5" customHeight="1">
      <c r="A417" s="45"/>
      <c r="B417" s="70"/>
      <c r="C417" s="34"/>
      <c r="D417" s="34"/>
      <c r="E417" s="36"/>
      <c r="F417" s="36"/>
      <c r="G417" s="37"/>
      <c r="H417" s="53"/>
      <c r="I417" s="50" t="s">
        <v>576</v>
      </c>
      <c r="J417" s="230"/>
      <c r="K417" s="506"/>
      <c r="L417" s="506"/>
      <c r="M417" s="506"/>
      <c r="N417" s="506"/>
      <c r="O417" s="506"/>
      <c r="P417" s="506"/>
      <c r="Q417" s="39"/>
      <c r="R417" s="39"/>
      <c r="S417" s="39"/>
      <c r="T417" s="506"/>
      <c r="U417" s="506"/>
      <c r="V417" s="506"/>
      <c r="W417" s="51"/>
      <c r="X417" s="51">
        <v>10000</v>
      </c>
      <c r="Y417" s="42" t="s">
        <v>380</v>
      </c>
      <c r="Z417" s="461"/>
    </row>
    <row r="418" spans="1:28" s="9" customFormat="1" ht="19.5" customHeight="1">
      <c r="A418" s="45"/>
      <c r="B418" s="70"/>
      <c r="C418" s="24" t="s">
        <v>446</v>
      </c>
      <c r="D418" s="335" t="s">
        <v>406</v>
      </c>
      <c r="E418" s="164">
        <f>SUM(E419,E425)</f>
        <v>59000</v>
      </c>
      <c r="F418" s="164">
        <f>SUM(F419,F425)</f>
        <v>57900</v>
      </c>
      <c r="G418" s="165">
        <f>F418-E418</f>
        <v>-1100</v>
      </c>
      <c r="H418" s="166">
        <f>IF(E418=0,0,G418/E418)</f>
        <v>-1.864406779661017E-2</v>
      </c>
      <c r="I418" s="149" t="s">
        <v>577</v>
      </c>
      <c r="J418" s="150"/>
      <c r="K418" s="151"/>
      <c r="L418" s="151"/>
      <c r="M418" s="151"/>
      <c r="N418" s="151"/>
      <c r="O418" s="151"/>
      <c r="P418" s="152"/>
      <c r="Q418" s="152"/>
      <c r="R418" s="152"/>
      <c r="S418" s="152"/>
      <c r="T418" s="152"/>
      <c r="U418" s="152"/>
      <c r="V418" s="179" t="s">
        <v>378</v>
      </c>
      <c r="W418" s="180"/>
      <c r="X418" s="180">
        <f>SUM(X419,X425)</f>
        <v>57900000</v>
      </c>
      <c r="Y418" s="208" t="s">
        <v>380</v>
      </c>
      <c r="Z418" s="461"/>
    </row>
    <row r="419" spans="1:28" s="9" customFormat="1" ht="19.5" customHeight="1">
      <c r="A419" s="45"/>
      <c r="B419" s="70"/>
      <c r="C419" s="34" t="s">
        <v>556</v>
      </c>
      <c r="D419" s="34" t="s">
        <v>578</v>
      </c>
      <c r="E419" s="36">
        <v>57600</v>
      </c>
      <c r="F419" s="36">
        <f>ROUND(X419/1000,0)</f>
        <v>57600</v>
      </c>
      <c r="G419" s="26">
        <f>F419-E419</f>
        <v>0</v>
      </c>
      <c r="H419" s="27">
        <f>IF(E419=0,0,G419/E419)</f>
        <v>0</v>
      </c>
      <c r="I419" s="107" t="s">
        <v>577</v>
      </c>
      <c r="J419" s="120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774"/>
      <c r="W419" s="774"/>
      <c r="X419" s="109">
        <f>ROUNDUP(SUM(W420:X424),-3)</f>
        <v>57600000</v>
      </c>
      <c r="Y419" s="110" t="s">
        <v>380</v>
      </c>
      <c r="Z419" s="461"/>
    </row>
    <row r="420" spans="1:28" s="9" customFormat="1" ht="19.5" customHeight="1">
      <c r="A420" s="45"/>
      <c r="B420" s="70"/>
      <c r="C420" s="34"/>
      <c r="D420" s="34"/>
      <c r="E420" s="36"/>
      <c r="F420" s="36"/>
      <c r="G420" s="37"/>
      <c r="H420" s="21"/>
      <c r="I420" s="640" t="s">
        <v>579</v>
      </c>
      <c r="J420" s="673"/>
      <c r="K420" s="673"/>
      <c r="L420" s="673"/>
      <c r="M420" s="673">
        <v>60000</v>
      </c>
      <c r="N420" s="673" t="s">
        <v>380</v>
      </c>
      <c r="O420" s="674" t="s">
        <v>383</v>
      </c>
      <c r="P420" s="673">
        <v>46</v>
      </c>
      <c r="Q420" s="674" t="s">
        <v>402</v>
      </c>
      <c r="R420" s="674" t="s">
        <v>383</v>
      </c>
      <c r="S420" s="673">
        <v>12</v>
      </c>
      <c r="T420" s="673" t="s">
        <v>382</v>
      </c>
      <c r="U420" s="658" t="s">
        <v>384</v>
      </c>
      <c r="V420" s="658"/>
      <c r="W420" s="674"/>
      <c r="X420" s="673">
        <f>ROUND(M420*P420*S420,-3)</f>
        <v>33120000</v>
      </c>
      <c r="Y420" s="632" t="s">
        <v>380</v>
      </c>
      <c r="Z420" s="461"/>
      <c r="AB420" s="495"/>
    </row>
    <row r="421" spans="1:28" s="9" customFormat="1" ht="19.5" customHeight="1">
      <c r="A421" s="45"/>
      <c r="B421" s="70"/>
      <c r="C421" s="34"/>
      <c r="D421" s="34"/>
      <c r="E421" s="36"/>
      <c r="F421" s="36"/>
      <c r="G421" s="37"/>
      <c r="H421" s="21"/>
      <c r="I421" s="223"/>
      <c r="J421" s="528"/>
      <c r="K421" s="528"/>
      <c r="L421" s="528"/>
      <c r="M421" s="528">
        <v>60000</v>
      </c>
      <c r="N421" s="528" t="s">
        <v>380</v>
      </c>
      <c r="O421" s="529" t="s">
        <v>383</v>
      </c>
      <c r="P421" s="528">
        <v>0</v>
      </c>
      <c r="Q421" s="529" t="s">
        <v>402</v>
      </c>
      <c r="R421" s="529" t="s">
        <v>383</v>
      </c>
      <c r="S421" s="528">
        <v>6</v>
      </c>
      <c r="T421" s="528" t="s">
        <v>382</v>
      </c>
      <c r="U421" s="475" t="s">
        <v>384</v>
      </c>
      <c r="V421" s="475"/>
      <c r="W421" s="529"/>
      <c r="X421" s="673">
        <f>ROUND(M421*P421*S421,-3)</f>
        <v>0</v>
      </c>
      <c r="Y421" s="103" t="s">
        <v>380</v>
      </c>
      <c r="Z421" s="461"/>
    </row>
    <row r="422" spans="1:28" s="9" customFormat="1" ht="19.5" customHeight="1">
      <c r="A422" s="45"/>
      <c r="B422" s="70"/>
      <c r="C422" s="34"/>
      <c r="D422" s="34"/>
      <c r="E422" s="36"/>
      <c r="F422" s="36"/>
      <c r="G422" s="37"/>
      <c r="H422" s="21"/>
      <c r="I422" s="223" t="s">
        <v>580</v>
      </c>
      <c r="J422" s="528"/>
      <c r="K422" s="528"/>
      <c r="L422" s="528"/>
      <c r="M422" s="528">
        <v>60000</v>
      </c>
      <c r="N422" s="528" t="s">
        <v>380</v>
      </c>
      <c r="O422" s="529" t="s">
        <v>383</v>
      </c>
      <c r="P422" s="528">
        <v>10</v>
      </c>
      <c r="Q422" s="528" t="s">
        <v>402</v>
      </c>
      <c r="R422" s="529" t="s">
        <v>383</v>
      </c>
      <c r="S422" s="528">
        <v>12</v>
      </c>
      <c r="T422" s="528" t="s">
        <v>382</v>
      </c>
      <c r="U422" s="475" t="s">
        <v>384</v>
      </c>
      <c r="V422" s="475"/>
      <c r="W422" s="529"/>
      <c r="X422" s="673">
        <f>ROUND(M422*P422*S422,-3)</f>
        <v>7200000</v>
      </c>
      <c r="Y422" s="103" t="s">
        <v>380</v>
      </c>
      <c r="Z422" s="461"/>
    </row>
    <row r="423" spans="1:28" s="9" customFormat="1" ht="19.5" customHeight="1">
      <c r="A423" s="45"/>
      <c r="B423" s="70"/>
      <c r="C423" s="34"/>
      <c r="D423" s="34"/>
      <c r="E423" s="36"/>
      <c r="F423" s="36"/>
      <c r="G423" s="37"/>
      <c r="H423" s="21"/>
      <c r="I423" s="223"/>
      <c r="J423" s="528"/>
      <c r="K423" s="528"/>
      <c r="L423" s="528"/>
      <c r="M423" s="528">
        <v>60000</v>
      </c>
      <c r="N423" s="528" t="s">
        <v>380</v>
      </c>
      <c r="O423" s="529" t="s">
        <v>383</v>
      </c>
      <c r="P423" s="528">
        <v>21</v>
      </c>
      <c r="Q423" s="529" t="s">
        <v>402</v>
      </c>
      <c r="R423" s="529" t="s">
        <v>383</v>
      </c>
      <c r="S423" s="528">
        <v>12</v>
      </c>
      <c r="T423" s="528" t="s">
        <v>382</v>
      </c>
      <c r="U423" s="475" t="s">
        <v>384</v>
      </c>
      <c r="V423" s="475"/>
      <c r="W423" s="529"/>
      <c r="X423" s="673">
        <f>ROUND(M423*P423*S423,-3)</f>
        <v>15120000</v>
      </c>
      <c r="Y423" s="103" t="s">
        <v>380</v>
      </c>
      <c r="Z423" s="461"/>
    </row>
    <row r="424" spans="1:28" s="9" customFormat="1" ht="19.5" customHeight="1">
      <c r="A424" s="45"/>
      <c r="B424" s="70"/>
      <c r="C424" s="34"/>
      <c r="D424" s="44"/>
      <c r="E424" s="46"/>
      <c r="F424" s="46"/>
      <c r="G424" s="37"/>
      <c r="H424" s="21"/>
      <c r="I424" s="223" t="s">
        <v>581</v>
      </c>
      <c r="J424" s="528"/>
      <c r="K424" s="528"/>
      <c r="L424" s="528"/>
      <c r="M424" s="528">
        <v>60000</v>
      </c>
      <c r="N424" s="528" t="s">
        <v>380</v>
      </c>
      <c r="O424" s="529" t="s">
        <v>383</v>
      </c>
      <c r="P424" s="528">
        <v>3</v>
      </c>
      <c r="Q424" s="529" t="s">
        <v>402</v>
      </c>
      <c r="R424" s="529" t="s">
        <v>383</v>
      </c>
      <c r="S424" s="528">
        <v>12</v>
      </c>
      <c r="T424" s="528" t="s">
        <v>382</v>
      </c>
      <c r="U424" s="475" t="s">
        <v>384</v>
      </c>
      <c r="V424" s="475"/>
      <c r="W424" s="529"/>
      <c r="X424" s="673">
        <f>M424*P424*S424</f>
        <v>2160000</v>
      </c>
      <c r="Y424" s="103" t="s">
        <v>380</v>
      </c>
      <c r="Z424" s="461"/>
    </row>
    <row r="425" spans="1:28" s="9" customFormat="1" ht="19.5" customHeight="1">
      <c r="A425" s="45"/>
      <c r="B425" s="70"/>
      <c r="C425" s="34"/>
      <c r="D425" s="416" t="s">
        <v>582</v>
      </c>
      <c r="E425" s="387">
        <v>1400</v>
      </c>
      <c r="F425" s="387">
        <f>ROUND(X425/1000,0)</f>
        <v>300</v>
      </c>
      <c r="G425" s="425">
        <f>F425-E425</f>
        <v>-1100</v>
      </c>
      <c r="H425" s="426">
        <f>IF(E425=0,0,G425/E425)</f>
        <v>-0.7857142857142857</v>
      </c>
      <c r="I425" s="225" t="s">
        <v>577</v>
      </c>
      <c r="J425" s="240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794"/>
      <c r="W425" s="794"/>
      <c r="X425" s="648">
        <f>ROUNDUP(SUM(W426:X435),-3)</f>
        <v>300000</v>
      </c>
      <c r="Y425" s="333" t="s">
        <v>380</v>
      </c>
      <c r="Z425" s="461"/>
    </row>
    <row r="426" spans="1:28" s="9" customFormat="1" ht="19.5" customHeight="1">
      <c r="A426" s="45"/>
      <c r="B426" s="70"/>
      <c r="C426" s="34"/>
      <c r="D426" s="416"/>
      <c r="E426" s="387"/>
      <c r="F426" s="387"/>
      <c r="G426" s="423"/>
      <c r="H426" s="424"/>
      <c r="I426" s="223" t="s">
        <v>583</v>
      </c>
      <c r="J426" s="528"/>
      <c r="K426" s="528"/>
      <c r="L426" s="528"/>
      <c r="M426" s="528">
        <v>100000</v>
      </c>
      <c r="N426" s="528" t="s">
        <v>380</v>
      </c>
      <c r="O426" s="529" t="s">
        <v>383</v>
      </c>
      <c r="P426" s="528">
        <v>1</v>
      </c>
      <c r="Q426" s="529" t="s">
        <v>402</v>
      </c>
      <c r="R426" s="529"/>
      <c r="S426" s="528"/>
      <c r="T426" s="528"/>
      <c r="U426" s="475" t="s">
        <v>384</v>
      </c>
      <c r="V426" s="475"/>
      <c r="W426" s="529"/>
      <c r="X426" s="673">
        <f>ROUND(M426*P426,-3)</f>
        <v>100000</v>
      </c>
      <c r="Y426" s="103" t="s">
        <v>380</v>
      </c>
      <c r="Z426" s="461"/>
    </row>
    <row r="427" spans="1:28" s="9" customFormat="1" ht="19.5" customHeight="1">
      <c r="A427" s="45"/>
      <c r="B427" s="70"/>
      <c r="C427" s="34"/>
      <c r="D427" s="416"/>
      <c r="E427" s="387"/>
      <c r="F427" s="387"/>
      <c r="G427" s="423"/>
      <c r="H427" s="424"/>
      <c r="I427" s="223" t="s">
        <v>584</v>
      </c>
      <c r="J427" s="528"/>
      <c r="K427" s="528"/>
      <c r="L427" s="528"/>
      <c r="M427" s="528"/>
      <c r="N427" s="528"/>
      <c r="O427" s="529"/>
      <c r="P427" s="528"/>
      <c r="Q427" s="529"/>
      <c r="R427" s="529"/>
      <c r="S427" s="528"/>
      <c r="T427" s="528"/>
      <c r="U427" s="475"/>
      <c r="V427" s="475"/>
      <c r="W427" s="529"/>
      <c r="X427" s="673">
        <v>200000</v>
      </c>
      <c r="Y427" s="103" t="s">
        <v>380</v>
      </c>
      <c r="Z427" s="461"/>
    </row>
    <row r="428" spans="1:28" s="9" customFormat="1" ht="19.5" customHeight="1" thickBot="1">
      <c r="A428" s="78"/>
      <c r="B428" s="79"/>
      <c r="C428" s="79"/>
      <c r="D428" s="427"/>
      <c r="E428" s="428"/>
      <c r="F428" s="428"/>
      <c r="G428" s="429"/>
      <c r="H428" s="430"/>
      <c r="I428" s="433"/>
      <c r="J428" s="319"/>
      <c r="K428" s="319"/>
      <c r="L428" s="319"/>
      <c r="M428" s="319"/>
      <c r="N428" s="319"/>
      <c r="O428" s="318"/>
      <c r="P428" s="319"/>
      <c r="Q428" s="318"/>
      <c r="R428" s="318"/>
      <c r="S428" s="319"/>
      <c r="T428" s="319"/>
      <c r="U428" s="434"/>
      <c r="V428" s="434"/>
      <c r="W428" s="318"/>
      <c r="X428" s="319"/>
      <c r="Y428" s="320"/>
      <c r="Z428" s="461"/>
    </row>
  </sheetData>
  <mergeCells count="57">
    <mergeCell ref="C399:D399"/>
    <mergeCell ref="V401:W401"/>
    <mergeCell ref="V405:W405"/>
    <mergeCell ref="V419:W419"/>
    <mergeCell ref="V425:W425"/>
    <mergeCell ref="C253:D253"/>
    <mergeCell ref="V255:W255"/>
    <mergeCell ref="C260:D260"/>
    <mergeCell ref="V262:W262"/>
    <mergeCell ref="C367:D367"/>
    <mergeCell ref="A1:D1"/>
    <mergeCell ref="A2:D2"/>
    <mergeCell ref="E2:E3"/>
    <mergeCell ref="A4:D4"/>
    <mergeCell ref="V74:W74"/>
    <mergeCell ref="V26:W26"/>
    <mergeCell ref="V27:W27"/>
    <mergeCell ref="V28:W28"/>
    <mergeCell ref="G2:H2"/>
    <mergeCell ref="I2:Y3"/>
    <mergeCell ref="V43:W43"/>
    <mergeCell ref="V44:W44"/>
    <mergeCell ref="V45:W45"/>
    <mergeCell ref="F2:F3"/>
    <mergeCell ref="C13:D13"/>
    <mergeCell ref="C231:D231"/>
    <mergeCell ref="V206:W206"/>
    <mergeCell ref="V207:W207"/>
    <mergeCell ref="V208:W208"/>
    <mergeCell ref="V189:W189"/>
    <mergeCell ref="V190:W190"/>
    <mergeCell ref="V75:W75"/>
    <mergeCell ref="V76:W76"/>
    <mergeCell ref="V159:W159"/>
    <mergeCell ref="V160:W160"/>
    <mergeCell ref="V125:W125"/>
    <mergeCell ref="V126:W126"/>
    <mergeCell ref="V127:W127"/>
    <mergeCell ref="V158:W158"/>
    <mergeCell ref="V91:W91"/>
    <mergeCell ref="V92:W92"/>
    <mergeCell ref="V93:W93"/>
    <mergeCell ref="V175:W175"/>
    <mergeCell ref="V176:W176"/>
    <mergeCell ref="V177:W177"/>
    <mergeCell ref="V233:W233"/>
    <mergeCell ref="V245:W245"/>
    <mergeCell ref="V382:W382"/>
    <mergeCell ref="V250:W250"/>
    <mergeCell ref="V369:W369"/>
    <mergeCell ref="V372:W372"/>
    <mergeCell ref="V375:W375"/>
    <mergeCell ref="V379:W379"/>
    <mergeCell ref="V308:W308"/>
    <mergeCell ref="V312:W312"/>
    <mergeCell ref="V309:W309"/>
    <mergeCell ref="V310:W310"/>
  </mergeCells>
  <phoneticPr fontId="14" type="noConversion"/>
  <printOptions horizontalCentered="1" verticalCentered="1"/>
  <pageMargins left="0.57999999999999996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I408"/>
  <sheetViews>
    <sheetView zoomScale="80" zoomScaleNormal="80" workbookViewId="0">
      <pane xSplit="4" ySplit="4" topLeftCell="E387" activePane="bottomRight" state="frozen"/>
      <selection pane="topRight" activeCell="E1" sqref="E1"/>
      <selection pane="bottomLeft" activeCell="A5" sqref="A5"/>
      <selection pane="bottomRight" activeCell="L393" sqref="L393"/>
    </sheetView>
  </sheetViews>
  <sheetFormatPr defaultColWidth="13.77734375" defaultRowHeight="21" customHeight="1"/>
  <cols>
    <col min="1" max="1" width="5.88671875" style="14" bestFit="1" customWidth="1"/>
    <col min="2" max="2" width="7.109375" style="14" customWidth="1"/>
    <col min="3" max="3" width="8.5546875" style="14" bestFit="1" customWidth="1"/>
    <col min="4" max="4" width="10.33203125" style="13" customWidth="1"/>
    <col min="5" max="5" width="10.33203125" style="13" bestFit="1" customWidth="1"/>
    <col min="6" max="6" width="10.21875" style="13" customWidth="1"/>
    <col min="7" max="7" width="8.6640625" style="13" customWidth="1"/>
    <col min="8" max="8" width="7.77734375" style="13" customWidth="1"/>
    <col min="9" max="9" width="8.77734375" style="13" customWidth="1"/>
    <col min="10" max="10" width="8.88671875" style="13" customWidth="1"/>
    <col min="11" max="11" width="8.5546875" style="617" customWidth="1"/>
    <col min="12" max="12" width="7.77734375" style="13" customWidth="1"/>
    <col min="13" max="13" width="8.109375" style="13" bestFit="1" customWidth="1"/>
    <col min="14" max="14" width="7" style="129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0.88671875" style="5" customWidth="1"/>
    <col min="20" max="20" width="3.21875" style="5" customWidth="1"/>
    <col min="21" max="21" width="3.44140625" style="5" customWidth="1"/>
    <col min="22" max="22" width="6.88671875" style="5" bestFit="1" customWidth="1"/>
    <col min="23" max="23" width="3.21875" style="5" customWidth="1"/>
    <col min="24" max="24" width="7.5546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3.21875" style="5" bestFit="1" customWidth="1"/>
    <col min="31" max="31" width="2.77734375" style="5" customWidth="1"/>
    <col min="32" max="32" width="13.77734375" style="495"/>
    <col min="33" max="33" width="14.109375" style="4" bestFit="1" customWidth="1"/>
    <col min="34" max="16384" width="13.77734375" style="4"/>
  </cols>
  <sheetData>
    <row r="1" spans="1:34" s="9" customFormat="1" ht="21" customHeight="1" thickBot="1">
      <c r="A1" s="782" t="s">
        <v>686</v>
      </c>
      <c r="B1" s="782"/>
      <c r="C1" s="782"/>
      <c r="D1" s="782"/>
      <c r="E1" s="81"/>
      <c r="F1" s="81"/>
      <c r="G1" s="81"/>
      <c r="H1" s="81"/>
      <c r="I1" s="81"/>
      <c r="J1" s="81"/>
      <c r="K1" s="627"/>
      <c r="L1" s="81"/>
      <c r="M1" s="81"/>
      <c r="N1" s="123"/>
      <c r="O1" s="48"/>
      <c r="P1" s="48"/>
      <c r="Q1" s="48"/>
      <c r="R1" s="48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5"/>
    </row>
    <row r="2" spans="1:34" s="3" customFormat="1" ht="27" customHeight="1">
      <c r="A2" s="783" t="s">
        <v>22</v>
      </c>
      <c r="B2" s="784"/>
      <c r="C2" s="784"/>
      <c r="D2" s="785" t="s">
        <v>688</v>
      </c>
      <c r="E2" s="803" t="s">
        <v>687</v>
      </c>
      <c r="F2" s="804"/>
      <c r="G2" s="804"/>
      <c r="H2" s="804"/>
      <c r="I2" s="804"/>
      <c r="J2" s="804"/>
      <c r="K2" s="804"/>
      <c r="L2" s="805"/>
      <c r="M2" s="790" t="s">
        <v>23</v>
      </c>
      <c r="N2" s="790"/>
      <c r="O2" s="806" t="s">
        <v>54</v>
      </c>
      <c r="P2" s="807"/>
      <c r="Q2" s="807"/>
      <c r="R2" s="807"/>
      <c r="S2" s="807"/>
      <c r="T2" s="807"/>
      <c r="U2" s="807"/>
      <c r="V2" s="807"/>
      <c r="W2" s="807"/>
      <c r="X2" s="807"/>
      <c r="Y2" s="807"/>
      <c r="Z2" s="807"/>
      <c r="AA2" s="807"/>
      <c r="AB2" s="807"/>
      <c r="AC2" s="807"/>
      <c r="AD2" s="807"/>
      <c r="AE2" s="808"/>
      <c r="AF2" s="496"/>
    </row>
    <row r="3" spans="1:34" s="3" customFormat="1" ht="27" customHeight="1" thickBot="1">
      <c r="A3" s="15" t="s">
        <v>1</v>
      </c>
      <c r="B3" s="16" t="s">
        <v>2</v>
      </c>
      <c r="C3" s="16" t="s">
        <v>3</v>
      </c>
      <c r="D3" s="786"/>
      <c r="E3" s="130" t="s">
        <v>115</v>
      </c>
      <c r="F3" s="130" t="s">
        <v>139</v>
      </c>
      <c r="G3" s="130" t="s">
        <v>140</v>
      </c>
      <c r="H3" s="130" t="s">
        <v>113</v>
      </c>
      <c r="I3" s="130" t="s">
        <v>59</v>
      </c>
      <c r="J3" s="130" t="s">
        <v>111</v>
      </c>
      <c r="K3" s="636" t="s">
        <v>114</v>
      </c>
      <c r="L3" s="130" t="s">
        <v>60</v>
      </c>
      <c r="M3" s="112" t="s">
        <v>116</v>
      </c>
      <c r="N3" s="82" t="s">
        <v>4</v>
      </c>
      <c r="O3" s="809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1"/>
      <c r="AF3" s="496"/>
    </row>
    <row r="4" spans="1:34" s="9" customFormat="1" ht="21" customHeight="1">
      <c r="A4" s="812" t="s">
        <v>31</v>
      </c>
      <c r="B4" s="813"/>
      <c r="C4" s="813"/>
      <c r="D4" s="243">
        <f t="shared" ref="D4:L4" si="0">SUM(D5,D196,D242,D386,D389)</f>
        <v>3572576</v>
      </c>
      <c r="E4" s="243">
        <f t="shared" si="0"/>
        <v>3505964</v>
      </c>
      <c r="F4" s="243">
        <f t="shared" si="0"/>
        <v>2595966</v>
      </c>
      <c r="G4" s="243">
        <f t="shared" si="0"/>
        <v>133989</v>
      </c>
      <c r="H4" s="243">
        <f t="shared" si="0"/>
        <v>21351</v>
      </c>
      <c r="I4" s="243">
        <f t="shared" si="0"/>
        <v>371173</v>
      </c>
      <c r="J4" s="243">
        <f t="shared" si="0"/>
        <v>129339</v>
      </c>
      <c r="K4" s="243">
        <f t="shared" si="0"/>
        <v>190730</v>
      </c>
      <c r="L4" s="243">
        <f t="shared" si="0"/>
        <v>63416</v>
      </c>
      <c r="M4" s="244">
        <f>E4-D4</f>
        <v>-66612</v>
      </c>
      <c r="N4" s="245">
        <f>IF(D4=0,0,M4/D4)</f>
        <v>-1.8645369615649884E-2</v>
      </c>
      <c r="O4" s="246" t="s">
        <v>165</v>
      </c>
      <c r="P4" s="247"/>
      <c r="Q4" s="247"/>
      <c r="R4" s="247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3">
        <f>SUM(AD5,AD196,AD242,AD386,AD389)</f>
        <v>3505964000</v>
      </c>
      <c r="AE4" s="249" t="s">
        <v>25</v>
      </c>
      <c r="AF4" s="495"/>
    </row>
    <row r="5" spans="1:34" s="9" customFormat="1" ht="21" customHeight="1">
      <c r="A5" s="86" t="s">
        <v>6</v>
      </c>
      <c r="B5" s="814" t="s">
        <v>7</v>
      </c>
      <c r="C5" s="815"/>
      <c r="D5" s="250">
        <f t="shared" ref="D5:L5" si="1">SUM(D6,D111,D120)</f>
        <v>2311461</v>
      </c>
      <c r="E5" s="250">
        <f t="shared" si="1"/>
        <v>2202509</v>
      </c>
      <c r="F5" s="250">
        <f t="shared" si="1"/>
        <v>1944079</v>
      </c>
      <c r="G5" s="250">
        <f t="shared" si="1"/>
        <v>124954</v>
      </c>
      <c r="H5" s="250">
        <f t="shared" si="1"/>
        <v>0</v>
      </c>
      <c r="I5" s="250">
        <f t="shared" si="1"/>
        <v>21645</v>
      </c>
      <c r="J5" s="250">
        <f t="shared" si="1"/>
        <v>3070</v>
      </c>
      <c r="K5" s="644">
        <f t="shared" si="1"/>
        <v>50234</v>
      </c>
      <c r="L5" s="250">
        <f t="shared" si="1"/>
        <v>58527</v>
      </c>
      <c r="M5" s="251">
        <f>E5-D5</f>
        <v>-108952</v>
      </c>
      <c r="N5" s="252">
        <f>IF(D5=0,0,M5/D5)</f>
        <v>-4.7135556256410992E-2</v>
      </c>
      <c r="O5" s="253" t="s">
        <v>166</v>
      </c>
      <c r="P5" s="253"/>
      <c r="Q5" s="253"/>
      <c r="R5" s="253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>
        <f>SUM(AD6,AD111,AD120)</f>
        <v>2202509000</v>
      </c>
      <c r="AE5" s="255" t="s">
        <v>25</v>
      </c>
      <c r="AF5" s="495"/>
      <c r="AH5" s="616" t="s">
        <v>743</v>
      </c>
    </row>
    <row r="6" spans="1:34" s="9" customFormat="1" ht="21" customHeight="1">
      <c r="A6" s="33"/>
      <c r="B6" s="24" t="s">
        <v>8</v>
      </c>
      <c r="C6" s="256" t="s">
        <v>5</v>
      </c>
      <c r="D6" s="326">
        <f t="shared" ref="D6:L6" si="2">SUM(D7,D19,D24,D48,D64,D98)</f>
        <v>2149352</v>
      </c>
      <c r="E6" s="257">
        <f t="shared" si="2"/>
        <v>2051485</v>
      </c>
      <c r="F6" s="257">
        <f t="shared" si="2"/>
        <v>1878253</v>
      </c>
      <c r="G6" s="257">
        <f t="shared" si="2"/>
        <v>121354</v>
      </c>
      <c r="H6" s="257">
        <f t="shared" si="2"/>
        <v>0</v>
      </c>
      <c r="I6" s="257">
        <f t="shared" si="2"/>
        <v>12034</v>
      </c>
      <c r="J6" s="257">
        <f t="shared" si="2"/>
        <v>0</v>
      </c>
      <c r="K6" s="645">
        <f t="shared" si="2"/>
        <v>39844</v>
      </c>
      <c r="L6" s="257">
        <f t="shared" si="2"/>
        <v>0</v>
      </c>
      <c r="M6" s="258">
        <f>E6-D6</f>
        <v>-97867</v>
      </c>
      <c r="N6" s="259">
        <f>IF(D6=0,0,M6/D6)</f>
        <v>-4.5533258396018891E-2</v>
      </c>
      <c r="O6" s="260" t="s">
        <v>167</v>
      </c>
      <c r="P6" s="260"/>
      <c r="Q6" s="260"/>
      <c r="R6" s="260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>
        <f>SUM(AD7,AD19,AD24,AD48,AD64,AD98)</f>
        <v>2051485000</v>
      </c>
      <c r="AE6" s="262" t="s">
        <v>25</v>
      </c>
      <c r="AF6" s="495"/>
      <c r="AH6" s="663">
        <v>6402000</v>
      </c>
    </row>
    <row r="7" spans="1:34" s="9" customFormat="1" ht="21" customHeight="1">
      <c r="A7" s="33"/>
      <c r="B7" s="34"/>
      <c r="C7" s="24" t="s">
        <v>32</v>
      </c>
      <c r="D7" s="116">
        <v>1335277</v>
      </c>
      <c r="E7" s="88">
        <f>ROUND(AD7/1000,0)</f>
        <v>1287766</v>
      </c>
      <c r="F7" s="88">
        <f>SUMIF($AB$8:$AB$18,"보조",$AD$8:$AD$18)/1000</f>
        <v>1204935</v>
      </c>
      <c r="G7" s="88">
        <f>SUMIF($AB$8:$AB$18,"7종",$AD$8:$AD$18)/1000</f>
        <v>67801</v>
      </c>
      <c r="H7" s="88">
        <f>SUMIF($AB$8:$AB$18,"4종",$AD$8:$AD$18)/1000</f>
        <v>0</v>
      </c>
      <c r="I7" s="88">
        <f>SUMIF($AB$8:$AB$18,"후원",$AD$8:$AD$18)/1000</f>
        <v>0</v>
      </c>
      <c r="J7" s="88">
        <f>SUMIF($AB$8:$AB$18,"입소",$AD$8:$AD$18)/1000</f>
        <v>0</v>
      </c>
      <c r="K7" s="631">
        <f>SUMIF($AB$8:$AB$18,"법인",$AD$8:$AD$18)/1000</f>
        <v>15030</v>
      </c>
      <c r="L7" s="88">
        <f>SUMIF($AB$8:$AB$18,"잡수",$AD$8:$AD$18)/1000</f>
        <v>0</v>
      </c>
      <c r="M7" s="87">
        <f>E7-D7</f>
        <v>-47511</v>
      </c>
      <c r="N7" s="221">
        <f>IF(D7=0,0,M7/D7)</f>
        <v>-3.5581381241495208E-2</v>
      </c>
      <c r="O7" s="90" t="s">
        <v>64</v>
      </c>
      <c r="P7" s="90"/>
      <c r="Q7" s="131"/>
      <c r="R7" s="131"/>
      <c r="S7" s="131"/>
      <c r="T7" s="113"/>
      <c r="U7" s="113"/>
      <c r="V7" s="113"/>
      <c r="W7" s="77" t="s">
        <v>117</v>
      </c>
      <c r="X7" s="77"/>
      <c r="Y7" s="77"/>
      <c r="Z7" s="77"/>
      <c r="AA7" s="77"/>
      <c r="AB7" s="77"/>
      <c r="AC7" s="91"/>
      <c r="AD7" s="91">
        <f>SUM(기본급,기본급7종,AD13,AD15)</f>
        <v>1287766000</v>
      </c>
      <c r="AE7" s="92" t="s">
        <v>56</v>
      </c>
      <c r="AF7" s="496" t="s">
        <v>702</v>
      </c>
      <c r="AG7" s="527" t="s">
        <v>701</v>
      </c>
    </row>
    <row r="8" spans="1:34" s="9" customFormat="1" ht="21" customHeight="1">
      <c r="A8" s="33"/>
      <c r="B8" s="34"/>
      <c r="C8" s="34"/>
      <c r="D8" s="493"/>
      <c r="E8" s="491"/>
      <c r="F8" s="491"/>
      <c r="G8" s="491"/>
      <c r="H8" s="491"/>
      <c r="I8" s="491"/>
      <c r="J8" s="491"/>
      <c r="K8" s="661"/>
      <c r="L8" s="491"/>
      <c r="M8" s="83"/>
      <c r="N8" s="53"/>
      <c r="O8" s="131"/>
      <c r="P8" s="131"/>
      <c r="Q8" s="131"/>
      <c r="R8" s="131"/>
      <c r="S8" s="131"/>
      <c r="T8" s="113"/>
      <c r="U8" s="113"/>
      <c r="V8" s="113"/>
      <c r="W8" s="113"/>
      <c r="X8" s="113"/>
      <c r="Y8" s="113"/>
      <c r="Z8" s="113"/>
      <c r="AA8" s="113"/>
      <c r="AB8" s="113"/>
      <c r="AC8" s="38"/>
      <c r="AD8" s="38"/>
      <c r="AE8" s="22"/>
      <c r="AF8" s="495"/>
      <c r="AG8" s="526">
        <f t="shared" ref="AG8:AG71" si="3">AD8-AF8</f>
        <v>0</v>
      </c>
    </row>
    <row r="9" spans="1:34" s="9" customFormat="1" ht="21" customHeight="1">
      <c r="A9" s="33"/>
      <c r="B9" s="34"/>
      <c r="C9" s="34"/>
      <c r="D9" s="494"/>
      <c r="E9" s="492"/>
      <c r="F9" s="492"/>
      <c r="G9" s="492"/>
      <c r="H9" s="492"/>
      <c r="I9" s="492"/>
      <c r="J9" s="492"/>
      <c r="K9" s="662"/>
      <c r="L9" s="492"/>
      <c r="M9" s="83"/>
      <c r="N9" s="53"/>
      <c r="O9" s="286" t="s">
        <v>639</v>
      </c>
      <c r="P9" s="286"/>
      <c r="Q9" s="286"/>
      <c r="R9" s="286"/>
      <c r="S9" s="218"/>
      <c r="T9" s="217"/>
      <c r="U9" s="217"/>
      <c r="V9" s="217"/>
      <c r="W9" s="217"/>
      <c r="X9" s="217"/>
      <c r="Y9" s="217"/>
      <c r="Z9" s="217"/>
      <c r="AA9" s="270"/>
      <c r="AB9" s="270" t="s">
        <v>71</v>
      </c>
      <c r="AC9" s="271"/>
      <c r="AD9" s="317">
        <v>1204935000</v>
      </c>
      <c r="AE9" s="272" t="s">
        <v>56</v>
      </c>
      <c r="AF9" s="495"/>
      <c r="AG9" s="526">
        <f t="shared" si="3"/>
        <v>1204935000</v>
      </c>
    </row>
    <row r="10" spans="1:34" s="9" customFormat="1" ht="21" customHeight="1">
      <c r="A10" s="33"/>
      <c r="B10" s="34"/>
      <c r="C10" s="34"/>
      <c r="D10" s="114"/>
      <c r="E10" s="83"/>
      <c r="F10" s="83"/>
      <c r="G10" s="83"/>
      <c r="H10" s="83"/>
      <c r="I10" s="83"/>
      <c r="J10" s="83"/>
      <c r="K10" s="628"/>
      <c r="L10" s="83"/>
      <c r="M10" s="83"/>
      <c r="N10" s="53"/>
      <c r="O10" s="288"/>
      <c r="P10" s="288"/>
      <c r="Q10" s="288"/>
      <c r="R10" s="288"/>
      <c r="S10" s="217"/>
      <c r="T10" s="267"/>
      <c r="U10" s="217"/>
      <c r="V10" s="217"/>
      <c r="W10" s="267"/>
      <c r="X10" s="217"/>
      <c r="Y10" s="217"/>
      <c r="Z10" s="217"/>
      <c r="AA10" s="217"/>
      <c r="AB10" s="217"/>
      <c r="AC10" s="217"/>
      <c r="AD10" s="217"/>
      <c r="AE10" s="234"/>
      <c r="AF10" s="495"/>
      <c r="AG10" s="526">
        <f t="shared" si="3"/>
        <v>0</v>
      </c>
    </row>
    <row r="11" spans="1:34" s="9" customFormat="1" ht="21" customHeight="1">
      <c r="A11" s="33"/>
      <c r="B11" s="34"/>
      <c r="C11" s="34"/>
      <c r="D11" s="114"/>
      <c r="E11" s="83"/>
      <c r="F11" s="83"/>
      <c r="G11" s="83"/>
      <c r="H11" s="83"/>
      <c r="I11" s="83"/>
      <c r="J11" s="83"/>
      <c r="K11" s="628"/>
      <c r="L11" s="83"/>
      <c r="M11" s="83"/>
      <c r="N11" s="53"/>
      <c r="O11" s="286" t="s">
        <v>168</v>
      </c>
      <c r="P11" s="286"/>
      <c r="Q11" s="286"/>
      <c r="R11" s="286"/>
      <c r="S11" s="218"/>
      <c r="T11" s="217"/>
      <c r="U11" s="217"/>
      <c r="V11" s="217"/>
      <c r="W11" s="217"/>
      <c r="X11" s="217"/>
      <c r="Y11" s="217"/>
      <c r="Z11" s="217"/>
      <c r="AA11" s="270"/>
      <c r="AB11" s="270" t="s">
        <v>219</v>
      </c>
      <c r="AC11" s="271"/>
      <c r="AD11" s="317">
        <v>67801000</v>
      </c>
      <c r="AE11" s="272" t="s">
        <v>56</v>
      </c>
      <c r="AF11" s="495"/>
      <c r="AG11" s="526">
        <f t="shared" si="3"/>
        <v>67801000</v>
      </c>
      <c r="AH11" s="616"/>
    </row>
    <row r="12" spans="1:34" s="9" customFormat="1" ht="21" customHeight="1">
      <c r="A12" s="33"/>
      <c r="B12" s="34"/>
      <c r="C12" s="34"/>
      <c r="D12" s="114"/>
      <c r="E12" s="83"/>
      <c r="F12" s="83"/>
      <c r="G12" s="83"/>
      <c r="H12" s="83"/>
      <c r="I12" s="83"/>
      <c r="J12" s="83"/>
      <c r="K12" s="628"/>
      <c r="L12" s="83"/>
      <c r="M12" s="83"/>
      <c r="N12" s="53"/>
      <c r="O12" s="218"/>
      <c r="P12" s="218"/>
      <c r="Q12" s="218"/>
      <c r="R12" s="218"/>
      <c r="S12" s="218"/>
      <c r="T12" s="217"/>
      <c r="U12" s="217"/>
      <c r="V12" s="217"/>
      <c r="W12" s="217"/>
      <c r="X12" s="217"/>
      <c r="Y12" s="217"/>
      <c r="Z12" s="217"/>
      <c r="AA12" s="217"/>
      <c r="AB12" s="217"/>
      <c r="AC12" s="219"/>
      <c r="AD12" s="659"/>
      <c r="AE12" s="234"/>
      <c r="AF12" s="495"/>
      <c r="AG12" s="526">
        <f t="shared" si="3"/>
        <v>0</v>
      </c>
    </row>
    <row r="13" spans="1:34" s="9" customFormat="1" ht="21" customHeight="1">
      <c r="A13" s="33"/>
      <c r="B13" s="34"/>
      <c r="C13" s="34"/>
      <c r="D13" s="114"/>
      <c r="E13" s="83"/>
      <c r="F13" s="83"/>
      <c r="G13" s="83"/>
      <c r="H13" s="83"/>
      <c r="I13" s="83"/>
      <c r="J13" s="83"/>
      <c r="K13" s="628"/>
      <c r="L13" s="83"/>
      <c r="M13" s="83"/>
      <c r="N13" s="53"/>
      <c r="O13" s="218" t="s">
        <v>330</v>
      </c>
      <c r="P13" s="218"/>
      <c r="Q13" s="218"/>
      <c r="R13" s="218"/>
      <c r="S13" s="218"/>
      <c r="T13" s="217"/>
      <c r="U13" s="217"/>
      <c r="V13" s="217"/>
      <c r="W13" s="217"/>
      <c r="X13" s="217"/>
      <c r="Y13" s="217"/>
      <c r="Z13" s="217"/>
      <c r="AA13" s="270"/>
      <c r="AB13" s="270" t="s">
        <v>71</v>
      </c>
      <c r="AC13" s="271"/>
      <c r="AD13" s="317">
        <v>0</v>
      </c>
      <c r="AE13" s="272" t="s">
        <v>56</v>
      </c>
      <c r="AF13" s="495"/>
      <c r="AG13" s="526">
        <f t="shared" si="3"/>
        <v>0</v>
      </c>
    </row>
    <row r="14" spans="1:34" s="9" customFormat="1" ht="21" customHeight="1">
      <c r="A14" s="33"/>
      <c r="B14" s="34"/>
      <c r="C14" s="34"/>
      <c r="D14" s="114"/>
      <c r="E14" s="83"/>
      <c r="F14" s="83"/>
      <c r="G14" s="83"/>
      <c r="H14" s="83"/>
      <c r="I14" s="83"/>
      <c r="J14" s="83"/>
      <c r="K14" s="628"/>
      <c r="L14" s="83"/>
      <c r="M14" s="83"/>
      <c r="N14" s="53"/>
      <c r="O14" s="218"/>
      <c r="P14" s="218"/>
      <c r="Q14" s="218"/>
      <c r="R14" s="218"/>
      <c r="S14" s="218"/>
      <c r="T14" s="217"/>
      <c r="U14" s="217"/>
      <c r="V14" s="217"/>
      <c r="W14" s="382"/>
      <c r="X14" s="382"/>
      <c r="Y14" s="382"/>
      <c r="Z14" s="382"/>
      <c r="AA14" s="382"/>
      <c r="AB14" s="382"/>
      <c r="AC14" s="385"/>
      <c r="AD14" s="385"/>
      <c r="AE14" s="453"/>
      <c r="AF14" s="495"/>
      <c r="AG14" s="526">
        <f t="shared" si="3"/>
        <v>0</v>
      </c>
    </row>
    <row r="15" spans="1:34" s="9" customFormat="1" ht="21" customHeight="1">
      <c r="A15" s="33"/>
      <c r="B15" s="34"/>
      <c r="C15" s="34"/>
      <c r="D15" s="114"/>
      <c r="E15" s="83"/>
      <c r="F15" s="83"/>
      <c r="G15" s="83"/>
      <c r="H15" s="83"/>
      <c r="I15" s="83"/>
      <c r="J15" s="83"/>
      <c r="K15" s="628"/>
      <c r="L15" s="83"/>
      <c r="M15" s="83"/>
      <c r="N15" s="53"/>
      <c r="O15" s="286" t="s">
        <v>640</v>
      </c>
      <c r="P15" s="218"/>
      <c r="Q15" s="218"/>
      <c r="R15" s="218"/>
      <c r="S15" s="218"/>
      <c r="T15" s="217"/>
      <c r="U15" s="217"/>
      <c r="V15" s="217"/>
      <c r="W15" s="217"/>
      <c r="X15" s="217"/>
      <c r="Y15" s="217"/>
      <c r="Z15" s="217"/>
      <c r="AA15" s="270"/>
      <c r="AB15" s="270"/>
      <c r="AC15" s="271"/>
      <c r="AD15" s="271">
        <f>SUM(AD16:AD17)</f>
        <v>15030000</v>
      </c>
      <c r="AE15" s="272" t="s">
        <v>56</v>
      </c>
      <c r="AF15" s="495"/>
      <c r="AG15" s="526">
        <f t="shared" si="3"/>
        <v>15030000</v>
      </c>
    </row>
    <row r="16" spans="1:34" s="9" customFormat="1" ht="21" customHeight="1">
      <c r="A16" s="33"/>
      <c r="B16" s="34"/>
      <c r="C16" s="34"/>
      <c r="D16" s="114"/>
      <c r="E16" s="83"/>
      <c r="F16" s="83"/>
      <c r="G16" s="83"/>
      <c r="H16" s="83"/>
      <c r="I16" s="83"/>
      <c r="J16" s="83"/>
      <c r="K16" s="628"/>
      <c r="L16" s="83"/>
      <c r="M16" s="83"/>
      <c r="N16" s="53"/>
      <c r="O16" s="218" t="s">
        <v>641</v>
      </c>
      <c r="P16" s="218"/>
      <c r="Q16" s="218"/>
      <c r="R16" s="218"/>
      <c r="S16" s="217">
        <v>1050000</v>
      </c>
      <c r="T16" s="264" t="s">
        <v>56</v>
      </c>
      <c r="U16" s="230" t="s">
        <v>57</v>
      </c>
      <c r="V16" s="291">
        <v>12</v>
      </c>
      <c r="W16" s="477" t="s">
        <v>0</v>
      </c>
      <c r="X16" s="217"/>
      <c r="Y16" s="217"/>
      <c r="Z16" s="217"/>
      <c r="AA16" s="217" t="s">
        <v>53</v>
      </c>
      <c r="AB16" s="217" t="s">
        <v>153</v>
      </c>
      <c r="AC16" s="219"/>
      <c r="AD16" s="659">
        <f>ROUNDUP(S16*V16,-3)</f>
        <v>12600000</v>
      </c>
      <c r="AE16" s="234" t="s">
        <v>56</v>
      </c>
      <c r="AF16" s="495"/>
      <c r="AG16" s="526">
        <f t="shared" si="3"/>
        <v>12600000</v>
      </c>
    </row>
    <row r="17" spans="1:33" s="9" customFormat="1" ht="21" customHeight="1">
      <c r="A17" s="33"/>
      <c r="B17" s="34"/>
      <c r="C17" s="34"/>
      <c r="D17" s="114"/>
      <c r="E17" s="83"/>
      <c r="F17" s="83"/>
      <c r="G17" s="83"/>
      <c r="H17" s="83"/>
      <c r="I17" s="83"/>
      <c r="J17" s="83"/>
      <c r="K17" s="628"/>
      <c r="L17" s="83"/>
      <c r="M17" s="83"/>
      <c r="N17" s="53"/>
      <c r="O17" s="218" t="s">
        <v>642</v>
      </c>
      <c r="P17" s="218"/>
      <c r="Q17" s="218"/>
      <c r="R17" s="218"/>
      <c r="S17" s="217">
        <v>270000</v>
      </c>
      <c r="T17" s="264" t="s">
        <v>56</v>
      </c>
      <c r="U17" s="230" t="s">
        <v>57</v>
      </c>
      <c r="V17" s="291">
        <v>9</v>
      </c>
      <c r="W17" s="477" t="s">
        <v>0</v>
      </c>
      <c r="X17" s="217"/>
      <c r="Y17" s="217"/>
      <c r="Z17" s="217"/>
      <c r="AA17" s="217" t="s">
        <v>53</v>
      </c>
      <c r="AB17" s="217" t="s">
        <v>153</v>
      </c>
      <c r="AC17" s="219"/>
      <c r="AD17" s="659">
        <f>ROUNDUP(S17*V17,-3)</f>
        <v>2430000</v>
      </c>
      <c r="AE17" s="234" t="s">
        <v>56</v>
      </c>
      <c r="AF17" s="495"/>
      <c r="AG17" s="526">
        <f t="shared" si="3"/>
        <v>2430000</v>
      </c>
    </row>
    <row r="18" spans="1:33" s="9" customFormat="1" ht="21" customHeight="1">
      <c r="A18" s="33"/>
      <c r="B18" s="34"/>
      <c r="C18" s="34"/>
      <c r="D18" s="114"/>
      <c r="E18" s="83"/>
      <c r="F18" s="83"/>
      <c r="G18" s="83"/>
      <c r="H18" s="83"/>
      <c r="I18" s="83"/>
      <c r="J18" s="83"/>
      <c r="K18" s="628"/>
      <c r="L18" s="83"/>
      <c r="M18" s="83"/>
      <c r="N18" s="53"/>
      <c r="O18" s="230"/>
      <c r="P18" s="230"/>
      <c r="Q18" s="230"/>
      <c r="R18" s="230"/>
      <c r="S18" s="230"/>
      <c r="T18" s="506"/>
      <c r="U18" s="506"/>
      <c r="V18" s="169"/>
      <c r="W18" s="169"/>
      <c r="X18" s="169"/>
      <c r="Y18" s="169"/>
      <c r="Z18" s="169"/>
      <c r="AA18" s="169"/>
      <c r="AB18" s="169"/>
      <c r="AC18" s="55"/>
      <c r="AD18" s="55"/>
      <c r="AE18" s="56"/>
      <c r="AF18" s="495"/>
      <c r="AG18" s="526">
        <f t="shared" si="3"/>
        <v>0</v>
      </c>
    </row>
    <row r="19" spans="1:33" s="9" customFormat="1" ht="21" customHeight="1">
      <c r="A19" s="33"/>
      <c r="B19" s="34"/>
      <c r="C19" s="24" t="s">
        <v>63</v>
      </c>
      <c r="D19" s="116">
        <v>0</v>
      </c>
      <c r="E19" s="88">
        <f>ROUND(AD19/1000,0)</f>
        <v>160</v>
      </c>
      <c r="F19" s="88">
        <f>SUMIF($AB$20:$AB$23,"보조",$AD$20:$AD$23)/1000</f>
        <v>0</v>
      </c>
      <c r="G19" s="88">
        <f>SUMIF($AB$20:$AB$23,"7종",$AD$20:$AD$23)/1000</f>
        <v>0</v>
      </c>
      <c r="H19" s="88">
        <f>SUMIF($AB$20:$AB$23,"4종",$AD$20:$AD$23)/1000</f>
        <v>0</v>
      </c>
      <c r="I19" s="88">
        <f>SUMIF($AB$20:$AB$23,"후원",$AD$20:$AD$23)/1000</f>
        <v>0</v>
      </c>
      <c r="J19" s="88">
        <f>SUMIF($AB$20:$AB$23,"입소",$AD$20:$AD$23)/1000</f>
        <v>0</v>
      </c>
      <c r="K19" s="631">
        <f>SUMIF($AB$20:$AB$23,"법인",$AD$20:$AD$23)/1000</f>
        <v>160</v>
      </c>
      <c r="L19" s="88">
        <f>SUMIF($AB$20:$AB$23,"잡수",$AD$20:$AD$23)/1000</f>
        <v>0</v>
      </c>
      <c r="M19" s="95">
        <f>E19-D19</f>
        <v>160</v>
      </c>
      <c r="N19" s="93">
        <f>IF(D19=0,0,M19/D19)</f>
        <v>0</v>
      </c>
      <c r="O19" s="75" t="s">
        <v>65</v>
      </c>
      <c r="P19" s="519"/>
      <c r="Q19" s="133"/>
      <c r="R19" s="133"/>
      <c r="S19" s="133"/>
      <c r="T19" s="132"/>
      <c r="U19" s="132"/>
      <c r="V19" s="113"/>
      <c r="W19" s="77" t="s">
        <v>117</v>
      </c>
      <c r="X19" s="77"/>
      <c r="Y19" s="77"/>
      <c r="Z19" s="77"/>
      <c r="AA19" s="77"/>
      <c r="AB19" s="77"/>
      <c r="AC19" s="91"/>
      <c r="AD19" s="91">
        <f>SUM(AD21:AD22)</f>
        <v>160000</v>
      </c>
      <c r="AE19" s="92" t="s">
        <v>56</v>
      </c>
      <c r="AF19" s="495"/>
      <c r="AG19" s="526">
        <f t="shared" si="3"/>
        <v>160000</v>
      </c>
    </row>
    <row r="20" spans="1:33" s="9" customFormat="1" ht="21" customHeight="1">
      <c r="A20" s="33"/>
      <c r="B20" s="34"/>
      <c r="C20" s="34"/>
      <c r="D20" s="114"/>
      <c r="E20" s="83"/>
      <c r="F20" s="83"/>
      <c r="G20" s="83"/>
      <c r="H20" s="83"/>
      <c r="I20" s="83"/>
      <c r="J20" s="83"/>
      <c r="K20" s="628"/>
      <c r="L20" s="83"/>
      <c r="M20" s="83"/>
      <c r="N20" s="53"/>
      <c r="O20" s="131"/>
      <c r="P20" s="131"/>
      <c r="Q20" s="131"/>
      <c r="R20" s="131"/>
      <c r="S20" s="131"/>
      <c r="T20" s="113"/>
      <c r="U20" s="113"/>
      <c r="V20" s="113"/>
      <c r="W20" s="113"/>
      <c r="X20" s="113"/>
      <c r="Y20" s="113"/>
      <c r="Z20" s="113"/>
      <c r="AA20" s="113"/>
      <c r="AB20" s="113"/>
      <c r="AC20" s="38"/>
      <c r="AD20" s="38"/>
      <c r="AE20" s="22"/>
      <c r="AF20" s="495"/>
      <c r="AG20" s="526">
        <f t="shared" si="3"/>
        <v>0</v>
      </c>
    </row>
    <row r="21" spans="1:33" s="9" customFormat="1" ht="21" customHeight="1">
      <c r="A21" s="33"/>
      <c r="B21" s="34"/>
      <c r="C21" s="34"/>
      <c r="D21" s="114"/>
      <c r="E21" s="83"/>
      <c r="F21" s="83"/>
      <c r="G21" s="83"/>
      <c r="H21" s="83"/>
      <c r="I21" s="83"/>
      <c r="J21" s="83"/>
      <c r="K21" s="628"/>
      <c r="L21" s="83"/>
      <c r="M21" s="83"/>
      <c r="N21" s="53"/>
      <c r="O21" s="223" t="s">
        <v>160</v>
      </c>
      <c r="P21" s="230"/>
      <c r="Q21" s="230"/>
      <c r="R21" s="230"/>
      <c r="S21" s="506">
        <v>45000</v>
      </c>
      <c r="T21" s="506" t="s">
        <v>56</v>
      </c>
      <c r="U21" s="230" t="s">
        <v>57</v>
      </c>
      <c r="V21" s="506">
        <v>0</v>
      </c>
      <c r="W21" s="506" t="s">
        <v>55</v>
      </c>
      <c r="X21" s="230" t="s">
        <v>57</v>
      </c>
      <c r="Y21" s="232">
        <v>0</v>
      </c>
      <c r="Z21" s="515" t="s">
        <v>85</v>
      </c>
      <c r="AA21" s="515" t="s">
        <v>53</v>
      </c>
      <c r="AB21" s="506" t="s">
        <v>219</v>
      </c>
      <c r="AC21" s="51"/>
      <c r="AD21" s="673">
        <f>S21*V21*Y21</f>
        <v>0</v>
      </c>
      <c r="AE21" s="42" t="s">
        <v>56</v>
      </c>
      <c r="AF21" s="495"/>
      <c r="AG21" s="526">
        <f t="shared" si="3"/>
        <v>0</v>
      </c>
    </row>
    <row r="22" spans="1:33" s="9" customFormat="1" ht="21" customHeight="1">
      <c r="A22" s="33"/>
      <c r="B22" s="34"/>
      <c r="C22" s="34"/>
      <c r="D22" s="114"/>
      <c r="E22" s="83"/>
      <c r="F22" s="83"/>
      <c r="G22" s="83"/>
      <c r="H22" s="83"/>
      <c r="I22" s="83"/>
      <c r="J22" s="83"/>
      <c r="K22" s="628"/>
      <c r="L22" s="83"/>
      <c r="M22" s="83"/>
      <c r="N22" s="53"/>
      <c r="O22" s="521" t="s">
        <v>242</v>
      </c>
      <c r="P22" s="521"/>
      <c r="Q22" s="521"/>
      <c r="R22" s="521"/>
      <c r="S22" s="520">
        <v>80000</v>
      </c>
      <c r="T22" s="520" t="s">
        <v>56</v>
      </c>
      <c r="U22" s="521" t="s">
        <v>57</v>
      </c>
      <c r="V22" s="520">
        <v>2</v>
      </c>
      <c r="W22" s="520" t="s">
        <v>55</v>
      </c>
      <c r="X22" s="521" t="s">
        <v>57</v>
      </c>
      <c r="Y22" s="232"/>
      <c r="Z22" s="475" t="s">
        <v>85</v>
      </c>
      <c r="AA22" s="475" t="s">
        <v>53</v>
      </c>
      <c r="AB22" s="520" t="s">
        <v>153</v>
      </c>
      <c r="AC22" s="476"/>
      <c r="AD22" s="659">
        <f>ROUNDUP(S22*V22,-3)</f>
        <v>160000</v>
      </c>
      <c r="AE22" s="103" t="s">
        <v>56</v>
      </c>
      <c r="AF22" s="495"/>
      <c r="AG22" s="526">
        <f t="shared" si="3"/>
        <v>160000</v>
      </c>
    </row>
    <row r="23" spans="1:33" s="9" customFormat="1" ht="21" customHeight="1">
      <c r="A23" s="33"/>
      <c r="B23" s="34"/>
      <c r="C23" s="34"/>
      <c r="D23" s="114"/>
      <c r="E23" s="83"/>
      <c r="F23" s="83"/>
      <c r="G23" s="83"/>
      <c r="H23" s="83"/>
      <c r="I23" s="83"/>
      <c r="J23" s="83"/>
      <c r="K23" s="628"/>
      <c r="L23" s="83"/>
      <c r="M23" s="83"/>
      <c r="N23" s="53"/>
      <c r="O23" s="230"/>
      <c r="P23" s="230"/>
      <c r="Q23" s="230"/>
      <c r="R23" s="230"/>
      <c r="S23" s="506"/>
      <c r="T23" s="506"/>
      <c r="U23" s="230"/>
      <c r="V23" s="506"/>
      <c r="W23" s="506"/>
      <c r="X23" s="230"/>
      <c r="Y23" s="71"/>
      <c r="Z23" s="506"/>
      <c r="AA23" s="506"/>
      <c r="AB23" s="506"/>
      <c r="AC23" s="51"/>
      <c r="AD23" s="642"/>
      <c r="AE23" s="42"/>
      <c r="AF23" s="495"/>
      <c r="AG23" s="526">
        <f t="shared" si="3"/>
        <v>0</v>
      </c>
    </row>
    <row r="24" spans="1:33" s="9" customFormat="1" ht="21" customHeight="1">
      <c r="A24" s="33"/>
      <c r="B24" s="34"/>
      <c r="C24" s="24" t="s">
        <v>33</v>
      </c>
      <c r="D24" s="116">
        <v>457874</v>
      </c>
      <c r="E24" s="88">
        <f>ROUND(AD24/1000,0)</f>
        <v>415195</v>
      </c>
      <c r="F24" s="88">
        <f>SUMIF($AB$25:$AB$47,"보조",$AD$25:$AD$47)/1000</f>
        <v>381160</v>
      </c>
      <c r="G24" s="88">
        <f>SUMIF($AB$25:$AB$47,"7종",$AD$25:$AD$47)/1000</f>
        <v>29846</v>
      </c>
      <c r="H24" s="88">
        <f>SUMIF($AB$25:$AB$47,"4종",$AD$25:$AD$47)/1000</f>
        <v>0</v>
      </c>
      <c r="I24" s="88">
        <f>SUMIF($AB$25:$AB$47,"후원",$AD$25:$AD$47)/1000</f>
        <v>0</v>
      </c>
      <c r="J24" s="88">
        <f>SUMIF($AB$25:$AB$47,"입소",$AD$25:$AD$47)/1000</f>
        <v>0</v>
      </c>
      <c r="K24" s="631">
        <f>SUMIF($AB$25:$AB$47,"법인",$AD$25:$AD$47)/1000</f>
        <v>4189</v>
      </c>
      <c r="L24" s="88">
        <f>SUMIF($AB$25:$AB$47,"잡수",$AD$25:$AD$47)/1000</f>
        <v>0</v>
      </c>
      <c r="M24" s="87">
        <f>E24-D24</f>
        <v>-42679</v>
      </c>
      <c r="N24" s="93">
        <f>IF(D24=0,0,M24/D24)</f>
        <v>-9.3211232784565182E-2</v>
      </c>
      <c r="O24" s="75" t="s">
        <v>34</v>
      </c>
      <c r="P24" s="519"/>
      <c r="Q24" s="133"/>
      <c r="R24" s="133"/>
      <c r="S24" s="133"/>
      <c r="T24" s="132"/>
      <c r="U24" s="132"/>
      <c r="V24" s="132"/>
      <c r="W24" s="518" t="s">
        <v>117</v>
      </c>
      <c r="X24" s="518"/>
      <c r="Y24" s="518"/>
      <c r="Z24" s="518"/>
      <c r="AA24" s="518"/>
      <c r="AB24" s="518"/>
      <c r="AC24" s="128"/>
      <c r="AD24" s="128">
        <f>명절휴가비+가족수당+연장근로수당+AD44</f>
        <v>415195000</v>
      </c>
      <c r="AE24" s="127" t="s">
        <v>56</v>
      </c>
      <c r="AF24" s="495"/>
      <c r="AG24" s="526">
        <f t="shared" si="3"/>
        <v>415195000</v>
      </c>
    </row>
    <row r="25" spans="1:33" s="9" customFormat="1" ht="21" customHeight="1">
      <c r="A25" s="33"/>
      <c r="B25" s="34"/>
      <c r="C25" s="34"/>
      <c r="D25" s="493"/>
      <c r="E25" s="491"/>
      <c r="F25" s="491"/>
      <c r="G25" s="491"/>
      <c r="H25" s="491"/>
      <c r="I25" s="491"/>
      <c r="J25" s="491"/>
      <c r="K25" s="661"/>
      <c r="L25" s="491"/>
      <c r="M25" s="83"/>
      <c r="N25" s="53"/>
      <c r="O25" s="286" t="s">
        <v>169</v>
      </c>
      <c r="P25" s="218"/>
      <c r="Q25" s="218"/>
      <c r="R25" s="218"/>
      <c r="S25" s="218"/>
      <c r="T25" s="217"/>
      <c r="U25" s="217"/>
      <c r="V25" s="217"/>
      <c r="W25" s="270" t="s">
        <v>154</v>
      </c>
      <c r="X25" s="270"/>
      <c r="Y25" s="270"/>
      <c r="Z25" s="270"/>
      <c r="AA25" s="270"/>
      <c r="AB25" s="270"/>
      <c r="AC25" s="271" t="s">
        <v>155</v>
      </c>
      <c r="AD25" s="271">
        <f>ROUND(SUM(AD26:AD30),-3)</f>
        <v>131592000</v>
      </c>
      <c r="AE25" s="272" t="s">
        <v>56</v>
      </c>
      <c r="AF25" s="495"/>
      <c r="AG25" s="526">
        <f t="shared" si="3"/>
        <v>131592000</v>
      </c>
    </row>
    <row r="26" spans="1:33" s="9" customFormat="1" ht="21" customHeight="1">
      <c r="A26" s="33"/>
      <c r="B26" s="34"/>
      <c r="C26" s="34"/>
      <c r="D26" s="494"/>
      <c r="E26" s="492"/>
      <c r="F26" s="492"/>
      <c r="G26" s="492"/>
      <c r="H26" s="492"/>
      <c r="I26" s="492"/>
      <c r="J26" s="492"/>
      <c r="K26" s="662"/>
      <c r="L26" s="492"/>
      <c r="M26" s="83"/>
      <c r="N26" s="53"/>
      <c r="O26" s="218" t="s">
        <v>643</v>
      </c>
      <c r="P26" s="218"/>
      <c r="Q26" s="218"/>
      <c r="R26" s="218"/>
      <c r="S26" s="218"/>
      <c r="T26" s="217"/>
      <c r="U26" s="217"/>
      <c r="V26" s="217"/>
      <c r="W26" s="217"/>
      <c r="X26" s="217"/>
      <c r="Y26" s="217"/>
      <c r="Z26" s="217"/>
      <c r="AA26" s="217"/>
      <c r="AB26" s="217" t="s">
        <v>71</v>
      </c>
      <c r="AC26" s="219"/>
      <c r="AD26" s="659">
        <v>124389000</v>
      </c>
      <c r="AE26" s="234" t="s">
        <v>56</v>
      </c>
      <c r="AF26" s="495"/>
      <c r="AG26" s="526">
        <f t="shared" si="3"/>
        <v>124389000</v>
      </c>
    </row>
    <row r="27" spans="1:33" s="9" customFormat="1" ht="21" customHeight="1">
      <c r="A27" s="33"/>
      <c r="B27" s="34"/>
      <c r="C27" s="34"/>
      <c r="D27" s="114"/>
      <c r="E27" s="83"/>
      <c r="F27" s="83"/>
      <c r="G27" s="83"/>
      <c r="H27" s="83"/>
      <c r="I27" s="83"/>
      <c r="J27" s="83"/>
      <c r="K27" s="628"/>
      <c r="L27" s="83"/>
      <c r="M27" s="83"/>
      <c r="N27" s="53"/>
      <c r="O27" s="218" t="s">
        <v>170</v>
      </c>
      <c r="P27" s="218"/>
      <c r="Q27" s="218"/>
      <c r="R27" s="218"/>
      <c r="S27" s="218"/>
      <c r="T27" s="217"/>
      <c r="U27" s="217"/>
      <c r="V27" s="217"/>
      <c r="W27" s="217"/>
      <c r="X27" s="217"/>
      <c r="Y27" s="217"/>
      <c r="Z27" s="217"/>
      <c r="AA27" s="217"/>
      <c r="AB27" s="217" t="s">
        <v>219</v>
      </c>
      <c r="AC27" s="219"/>
      <c r="AD27" s="659">
        <v>5991000</v>
      </c>
      <c r="AE27" s="234" t="s">
        <v>56</v>
      </c>
      <c r="AF27" s="495"/>
      <c r="AG27" s="526">
        <f t="shared" si="3"/>
        <v>5991000</v>
      </c>
    </row>
    <row r="28" spans="1:33" s="9" customFormat="1" ht="21" customHeight="1">
      <c r="A28" s="33"/>
      <c r="B28" s="34"/>
      <c r="C28" s="34"/>
      <c r="D28" s="114"/>
      <c r="E28" s="83"/>
      <c r="F28" s="83"/>
      <c r="G28" s="83"/>
      <c r="H28" s="83"/>
      <c r="I28" s="83"/>
      <c r="J28" s="83"/>
      <c r="K28" s="628"/>
      <c r="L28" s="83"/>
      <c r="M28" s="83"/>
      <c r="N28" s="53"/>
      <c r="O28" s="218" t="s">
        <v>331</v>
      </c>
      <c r="P28" s="218"/>
      <c r="Q28" s="218"/>
      <c r="R28" s="218"/>
      <c r="S28" s="218"/>
      <c r="T28" s="217"/>
      <c r="U28" s="217"/>
      <c r="V28" s="217"/>
      <c r="W28" s="217"/>
      <c r="X28" s="217"/>
      <c r="Y28" s="217"/>
      <c r="Z28" s="217"/>
      <c r="AA28" s="217"/>
      <c r="AB28" s="217" t="s">
        <v>71</v>
      </c>
      <c r="AC28" s="219"/>
      <c r="AD28" s="659">
        <v>0</v>
      </c>
      <c r="AE28" s="234" t="s">
        <v>56</v>
      </c>
      <c r="AF28" s="495"/>
      <c r="AG28" s="526">
        <f t="shared" si="3"/>
        <v>0</v>
      </c>
    </row>
    <row r="29" spans="1:33" s="9" customFormat="1" ht="21" customHeight="1">
      <c r="A29" s="33"/>
      <c r="B29" s="34"/>
      <c r="C29" s="34"/>
      <c r="D29" s="114"/>
      <c r="E29" s="83"/>
      <c r="F29" s="83"/>
      <c r="G29" s="83"/>
      <c r="H29" s="83"/>
      <c r="I29" s="83"/>
      <c r="J29" s="83"/>
      <c r="K29" s="628"/>
      <c r="L29" s="83"/>
      <c r="M29" s="83"/>
      <c r="N29" s="53"/>
      <c r="O29" s="218" t="s">
        <v>591</v>
      </c>
      <c r="P29" s="218"/>
      <c r="Q29" s="218"/>
      <c r="R29" s="218"/>
      <c r="S29" s="218"/>
      <c r="T29" s="217"/>
      <c r="U29" s="217"/>
      <c r="V29" s="217"/>
      <c r="W29" s="217"/>
      <c r="X29" s="217"/>
      <c r="Y29" s="217"/>
      <c r="Z29" s="217"/>
      <c r="AA29" s="217"/>
      <c r="AB29" s="217" t="s">
        <v>153</v>
      </c>
      <c r="AC29" s="219"/>
      <c r="AD29" s="659">
        <v>162000</v>
      </c>
      <c r="AE29" s="234" t="s">
        <v>56</v>
      </c>
      <c r="AF29" s="495"/>
      <c r="AG29" s="526">
        <f t="shared" si="3"/>
        <v>162000</v>
      </c>
    </row>
    <row r="30" spans="1:33" s="9" customFormat="1" ht="21" customHeight="1">
      <c r="A30" s="33"/>
      <c r="B30" s="34"/>
      <c r="C30" s="34"/>
      <c r="D30" s="114"/>
      <c r="E30" s="83"/>
      <c r="F30" s="83"/>
      <c r="G30" s="83"/>
      <c r="H30" s="83"/>
      <c r="I30" s="83"/>
      <c r="J30" s="83"/>
      <c r="K30" s="628"/>
      <c r="L30" s="83"/>
      <c r="M30" s="83"/>
      <c r="N30" s="53"/>
      <c r="O30" s="218" t="s">
        <v>592</v>
      </c>
      <c r="P30" s="218"/>
      <c r="Q30" s="218"/>
      <c r="R30" s="218"/>
      <c r="S30" s="218"/>
      <c r="T30" s="217"/>
      <c r="U30" s="217"/>
      <c r="V30" s="217"/>
      <c r="W30" s="217"/>
      <c r="X30" s="217"/>
      <c r="Y30" s="217"/>
      <c r="Z30" s="217"/>
      <c r="AA30" s="217"/>
      <c r="AB30" s="217" t="s">
        <v>153</v>
      </c>
      <c r="AC30" s="219"/>
      <c r="AD30" s="219">
        <v>1050000</v>
      </c>
      <c r="AE30" s="234" t="s">
        <v>56</v>
      </c>
      <c r="AF30" s="495"/>
      <c r="AG30" s="526">
        <f t="shared" si="3"/>
        <v>1050000</v>
      </c>
    </row>
    <row r="31" spans="1:33" s="9" customFormat="1" ht="21" customHeight="1">
      <c r="A31" s="33"/>
      <c r="B31" s="34"/>
      <c r="C31" s="34"/>
      <c r="D31" s="114"/>
      <c r="E31" s="83"/>
      <c r="F31" s="83"/>
      <c r="G31" s="83"/>
      <c r="H31" s="83"/>
      <c r="I31" s="83"/>
      <c r="J31" s="83"/>
      <c r="K31" s="628"/>
      <c r="L31" s="83"/>
      <c r="M31" s="83"/>
      <c r="N31" s="53"/>
      <c r="O31" s="218"/>
      <c r="P31" s="218"/>
      <c r="Q31" s="218"/>
      <c r="R31" s="218"/>
      <c r="S31" s="218"/>
      <c r="T31" s="217"/>
      <c r="U31" s="217"/>
      <c r="V31" s="217"/>
      <c r="W31" s="217"/>
      <c r="X31" s="217"/>
      <c r="Y31" s="217"/>
      <c r="Z31" s="217"/>
      <c r="AA31" s="217"/>
      <c r="AB31" s="217"/>
      <c r="AC31" s="219"/>
      <c r="AD31" s="219"/>
      <c r="AE31" s="234"/>
      <c r="AF31" s="495"/>
      <c r="AG31" s="526">
        <f t="shared" si="3"/>
        <v>0</v>
      </c>
    </row>
    <row r="32" spans="1:33" s="9" customFormat="1" ht="21" customHeight="1">
      <c r="A32" s="33"/>
      <c r="B32" s="34"/>
      <c r="C32" s="34"/>
      <c r="D32" s="114"/>
      <c r="E32" s="83"/>
      <c r="F32" s="83"/>
      <c r="G32" s="83"/>
      <c r="H32" s="83"/>
      <c r="I32" s="83"/>
      <c r="J32" s="83"/>
      <c r="K32" s="628"/>
      <c r="L32" s="83"/>
      <c r="M32" s="83"/>
      <c r="N32" s="53"/>
      <c r="O32" s="286" t="s">
        <v>171</v>
      </c>
      <c r="P32" s="218"/>
      <c r="Q32" s="218"/>
      <c r="R32" s="218"/>
      <c r="S32" s="218"/>
      <c r="T32" s="217"/>
      <c r="U32" s="217"/>
      <c r="V32" s="217"/>
      <c r="W32" s="270" t="s">
        <v>154</v>
      </c>
      <c r="X32" s="270"/>
      <c r="Y32" s="270"/>
      <c r="Z32" s="270"/>
      <c r="AA32" s="270"/>
      <c r="AB32" s="270"/>
      <c r="AC32" s="271" t="s">
        <v>155</v>
      </c>
      <c r="AD32" s="271">
        <f>SUM(AD33:AD35)</f>
        <v>24672000</v>
      </c>
      <c r="AE32" s="272" t="s">
        <v>56</v>
      </c>
      <c r="AF32" s="495"/>
      <c r="AG32" s="526">
        <f t="shared" si="3"/>
        <v>24672000</v>
      </c>
    </row>
    <row r="33" spans="1:33" s="9" customFormat="1" ht="21" customHeight="1">
      <c r="A33" s="33"/>
      <c r="B33" s="34"/>
      <c r="C33" s="34"/>
      <c r="D33" s="114"/>
      <c r="E33" s="83"/>
      <c r="F33" s="83"/>
      <c r="G33" s="83"/>
      <c r="H33" s="83"/>
      <c r="I33" s="83"/>
      <c r="J33" s="83"/>
      <c r="K33" s="628"/>
      <c r="L33" s="83"/>
      <c r="M33" s="83"/>
      <c r="N33" s="53"/>
      <c r="O33" s="218" t="s">
        <v>643</v>
      </c>
      <c r="P33" s="218"/>
      <c r="Q33" s="218"/>
      <c r="R33" s="218"/>
      <c r="S33" s="218"/>
      <c r="T33" s="217"/>
      <c r="U33" s="217"/>
      <c r="V33" s="217"/>
      <c r="W33" s="217"/>
      <c r="X33" s="217"/>
      <c r="Y33" s="217"/>
      <c r="Z33" s="217"/>
      <c r="AA33" s="217"/>
      <c r="AB33" s="217" t="s">
        <v>71</v>
      </c>
      <c r="AC33" s="219"/>
      <c r="AD33" s="219">
        <v>23942000</v>
      </c>
      <c r="AE33" s="234" t="s">
        <v>56</v>
      </c>
      <c r="AF33" s="495"/>
      <c r="AG33" s="526">
        <f t="shared" si="3"/>
        <v>23942000</v>
      </c>
    </row>
    <row r="34" spans="1:33" s="9" customFormat="1" ht="21" customHeight="1">
      <c r="A34" s="33"/>
      <c r="B34" s="34"/>
      <c r="C34" s="34"/>
      <c r="D34" s="114"/>
      <c r="E34" s="83"/>
      <c r="F34" s="83"/>
      <c r="G34" s="83"/>
      <c r="H34" s="83"/>
      <c r="I34" s="83"/>
      <c r="J34" s="83"/>
      <c r="K34" s="628"/>
      <c r="L34" s="83"/>
      <c r="M34" s="83"/>
      <c r="N34" s="53"/>
      <c r="O34" s="218" t="s">
        <v>170</v>
      </c>
      <c r="P34" s="218"/>
      <c r="Q34" s="218"/>
      <c r="R34" s="218"/>
      <c r="S34" s="218"/>
      <c r="T34" s="217"/>
      <c r="U34" s="217"/>
      <c r="V34" s="217"/>
      <c r="W34" s="217"/>
      <c r="X34" s="217"/>
      <c r="Y34" s="217"/>
      <c r="Z34" s="217"/>
      <c r="AA34" s="217"/>
      <c r="AB34" s="217" t="s">
        <v>219</v>
      </c>
      <c r="AC34" s="219"/>
      <c r="AD34" s="219">
        <v>730000</v>
      </c>
      <c r="AE34" s="234" t="s">
        <v>56</v>
      </c>
      <c r="AF34" s="495"/>
      <c r="AG34" s="526">
        <f t="shared" si="3"/>
        <v>730000</v>
      </c>
    </row>
    <row r="35" spans="1:33" s="9" customFormat="1" ht="21" customHeight="1">
      <c r="A35" s="33"/>
      <c r="B35" s="34"/>
      <c r="C35" s="34"/>
      <c r="D35" s="114"/>
      <c r="E35" s="83"/>
      <c r="F35" s="83"/>
      <c r="G35" s="83"/>
      <c r="H35" s="83"/>
      <c r="I35" s="83"/>
      <c r="J35" s="83"/>
      <c r="K35" s="628"/>
      <c r="L35" s="83"/>
      <c r="M35" s="83"/>
      <c r="N35" s="53"/>
      <c r="O35" s="218" t="s">
        <v>331</v>
      </c>
      <c r="P35" s="218"/>
      <c r="Q35" s="218"/>
      <c r="R35" s="218"/>
      <c r="S35" s="218"/>
      <c r="T35" s="217"/>
      <c r="U35" s="217"/>
      <c r="V35" s="217"/>
      <c r="W35" s="217"/>
      <c r="X35" s="217"/>
      <c r="Y35" s="217"/>
      <c r="Z35" s="217"/>
      <c r="AA35" s="217"/>
      <c r="AB35" s="217" t="s">
        <v>71</v>
      </c>
      <c r="AC35" s="219"/>
      <c r="AD35" s="659">
        <v>0</v>
      </c>
      <c r="AE35" s="234" t="s">
        <v>56</v>
      </c>
      <c r="AF35" s="495"/>
      <c r="AG35" s="526">
        <f t="shared" si="3"/>
        <v>0</v>
      </c>
    </row>
    <row r="36" spans="1:33" s="9" customFormat="1" ht="21" customHeight="1">
      <c r="A36" s="33"/>
      <c r="B36" s="34"/>
      <c r="C36" s="34"/>
      <c r="D36" s="114"/>
      <c r="E36" s="83"/>
      <c r="F36" s="83"/>
      <c r="G36" s="83"/>
      <c r="H36" s="83"/>
      <c r="I36" s="83"/>
      <c r="J36" s="83"/>
      <c r="K36" s="628"/>
      <c r="L36" s="83"/>
      <c r="M36" s="83"/>
      <c r="N36" s="53"/>
      <c r="O36" s="218"/>
      <c r="P36" s="218"/>
      <c r="Q36" s="218"/>
      <c r="R36" s="218"/>
      <c r="S36" s="218"/>
      <c r="T36" s="217"/>
      <c r="U36" s="217"/>
      <c r="V36" s="217"/>
      <c r="W36" s="217"/>
      <c r="X36" s="217"/>
      <c r="Y36" s="217"/>
      <c r="Z36" s="217"/>
      <c r="AA36" s="217"/>
      <c r="AB36" s="217"/>
      <c r="AC36" s="219"/>
      <c r="AD36" s="219"/>
      <c r="AE36" s="234"/>
      <c r="AF36" s="495"/>
      <c r="AG36" s="526">
        <f t="shared" si="3"/>
        <v>0</v>
      </c>
    </row>
    <row r="37" spans="1:33" s="9" customFormat="1" ht="21" customHeight="1">
      <c r="A37" s="33"/>
      <c r="B37" s="34"/>
      <c r="C37" s="34"/>
      <c r="D37" s="114"/>
      <c r="E37" s="83"/>
      <c r="F37" s="83"/>
      <c r="G37" s="83"/>
      <c r="H37" s="83"/>
      <c r="I37" s="83"/>
      <c r="J37" s="83"/>
      <c r="K37" s="628"/>
      <c r="L37" s="83"/>
      <c r="M37" s="83"/>
      <c r="N37" s="53"/>
      <c r="O37" s="286" t="s">
        <v>172</v>
      </c>
      <c r="P37" s="218"/>
      <c r="Q37" s="218"/>
      <c r="R37" s="218"/>
      <c r="S37" s="218"/>
      <c r="T37" s="217"/>
      <c r="U37" s="217"/>
      <c r="V37" s="217"/>
      <c r="W37" s="270" t="s">
        <v>154</v>
      </c>
      <c r="X37" s="270"/>
      <c r="Y37" s="270"/>
      <c r="Z37" s="270"/>
      <c r="AA37" s="270"/>
      <c r="AB37" s="270"/>
      <c r="AC37" s="271" t="s">
        <v>155</v>
      </c>
      <c r="AD37" s="271">
        <f>ROUND(SUM(AD38:AD42),-3)</f>
        <v>256391000</v>
      </c>
      <c r="AE37" s="272" t="s">
        <v>56</v>
      </c>
      <c r="AF37" s="495"/>
      <c r="AG37" s="526">
        <f t="shared" si="3"/>
        <v>256391000</v>
      </c>
    </row>
    <row r="38" spans="1:33" s="9" customFormat="1" ht="21" customHeight="1">
      <c r="A38" s="33"/>
      <c r="B38" s="34"/>
      <c r="C38" s="34"/>
      <c r="D38" s="114"/>
      <c r="E38" s="83"/>
      <c r="F38" s="83"/>
      <c r="G38" s="83"/>
      <c r="H38" s="83"/>
      <c r="I38" s="83"/>
      <c r="J38" s="83"/>
      <c r="K38" s="628"/>
      <c r="L38" s="83"/>
      <c r="M38" s="83"/>
      <c r="N38" s="53"/>
      <c r="O38" s="218" t="s">
        <v>643</v>
      </c>
      <c r="P38" s="218"/>
      <c r="Q38" s="218"/>
      <c r="R38" s="218"/>
      <c r="S38" s="218"/>
      <c r="T38" s="217"/>
      <c r="U38" s="217"/>
      <c r="V38" s="217"/>
      <c r="W38" s="217"/>
      <c r="X38" s="217"/>
      <c r="Y38" s="217"/>
      <c r="Z38" s="217"/>
      <c r="AA38" s="217"/>
      <c r="AB38" s="217" t="s">
        <v>71</v>
      </c>
      <c r="AC38" s="219"/>
      <c r="AD38" s="659">
        <v>232829000</v>
      </c>
      <c r="AE38" s="234" t="s">
        <v>56</v>
      </c>
      <c r="AF38" s="495"/>
      <c r="AG38" s="526">
        <f t="shared" si="3"/>
        <v>232829000</v>
      </c>
    </row>
    <row r="39" spans="1:33" s="9" customFormat="1" ht="21" customHeight="1">
      <c r="A39" s="33"/>
      <c r="B39" s="34"/>
      <c r="C39" s="34"/>
      <c r="D39" s="114"/>
      <c r="E39" s="83"/>
      <c r="F39" s="83"/>
      <c r="G39" s="83"/>
      <c r="H39" s="83"/>
      <c r="I39" s="83"/>
      <c r="J39" s="83"/>
      <c r="K39" s="628"/>
      <c r="L39" s="83"/>
      <c r="M39" s="83"/>
      <c r="N39" s="53"/>
      <c r="O39" s="218" t="s">
        <v>170</v>
      </c>
      <c r="P39" s="218"/>
      <c r="Q39" s="218"/>
      <c r="R39" s="218"/>
      <c r="S39" s="218"/>
      <c r="T39" s="217"/>
      <c r="U39" s="217"/>
      <c r="V39" s="217"/>
      <c r="W39" s="217"/>
      <c r="X39" s="217"/>
      <c r="Y39" s="217"/>
      <c r="Z39" s="217"/>
      <c r="AA39" s="217"/>
      <c r="AB39" s="217" t="s">
        <v>219</v>
      </c>
      <c r="AC39" s="219"/>
      <c r="AD39" s="659">
        <v>10976000</v>
      </c>
      <c r="AE39" s="234" t="s">
        <v>56</v>
      </c>
      <c r="AF39" s="495"/>
      <c r="AG39" s="526">
        <f t="shared" si="3"/>
        <v>10976000</v>
      </c>
    </row>
    <row r="40" spans="1:33" s="9" customFormat="1" ht="21" customHeight="1">
      <c r="A40" s="33"/>
      <c r="B40" s="34"/>
      <c r="C40" s="34"/>
      <c r="D40" s="114"/>
      <c r="E40" s="83"/>
      <c r="F40" s="83"/>
      <c r="G40" s="83"/>
      <c r="H40" s="83"/>
      <c r="I40" s="83"/>
      <c r="J40" s="83"/>
      <c r="K40" s="628"/>
      <c r="L40" s="83"/>
      <c r="M40" s="83"/>
      <c r="N40" s="53"/>
      <c r="O40" s="218" t="s">
        <v>331</v>
      </c>
      <c r="P40" s="218"/>
      <c r="Q40" s="218"/>
      <c r="R40" s="218"/>
      <c r="S40" s="218"/>
      <c r="T40" s="217"/>
      <c r="U40" s="217"/>
      <c r="V40" s="217"/>
      <c r="W40" s="217"/>
      <c r="X40" s="217"/>
      <c r="Y40" s="217"/>
      <c r="Z40" s="217"/>
      <c r="AA40" s="217"/>
      <c r="AB40" s="217" t="s">
        <v>71</v>
      </c>
      <c r="AC40" s="219"/>
      <c r="AD40" s="659">
        <v>0</v>
      </c>
      <c r="AE40" s="234" t="s">
        <v>56</v>
      </c>
      <c r="AF40" s="495"/>
      <c r="AG40" s="526">
        <f t="shared" si="3"/>
        <v>0</v>
      </c>
    </row>
    <row r="41" spans="1:33" s="9" customFormat="1" ht="21" customHeight="1">
      <c r="A41" s="33"/>
      <c r="B41" s="34"/>
      <c r="C41" s="34"/>
      <c r="D41" s="114"/>
      <c r="E41" s="83"/>
      <c r="F41" s="83"/>
      <c r="G41" s="83"/>
      <c r="H41" s="83"/>
      <c r="I41" s="83"/>
      <c r="J41" s="83"/>
      <c r="K41" s="628"/>
      <c r="L41" s="83"/>
      <c r="M41" s="83"/>
      <c r="N41" s="53"/>
      <c r="O41" s="218" t="s">
        <v>591</v>
      </c>
      <c r="P41" s="218"/>
      <c r="Q41" s="218"/>
      <c r="R41" s="218"/>
      <c r="S41" s="218"/>
      <c r="T41" s="217"/>
      <c r="U41" s="217"/>
      <c r="V41" s="217"/>
      <c r="W41" s="217"/>
      <c r="X41" s="217"/>
      <c r="Y41" s="217"/>
      <c r="Z41" s="217"/>
      <c r="AA41" s="217"/>
      <c r="AB41" s="217" t="s">
        <v>153</v>
      </c>
      <c r="AC41" s="219"/>
      <c r="AD41" s="659">
        <v>437000</v>
      </c>
      <c r="AE41" s="234" t="s">
        <v>56</v>
      </c>
      <c r="AF41" s="495"/>
      <c r="AG41" s="526">
        <f t="shared" si="3"/>
        <v>437000</v>
      </c>
    </row>
    <row r="42" spans="1:33" s="9" customFormat="1" ht="21" customHeight="1">
      <c r="A42" s="33"/>
      <c r="B42" s="34"/>
      <c r="C42" s="34"/>
      <c r="D42" s="114"/>
      <c r="E42" s="83"/>
      <c r="F42" s="83"/>
      <c r="G42" s="83"/>
      <c r="H42" s="83"/>
      <c r="I42" s="83"/>
      <c r="J42" s="83"/>
      <c r="K42" s="628"/>
      <c r="L42" s="83"/>
      <c r="M42" s="83"/>
      <c r="N42" s="53"/>
      <c r="O42" s="218" t="s">
        <v>593</v>
      </c>
      <c r="P42" s="218"/>
      <c r="Q42" s="218"/>
      <c r="R42" s="218"/>
      <c r="S42" s="218"/>
      <c r="T42" s="217"/>
      <c r="U42" s="217"/>
      <c r="V42" s="217"/>
      <c r="W42" s="217"/>
      <c r="X42" s="217"/>
      <c r="Y42" s="217"/>
      <c r="Z42" s="217"/>
      <c r="AA42" s="217"/>
      <c r="AB42" s="217" t="s">
        <v>219</v>
      </c>
      <c r="AC42" s="219"/>
      <c r="AD42" s="659">
        <f>6074500*2</f>
        <v>12149000</v>
      </c>
      <c r="AE42" s="234" t="s">
        <v>56</v>
      </c>
      <c r="AF42" s="495"/>
      <c r="AG42" s="526">
        <f t="shared" si="3"/>
        <v>12149000</v>
      </c>
    </row>
    <row r="43" spans="1:33" s="9" customFormat="1" ht="21" customHeight="1">
      <c r="A43" s="33"/>
      <c r="B43" s="34"/>
      <c r="C43" s="34"/>
      <c r="D43" s="114"/>
      <c r="E43" s="83"/>
      <c r="F43" s="83"/>
      <c r="G43" s="83"/>
      <c r="H43" s="83"/>
      <c r="I43" s="83"/>
      <c r="J43" s="83"/>
      <c r="K43" s="628"/>
      <c r="L43" s="83"/>
      <c r="M43" s="83"/>
      <c r="N43" s="53"/>
      <c r="O43" s="218"/>
      <c r="P43" s="218"/>
      <c r="Q43" s="218"/>
      <c r="R43" s="218"/>
      <c r="S43" s="218"/>
      <c r="T43" s="217"/>
      <c r="U43" s="217"/>
      <c r="V43" s="217"/>
      <c r="W43" s="217"/>
      <c r="X43" s="217"/>
      <c r="Y43" s="217"/>
      <c r="Z43" s="217"/>
      <c r="AA43" s="217"/>
      <c r="AB43" s="217"/>
      <c r="AC43" s="219"/>
      <c r="AD43" s="659"/>
      <c r="AE43" s="234"/>
      <c r="AF43" s="495"/>
      <c r="AG43" s="526">
        <f t="shared" si="3"/>
        <v>0</v>
      </c>
    </row>
    <row r="44" spans="1:33" s="9" customFormat="1" ht="21" customHeight="1">
      <c r="A44" s="33"/>
      <c r="B44" s="34"/>
      <c r="C44" s="34"/>
      <c r="D44" s="114"/>
      <c r="E44" s="83"/>
      <c r="F44" s="83"/>
      <c r="G44" s="83"/>
      <c r="H44" s="83"/>
      <c r="I44" s="83"/>
      <c r="J44" s="83"/>
      <c r="K44" s="628"/>
      <c r="L44" s="83"/>
      <c r="M44" s="83"/>
      <c r="N44" s="53"/>
      <c r="O44" s="286" t="s">
        <v>594</v>
      </c>
      <c r="P44" s="218"/>
      <c r="Q44" s="218"/>
      <c r="R44" s="218"/>
      <c r="S44" s="218"/>
      <c r="T44" s="217"/>
      <c r="U44" s="217"/>
      <c r="V44" s="217"/>
      <c r="W44" s="270" t="s">
        <v>154</v>
      </c>
      <c r="X44" s="270"/>
      <c r="Y44" s="270"/>
      <c r="Z44" s="270"/>
      <c r="AA44" s="270"/>
      <c r="AB44" s="670"/>
      <c r="AC44" s="317" t="s">
        <v>784</v>
      </c>
      <c r="AD44" s="317">
        <f>SUM(AD45:AD46)</f>
        <v>2540000</v>
      </c>
      <c r="AE44" s="309" t="s">
        <v>776</v>
      </c>
      <c r="AF44" s="495"/>
      <c r="AG44" s="526">
        <f t="shared" si="3"/>
        <v>2540000</v>
      </c>
    </row>
    <row r="45" spans="1:33" s="9" customFormat="1" ht="21" customHeight="1">
      <c r="A45" s="33"/>
      <c r="B45" s="34"/>
      <c r="C45" s="34"/>
      <c r="D45" s="114"/>
      <c r="E45" s="83"/>
      <c r="F45" s="83"/>
      <c r="G45" s="83"/>
      <c r="H45" s="83"/>
      <c r="I45" s="83"/>
      <c r="J45" s="83"/>
      <c r="K45" s="628"/>
      <c r="L45" s="83"/>
      <c r="M45" s="83"/>
      <c r="N45" s="53"/>
      <c r="O45" s="218" t="s">
        <v>644</v>
      </c>
      <c r="P45" s="218"/>
      <c r="Q45" s="218"/>
      <c r="R45" s="218"/>
      <c r="S45" s="506">
        <v>70000</v>
      </c>
      <c r="T45" s="506" t="s">
        <v>56</v>
      </c>
      <c r="U45" s="230" t="s">
        <v>57</v>
      </c>
      <c r="V45" s="506">
        <v>1</v>
      </c>
      <c r="W45" s="506" t="s">
        <v>55</v>
      </c>
      <c r="X45" s="230" t="s">
        <v>57</v>
      </c>
      <c r="Y45" s="232">
        <v>9</v>
      </c>
      <c r="Z45" s="515" t="s">
        <v>0</v>
      </c>
      <c r="AA45" s="515" t="s">
        <v>53</v>
      </c>
      <c r="AB45" s="673" t="s">
        <v>778</v>
      </c>
      <c r="AC45" s="659"/>
      <c r="AD45" s="659">
        <f>S45*V45*Y45</f>
        <v>630000</v>
      </c>
      <c r="AE45" s="632" t="s">
        <v>776</v>
      </c>
      <c r="AF45" s="495"/>
      <c r="AG45" s="526">
        <f t="shared" si="3"/>
        <v>630000</v>
      </c>
    </row>
    <row r="46" spans="1:33" s="9" customFormat="1" ht="21" customHeight="1">
      <c r="A46" s="33"/>
      <c r="B46" s="34"/>
      <c r="C46" s="34"/>
      <c r="D46" s="114"/>
      <c r="E46" s="83"/>
      <c r="F46" s="83"/>
      <c r="G46" s="83"/>
      <c r="H46" s="83"/>
      <c r="I46" s="83"/>
      <c r="J46" s="83"/>
      <c r="K46" s="628"/>
      <c r="L46" s="83"/>
      <c r="M46" s="83"/>
      <c r="N46" s="53"/>
      <c r="O46" s="218" t="s">
        <v>652</v>
      </c>
      <c r="P46" s="218"/>
      <c r="Q46" s="218"/>
      <c r="R46" s="218"/>
      <c r="S46" s="506"/>
      <c r="T46" s="506"/>
      <c r="U46" s="230"/>
      <c r="V46" s="506"/>
      <c r="W46" s="506"/>
      <c r="X46" s="230"/>
      <c r="Y46" s="232"/>
      <c r="Z46" s="515"/>
      <c r="AA46" s="515"/>
      <c r="AB46" s="673" t="s">
        <v>778</v>
      </c>
      <c r="AC46" s="659"/>
      <c r="AD46" s="659">
        <v>1910000</v>
      </c>
      <c r="AE46" s="632" t="s">
        <v>776</v>
      </c>
      <c r="AF46" s="495"/>
      <c r="AG46" s="526">
        <f t="shared" si="3"/>
        <v>1910000</v>
      </c>
    </row>
    <row r="47" spans="1:33" s="9" customFormat="1" ht="21" customHeight="1">
      <c r="A47" s="33"/>
      <c r="B47" s="34"/>
      <c r="C47" s="34"/>
      <c r="D47" s="114"/>
      <c r="E47" s="83"/>
      <c r="F47" s="83"/>
      <c r="G47" s="83"/>
      <c r="H47" s="83"/>
      <c r="I47" s="83"/>
      <c r="J47" s="83"/>
      <c r="K47" s="628"/>
      <c r="L47" s="83"/>
      <c r="M47" s="83"/>
      <c r="N47" s="53"/>
      <c r="O47" s="218"/>
      <c r="P47" s="218"/>
      <c r="Q47" s="218"/>
      <c r="R47" s="218"/>
      <c r="S47" s="217"/>
      <c r="T47" s="267"/>
      <c r="U47" s="289"/>
      <c r="V47" s="267"/>
      <c r="W47" s="290"/>
      <c r="X47" s="290"/>
      <c r="Y47" s="217"/>
      <c r="Z47" s="217"/>
      <c r="AA47" s="217"/>
      <c r="AB47" s="673"/>
      <c r="AC47" s="673"/>
      <c r="AD47" s="673"/>
      <c r="AE47" s="632"/>
      <c r="AF47" s="495"/>
      <c r="AG47" s="526">
        <f t="shared" si="3"/>
        <v>0</v>
      </c>
    </row>
    <row r="48" spans="1:33" s="9" customFormat="1" ht="21" customHeight="1">
      <c r="A48" s="33"/>
      <c r="B48" s="34"/>
      <c r="C48" s="24" t="s">
        <v>9</v>
      </c>
      <c r="D48" s="116">
        <v>152099</v>
      </c>
      <c r="E48" s="88">
        <f>ROUND(AD48/1000,0)</f>
        <v>144587</v>
      </c>
      <c r="F48" s="88">
        <f>SUMIF($AB$49:$AB$63,"보조",$AD$49:$AD$63)/1000</f>
        <v>134847</v>
      </c>
      <c r="G48" s="88">
        <f>SUMIF($AB$49:$AB$63,"7종",$AD$49:$AD$63)/1000</f>
        <v>7125</v>
      </c>
      <c r="H48" s="88">
        <f>SUMIF($AB$49:$AB$63,"4종",$AD$49:$AD$63)/1000</f>
        <v>0</v>
      </c>
      <c r="I48" s="88">
        <f>SUMIF($AB$49:$AB$63,"후원",$AD$49:$AD$63)/1000</f>
        <v>0</v>
      </c>
      <c r="J48" s="88">
        <f>SUMIF($AB$49:$AB$63,"입소",$AD$49:$AD$63)/1000</f>
        <v>0</v>
      </c>
      <c r="K48" s="631">
        <f>SUMIF($AB$49:$AB$63,"법인",$AD$49:$AD$63)/1000</f>
        <v>2615</v>
      </c>
      <c r="L48" s="88">
        <f>SUMIF($AB$49:$AB$63,"잡수",$AD$49:$AD$63)/1000</f>
        <v>0</v>
      </c>
      <c r="M48" s="87">
        <f>E48-D48</f>
        <v>-7512</v>
      </c>
      <c r="N48" s="93">
        <f>IF(D48=0,0,M48/D48)</f>
        <v>-4.9388884871037944E-2</v>
      </c>
      <c r="O48" s="75" t="s">
        <v>35</v>
      </c>
      <c r="P48" s="519"/>
      <c r="Q48" s="133"/>
      <c r="R48" s="133"/>
      <c r="S48" s="133"/>
      <c r="T48" s="132"/>
      <c r="U48" s="132"/>
      <c r="V48" s="132"/>
      <c r="W48" s="518" t="s">
        <v>154</v>
      </c>
      <c r="X48" s="518"/>
      <c r="Y48" s="518"/>
      <c r="Z48" s="518"/>
      <c r="AA48" s="518"/>
      <c r="AB48" s="238"/>
      <c r="AC48" s="239" t="s">
        <v>784</v>
      </c>
      <c r="AD48" s="239">
        <f>SUM(AD49,AD54,AD57,AD60)</f>
        <v>144587000</v>
      </c>
      <c r="AE48" s="685" t="s">
        <v>776</v>
      </c>
      <c r="AF48" s="495"/>
      <c r="AG48" s="526">
        <f t="shared" si="3"/>
        <v>144587000</v>
      </c>
    </row>
    <row r="49" spans="1:33" s="9" customFormat="1" ht="21" customHeight="1">
      <c r="A49" s="33"/>
      <c r="B49" s="34"/>
      <c r="C49" s="34"/>
      <c r="D49" s="493"/>
      <c r="E49" s="491"/>
      <c r="F49" s="491"/>
      <c r="G49" s="491"/>
      <c r="H49" s="491"/>
      <c r="I49" s="491"/>
      <c r="J49" s="491"/>
      <c r="K49" s="661"/>
      <c r="L49" s="491"/>
      <c r="M49" s="89"/>
      <c r="N49" s="53"/>
      <c r="O49" s="286" t="s">
        <v>645</v>
      </c>
      <c r="P49" s="218"/>
      <c r="Q49" s="218"/>
      <c r="R49" s="218"/>
      <c r="S49" s="218"/>
      <c r="T49" s="217"/>
      <c r="U49" s="217"/>
      <c r="V49" s="217"/>
      <c r="W49" s="270" t="s">
        <v>154</v>
      </c>
      <c r="X49" s="270"/>
      <c r="Y49" s="270"/>
      <c r="Z49" s="270"/>
      <c r="AA49" s="270"/>
      <c r="AB49" s="670"/>
      <c r="AC49" s="317"/>
      <c r="AD49" s="317">
        <f>SUM(AD50:AD52)</f>
        <v>134847000</v>
      </c>
      <c r="AE49" s="309" t="s">
        <v>776</v>
      </c>
      <c r="AF49" s="495"/>
      <c r="AG49" s="526">
        <f t="shared" si="3"/>
        <v>134847000</v>
      </c>
    </row>
    <row r="50" spans="1:33" s="9" customFormat="1" ht="21" customHeight="1">
      <c r="A50" s="33"/>
      <c r="B50" s="34"/>
      <c r="C50" s="34"/>
      <c r="D50" s="494"/>
      <c r="E50" s="492"/>
      <c r="F50" s="492"/>
      <c r="G50" s="492"/>
      <c r="H50" s="492"/>
      <c r="I50" s="492"/>
      <c r="J50" s="492"/>
      <c r="K50" s="662"/>
      <c r="L50" s="492"/>
      <c r="M50" s="89"/>
      <c r="N50" s="53"/>
      <c r="O50" s="218" t="s">
        <v>646</v>
      </c>
      <c r="P50" s="218"/>
      <c r="Q50" s="218"/>
      <c r="R50" s="218"/>
      <c r="S50" s="217">
        <f>SUM(AD9,AD26,AD33,AD38)</f>
        <v>1586095000</v>
      </c>
      <c r="T50" s="264" t="s">
        <v>56</v>
      </c>
      <c r="U50" s="264" t="s">
        <v>61</v>
      </c>
      <c r="V50" s="291">
        <v>12</v>
      </c>
      <c r="W50" s="477" t="s">
        <v>0</v>
      </c>
      <c r="X50" s="217"/>
      <c r="Y50" s="217"/>
      <c r="Z50" s="217"/>
      <c r="AA50" s="217" t="s">
        <v>53</v>
      </c>
      <c r="AB50" s="673" t="s">
        <v>785</v>
      </c>
      <c r="AC50" s="659"/>
      <c r="AD50" s="659">
        <f>ROUND(S50/V50,-3)+1000</f>
        <v>132176000</v>
      </c>
      <c r="AE50" s="632" t="s">
        <v>776</v>
      </c>
      <c r="AF50" s="495"/>
      <c r="AG50" s="526">
        <f t="shared" si="3"/>
        <v>132176000</v>
      </c>
    </row>
    <row r="51" spans="1:33" s="9" customFormat="1" ht="21" customHeight="1">
      <c r="A51" s="33"/>
      <c r="B51" s="34"/>
      <c r="C51" s="34"/>
      <c r="D51" s="117"/>
      <c r="E51" s="83"/>
      <c r="F51" s="83"/>
      <c r="G51" s="83"/>
      <c r="H51" s="83"/>
      <c r="I51" s="83"/>
      <c r="J51" s="83"/>
      <c r="K51" s="628"/>
      <c r="L51" s="83"/>
      <c r="M51" s="89"/>
      <c r="N51" s="53"/>
      <c r="O51" s="218" t="s">
        <v>647</v>
      </c>
      <c r="P51" s="218"/>
      <c r="Q51" s="218"/>
      <c r="R51" s="218"/>
      <c r="S51" s="217"/>
      <c r="T51" s="264"/>
      <c r="U51" s="264"/>
      <c r="V51" s="291"/>
      <c r="W51" s="477"/>
      <c r="X51" s="217"/>
      <c r="Y51" s="217"/>
      <c r="Z51" s="217"/>
      <c r="AA51" s="217"/>
      <c r="AB51" s="673" t="s">
        <v>785</v>
      </c>
      <c r="AC51" s="659"/>
      <c r="AD51" s="659">
        <v>2219000</v>
      </c>
      <c r="AE51" s="632" t="s">
        <v>776</v>
      </c>
      <c r="AF51" s="495"/>
      <c r="AG51" s="526">
        <f t="shared" si="3"/>
        <v>2219000</v>
      </c>
    </row>
    <row r="52" spans="1:33" s="9" customFormat="1" ht="21" customHeight="1">
      <c r="A52" s="33"/>
      <c r="B52" s="34"/>
      <c r="C52" s="34"/>
      <c r="D52" s="117"/>
      <c r="E52" s="83"/>
      <c r="F52" s="83"/>
      <c r="G52" s="83"/>
      <c r="H52" s="83"/>
      <c r="I52" s="83"/>
      <c r="J52" s="83"/>
      <c r="K52" s="628"/>
      <c r="L52" s="83"/>
      <c r="M52" s="89"/>
      <c r="N52" s="53"/>
      <c r="O52" s="218" t="s">
        <v>648</v>
      </c>
      <c r="P52" s="218"/>
      <c r="Q52" s="218"/>
      <c r="R52" s="218"/>
      <c r="S52" s="217"/>
      <c r="T52" s="264"/>
      <c r="U52" s="264"/>
      <c r="V52" s="291"/>
      <c r="W52" s="477"/>
      <c r="X52" s="217"/>
      <c r="Y52" s="217"/>
      <c r="Z52" s="217"/>
      <c r="AA52" s="217"/>
      <c r="AB52" s="673" t="s">
        <v>785</v>
      </c>
      <c r="AC52" s="659"/>
      <c r="AD52" s="659">
        <v>452000</v>
      </c>
      <c r="AE52" s="632" t="s">
        <v>776</v>
      </c>
      <c r="AF52" s="495"/>
      <c r="AG52" s="526">
        <f t="shared" si="3"/>
        <v>452000</v>
      </c>
    </row>
    <row r="53" spans="1:33" s="9" customFormat="1" ht="21" customHeight="1">
      <c r="A53" s="33"/>
      <c r="B53" s="34"/>
      <c r="C53" s="34"/>
      <c r="D53" s="117"/>
      <c r="E53" s="83"/>
      <c r="F53" s="83"/>
      <c r="G53" s="83"/>
      <c r="H53" s="83"/>
      <c r="I53" s="83"/>
      <c r="J53" s="83"/>
      <c r="K53" s="628"/>
      <c r="L53" s="83"/>
      <c r="M53" s="89"/>
      <c r="N53" s="53"/>
      <c r="O53" s="218"/>
      <c r="P53" s="218"/>
      <c r="Q53" s="218"/>
      <c r="R53" s="218"/>
      <c r="S53" s="217"/>
      <c r="T53" s="264"/>
      <c r="U53" s="264"/>
      <c r="V53" s="291"/>
      <c r="W53" s="477"/>
      <c r="X53" s="217"/>
      <c r="Y53" s="217"/>
      <c r="Z53" s="217"/>
      <c r="AA53" s="217"/>
      <c r="AB53" s="673"/>
      <c r="AC53" s="659"/>
      <c r="AD53" s="659"/>
      <c r="AE53" s="632"/>
      <c r="AF53" s="495"/>
      <c r="AG53" s="526">
        <f t="shared" si="3"/>
        <v>0</v>
      </c>
    </row>
    <row r="54" spans="1:33" s="9" customFormat="1" ht="21" customHeight="1">
      <c r="A54" s="33"/>
      <c r="B54" s="34"/>
      <c r="C54" s="34"/>
      <c r="D54" s="117"/>
      <c r="E54" s="83"/>
      <c r="F54" s="83"/>
      <c r="G54" s="83"/>
      <c r="H54" s="83"/>
      <c r="I54" s="83"/>
      <c r="J54" s="83"/>
      <c r="K54" s="628"/>
      <c r="L54" s="83"/>
      <c r="M54" s="89"/>
      <c r="N54" s="53"/>
      <c r="O54" s="286" t="s">
        <v>173</v>
      </c>
      <c r="P54" s="218"/>
      <c r="Q54" s="218"/>
      <c r="R54" s="218"/>
      <c r="S54" s="218"/>
      <c r="T54" s="217"/>
      <c r="U54" s="217"/>
      <c r="V54" s="217"/>
      <c r="W54" s="270" t="s">
        <v>154</v>
      </c>
      <c r="X54" s="270"/>
      <c r="Y54" s="270"/>
      <c r="Z54" s="270"/>
      <c r="AA54" s="270"/>
      <c r="AB54" s="670"/>
      <c r="AC54" s="317" t="s">
        <v>784</v>
      </c>
      <c r="AD54" s="317">
        <f>ROUND(AD55,-3)</f>
        <v>7125000</v>
      </c>
      <c r="AE54" s="309" t="s">
        <v>776</v>
      </c>
      <c r="AF54" s="495"/>
      <c r="AG54" s="526">
        <f t="shared" si="3"/>
        <v>7125000</v>
      </c>
    </row>
    <row r="55" spans="1:33" s="9" customFormat="1" ht="21" customHeight="1">
      <c r="A55" s="33"/>
      <c r="B55" s="34"/>
      <c r="C55" s="34"/>
      <c r="D55" s="117"/>
      <c r="E55" s="83"/>
      <c r="F55" s="83"/>
      <c r="G55" s="83"/>
      <c r="H55" s="83"/>
      <c r="I55" s="83"/>
      <c r="J55" s="83"/>
      <c r="K55" s="628"/>
      <c r="L55" s="83"/>
      <c r="M55" s="89"/>
      <c r="N55" s="53"/>
      <c r="O55" s="218"/>
      <c r="P55" s="218"/>
      <c r="Q55" s="218"/>
      <c r="R55" s="218"/>
      <c r="S55" s="217">
        <f>SUM(AD11,AD27,AD34,AD39)</f>
        <v>85498000</v>
      </c>
      <c r="T55" s="264" t="s">
        <v>56</v>
      </c>
      <c r="U55" s="264" t="s">
        <v>61</v>
      </c>
      <c r="V55" s="291">
        <v>12</v>
      </c>
      <c r="W55" s="477" t="s">
        <v>0</v>
      </c>
      <c r="X55" s="217"/>
      <c r="Y55" s="217"/>
      <c r="Z55" s="217"/>
      <c r="AA55" s="217" t="s">
        <v>53</v>
      </c>
      <c r="AB55" s="673" t="s">
        <v>783</v>
      </c>
      <c r="AC55" s="659"/>
      <c r="AD55" s="659">
        <f>ROUNDUP(S55/V55,-3)</f>
        <v>7125000</v>
      </c>
      <c r="AE55" s="632" t="s">
        <v>776</v>
      </c>
      <c r="AF55" s="495"/>
      <c r="AG55" s="526">
        <f t="shared" si="3"/>
        <v>7125000</v>
      </c>
    </row>
    <row r="56" spans="1:33" s="9" customFormat="1" ht="21" customHeight="1">
      <c r="A56" s="33"/>
      <c r="B56" s="34"/>
      <c r="C56" s="34"/>
      <c r="D56" s="117"/>
      <c r="E56" s="83"/>
      <c r="F56" s="83"/>
      <c r="G56" s="83"/>
      <c r="H56" s="83"/>
      <c r="I56" s="83"/>
      <c r="J56" s="83"/>
      <c r="K56" s="628"/>
      <c r="L56" s="83"/>
      <c r="M56" s="89"/>
      <c r="N56" s="53"/>
      <c r="O56" s="218"/>
      <c r="P56" s="218"/>
      <c r="Q56" s="218"/>
      <c r="R56" s="218"/>
      <c r="S56" s="217"/>
      <c r="T56" s="264"/>
      <c r="U56" s="264"/>
      <c r="V56" s="291"/>
      <c r="W56" s="477"/>
      <c r="X56" s="217"/>
      <c r="Y56" s="217"/>
      <c r="Z56" s="217"/>
      <c r="AA56" s="217"/>
      <c r="AB56" s="673"/>
      <c r="AC56" s="659"/>
      <c r="AD56" s="659"/>
      <c r="AE56" s="632"/>
      <c r="AF56" s="495"/>
      <c r="AG56" s="526">
        <f t="shared" si="3"/>
        <v>0</v>
      </c>
    </row>
    <row r="57" spans="1:33" s="9" customFormat="1" ht="21" customHeight="1">
      <c r="A57" s="33"/>
      <c r="B57" s="34"/>
      <c r="C57" s="34"/>
      <c r="D57" s="117"/>
      <c r="E57" s="83"/>
      <c r="F57" s="83"/>
      <c r="G57" s="83"/>
      <c r="H57" s="83"/>
      <c r="I57" s="83"/>
      <c r="J57" s="83"/>
      <c r="K57" s="628"/>
      <c r="L57" s="83"/>
      <c r="M57" s="89"/>
      <c r="N57" s="53"/>
      <c r="O57" s="286" t="s">
        <v>333</v>
      </c>
      <c r="P57" s="218"/>
      <c r="Q57" s="218"/>
      <c r="R57" s="218"/>
      <c r="S57" s="218"/>
      <c r="T57" s="217"/>
      <c r="U57" s="217"/>
      <c r="V57" s="217"/>
      <c r="W57" s="270" t="s">
        <v>154</v>
      </c>
      <c r="X57" s="270"/>
      <c r="Y57" s="270"/>
      <c r="Z57" s="270"/>
      <c r="AA57" s="270"/>
      <c r="AB57" s="670"/>
      <c r="AC57" s="317" t="s">
        <v>784</v>
      </c>
      <c r="AD57" s="317">
        <f>SUM(AD58:AD59)</f>
        <v>0</v>
      </c>
      <c r="AE57" s="309" t="s">
        <v>776</v>
      </c>
      <c r="AF57" s="495"/>
      <c r="AG57" s="526">
        <f t="shared" si="3"/>
        <v>0</v>
      </c>
    </row>
    <row r="58" spans="1:33" s="9" customFormat="1" ht="21" customHeight="1">
      <c r="A58" s="33"/>
      <c r="B58" s="34"/>
      <c r="C58" s="34"/>
      <c r="D58" s="117"/>
      <c r="E58" s="83"/>
      <c r="F58" s="83"/>
      <c r="G58" s="83"/>
      <c r="H58" s="83"/>
      <c r="I58" s="83"/>
      <c r="J58" s="83"/>
      <c r="K58" s="628"/>
      <c r="L58" s="83"/>
      <c r="M58" s="89"/>
      <c r="N58" s="53"/>
      <c r="O58" s="218"/>
      <c r="P58" s="218"/>
      <c r="Q58" s="218"/>
      <c r="R58" s="218"/>
      <c r="S58" s="217">
        <f>SUM(AD13,AD28,AD35,AD40)</f>
        <v>0</v>
      </c>
      <c r="T58" s="264" t="s">
        <v>56</v>
      </c>
      <c r="U58" s="264" t="s">
        <v>61</v>
      </c>
      <c r="V58" s="291">
        <v>12</v>
      </c>
      <c r="W58" s="477" t="s">
        <v>0</v>
      </c>
      <c r="X58" s="217"/>
      <c r="Y58" s="217"/>
      <c r="Z58" s="217"/>
      <c r="AA58" s="217" t="s">
        <v>53</v>
      </c>
      <c r="AB58" s="217" t="s">
        <v>71</v>
      </c>
      <c r="AC58" s="219"/>
      <c r="AD58" s="659">
        <f>ROUNDUP(S58/V58,-3)</f>
        <v>0</v>
      </c>
      <c r="AE58" s="234" t="s">
        <v>56</v>
      </c>
      <c r="AF58" s="495"/>
      <c r="AG58" s="526">
        <f t="shared" si="3"/>
        <v>0</v>
      </c>
    </row>
    <row r="59" spans="1:33" s="9" customFormat="1" ht="21" customHeight="1">
      <c r="A59" s="33"/>
      <c r="B59" s="34"/>
      <c r="C59" s="34"/>
      <c r="D59" s="117"/>
      <c r="E59" s="83"/>
      <c r="F59" s="83"/>
      <c r="G59" s="83"/>
      <c r="H59" s="83"/>
      <c r="I59" s="83"/>
      <c r="J59" s="83"/>
      <c r="K59" s="628"/>
      <c r="L59" s="83"/>
      <c r="M59" s="89"/>
      <c r="N59" s="53"/>
      <c r="O59" s="218"/>
      <c r="P59" s="218"/>
      <c r="Q59" s="218"/>
      <c r="R59" s="218"/>
      <c r="S59" s="217"/>
      <c r="T59" s="264"/>
      <c r="U59" s="264"/>
      <c r="V59" s="291"/>
      <c r="W59" s="477"/>
      <c r="X59" s="217"/>
      <c r="Y59" s="217"/>
      <c r="Z59" s="217"/>
      <c r="AA59" s="217"/>
      <c r="AB59" s="217"/>
      <c r="AC59" s="219"/>
      <c r="AD59" s="659"/>
      <c r="AE59" s="234"/>
      <c r="AF59" s="495"/>
      <c r="AG59" s="526">
        <f t="shared" si="3"/>
        <v>0</v>
      </c>
    </row>
    <row r="60" spans="1:33" s="9" customFormat="1" ht="21" customHeight="1">
      <c r="A60" s="33"/>
      <c r="B60" s="34"/>
      <c r="C60" s="34"/>
      <c r="D60" s="117"/>
      <c r="E60" s="83"/>
      <c r="F60" s="83"/>
      <c r="G60" s="83"/>
      <c r="H60" s="83"/>
      <c r="I60" s="83"/>
      <c r="J60" s="83"/>
      <c r="K60" s="628"/>
      <c r="L60" s="83"/>
      <c r="M60" s="89"/>
      <c r="N60" s="53"/>
      <c r="O60" s="286" t="s">
        <v>332</v>
      </c>
      <c r="P60" s="218"/>
      <c r="Q60" s="218"/>
      <c r="R60" s="218"/>
      <c r="S60" s="218"/>
      <c r="T60" s="217"/>
      <c r="U60" s="217"/>
      <c r="V60" s="217"/>
      <c r="W60" s="270" t="s">
        <v>154</v>
      </c>
      <c r="X60" s="270"/>
      <c r="Y60" s="270"/>
      <c r="Z60" s="270"/>
      <c r="AA60" s="270"/>
      <c r="AB60" s="270"/>
      <c r="AC60" s="271" t="s">
        <v>155</v>
      </c>
      <c r="AD60" s="271">
        <f>SUM(AD61:AD63)</f>
        <v>2615000</v>
      </c>
      <c r="AE60" s="272" t="s">
        <v>56</v>
      </c>
      <c r="AF60" s="495"/>
      <c r="AG60" s="526">
        <f t="shared" si="3"/>
        <v>2615000</v>
      </c>
    </row>
    <row r="61" spans="1:33" s="9" customFormat="1" ht="21" customHeight="1">
      <c r="A61" s="33"/>
      <c r="B61" s="34"/>
      <c r="C61" s="34"/>
      <c r="D61" s="117"/>
      <c r="E61" s="83"/>
      <c r="F61" s="83"/>
      <c r="G61" s="83"/>
      <c r="H61" s="83"/>
      <c r="I61" s="83"/>
      <c r="J61" s="83"/>
      <c r="K61" s="628"/>
      <c r="L61" s="83"/>
      <c r="M61" s="89"/>
      <c r="N61" s="53"/>
      <c r="O61" s="521" t="s">
        <v>256</v>
      </c>
      <c r="P61" s="521"/>
      <c r="Q61" s="521"/>
      <c r="R61" s="521"/>
      <c r="S61" s="520">
        <f>AD42</f>
        <v>12149000</v>
      </c>
      <c r="T61" s="475" t="s">
        <v>56</v>
      </c>
      <c r="U61" s="475" t="s">
        <v>61</v>
      </c>
      <c r="V61" s="415">
        <v>12</v>
      </c>
      <c r="W61" s="298" t="s">
        <v>0</v>
      </c>
      <c r="X61" s="520"/>
      <c r="Y61" s="520"/>
      <c r="Z61" s="520"/>
      <c r="AA61" s="520" t="s">
        <v>53</v>
      </c>
      <c r="AB61" s="520" t="s">
        <v>153</v>
      </c>
      <c r="AC61" s="476"/>
      <c r="AD61" s="659">
        <f>ROUNDUP(S61/V61,-3)</f>
        <v>1013000</v>
      </c>
      <c r="AE61" s="103" t="s">
        <v>56</v>
      </c>
      <c r="AF61" s="495"/>
      <c r="AG61" s="526">
        <f t="shared" si="3"/>
        <v>1013000</v>
      </c>
    </row>
    <row r="62" spans="1:33" s="9" customFormat="1" ht="21" customHeight="1">
      <c r="A62" s="33"/>
      <c r="B62" s="34"/>
      <c r="C62" s="34"/>
      <c r="D62" s="117"/>
      <c r="E62" s="83"/>
      <c r="F62" s="83"/>
      <c r="G62" s="83"/>
      <c r="H62" s="83"/>
      <c r="I62" s="83"/>
      <c r="J62" s="83"/>
      <c r="K62" s="628"/>
      <c r="L62" s="83"/>
      <c r="M62" s="89"/>
      <c r="N62" s="53"/>
      <c r="O62" s="521" t="s">
        <v>649</v>
      </c>
      <c r="P62" s="521"/>
      <c r="Q62" s="521"/>
      <c r="R62" s="521"/>
      <c r="S62" s="520">
        <f>($K$7+$K$24)*1000</f>
        <v>19219000</v>
      </c>
      <c r="T62" s="475" t="s">
        <v>56</v>
      </c>
      <c r="U62" s="475" t="s">
        <v>61</v>
      </c>
      <c r="V62" s="415">
        <v>12</v>
      </c>
      <c r="W62" s="298" t="s">
        <v>0</v>
      </c>
      <c r="X62" s="520"/>
      <c r="Y62" s="520"/>
      <c r="Z62" s="520"/>
      <c r="AA62" s="520" t="s">
        <v>53</v>
      </c>
      <c r="AB62" s="520" t="s">
        <v>153</v>
      </c>
      <c r="AC62" s="476"/>
      <c r="AD62" s="659">
        <f>ROUNDUP(S62/V62,-3)</f>
        <v>1602000</v>
      </c>
      <c r="AE62" s="103" t="s">
        <v>56</v>
      </c>
      <c r="AF62" s="495"/>
      <c r="AG62" s="526">
        <f t="shared" si="3"/>
        <v>1602000</v>
      </c>
    </row>
    <row r="63" spans="1:33" s="9" customFormat="1" ht="21" customHeight="1">
      <c r="A63" s="33"/>
      <c r="B63" s="34"/>
      <c r="C63" s="34"/>
      <c r="D63" s="118"/>
      <c r="E63" s="83"/>
      <c r="F63" s="83"/>
      <c r="G63" s="83"/>
      <c r="H63" s="83"/>
      <c r="I63" s="83"/>
      <c r="J63" s="83"/>
      <c r="K63" s="628"/>
      <c r="L63" s="83"/>
      <c r="M63" s="89"/>
      <c r="N63" s="53"/>
      <c r="O63" s="230"/>
      <c r="P63" s="131"/>
      <c r="Q63" s="131"/>
      <c r="R63" s="131"/>
      <c r="S63" s="131"/>
      <c r="T63" s="113"/>
      <c r="U63" s="113"/>
      <c r="V63" s="113"/>
      <c r="W63" s="113"/>
      <c r="X63" s="113"/>
      <c r="Y63" s="113"/>
      <c r="Z63" s="113"/>
      <c r="AA63" s="113"/>
      <c r="AB63" s="520"/>
      <c r="AC63" s="38"/>
      <c r="AD63" s="624"/>
      <c r="AE63" s="22"/>
      <c r="AF63" s="495"/>
      <c r="AG63" s="526">
        <f t="shared" si="3"/>
        <v>0</v>
      </c>
    </row>
    <row r="64" spans="1:33" s="9" customFormat="1" ht="21" customHeight="1">
      <c r="A64" s="33"/>
      <c r="B64" s="34"/>
      <c r="C64" s="94" t="s">
        <v>66</v>
      </c>
      <c r="D64" s="116">
        <v>176155</v>
      </c>
      <c r="E64" s="88">
        <f>ROUND(AD64/1000,0)</f>
        <v>167701</v>
      </c>
      <c r="F64" s="88">
        <f>SUMIF($AB$65:$AB$97,"보조",$AD$65:$AD$97)/1000</f>
        <v>157311</v>
      </c>
      <c r="G64" s="88">
        <f>SUMIF($AB$65:$AB$97,"7종",$AD$65:$AD$97)/1000</f>
        <v>8482</v>
      </c>
      <c r="H64" s="88">
        <f>SUMIF($AB$65:$AB$97,"4종",$AD$65:$AD$97)/1000</f>
        <v>0</v>
      </c>
      <c r="I64" s="88">
        <f>SUMIF($AB$65:$AB$97,"후원",$AD$65:$AD$97)/1000</f>
        <v>0</v>
      </c>
      <c r="J64" s="88">
        <f>SUMIF($AB$65:$AB$97,"입소",$AD$65:$AD$97)/1000</f>
        <v>0</v>
      </c>
      <c r="K64" s="631">
        <f>SUMIF($AB$65:$AB$97,"법인",$AD$65:$AD$97)/1000</f>
        <v>1908</v>
      </c>
      <c r="L64" s="88">
        <f>SUMIF($AB$65:$AB$97,"잡수",$AD$65:$AD$97)/1000</f>
        <v>0</v>
      </c>
      <c r="M64" s="95">
        <f>E64-D64</f>
        <v>-8454</v>
      </c>
      <c r="N64" s="93">
        <f>IF(D64=0,0,M64/D64)</f>
        <v>-4.7991825381056459E-2</v>
      </c>
      <c r="O64" s="75" t="s">
        <v>36</v>
      </c>
      <c r="P64" s="519"/>
      <c r="Q64" s="133"/>
      <c r="R64" s="133"/>
      <c r="S64" s="133"/>
      <c r="T64" s="132"/>
      <c r="U64" s="132"/>
      <c r="V64" s="132"/>
      <c r="W64" s="518" t="s">
        <v>117</v>
      </c>
      <c r="X64" s="518"/>
      <c r="Y64" s="518"/>
      <c r="Z64" s="518"/>
      <c r="AA64" s="518"/>
      <c r="AB64" s="518"/>
      <c r="AC64" s="128"/>
      <c r="AD64" s="128">
        <f>SUM(AD66,AD72,AD78,AD84,AD90,AD96)</f>
        <v>167701000</v>
      </c>
      <c r="AE64" s="127" t="s">
        <v>25</v>
      </c>
      <c r="AF64" s="495"/>
      <c r="AG64" s="526">
        <f t="shared" si="3"/>
        <v>167701000</v>
      </c>
    </row>
    <row r="65" spans="1:33" s="9" customFormat="1" ht="21" customHeight="1">
      <c r="A65" s="33"/>
      <c r="B65" s="34"/>
      <c r="C65" s="34" t="s">
        <v>118</v>
      </c>
      <c r="D65" s="493"/>
      <c r="E65" s="491"/>
      <c r="F65" s="491"/>
      <c r="G65" s="491"/>
      <c r="H65" s="491"/>
      <c r="I65" s="491"/>
      <c r="J65" s="491"/>
      <c r="K65" s="661"/>
      <c r="L65" s="491"/>
      <c r="M65" s="89"/>
      <c r="N65" s="53"/>
      <c r="O65" s="131"/>
      <c r="P65" s="131"/>
      <c r="Q65" s="131"/>
      <c r="R65" s="131"/>
      <c r="S65" s="131"/>
      <c r="T65" s="113"/>
      <c r="U65" s="113"/>
      <c r="V65" s="113"/>
      <c r="W65" s="113"/>
      <c r="X65" s="113"/>
      <c r="Y65" s="113"/>
      <c r="Z65" s="113"/>
      <c r="AA65" s="113"/>
      <c r="AB65" s="113"/>
      <c r="AC65" s="38"/>
      <c r="AD65" s="38"/>
      <c r="AE65" s="22"/>
      <c r="AF65" s="495"/>
      <c r="AG65" s="526">
        <f t="shared" si="3"/>
        <v>0</v>
      </c>
    </row>
    <row r="66" spans="1:33" s="9" customFormat="1" ht="21" customHeight="1">
      <c r="A66" s="33"/>
      <c r="B66" s="34"/>
      <c r="C66" s="34"/>
      <c r="D66" s="494"/>
      <c r="E66" s="492"/>
      <c r="F66" s="492"/>
      <c r="G66" s="492"/>
      <c r="H66" s="492"/>
      <c r="I66" s="492"/>
      <c r="J66" s="492"/>
      <c r="K66" s="662"/>
      <c r="L66" s="492"/>
      <c r="M66" s="89"/>
      <c r="N66" s="53"/>
      <c r="O66" s="286" t="s">
        <v>174</v>
      </c>
      <c r="P66" s="218"/>
      <c r="Q66" s="218"/>
      <c r="R66" s="218"/>
      <c r="S66" s="218"/>
      <c r="T66" s="217"/>
      <c r="U66" s="217"/>
      <c r="V66" s="217"/>
      <c r="W66" s="270" t="s">
        <v>154</v>
      </c>
      <c r="X66" s="270"/>
      <c r="Y66" s="270"/>
      <c r="Z66" s="270"/>
      <c r="AA66" s="270"/>
      <c r="AB66" s="270"/>
      <c r="AC66" s="271"/>
      <c r="AD66" s="271">
        <f>ROUND(SUM(AD67:AD70),-3)</f>
        <v>76087000</v>
      </c>
      <c r="AE66" s="272" t="s">
        <v>56</v>
      </c>
      <c r="AF66" s="495"/>
      <c r="AG66" s="526">
        <f t="shared" si="3"/>
        <v>76087000</v>
      </c>
    </row>
    <row r="67" spans="1:33" s="9" customFormat="1" ht="21" customHeight="1">
      <c r="A67" s="33"/>
      <c r="B67" s="34"/>
      <c r="C67" s="34"/>
      <c r="D67" s="114"/>
      <c r="E67" s="83"/>
      <c r="F67" s="83"/>
      <c r="G67" s="83"/>
      <c r="H67" s="83"/>
      <c r="I67" s="83"/>
      <c r="J67" s="83"/>
      <c r="K67" s="628"/>
      <c r="L67" s="83"/>
      <c r="M67" s="83"/>
      <c r="N67" s="53"/>
      <c r="O67" s="218" t="s">
        <v>643</v>
      </c>
      <c r="P67" s="218"/>
      <c r="Q67" s="218"/>
      <c r="R67" s="218"/>
      <c r="S67" s="217">
        <f>S50</f>
        <v>1586095000</v>
      </c>
      <c r="T67" s="264" t="s">
        <v>56</v>
      </c>
      <c r="U67" s="477" t="s">
        <v>57</v>
      </c>
      <c r="V67" s="292">
        <v>0.09</v>
      </c>
      <c r="W67" s="264" t="s">
        <v>61</v>
      </c>
      <c r="X67" s="293">
        <v>2</v>
      </c>
      <c r="Y67" s="524"/>
      <c r="Z67" s="524"/>
      <c r="AA67" s="264" t="s">
        <v>53</v>
      </c>
      <c r="AB67" s="217" t="s">
        <v>71</v>
      </c>
      <c r="AC67" s="219"/>
      <c r="AD67" s="659">
        <f>ROUND(S67*V67/X67,-3)</f>
        <v>71374000</v>
      </c>
      <c r="AE67" s="234" t="s">
        <v>56</v>
      </c>
      <c r="AF67" s="495"/>
      <c r="AG67" s="526">
        <f t="shared" si="3"/>
        <v>71374000</v>
      </c>
    </row>
    <row r="68" spans="1:33" s="9" customFormat="1" ht="21" customHeight="1">
      <c r="A68" s="33"/>
      <c r="B68" s="34"/>
      <c r="C68" s="34"/>
      <c r="D68" s="114"/>
      <c r="E68" s="83"/>
      <c r="F68" s="83"/>
      <c r="G68" s="83"/>
      <c r="H68" s="83"/>
      <c r="I68" s="83"/>
      <c r="J68" s="83"/>
      <c r="K68" s="628"/>
      <c r="L68" s="83"/>
      <c r="M68" s="83"/>
      <c r="N68" s="53"/>
      <c r="O68" s="218" t="s">
        <v>175</v>
      </c>
      <c r="P68" s="218"/>
      <c r="Q68" s="218"/>
      <c r="R68" s="218"/>
      <c r="S68" s="217">
        <f>S55</f>
        <v>85498000</v>
      </c>
      <c r="T68" s="264" t="s">
        <v>56</v>
      </c>
      <c r="U68" s="477" t="s">
        <v>57</v>
      </c>
      <c r="V68" s="292">
        <v>0.09</v>
      </c>
      <c r="W68" s="264" t="s">
        <v>61</v>
      </c>
      <c r="X68" s="293">
        <v>2</v>
      </c>
      <c r="Y68" s="524"/>
      <c r="Z68" s="524"/>
      <c r="AA68" s="264" t="s">
        <v>53</v>
      </c>
      <c r="AB68" s="217" t="s">
        <v>219</v>
      </c>
      <c r="AC68" s="219"/>
      <c r="AD68" s="659">
        <f>ROUNDUP(S68*V68/X68,-3)</f>
        <v>3848000</v>
      </c>
      <c r="AE68" s="234" t="s">
        <v>56</v>
      </c>
      <c r="AF68" s="495"/>
      <c r="AG68" s="526">
        <f t="shared" si="3"/>
        <v>3848000</v>
      </c>
    </row>
    <row r="69" spans="1:33" s="9" customFormat="1" ht="21" customHeight="1">
      <c r="A69" s="33"/>
      <c r="B69" s="34"/>
      <c r="C69" s="34"/>
      <c r="D69" s="114"/>
      <c r="E69" s="83"/>
      <c r="F69" s="83"/>
      <c r="G69" s="83"/>
      <c r="H69" s="83"/>
      <c r="I69" s="83"/>
      <c r="J69" s="83"/>
      <c r="K69" s="628"/>
      <c r="L69" s="83"/>
      <c r="M69" s="83"/>
      <c r="N69" s="53"/>
      <c r="O69" s="218" t="s">
        <v>331</v>
      </c>
      <c r="P69" s="218"/>
      <c r="Q69" s="218"/>
      <c r="R69" s="218"/>
      <c r="S69" s="217">
        <f>S58</f>
        <v>0</v>
      </c>
      <c r="T69" s="264" t="s">
        <v>56</v>
      </c>
      <c r="U69" s="477" t="s">
        <v>57</v>
      </c>
      <c r="V69" s="292">
        <v>0.09</v>
      </c>
      <c r="W69" s="264" t="s">
        <v>61</v>
      </c>
      <c r="X69" s="293">
        <v>2</v>
      </c>
      <c r="Y69" s="524"/>
      <c r="Z69" s="524"/>
      <c r="AA69" s="264" t="s">
        <v>53</v>
      </c>
      <c r="AB69" s="217" t="s">
        <v>71</v>
      </c>
      <c r="AC69" s="219"/>
      <c r="AD69" s="659">
        <f>ROUNDUP(S69*V69/X69,-3)</f>
        <v>0</v>
      </c>
      <c r="AE69" s="234" t="s">
        <v>56</v>
      </c>
      <c r="AF69" s="495"/>
      <c r="AG69" s="526">
        <f t="shared" si="3"/>
        <v>0</v>
      </c>
    </row>
    <row r="70" spans="1:33" s="9" customFormat="1" ht="21" customHeight="1">
      <c r="A70" s="33"/>
      <c r="B70" s="34"/>
      <c r="C70" s="34"/>
      <c r="D70" s="114"/>
      <c r="E70" s="83"/>
      <c r="F70" s="83"/>
      <c r="G70" s="83"/>
      <c r="H70" s="83"/>
      <c r="I70" s="83"/>
      <c r="J70" s="83"/>
      <c r="K70" s="628"/>
      <c r="L70" s="83"/>
      <c r="M70" s="83"/>
      <c r="N70" s="53"/>
      <c r="O70" s="218" t="s">
        <v>650</v>
      </c>
      <c r="P70" s="218"/>
      <c r="Q70" s="218"/>
      <c r="R70" s="218"/>
      <c r="S70" s="520">
        <f>($K$7+$K$24)*1000</f>
        <v>19219000</v>
      </c>
      <c r="T70" s="264" t="s">
        <v>56</v>
      </c>
      <c r="U70" s="477" t="s">
        <v>57</v>
      </c>
      <c r="V70" s="292">
        <v>0.09</v>
      </c>
      <c r="W70" s="264" t="s">
        <v>61</v>
      </c>
      <c r="X70" s="293">
        <v>2</v>
      </c>
      <c r="Y70" s="524"/>
      <c r="Z70" s="524"/>
      <c r="AA70" s="264" t="s">
        <v>53</v>
      </c>
      <c r="AB70" s="217" t="s">
        <v>153</v>
      </c>
      <c r="AC70" s="219"/>
      <c r="AD70" s="659">
        <f>ROUNDUP(S70*V70/X70,-3)</f>
        <v>865000</v>
      </c>
      <c r="AE70" s="234" t="s">
        <v>56</v>
      </c>
      <c r="AF70" s="495"/>
      <c r="AG70" s="526">
        <f t="shared" si="3"/>
        <v>865000</v>
      </c>
    </row>
    <row r="71" spans="1:33" s="9" customFormat="1" ht="21" customHeight="1">
      <c r="A71" s="33"/>
      <c r="B71" s="34"/>
      <c r="C71" s="34"/>
      <c r="D71" s="114"/>
      <c r="E71" s="83"/>
      <c r="F71" s="83"/>
      <c r="G71" s="83"/>
      <c r="H71" s="83"/>
      <c r="I71" s="83"/>
      <c r="J71" s="83"/>
      <c r="K71" s="628"/>
      <c r="L71" s="83"/>
      <c r="M71" s="83"/>
      <c r="N71" s="53"/>
      <c r="O71" s="218"/>
      <c r="P71" s="218"/>
      <c r="Q71" s="218"/>
      <c r="R71" s="218"/>
      <c r="S71" s="218"/>
      <c r="T71" s="217"/>
      <c r="U71" s="217"/>
      <c r="V71" s="217"/>
      <c r="W71" s="217"/>
      <c r="X71" s="217"/>
      <c r="Y71" s="217"/>
      <c r="Z71" s="217"/>
      <c r="AA71" s="217"/>
      <c r="AB71" s="217"/>
      <c r="AC71" s="219"/>
      <c r="AD71" s="219"/>
      <c r="AE71" s="234"/>
      <c r="AF71" s="495"/>
      <c r="AG71" s="526">
        <f t="shared" si="3"/>
        <v>0</v>
      </c>
    </row>
    <row r="72" spans="1:33" s="9" customFormat="1" ht="21" customHeight="1">
      <c r="A72" s="33"/>
      <c r="B72" s="34"/>
      <c r="C72" s="34"/>
      <c r="D72" s="114"/>
      <c r="E72" s="83"/>
      <c r="F72" s="83"/>
      <c r="G72" s="83"/>
      <c r="H72" s="83"/>
      <c r="I72" s="83"/>
      <c r="J72" s="83"/>
      <c r="K72" s="628"/>
      <c r="L72" s="83"/>
      <c r="M72" s="83"/>
      <c r="N72" s="53"/>
      <c r="O72" s="286" t="s">
        <v>176</v>
      </c>
      <c r="P72" s="218"/>
      <c r="Q72" s="218"/>
      <c r="R72" s="218"/>
      <c r="S72" s="218"/>
      <c r="T72" s="217"/>
      <c r="U72" s="217"/>
      <c r="V72" s="217"/>
      <c r="W72" s="270" t="s">
        <v>154</v>
      </c>
      <c r="X72" s="270"/>
      <c r="Y72" s="270"/>
      <c r="Z72" s="270"/>
      <c r="AA72" s="270"/>
      <c r="AB72" s="270"/>
      <c r="AC72" s="271" t="s">
        <v>155</v>
      </c>
      <c r="AD72" s="271">
        <f>ROUND(SUM(AD73:AD76),-3)</f>
        <v>57996000</v>
      </c>
      <c r="AE72" s="272" t="s">
        <v>56</v>
      </c>
      <c r="AF72" s="495"/>
      <c r="AG72" s="526">
        <f t="shared" ref="AG72:AG135" si="4">AD72-AF72</f>
        <v>57996000</v>
      </c>
    </row>
    <row r="73" spans="1:33" s="9" customFormat="1" ht="21" customHeight="1">
      <c r="A73" s="33"/>
      <c r="B73" s="34"/>
      <c r="C73" s="34"/>
      <c r="D73" s="114"/>
      <c r="E73" s="83"/>
      <c r="F73" s="83"/>
      <c r="G73" s="83"/>
      <c r="H73" s="83"/>
      <c r="I73" s="83"/>
      <c r="J73" s="83"/>
      <c r="K73" s="628"/>
      <c r="L73" s="83"/>
      <c r="M73" s="83"/>
      <c r="N73" s="53"/>
      <c r="O73" s="218" t="s">
        <v>643</v>
      </c>
      <c r="P73" s="218"/>
      <c r="Q73" s="218"/>
      <c r="R73" s="218"/>
      <c r="S73" s="217">
        <f>S67</f>
        <v>1586095000</v>
      </c>
      <c r="T73" s="264" t="s">
        <v>56</v>
      </c>
      <c r="U73" s="477" t="s">
        <v>57</v>
      </c>
      <c r="V73" s="294">
        <v>6.8599999999999994E-2</v>
      </c>
      <c r="W73" s="264" t="s">
        <v>61</v>
      </c>
      <c r="X73" s="295">
        <v>2</v>
      </c>
      <c r="Y73" s="524"/>
      <c r="Z73" s="524"/>
      <c r="AA73" s="264" t="s">
        <v>53</v>
      </c>
      <c r="AB73" s="217" t="s">
        <v>71</v>
      </c>
      <c r="AC73" s="219"/>
      <c r="AD73" s="659">
        <f>ROUNDDOWN(S73*V73/X73,-3)</f>
        <v>54403000</v>
      </c>
      <c r="AE73" s="234" t="s">
        <v>56</v>
      </c>
      <c r="AF73" s="495"/>
      <c r="AG73" s="526">
        <f t="shared" si="4"/>
        <v>54403000</v>
      </c>
    </row>
    <row r="74" spans="1:33" s="9" customFormat="1" ht="21" customHeight="1">
      <c r="A74" s="33"/>
      <c r="B74" s="34"/>
      <c r="C74" s="34"/>
      <c r="D74" s="114"/>
      <c r="E74" s="83"/>
      <c r="F74" s="83"/>
      <c r="G74" s="83"/>
      <c r="H74" s="83"/>
      <c r="I74" s="83"/>
      <c r="J74" s="83"/>
      <c r="K74" s="628"/>
      <c r="L74" s="83"/>
      <c r="M74" s="83"/>
      <c r="N74" s="53"/>
      <c r="O74" s="218" t="s">
        <v>175</v>
      </c>
      <c r="P74" s="218"/>
      <c r="Q74" s="218"/>
      <c r="R74" s="218"/>
      <c r="S74" s="217">
        <f>S68</f>
        <v>85498000</v>
      </c>
      <c r="T74" s="217" t="s">
        <v>25</v>
      </c>
      <c r="U74" s="264" t="s">
        <v>26</v>
      </c>
      <c r="V74" s="294">
        <v>6.8599999999999994E-2</v>
      </c>
      <c r="W74" s="217" t="s">
        <v>124</v>
      </c>
      <c r="X74" s="264">
        <v>2</v>
      </c>
      <c r="Y74" s="217"/>
      <c r="Z74" s="217"/>
      <c r="AA74" s="217" t="s">
        <v>27</v>
      </c>
      <c r="AB74" s="217" t="s">
        <v>219</v>
      </c>
      <c r="AC74" s="219"/>
      <c r="AD74" s="659">
        <f>ROUND(S74*V74/X74,-3)</f>
        <v>2933000</v>
      </c>
      <c r="AE74" s="234" t="s">
        <v>56</v>
      </c>
      <c r="AF74" s="495"/>
      <c r="AG74" s="526">
        <f t="shared" si="4"/>
        <v>2933000</v>
      </c>
    </row>
    <row r="75" spans="1:33" s="9" customFormat="1" ht="21" customHeight="1">
      <c r="A75" s="33"/>
      <c r="B75" s="34"/>
      <c r="C75" s="34"/>
      <c r="D75" s="114"/>
      <c r="E75" s="83"/>
      <c r="F75" s="83"/>
      <c r="G75" s="83"/>
      <c r="H75" s="83"/>
      <c r="I75" s="83"/>
      <c r="J75" s="83"/>
      <c r="K75" s="628"/>
      <c r="L75" s="83"/>
      <c r="M75" s="83"/>
      <c r="N75" s="53"/>
      <c r="O75" s="218" t="s">
        <v>331</v>
      </c>
      <c r="P75" s="218"/>
      <c r="Q75" s="218"/>
      <c r="R75" s="218"/>
      <c r="S75" s="217">
        <f>S58</f>
        <v>0</v>
      </c>
      <c r="T75" s="264" t="s">
        <v>56</v>
      </c>
      <c r="U75" s="477" t="s">
        <v>57</v>
      </c>
      <c r="V75" s="294">
        <v>6.8599999999999994E-2</v>
      </c>
      <c r="W75" s="264" t="s">
        <v>61</v>
      </c>
      <c r="X75" s="293">
        <v>2</v>
      </c>
      <c r="Y75" s="524"/>
      <c r="Z75" s="524"/>
      <c r="AA75" s="264" t="s">
        <v>53</v>
      </c>
      <c r="AB75" s="217" t="s">
        <v>71</v>
      </c>
      <c r="AC75" s="219"/>
      <c r="AD75" s="659">
        <f>ROUNDDOWN(S75*V75/X75,-3)</f>
        <v>0</v>
      </c>
      <c r="AE75" s="234" t="s">
        <v>56</v>
      </c>
      <c r="AF75" s="495"/>
      <c r="AG75" s="526">
        <f t="shared" si="4"/>
        <v>0</v>
      </c>
    </row>
    <row r="76" spans="1:33" s="9" customFormat="1" ht="21" customHeight="1">
      <c r="A76" s="33"/>
      <c r="B76" s="34"/>
      <c r="C76" s="34"/>
      <c r="D76" s="114"/>
      <c r="E76" s="83"/>
      <c r="F76" s="83"/>
      <c r="G76" s="83"/>
      <c r="H76" s="83"/>
      <c r="I76" s="83"/>
      <c r="J76" s="83"/>
      <c r="K76" s="628"/>
      <c r="L76" s="83"/>
      <c r="M76" s="83"/>
      <c r="N76" s="53"/>
      <c r="O76" s="218" t="s">
        <v>650</v>
      </c>
      <c r="P76" s="218"/>
      <c r="Q76" s="218"/>
      <c r="R76" s="218"/>
      <c r="S76" s="520">
        <f>($K$7+$K$24)*1000</f>
        <v>19219000</v>
      </c>
      <c r="T76" s="264" t="s">
        <v>56</v>
      </c>
      <c r="U76" s="477" t="s">
        <v>57</v>
      </c>
      <c r="V76" s="294">
        <v>6.8599999999999994E-2</v>
      </c>
      <c r="W76" s="264" t="s">
        <v>61</v>
      </c>
      <c r="X76" s="293">
        <v>2</v>
      </c>
      <c r="Y76" s="524"/>
      <c r="Z76" s="524"/>
      <c r="AA76" s="264" t="s">
        <v>53</v>
      </c>
      <c r="AB76" s="217" t="s">
        <v>153</v>
      </c>
      <c r="AC76" s="219"/>
      <c r="AD76" s="659">
        <f>ROUNDUP(S76*V76/X76,-3)</f>
        <v>660000</v>
      </c>
      <c r="AE76" s="234" t="s">
        <v>56</v>
      </c>
      <c r="AF76" s="495"/>
      <c r="AG76" s="526">
        <f t="shared" si="4"/>
        <v>660000</v>
      </c>
    </row>
    <row r="77" spans="1:33" s="9" customFormat="1" ht="21" customHeight="1">
      <c r="A77" s="33"/>
      <c r="B77" s="34"/>
      <c r="C77" s="34"/>
      <c r="D77" s="114"/>
      <c r="E77" s="83"/>
      <c r="F77" s="83"/>
      <c r="G77" s="83"/>
      <c r="H77" s="83"/>
      <c r="I77" s="83"/>
      <c r="J77" s="83"/>
      <c r="K77" s="628"/>
      <c r="L77" s="83"/>
      <c r="M77" s="83"/>
      <c r="N77" s="53"/>
      <c r="O77" s="218"/>
      <c r="P77" s="218"/>
      <c r="Q77" s="218"/>
      <c r="R77" s="218"/>
      <c r="S77" s="218"/>
      <c r="T77" s="217"/>
      <c r="U77" s="217"/>
      <c r="V77" s="217"/>
      <c r="W77" s="217"/>
      <c r="X77" s="217"/>
      <c r="Y77" s="217"/>
      <c r="Z77" s="217"/>
      <c r="AA77" s="217"/>
      <c r="AB77" s="217"/>
      <c r="AC77" s="219"/>
      <c r="AD77" s="219"/>
      <c r="AE77" s="234"/>
      <c r="AF77" s="495"/>
      <c r="AG77" s="526">
        <f t="shared" si="4"/>
        <v>0</v>
      </c>
    </row>
    <row r="78" spans="1:33" s="9" customFormat="1" ht="21" customHeight="1">
      <c r="A78" s="33"/>
      <c r="B78" s="34"/>
      <c r="C78" s="34"/>
      <c r="D78" s="114"/>
      <c r="E78" s="83"/>
      <c r="F78" s="83"/>
      <c r="G78" s="83"/>
      <c r="H78" s="83"/>
      <c r="I78" s="83"/>
      <c r="J78" s="83"/>
      <c r="K78" s="628"/>
      <c r="L78" s="83"/>
      <c r="M78" s="83"/>
      <c r="N78" s="53"/>
      <c r="O78" s="286" t="s">
        <v>177</v>
      </c>
      <c r="P78" s="218"/>
      <c r="Q78" s="218"/>
      <c r="R78" s="218"/>
      <c r="S78" s="218"/>
      <c r="T78" s="217"/>
      <c r="U78" s="217"/>
      <c r="V78" s="217"/>
      <c r="W78" s="270" t="s">
        <v>154</v>
      </c>
      <c r="X78" s="270"/>
      <c r="Y78" s="270"/>
      <c r="Z78" s="270"/>
      <c r="AA78" s="270"/>
      <c r="AB78" s="270"/>
      <c r="AC78" s="271" t="s">
        <v>155</v>
      </c>
      <c r="AD78" s="271">
        <f>ROUND(SUM(AD79:AD82),-3)</f>
        <v>6682000</v>
      </c>
      <c r="AE78" s="272" t="s">
        <v>56</v>
      </c>
      <c r="AF78" s="495"/>
      <c r="AG78" s="526">
        <f t="shared" si="4"/>
        <v>6682000</v>
      </c>
    </row>
    <row r="79" spans="1:33" s="9" customFormat="1" ht="21" customHeight="1">
      <c r="A79" s="33"/>
      <c r="B79" s="34"/>
      <c r="C79" s="34"/>
      <c r="D79" s="114"/>
      <c r="E79" s="83"/>
      <c r="F79" s="83"/>
      <c r="G79" s="83"/>
      <c r="H79" s="83"/>
      <c r="I79" s="83"/>
      <c r="J79" s="83"/>
      <c r="K79" s="628"/>
      <c r="L79" s="83"/>
      <c r="M79" s="83"/>
      <c r="N79" s="53"/>
      <c r="O79" s="218" t="s">
        <v>254</v>
      </c>
      <c r="P79" s="218"/>
      <c r="Q79" s="218"/>
      <c r="R79" s="218"/>
      <c r="S79" s="296">
        <f>AD73</f>
        <v>54403000</v>
      </c>
      <c r="T79" s="264" t="s">
        <v>56</v>
      </c>
      <c r="U79" s="477" t="s">
        <v>57</v>
      </c>
      <c r="V79" s="294">
        <v>0.1152</v>
      </c>
      <c r="W79" s="477"/>
      <c r="X79" s="265"/>
      <c r="Y79" s="524"/>
      <c r="Z79" s="524"/>
      <c r="AA79" s="264" t="s">
        <v>53</v>
      </c>
      <c r="AB79" s="217" t="s">
        <v>71</v>
      </c>
      <c r="AC79" s="219"/>
      <c r="AD79" s="659">
        <f>ROUNDUP(S79*V79,-3)</f>
        <v>6268000</v>
      </c>
      <c r="AE79" s="234" t="s">
        <v>56</v>
      </c>
      <c r="AF79" s="495"/>
      <c r="AG79" s="526">
        <f t="shared" si="4"/>
        <v>6268000</v>
      </c>
    </row>
    <row r="80" spans="1:33" s="9" customFormat="1" ht="21" customHeight="1">
      <c r="A80" s="33"/>
      <c r="B80" s="34"/>
      <c r="C80" s="34"/>
      <c r="D80" s="114"/>
      <c r="E80" s="83"/>
      <c r="F80" s="83"/>
      <c r="G80" s="83"/>
      <c r="H80" s="83"/>
      <c r="I80" s="83"/>
      <c r="J80" s="83"/>
      <c r="K80" s="628"/>
      <c r="L80" s="83"/>
      <c r="M80" s="83"/>
      <c r="N80" s="53"/>
      <c r="O80" s="218" t="s">
        <v>175</v>
      </c>
      <c r="P80" s="218"/>
      <c r="Q80" s="218"/>
      <c r="R80" s="218"/>
      <c r="S80" s="296">
        <f>AD74</f>
        <v>2933000</v>
      </c>
      <c r="T80" s="264" t="s">
        <v>56</v>
      </c>
      <c r="U80" s="477" t="s">
        <v>57</v>
      </c>
      <c r="V80" s="294">
        <v>0.1152</v>
      </c>
      <c r="W80" s="477"/>
      <c r="X80" s="265"/>
      <c r="Y80" s="524"/>
      <c r="Z80" s="524"/>
      <c r="AA80" s="264" t="s">
        <v>53</v>
      </c>
      <c r="AB80" s="217" t="s">
        <v>219</v>
      </c>
      <c r="AC80" s="219"/>
      <c r="AD80" s="659">
        <f>ROUNDUP(S80*V80,-3)</f>
        <v>338000</v>
      </c>
      <c r="AE80" s="234" t="s">
        <v>56</v>
      </c>
      <c r="AF80" s="495"/>
      <c r="AG80" s="526">
        <f t="shared" si="4"/>
        <v>338000</v>
      </c>
    </row>
    <row r="81" spans="1:33" s="9" customFormat="1" ht="21" customHeight="1">
      <c r="A81" s="33"/>
      <c r="B81" s="34"/>
      <c r="C81" s="34"/>
      <c r="D81" s="114"/>
      <c r="E81" s="83"/>
      <c r="F81" s="83"/>
      <c r="G81" s="83"/>
      <c r="H81" s="83"/>
      <c r="I81" s="83"/>
      <c r="J81" s="83"/>
      <c r="K81" s="628"/>
      <c r="L81" s="83"/>
      <c r="M81" s="83"/>
      <c r="N81" s="53"/>
      <c r="O81" s="218" t="s">
        <v>331</v>
      </c>
      <c r="P81" s="218"/>
      <c r="Q81" s="218"/>
      <c r="R81" s="218"/>
      <c r="S81" s="296">
        <f>AD75</f>
        <v>0</v>
      </c>
      <c r="T81" s="264" t="s">
        <v>56</v>
      </c>
      <c r="U81" s="477" t="s">
        <v>57</v>
      </c>
      <c r="V81" s="294">
        <v>0.1152</v>
      </c>
      <c r="W81" s="477"/>
      <c r="X81" s="265"/>
      <c r="Y81" s="524"/>
      <c r="Z81" s="524"/>
      <c r="AA81" s="264" t="s">
        <v>53</v>
      </c>
      <c r="AB81" s="217" t="s">
        <v>71</v>
      </c>
      <c r="AC81" s="219"/>
      <c r="AD81" s="659">
        <f>ROUNDUP(S81*V81,-3)</f>
        <v>0</v>
      </c>
      <c r="AE81" s="234" t="s">
        <v>56</v>
      </c>
      <c r="AF81" s="495"/>
      <c r="AG81" s="526">
        <f t="shared" si="4"/>
        <v>0</v>
      </c>
    </row>
    <row r="82" spans="1:33" s="9" customFormat="1" ht="21" customHeight="1">
      <c r="A82" s="33"/>
      <c r="B82" s="34"/>
      <c r="C82" s="34"/>
      <c r="D82" s="114"/>
      <c r="E82" s="83"/>
      <c r="F82" s="83"/>
      <c r="G82" s="83"/>
      <c r="H82" s="83"/>
      <c r="I82" s="83"/>
      <c r="J82" s="83"/>
      <c r="K82" s="628"/>
      <c r="L82" s="83"/>
      <c r="M82" s="83"/>
      <c r="N82" s="53"/>
      <c r="O82" s="218" t="s">
        <v>650</v>
      </c>
      <c r="P82" s="218"/>
      <c r="Q82" s="218"/>
      <c r="R82" s="218"/>
      <c r="S82" s="296">
        <f>AD76</f>
        <v>660000</v>
      </c>
      <c r="T82" s="264" t="s">
        <v>56</v>
      </c>
      <c r="U82" s="477" t="s">
        <v>57</v>
      </c>
      <c r="V82" s="294">
        <v>0.1152</v>
      </c>
      <c r="W82" s="477"/>
      <c r="X82" s="265"/>
      <c r="Y82" s="524"/>
      <c r="Z82" s="524"/>
      <c r="AA82" s="264" t="s">
        <v>53</v>
      </c>
      <c r="AB82" s="217" t="s">
        <v>153</v>
      </c>
      <c r="AC82" s="219"/>
      <c r="AD82" s="659">
        <f>ROUND(S82*V82,-3)</f>
        <v>76000</v>
      </c>
      <c r="AE82" s="234" t="s">
        <v>56</v>
      </c>
      <c r="AF82" s="495"/>
      <c r="AG82" s="526">
        <f t="shared" si="4"/>
        <v>76000</v>
      </c>
    </row>
    <row r="83" spans="1:33" s="9" customFormat="1" ht="21" customHeight="1">
      <c r="A83" s="33"/>
      <c r="B83" s="34"/>
      <c r="C83" s="34"/>
      <c r="D83" s="114"/>
      <c r="E83" s="83"/>
      <c r="F83" s="83"/>
      <c r="G83" s="83"/>
      <c r="H83" s="83"/>
      <c r="I83" s="83"/>
      <c r="J83" s="83"/>
      <c r="K83" s="628"/>
      <c r="L83" s="83"/>
      <c r="M83" s="83"/>
      <c r="N83" s="53"/>
      <c r="O83" s="218"/>
      <c r="P83" s="218"/>
      <c r="Q83" s="218"/>
      <c r="R83" s="218"/>
      <c r="S83" s="218"/>
      <c r="T83" s="217"/>
      <c r="U83" s="217"/>
      <c r="V83" s="217"/>
      <c r="W83" s="217"/>
      <c r="X83" s="217"/>
      <c r="Y83" s="217"/>
      <c r="Z83" s="217"/>
      <c r="AA83" s="217"/>
      <c r="AB83" s="217"/>
      <c r="AC83" s="219"/>
      <c r="AD83" s="219"/>
      <c r="AE83" s="234"/>
      <c r="AF83" s="495"/>
      <c r="AG83" s="526">
        <f t="shared" si="4"/>
        <v>0</v>
      </c>
    </row>
    <row r="84" spans="1:33" s="9" customFormat="1" ht="21" customHeight="1">
      <c r="A84" s="33"/>
      <c r="B84" s="34"/>
      <c r="C84" s="34"/>
      <c r="D84" s="114"/>
      <c r="E84" s="83"/>
      <c r="F84" s="83"/>
      <c r="G84" s="83"/>
      <c r="H84" s="83"/>
      <c r="I84" s="83"/>
      <c r="J84" s="83"/>
      <c r="K84" s="628"/>
      <c r="L84" s="83"/>
      <c r="M84" s="83"/>
      <c r="N84" s="53"/>
      <c r="O84" s="286" t="s">
        <v>178</v>
      </c>
      <c r="P84" s="218"/>
      <c r="Q84" s="218"/>
      <c r="R84" s="218"/>
      <c r="S84" s="218"/>
      <c r="T84" s="217"/>
      <c r="U84" s="217"/>
      <c r="V84" s="217"/>
      <c r="W84" s="270" t="s">
        <v>154</v>
      </c>
      <c r="X84" s="270"/>
      <c r="Y84" s="270"/>
      <c r="Z84" s="270"/>
      <c r="AA84" s="270"/>
      <c r="AB84" s="270"/>
      <c r="AC84" s="271" t="s">
        <v>155</v>
      </c>
      <c r="AD84" s="271">
        <f>ROUND(SUM(AD85:AD89),-3)</f>
        <v>15218000</v>
      </c>
      <c r="AE84" s="272" t="s">
        <v>56</v>
      </c>
      <c r="AF84" s="495"/>
      <c r="AG84" s="526">
        <f t="shared" si="4"/>
        <v>15218000</v>
      </c>
    </row>
    <row r="85" spans="1:33" s="9" customFormat="1" ht="21" customHeight="1">
      <c r="A85" s="33"/>
      <c r="B85" s="34"/>
      <c r="C85" s="34"/>
      <c r="D85" s="114"/>
      <c r="E85" s="83"/>
      <c r="F85" s="83"/>
      <c r="G85" s="83"/>
      <c r="H85" s="83"/>
      <c r="I85" s="83"/>
      <c r="J85" s="83"/>
      <c r="K85" s="628"/>
      <c r="L85" s="83"/>
      <c r="M85" s="83"/>
      <c r="N85" s="53"/>
      <c r="O85" s="218" t="s">
        <v>193</v>
      </c>
      <c r="P85" s="218"/>
      <c r="Q85" s="218"/>
      <c r="R85" s="218"/>
      <c r="S85" s="217">
        <f>S73</f>
        <v>1586095000</v>
      </c>
      <c r="T85" s="264" t="s">
        <v>56</v>
      </c>
      <c r="U85" s="477" t="s">
        <v>57</v>
      </c>
      <c r="V85" s="294">
        <v>8.9999999999999993E-3</v>
      </c>
      <c r="W85" s="477"/>
      <c r="X85" s="265"/>
      <c r="Y85" s="524"/>
      <c r="Z85" s="524"/>
      <c r="AA85" s="264" t="s">
        <v>53</v>
      </c>
      <c r="AB85" s="217" t="s">
        <v>71</v>
      </c>
      <c r="AC85" s="219"/>
      <c r="AD85" s="659">
        <f>ROUND(S85*V85,-3)</f>
        <v>14275000</v>
      </c>
      <c r="AE85" s="234" t="s">
        <v>56</v>
      </c>
      <c r="AF85" s="495"/>
      <c r="AG85" s="526">
        <f t="shared" si="4"/>
        <v>14275000</v>
      </c>
    </row>
    <row r="86" spans="1:33" s="9" customFormat="1" ht="21" customHeight="1">
      <c r="A86" s="33"/>
      <c r="B86" s="34"/>
      <c r="C86" s="34"/>
      <c r="D86" s="114"/>
      <c r="E86" s="83"/>
      <c r="F86" s="83"/>
      <c r="G86" s="83"/>
      <c r="H86" s="83"/>
      <c r="I86" s="83"/>
      <c r="J86" s="83"/>
      <c r="K86" s="628"/>
      <c r="L86" s="83"/>
      <c r="M86" s="83"/>
      <c r="N86" s="53"/>
      <c r="O86" s="218" t="s">
        <v>175</v>
      </c>
      <c r="P86" s="218"/>
      <c r="Q86" s="218"/>
      <c r="R86" s="218"/>
      <c r="S86" s="217">
        <f>S74</f>
        <v>85498000</v>
      </c>
      <c r="T86" s="264" t="s">
        <v>56</v>
      </c>
      <c r="U86" s="477" t="s">
        <v>57</v>
      </c>
      <c r="V86" s="294">
        <v>8.9999999999999993E-3</v>
      </c>
      <c r="W86" s="477"/>
      <c r="X86" s="265"/>
      <c r="Y86" s="524"/>
      <c r="Z86" s="524"/>
      <c r="AA86" s="264" t="s">
        <v>53</v>
      </c>
      <c r="AB86" s="217" t="s">
        <v>219</v>
      </c>
      <c r="AC86" s="219"/>
      <c r="AD86" s="659">
        <f>ROUNDUP(S86*V86,-3)</f>
        <v>770000</v>
      </c>
      <c r="AE86" s="234" t="s">
        <v>56</v>
      </c>
      <c r="AF86" s="495"/>
      <c r="AG86" s="526">
        <f t="shared" si="4"/>
        <v>770000</v>
      </c>
    </row>
    <row r="87" spans="1:33" s="9" customFormat="1" ht="21" customHeight="1">
      <c r="A87" s="33"/>
      <c r="B87" s="34"/>
      <c r="C87" s="34"/>
      <c r="D87" s="114"/>
      <c r="E87" s="83"/>
      <c r="F87" s="83"/>
      <c r="G87" s="83"/>
      <c r="H87" s="83"/>
      <c r="I87" s="83"/>
      <c r="J87" s="83"/>
      <c r="K87" s="628"/>
      <c r="L87" s="83"/>
      <c r="M87" s="83"/>
      <c r="N87" s="53"/>
      <c r="O87" s="218" t="s">
        <v>331</v>
      </c>
      <c r="P87" s="218"/>
      <c r="Q87" s="218"/>
      <c r="R87" s="218"/>
      <c r="S87" s="217">
        <f>S75</f>
        <v>0</v>
      </c>
      <c r="T87" s="264" t="s">
        <v>56</v>
      </c>
      <c r="U87" s="477" t="s">
        <v>57</v>
      </c>
      <c r="V87" s="294">
        <v>8.9999999999999993E-3</v>
      </c>
      <c r="W87" s="477"/>
      <c r="X87" s="265"/>
      <c r="Y87" s="524"/>
      <c r="Z87" s="524"/>
      <c r="AA87" s="264" t="s">
        <v>53</v>
      </c>
      <c r="AB87" s="217" t="s">
        <v>71</v>
      </c>
      <c r="AC87" s="219"/>
      <c r="AD87" s="659">
        <f>ROUNDUP(S87*V87,-3)</f>
        <v>0</v>
      </c>
      <c r="AE87" s="234" t="s">
        <v>56</v>
      </c>
      <c r="AF87" s="495"/>
      <c r="AG87" s="526">
        <f t="shared" si="4"/>
        <v>0</v>
      </c>
    </row>
    <row r="88" spans="1:33" s="9" customFormat="1" ht="21" customHeight="1">
      <c r="A88" s="33"/>
      <c r="B88" s="34"/>
      <c r="C88" s="34"/>
      <c r="D88" s="114"/>
      <c r="E88" s="83"/>
      <c r="F88" s="83"/>
      <c r="G88" s="83"/>
      <c r="H88" s="83"/>
      <c r="I88" s="83"/>
      <c r="J88" s="83"/>
      <c r="K88" s="628"/>
      <c r="L88" s="83"/>
      <c r="M88" s="83"/>
      <c r="N88" s="53"/>
      <c r="O88" s="218" t="s">
        <v>650</v>
      </c>
      <c r="P88" s="218"/>
      <c r="Q88" s="218"/>
      <c r="R88" s="218"/>
      <c r="S88" s="520">
        <f>($K$7+$K$24)*1000</f>
        <v>19219000</v>
      </c>
      <c r="T88" s="264" t="s">
        <v>56</v>
      </c>
      <c r="U88" s="477" t="s">
        <v>57</v>
      </c>
      <c r="V88" s="294">
        <v>8.9999999999999993E-3</v>
      </c>
      <c r="W88" s="477"/>
      <c r="X88" s="265"/>
      <c r="Y88" s="524"/>
      <c r="Z88" s="524"/>
      <c r="AA88" s="264" t="s">
        <v>53</v>
      </c>
      <c r="AB88" s="217" t="s">
        <v>153</v>
      </c>
      <c r="AC88" s="219"/>
      <c r="AD88" s="659">
        <f>ROUND(S88*V88,-3)</f>
        <v>173000</v>
      </c>
      <c r="AE88" s="234" t="s">
        <v>56</v>
      </c>
      <c r="AF88" s="495"/>
      <c r="AG88" s="526">
        <f t="shared" si="4"/>
        <v>173000</v>
      </c>
    </row>
    <row r="89" spans="1:33" s="9" customFormat="1" ht="21" customHeight="1">
      <c r="A89" s="33"/>
      <c r="B89" s="34"/>
      <c r="C89" s="34"/>
      <c r="D89" s="114"/>
      <c r="E89" s="83"/>
      <c r="F89" s="83"/>
      <c r="G89" s="83"/>
      <c r="H89" s="83"/>
      <c r="I89" s="83"/>
      <c r="J89" s="83"/>
      <c r="K89" s="628"/>
      <c r="L89" s="83"/>
      <c r="M89" s="83"/>
      <c r="N89" s="53"/>
      <c r="O89" s="327"/>
      <c r="P89" s="327"/>
      <c r="Q89" s="327"/>
      <c r="R89" s="327"/>
      <c r="S89" s="327"/>
      <c r="T89" s="507"/>
      <c r="U89" s="507"/>
      <c r="V89" s="507"/>
      <c r="W89" s="507"/>
      <c r="X89" s="507"/>
      <c r="Y89" s="507"/>
      <c r="Z89" s="507"/>
      <c r="AA89" s="507"/>
      <c r="AB89" s="507"/>
      <c r="AC89" s="399"/>
      <c r="AD89" s="651"/>
      <c r="AE89" s="417"/>
      <c r="AF89" s="495"/>
      <c r="AG89" s="526">
        <f t="shared" si="4"/>
        <v>0</v>
      </c>
    </row>
    <row r="90" spans="1:33" s="9" customFormat="1" ht="21" customHeight="1">
      <c r="A90" s="33"/>
      <c r="B90" s="34"/>
      <c r="C90" s="34"/>
      <c r="D90" s="114"/>
      <c r="E90" s="83"/>
      <c r="F90" s="83"/>
      <c r="G90" s="83"/>
      <c r="H90" s="83"/>
      <c r="I90" s="83"/>
      <c r="J90" s="83"/>
      <c r="K90" s="628"/>
      <c r="L90" s="83"/>
      <c r="M90" s="83"/>
      <c r="N90" s="53"/>
      <c r="O90" s="286" t="s">
        <v>179</v>
      </c>
      <c r="P90" s="218"/>
      <c r="Q90" s="218"/>
      <c r="R90" s="218"/>
      <c r="S90" s="218"/>
      <c r="T90" s="217"/>
      <c r="U90" s="217"/>
      <c r="V90" s="217"/>
      <c r="W90" s="270" t="s">
        <v>154</v>
      </c>
      <c r="X90" s="270"/>
      <c r="Y90" s="270"/>
      <c r="Z90" s="270"/>
      <c r="AA90" s="270"/>
      <c r="AB90" s="270"/>
      <c r="AC90" s="271" t="s">
        <v>155</v>
      </c>
      <c r="AD90" s="271">
        <f>ROUND(SUM(AD91:AD94),-3)</f>
        <v>11718000</v>
      </c>
      <c r="AE90" s="272" t="s">
        <v>56</v>
      </c>
      <c r="AF90" s="495"/>
      <c r="AG90" s="526">
        <f t="shared" si="4"/>
        <v>11718000</v>
      </c>
    </row>
    <row r="91" spans="1:33" s="9" customFormat="1" ht="21" customHeight="1">
      <c r="A91" s="33"/>
      <c r="B91" s="34"/>
      <c r="C91" s="34"/>
      <c r="D91" s="114"/>
      <c r="E91" s="83"/>
      <c r="F91" s="83"/>
      <c r="G91" s="83"/>
      <c r="H91" s="83"/>
      <c r="I91" s="83"/>
      <c r="J91" s="83"/>
      <c r="K91" s="628"/>
      <c r="L91" s="83"/>
      <c r="M91" s="83"/>
      <c r="N91" s="53"/>
      <c r="O91" s="218" t="s">
        <v>254</v>
      </c>
      <c r="P91" s="218"/>
      <c r="Q91" s="218"/>
      <c r="R91" s="218"/>
      <c r="S91" s="217">
        <f>S85</f>
        <v>1586095000</v>
      </c>
      <c r="T91" s="264" t="s">
        <v>56</v>
      </c>
      <c r="U91" s="477" t="s">
        <v>57</v>
      </c>
      <c r="V91" s="297">
        <v>6.9300000000000004E-3</v>
      </c>
      <c r="W91" s="477"/>
      <c r="X91" s="265"/>
      <c r="Y91" s="524"/>
      <c r="Z91" s="524"/>
      <c r="AA91" s="264" t="s">
        <v>53</v>
      </c>
      <c r="AB91" s="217" t="s">
        <v>71</v>
      </c>
      <c r="AC91" s="219"/>
      <c r="AD91" s="659">
        <f>ROUNDDOWN(S91*V91,-3)</f>
        <v>10991000</v>
      </c>
      <c r="AE91" s="234" t="s">
        <v>56</v>
      </c>
      <c r="AF91" s="495"/>
      <c r="AG91" s="526">
        <f t="shared" si="4"/>
        <v>10991000</v>
      </c>
    </row>
    <row r="92" spans="1:33" s="9" customFormat="1" ht="21" customHeight="1">
      <c r="A92" s="33"/>
      <c r="B92" s="34"/>
      <c r="C92" s="34"/>
      <c r="D92" s="114"/>
      <c r="E92" s="83"/>
      <c r="F92" s="83"/>
      <c r="G92" s="83"/>
      <c r="H92" s="83"/>
      <c r="I92" s="83"/>
      <c r="J92" s="83"/>
      <c r="K92" s="628"/>
      <c r="L92" s="83"/>
      <c r="M92" s="83"/>
      <c r="N92" s="53"/>
      <c r="O92" s="218" t="s">
        <v>175</v>
      </c>
      <c r="P92" s="218"/>
      <c r="Q92" s="218"/>
      <c r="R92" s="218"/>
      <c r="S92" s="217">
        <f>S86</f>
        <v>85498000</v>
      </c>
      <c r="T92" s="264" t="s">
        <v>56</v>
      </c>
      <c r="U92" s="477" t="s">
        <v>57</v>
      </c>
      <c r="V92" s="297">
        <v>6.9300000000000004E-3</v>
      </c>
      <c r="W92" s="477"/>
      <c r="X92" s="265"/>
      <c r="Y92" s="524"/>
      <c r="Z92" s="524"/>
      <c r="AA92" s="264" t="s">
        <v>53</v>
      </c>
      <c r="AB92" s="217" t="s">
        <v>219</v>
      </c>
      <c r="AC92" s="219"/>
      <c r="AD92" s="659">
        <f>ROUNDUP(S92*V92,-3)</f>
        <v>593000</v>
      </c>
      <c r="AE92" s="234" t="s">
        <v>56</v>
      </c>
      <c r="AF92" s="495"/>
      <c r="AG92" s="526">
        <f t="shared" si="4"/>
        <v>593000</v>
      </c>
    </row>
    <row r="93" spans="1:33" s="9" customFormat="1" ht="21" customHeight="1">
      <c r="A93" s="33"/>
      <c r="B93" s="34"/>
      <c r="C93" s="34"/>
      <c r="D93" s="114"/>
      <c r="E93" s="83"/>
      <c r="F93" s="83"/>
      <c r="G93" s="83"/>
      <c r="H93" s="83"/>
      <c r="I93" s="83"/>
      <c r="J93" s="83"/>
      <c r="K93" s="628"/>
      <c r="L93" s="83"/>
      <c r="M93" s="83"/>
      <c r="N93" s="53"/>
      <c r="O93" s="218" t="s">
        <v>331</v>
      </c>
      <c r="P93" s="218"/>
      <c r="Q93" s="218"/>
      <c r="R93" s="218"/>
      <c r="S93" s="217">
        <f>S87</f>
        <v>0</v>
      </c>
      <c r="T93" s="264" t="s">
        <v>56</v>
      </c>
      <c r="U93" s="477" t="s">
        <v>57</v>
      </c>
      <c r="V93" s="297">
        <v>6.9300000000000004E-3</v>
      </c>
      <c r="W93" s="477"/>
      <c r="X93" s="265"/>
      <c r="Y93" s="524"/>
      <c r="Z93" s="524"/>
      <c r="AA93" s="264" t="s">
        <v>53</v>
      </c>
      <c r="AB93" s="217" t="s">
        <v>71</v>
      </c>
      <c r="AC93" s="219"/>
      <c r="AD93" s="659">
        <f>ROUNDUP(S93*V93,-3)</f>
        <v>0</v>
      </c>
      <c r="AE93" s="234" t="s">
        <v>56</v>
      </c>
      <c r="AF93" s="495"/>
      <c r="AG93" s="526">
        <f t="shared" si="4"/>
        <v>0</v>
      </c>
    </row>
    <row r="94" spans="1:33" s="9" customFormat="1" ht="21" customHeight="1">
      <c r="A94" s="33"/>
      <c r="B94" s="34"/>
      <c r="C94" s="34"/>
      <c r="D94" s="114"/>
      <c r="E94" s="83"/>
      <c r="F94" s="83"/>
      <c r="G94" s="83"/>
      <c r="H94" s="83"/>
      <c r="I94" s="83"/>
      <c r="J94" s="83"/>
      <c r="K94" s="628"/>
      <c r="L94" s="83"/>
      <c r="M94" s="83"/>
      <c r="N94" s="53"/>
      <c r="O94" s="218" t="s">
        <v>650</v>
      </c>
      <c r="P94" s="218"/>
      <c r="Q94" s="218"/>
      <c r="R94" s="218"/>
      <c r="S94" s="520">
        <f>($K$7+$K$24)*1000</f>
        <v>19219000</v>
      </c>
      <c r="T94" s="264" t="s">
        <v>56</v>
      </c>
      <c r="U94" s="477" t="s">
        <v>57</v>
      </c>
      <c r="V94" s="297">
        <v>6.9300000000000004E-3</v>
      </c>
      <c r="W94" s="477"/>
      <c r="X94" s="265"/>
      <c r="Y94" s="524"/>
      <c r="Z94" s="524"/>
      <c r="AA94" s="264" t="s">
        <v>53</v>
      </c>
      <c r="AB94" s="217" t="s">
        <v>153</v>
      </c>
      <c r="AC94" s="219"/>
      <c r="AD94" s="659">
        <f>ROUNDUP(S94*V94,-3)</f>
        <v>134000</v>
      </c>
      <c r="AE94" s="234" t="s">
        <v>56</v>
      </c>
      <c r="AF94" s="495"/>
      <c r="AG94" s="526">
        <f t="shared" si="4"/>
        <v>134000</v>
      </c>
    </row>
    <row r="95" spans="1:33" s="9" customFormat="1" ht="21" customHeight="1">
      <c r="A95" s="33"/>
      <c r="B95" s="34"/>
      <c r="C95" s="34"/>
      <c r="D95" s="114"/>
      <c r="E95" s="83"/>
      <c r="F95" s="83"/>
      <c r="G95" s="83"/>
      <c r="H95" s="83"/>
      <c r="I95" s="83"/>
      <c r="J95" s="83"/>
      <c r="K95" s="628"/>
      <c r="L95" s="83"/>
      <c r="M95" s="83"/>
      <c r="N95" s="53"/>
      <c r="O95" s="218"/>
      <c r="P95" s="218"/>
      <c r="Q95" s="218"/>
      <c r="R95" s="218"/>
      <c r="S95" s="217"/>
      <c r="T95" s="264"/>
      <c r="U95" s="477"/>
      <c r="V95" s="297"/>
      <c r="W95" s="477"/>
      <c r="X95" s="265"/>
      <c r="Y95" s="524"/>
      <c r="Z95" s="524"/>
      <c r="AA95" s="264"/>
      <c r="AB95" s="217"/>
      <c r="AC95" s="219"/>
      <c r="AD95" s="219"/>
      <c r="AE95" s="234"/>
      <c r="AF95" s="495"/>
      <c r="AG95" s="526">
        <f t="shared" si="4"/>
        <v>0</v>
      </c>
    </row>
    <row r="96" spans="1:33" s="9" customFormat="1" ht="21" customHeight="1">
      <c r="A96" s="33"/>
      <c r="B96" s="34"/>
      <c r="C96" s="34"/>
      <c r="D96" s="114"/>
      <c r="E96" s="83"/>
      <c r="F96" s="83"/>
      <c r="G96" s="83"/>
      <c r="H96" s="83"/>
      <c r="I96" s="83"/>
      <c r="J96" s="83"/>
      <c r="K96" s="628"/>
      <c r="L96" s="83"/>
      <c r="M96" s="83"/>
      <c r="N96" s="53"/>
      <c r="O96" s="218" t="s">
        <v>334</v>
      </c>
      <c r="P96" s="218"/>
      <c r="Q96" s="218"/>
      <c r="R96" s="218"/>
      <c r="S96" s="217"/>
      <c r="T96" s="264"/>
      <c r="U96" s="477"/>
      <c r="V96" s="297"/>
      <c r="W96" s="477"/>
      <c r="X96" s="265"/>
      <c r="Y96" s="524"/>
      <c r="Z96" s="524"/>
      <c r="AA96" s="264"/>
      <c r="AB96" s="217" t="s">
        <v>153</v>
      </c>
      <c r="AC96" s="219"/>
      <c r="AD96" s="659">
        <v>0</v>
      </c>
      <c r="AE96" s="234" t="s">
        <v>56</v>
      </c>
      <c r="AF96" s="495"/>
      <c r="AG96" s="526">
        <f t="shared" si="4"/>
        <v>0</v>
      </c>
    </row>
    <row r="97" spans="1:33" s="9" customFormat="1" ht="21" customHeight="1">
      <c r="A97" s="33"/>
      <c r="B97" s="34"/>
      <c r="C97" s="34"/>
      <c r="D97" s="114"/>
      <c r="E97" s="83"/>
      <c r="F97" s="83"/>
      <c r="G97" s="83"/>
      <c r="H97" s="83"/>
      <c r="I97" s="83"/>
      <c r="J97" s="83"/>
      <c r="K97" s="628"/>
      <c r="L97" s="83"/>
      <c r="M97" s="83"/>
      <c r="N97" s="53"/>
      <c r="O97" s="218"/>
      <c r="P97" s="218"/>
      <c r="Q97" s="218"/>
      <c r="R97" s="218"/>
      <c r="S97" s="218"/>
      <c r="T97" s="217"/>
      <c r="U97" s="217"/>
      <c r="V97" s="217"/>
      <c r="W97" s="217"/>
      <c r="X97" s="217"/>
      <c r="Y97" s="217"/>
      <c r="Z97" s="217"/>
      <c r="AA97" s="217"/>
      <c r="AB97" s="217"/>
      <c r="AC97" s="219"/>
      <c r="AD97" s="219"/>
      <c r="AE97" s="234"/>
      <c r="AF97" s="495"/>
      <c r="AG97" s="526">
        <f t="shared" si="4"/>
        <v>0</v>
      </c>
    </row>
    <row r="98" spans="1:33" s="9" customFormat="1" ht="21" customHeight="1">
      <c r="A98" s="33"/>
      <c r="B98" s="34"/>
      <c r="C98" s="24" t="s">
        <v>67</v>
      </c>
      <c r="D98" s="116">
        <v>27947</v>
      </c>
      <c r="E98" s="88">
        <f>ROUND(AD98/1000,0)</f>
        <v>36076</v>
      </c>
      <c r="F98" s="88">
        <f>SUMIF($AB$99:$AB$110,"보조",$AD$99:$AD$110)/1000</f>
        <v>0</v>
      </c>
      <c r="G98" s="88">
        <f>SUMIF($AB$99:$AB$110,"7종",$AD$99:$AD$110)/1000</f>
        <v>8100</v>
      </c>
      <c r="H98" s="88">
        <f>SUMIF($AB$99:$AB$110,"4종",$AD$99:$AD$110)/1000</f>
        <v>0</v>
      </c>
      <c r="I98" s="88">
        <f>SUMIF($AB$99:$AB$110,"후원",$AD$99:$AD$110)/1000</f>
        <v>12034</v>
      </c>
      <c r="J98" s="88">
        <f>SUMIF($AB$99:$AB$110,"입소",$AD$99:$AD$110)/1000</f>
        <v>0</v>
      </c>
      <c r="K98" s="631">
        <f>SUMIF($AB$99:$AB$110,"법인",$AD$99:$AD$110)/1000</f>
        <v>15942</v>
      </c>
      <c r="L98" s="88">
        <f>SUMIF($AB$99:$AB$110,"잡수",$AD$99:$AD$110)/1000</f>
        <v>0</v>
      </c>
      <c r="M98" s="87">
        <f>E98-D98</f>
        <v>8129</v>
      </c>
      <c r="N98" s="93">
        <f>IF(D98=0,0,M98/D98)</f>
        <v>0.29087200772891547</v>
      </c>
      <c r="O98" s="75" t="s">
        <v>68</v>
      </c>
      <c r="P98" s="519"/>
      <c r="Q98" s="133"/>
      <c r="R98" s="133"/>
      <c r="S98" s="133"/>
      <c r="T98" s="132"/>
      <c r="U98" s="132"/>
      <c r="V98" s="132"/>
      <c r="W98" s="518" t="s">
        <v>117</v>
      </c>
      <c r="X98" s="518"/>
      <c r="Y98" s="518"/>
      <c r="Z98" s="518"/>
      <c r="AA98" s="518"/>
      <c r="AB98" s="518"/>
      <c r="AC98" s="128"/>
      <c r="AD98" s="128">
        <f>SUM(AD99:AD110)</f>
        <v>36076000</v>
      </c>
      <c r="AE98" s="127" t="s">
        <v>25</v>
      </c>
      <c r="AF98" s="495"/>
      <c r="AG98" s="526">
        <f t="shared" si="4"/>
        <v>36076000</v>
      </c>
    </row>
    <row r="99" spans="1:33" s="9" customFormat="1" ht="21" customHeight="1">
      <c r="A99" s="33"/>
      <c r="B99" s="34"/>
      <c r="C99" s="34"/>
      <c r="D99" s="493"/>
      <c r="E99" s="491"/>
      <c r="F99" s="491"/>
      <c r="G99" s="491"/>
      <c r="H99" s="491"/>
      <c r="I99" s="491"/>
      <c r="J99" s="491"/>
      <c r="K99" s="661"/>
      <c r="L99" s="491"/>
      <c r="M99" s="83"/>
      <c r="N99" s="53"/>
      <c r="O99" s="521" t="s">
        <v>606</v>
      </c>
      <c r="P99" s="521"/>
      <c r="Q99" s="520"/>
      <c r="R99" s="520"/>
      <c r="S99" s="520"/>
      <c r="T99" s="520"/>
      <c r="U99" s="298"/>
      <c r="V99" s="520"/>
      <c r="W99" s="520"/>
      <c r="X99" s="298"/>
      <c r="Y99" s="520"/>
      <c r="Z99" s="520"/>
      <c r="AA99" s="520"/>
      <c r="AB99" s="520" t="s">
        <v>153</v>
      </c>
      <c r="AC99" s="476"/>
      <c r="AD99" s="673">
        <v>1730000</v>
      </c>
      <c r="AE99" s="103" t="s">
        <v>56</v>
      </c>
      <c r="AF99" s="495"/>
      <c r="AG99" s="526">
        <f t="shared" si="4"/>
        <v>1730000</v>
      </c>
    </row>
    <row r="100" spans="1:33" s="9" customFormat="1" ht="21" customHeight="1">
      <c r="A100" s="33"/>
      <c r="B100" s="34"/>
      <c r="C100" s="34"/>
      <c r="D100" s="494"/>
      <c r="E100" s="492"/>
      <c r="F100" s="492"/>
      <c r="G100" s="492"/>
      <c r="H100" s="492"/>
      <c r="I100" s="492"/>
      <c r="J100" s="492"/>
      <c r="K100" s="662"/>
      <c r="L100" s="492"/>
      <c r="M100" s="83"/>
      <c r="N100" s="53"/>
      <c r="O100" s="521" t="s">
        <v>607</v>
      </c>
      <c r="P100" s="521"/>
      <c r="Q100" s="521"/>
      <c r="R100" s="521"/>
      <c r="S100" s="520"/>
      <c r="T100" s="520"/>
      <c r="U100" s="298"/>
      <c r="V100" s="520"/>
      <c r="W100" s="520"/>
      <c r="X100" s="646"/>
      <c r="Y100" s="673"/>
      <c r="Z100" s="673"/>
      <c r="AA100" s="673"/>
      <c r="AB100" s="673" t="s">
        <v>778</v>
      </c>
      <c r="AC100" s="299"/>
      <c r="AD100" s="705">
        <f>8782000</f>
        <v>8782000</v>
      </c>
      <c r="AE100" s="300" t="s">
        <v>25</v>
      </c>
      <c r="AF100" s="495"/>
      <c r="AG100" s="526">
        <f t="shared" si="4"/>
        <v>8782000</v>
      </c>
    </row>
    <row r="101" spans="1:33" s="9" customFormat="1" ht="21" customHeight="1">
      <c r="A101" s="33"/>
      <c r="B101" s="34"/>
      <c r="C101" s="34"/>
      <c r="D101" s="494"/>
      <c r="E101" s="492"/>
      <c r="F101" s="492"/>
      <c r="G101" s="492"/>
      <c r="H101" s="492"/>
      <c r="I101" s="492"/>
      <c r="J101" s="492"/>
      <c r="K101" s="662"/>
      <c r="L101" s="492"/>
      <c r="M101" s="83"/>
      <c r="N101" s="53"/>
      <c r="O101" s="521"/>
      <c r="P101" s="521"/>
      <c r="Q101" s="521"/>
      <c r="R101" s="521"/>
      <c r="S101" s="520"/>
      <c r="T101" s="520"/>
      <c r="U101" s="298"/>
      <c r="V101" s="520"/>
      <c r="W101" s="520"/>
      <c r="X101" s="646"/>
      <c r="Y101" s="673" t="s">
        <v>779</v>
      </c>
      <c r="Z101" s="673"/>
      <c r="AA101" s="673"/>
      <c r="AB101" s="673" t="s">
        <v>780</v>
      </c>
      <c r="AC101" s="299"/>
      <c r="AD101" s="673">
        <v>2600000</v>
      </c>
      <c r="AE101" s="300" t="s">
        <v>25</v>
      </c>
      <c r="AF101" s="495"/>
      <c r="AG101" s="526">
        <f t="shared" si="4"/>
        <v>2600000</v>
      </c>
    </row>
    <row r="102" spans="1:33" s="9" customFormat="1" ht="21" customHeight="1">
      <c r="A102" s="33"/>
      <c r="B102" s="34"/>
      <c r="C102" s="34"/>
      <c r="D102" s="494"/>
      <c r="E102" s="492"/>
      <c r="F102" s="492"/>
      <c r="G102" s="492"/>
      <c r="H102" s="492"/>
      <c r="I102" s="492"/>
      <c r="J102" s="492"/>
      <c r="K102" s="662"/>
      <c r="L102" s="492"/>
      <c r="M102" s="83"/>
      <c r="N102" s="53"/>
      <c r="O102" s="521"/>
      <c r="P102" s="521"/>
      <c r="Q102" s="521"/>
      <c r="R102" s="521"/>
      <c r="S102" s="520"/>
      <c r="T102" s="520"/>
      <c r="U102" s="298"/>
      <c r="V102" s="520"/>
      <c r="X102" s="673"/>
      <c r="Y102" s="314" t="s">
        <v>781</v>
      </c>
      <c r="Z102" s="673"/>
      <c r="AA102" s="673"/>
      <c r="AB102" s="673" t="s">
        <v>780</v>
      </c>
      <c r="AC102" s="299"/>
      <c r="AD102" s="673">
        <v>2059000</v>
      </c>
      <c r="AE102" s="300" t="s">
        <v>677</v>
      </c>
      <c r="AF102" s="495"/>
      <c r="AG102" s="526">
        <f t="shared" si="4"/>
        <v>2059000</v>
      </c>
    </row>
    <row r="103" spans="1:33" s="9" customFormat="1" ht="21" customHeight="1">
      <c r="A103" s="33"/>
      <c r="B103" s="34"/>
      <c r="C103" s="34"/>
      <c r="D103" s="494"/>
      <c r="E103" s="492"/>
      <c r="F103" s="492"/>
      <c r="G103" s="492"/>
      <c r="H103" s="492"/>
      <c r="I103" s="492"/>
      <c r="J103" s="492"/>
      <c r="K103" s="662"/>
      <c r="L103" s="492"/>
      <c r="M103" s="83"/>
      <c r="N103" s="53"/>
      <c r="O103" s="521" t="s">
        <v>656</v>
      </c>
      <c r="P103" s="521"/>
      <c r="Q103" s="521"/>
      <c r="R103" s="521"/>
      <c r="S103" s="520"/>
      <c r="T103" s="520"/>
      <c r="U103" s="298"/>
      <c r="V103" s="520"/>
      <c r="W103" s="520"/>
      <c r="X103" s="646"/>
      <c r="Y103" s="673" t="s">
        <v>779</v>
      </c>
      <c r="Z103" s="673"/>
      <c r="AA103" s="673"/>
      <c r="AB103" s="673" t="s">
        <v>780</v>
      </c>
      <c r="AC103" s="299"/>
      <c r="AD103" s="673">
        <v>5000000</v>
      </c>
      <c r="AE103" s="300" t="s">
        <v>56</v>
      </c>
      <c r="AF103" s="495"/>
      <c r="AG103" s="526">
        <f t="shared" si="4"/>
        <v>5000000</v>
      </c>
    </row>
    <row r="104" spans="1:33" s="9" customFormat="1" ht="21" customHeight="1">
      <c r="A104" s="33"/>
      <c r="B104" s="34"/>
      <c r="C104" s="34"/>
      <c r="D104" s="114"/>
      <c r="E104" s="83"/>
      <c r="F104" s="83"/>
      <c r="G104" s="83"/>
      <c r="H104" s="83"/>
      <c r="I104" s="83"/>
      <c r="J104" s="83"/>
      <c r="K104" s="628"/>
      <c r="L104" s="83"/>
      <c r="M104" s="83"/>
      <c r="N104" s="53"/>
      <c r="O104" s="521" t="s">
        <v>653</v>
      </c>
      <c r="P104" s="310"/>
      <c r="Q104" s="521"/>
      <c r="R104" s="521"/>
      <c r="S104" s="506">
        <v>20000</v>
      </c>
      <c r="T104" s="39" t="s">
        <v>56</v>
      </c>
      <c r="U104" s="298" t="s">
        <v>57</v>
      </c>
      <c r="V104" s="440">
        <v>43</v>
      </c>
      <c r="W104" s="506" t="s">
        <v>55</v>
      </c>
      <c r="X104" s="646"/>
      <c r="Y104" s="654"/>
      <c r="Z104" s="525"/>
      <c r="AA104" s="658" t="s">
        <v>782</v>
      </c>
      <c r="AB104" s="673" t="s">
        <v>778</v>
      </c>
      <c r="AC104" s="659"/>
      <c r="AD104" s="659">
        <f>S104*V104</f>
        <v>860000</v>
      </c>
      <c r="AE104" s="103" t="s">
        <v>56</v>
      </c>
      <c r="AF104" s="495">
        <v>760000</v>
      </c>
      <c r="AG104" s="526">
        <f t="shared" si="4"/>
        <v>100000</v>
      </c>
    </row>
    <row r="105" spans="1:33" s="9" customFormat="1" ht="21" customHeight="1">
      <c r="A105" s="33"/>
      <c r="B105" s="34"/>
      <c r="C105" s="34"/>
      <c r="D105" s="114"/>
      <c r="E105" s="83"/>
      <c r="F105" s="83"/>
      <c r="G105" s="83"/>
      <c r="H105" s="83"/>
      <c r="I105" s="83"/>
      <c r="J105" s="83"/>
      <c r="K105" s="628"/>
      <c r="L105" s="83"/>
      <c r="M105" s="83"/>
      <c r="N105" s="53"/>
      <c r="O105" s="521" t="s">
        <v>605</v>
      </c>
      <c r="P105" s="520"/>
      <c r="Q105" s="521"/>
      <c r="R105" s="521"/>
      <c r="S105" s="520"/>
      <c r="T105" s="520"/>
      <c r="U105" s="298"/>
      <c r="V105" s="562"/>
      <c r="W105" s="520"/>
      <c r="X105" s="646"/>
      <c r="Y105" s="673"/>
      <c r="Z105" s="673"/>
      <c r="AA105" s="673"/>
      <c r="AB105" s="673" t="s">
        <v>778</v>
      </c>
      <c r="AC105" s="299"/>
      <c r="AD105" s="673">
        <v>4570000</v>
      </c>
      <c r="AE105" s="300" t="s">
        <v>56</v>
      </c>
      <c r="AF105" s="495"/>
      <c r="AG105" s="526">
        <f t="shared" si="4"/>
        <v>4570000</v>
      </c>
    </row>
    <row r="106" spans="1:33" s="9" customFormat="1" ht="21" customHeight="1">
      <c r="A106" s="33"/>
      <c r="B106" s="34"/>
      <c r="C106" s="34"/>
      <c r="D106" s="114"/>
      <c r="E106" s="83"/>
      <c r="F106" s="83"/>
      <c r="G106" s="83"/>
      <c r="H106" s="83"/>
      <c r="I106" s="83"/>
      <c r="J106" s="83"/>
      <c r="K106" s="628"/>
      <c r="L106" s="83"/>
      <c r="M106" s="83"/>
      <c r="N106" s="53"/>
      <c r="O106" s="521" t="s">
        <v>321</v>
      </c>
      <c r="P106" s="521"/>
      <c r="Q106" s="521"/>
      <c r="R106" s="521"/>
      <c r="S106" s="520">
        <v>300000</v>
      </c>
      <c r="T106" s="475" t="s">
        <v>56</v>
      </c>
      <c r="U106" s="298" t="s">
        <v>57</v>
      </c>
      <c r="V106" s="440">
        <v>27</v>
      </c>
      <c r="W106" s="298" t="s">
        <v>55</v>
      </c>
      <c r="X106" s="576"/>
      <c r="Y106" s="525"/>
      <c r="Z106" s="525"/>
      <c r="AA106" s="658" t="s">
        <v>782</v>
      </c>
      <c r="AB106" s="673" t="s">
        <v>783</v>
      </c>
      <c r="AC106" s="659"/>
      <c r="AD106" s="659">
        <f>ROUNDUP(S106*V106,-3)</f>
        <v>8100000</v>
      </c>
      <c r="AE106" s="103" t="s">
        <v>56</v>
      </c>
      <c r="AF106" s="495"/>
      <c r="AG106" s="526">
        <f t="shared" si="4"/>
        <v>8100000</v>
      </c>
    </row>
    <row r="107" spans="1:33" s="9" customFormat="1" ht="21" customHeight="1">
      <c r="A107" s="33"/>
      <c r="B107" s="34"/>
      <c r="C107" s="34"/>
      <c r="D107" s="114"/>
      <c r="E107" s="83"/>
      <c r="F107" s="83"/>
      <c r="G107" s="83"/>
      <c r="H107" s="83"/>
      <c r="I107" s="83"/>
      <c r="J107" s="83"/>
      <c r="K107" s="628"/>
      <c r="L107" s="83"/>
      <c r="M107" s="83"/>
      <c r="N107" s="53"/>
      <c r="O107" s="521" t="s">
        <v>322</v>
      </c>
      <c r="P107" s="521"/>
      <c r="Q107" s="521"/>
      <c r="R107" s="521"/>
      <c r="S107" s="520"/>
      <c r="T107" s="475"/>
      <c r="U107" s="298"/>
      <c r="V107" s="440"/>
      <c r="W107" s="298" t="s">
        <v>155</v>
      </c>
      <c r="X107" s="302"/>
      <c r="Y107" s="525"/>
      <c r="Z107" s="525"/>
      <c r="AA107" s="475"/>
      <c r="AB107" s="520" t="s">
        <v>138</v>
      </c>
      <c r="AC107" s="476"/>
      <c r="AD107" s="659">
        <v>800000</v>
      </c>
      <c r="AE107" s="103" t="s">
        <v>56</v>
      </c>
      <c r="AF107" s="495"/>
      <c r="AG107" s="526">
        <f t="shared" si="4"/>
        <v>800000</v>
      </c>
    </row>
    <row r="108" spans="1:33" s="9" customFormat="1" ht="21" customHeight="1">
      <c r="A108" s="33"/>
      <c r="B108" s="34"/>
      <c r="C108" s="34"/>
      <c r="D108" s="114"/>
      <c r="E108" s="83"/>
      <c r="F108" s="83"/>
      <c r="G108" s="83"/>
      <c r="H108" s="83"/>
      <c r="I108" s="83"/>
      <c r="J108" s="83"/>
      <c r="K108" s="628"/>
      <c r="L108" s="83"/>
      <c r="M108" s="83"/>
      <c r="N108" s="53"/>
      <c r="O108" s="521" t="s">
        <v>323</v>
      </c>
      <c r="P108" s="521"/>
      <c r="Q108" s="521"/>
      <c r="R108" s="521"/>
      <c r="S108" s="520">
        <v>40000</v>
      </c>
      <c r="T108" s="475" t="s">
        <v>56</v>
      </c>
      <c r="U108" s="298" t="s">
        <v>57</v>
      </c>
      <c r="V108" s="440">
        <v>45</v>
      </c>
      <c r="W108" s="298" t="s">
        <v>55</v>
      </c>
      <c r="X108" s="302"/>
      <c r="Y108" s="525"/>
      <c r="Z108" s="525"/>
      <c r="AA108" s="475" t="s">
        <v>53</v>
      </c>
      <c r="AB108" s="299" t="s">
        <v>138</v>
      </c>
      <c r="AC108" s="299"/>
      <c r="AD108" s="659">
        <v>1177000</v>
      </c>
      <c r="AE108" s="300" t="s">
        <v>56</v>
      </c>
      <c r="AF108" s="495"/>
      <c r="AG108" s="526">
        <f t="shared" si="4"/>
        <v>1177000</v>
      </c>
    </row>
    <row r="109" spans="1:33" s="9" customFormat="1" ht="21" customHeight="1">
      <c r="A109" s="33"/>
      <c r="B109" s="34"/>
      <c r="C109" s="34"/>
      <c r="D109" s="114"/>
      <c r="E109" s="83"/>
      <c r="F109" s="83"/>
      <c r="G109" s="83"/>
      <c r="H109" s="83"/>
      <c r="I109" s="83"/>
      <c r="J109" s="83"/>
      <c r="K109" s="628"/>
      <c r="L109" s="83"/>
      <c r="M109" s="83"/>
      <c r="N109" s="53"/>
      <c r="O109" s="521" t="s">
        <v>243</v>
      </c>
      <c r="P109" s="521"/>
      <c r="Q109" s="520"/>
      <c r="R109" s="520"/>
      <c r="S109" s="520"/>
      <c r="T109" s="520"/>
      <c r="U109" s="520"/>
      <c r="V109" s="520"/>
      <c r="W109" s="520"/>
      <c r="X109" s="520"/>
      <c r="Y109" s="520"/>
      <c r="Z109" s="520"/>
      <c r="AA109" s="520"/>
      <c r="AB109" s="299" t="s">
        <v>138</v>
      </c>
      <c r="AC109" s="476"/>
      <c r="AD109" s="659">
        <v>350000</v>
      </c>
      <c r="AE109" s="103" t="s">
        <v>56</v>
      </c>
      <c r="AF109" s="495"/>
      <c r="AG109" s="526">
        <f t="shared" si="4"/>
        <v>350000</v>
      </c>
    </row>
    <row r="110" spans="1:33" s="9" customFormat="1" ht="21" customHeight="1">
      <c r="A110" s="33"/>
      <c r="B110" s="44"/>
      <c r="C110" s="44"/>
      <c r="D110" s="115"/>
      <c r="E110" s="85"/>
      <c r="F110" s="85"/>
      <c r="G110" s="85"/>
      <c r="H110" s="85"/>
      <c r="I110" s="85"/>
      <c r="J110" s="85"/>
      <c r="K110" s="629"/>
      <c r="L110" s="85"/>
      <c r="M110" s="85"/>
      <c r="N110" s="65"/>
      <c r="O110" s="517" t="s">
        <v>180</v>
      </c>
      <c r="P110" s="517"/>
      <c r="Q110" s="516"/>
      <c r="R110" s="516"/>
      <c r="S110" s="516"/>
      <c r="T110" s="516"/>
      <c r="U110" s="516"/>
      <c r="V110" s="516"/>
      <c r="W110" s="520"/>
      <c r="X110" s="520"/>
      <c r="Y110" s="520"/>
      <c r="Z110" s="520"/>
      <c r="AA110" s="520"/>
      <c r="AB110" s="299" t="s">
        <v>138</v>
      </c>
      <c r="AC110" s="476"/>
      <c r="AD110" s="659">
        <v>48000</v>
      </c>
      <c r="AE110" s="103" t="s">
        <v>56</v>
      </c>
      <c r="AF110" s="495"/>
      <c r="AG110" s="526">
        <f t="shared" si="4"/>
        <v>48000</v>
      </c>
    </row>
    <row r="111" spans="1:33" s="9" customFormat="1" ht="21" customHeight="1">
      <c r="A111" s="33"/>
      <c r="B111" s="24" t="s">
        <v>119</v>
      </c>
      <c r="C111" s="24" t="s">
        <v>5</v>
      </c>
      <c r="D111" s="87">
        <f t="shared" ref="D111:L111" si="5">SUM(D112,D114,D116)</f>
        <v>2080</v>
      </c>
      <c r="E111" s="87">
        <f t="shared" si="5"/>
        <v>2000</v>
      </c>
      <c r="F111" s="87">
        <f t="shared" si="5"/>
        <v>0</v>
      </c>
      <c r="G111" s="87">
        <f t="shared" si="5"/>
        <v>0</v>
      </c>
      <c r="H111" s="87">
        <f t="shared" si="5"/>
        <v>0</v>
      </c>
      <c r="I111" s="87">
        <f t="shared" si="5"/>
        <v>0</v>
      </c>
      <c r="J111" s="87">
        <f t="shared" si="5"/>
        <v>0</v>
      </c>
      <c r="K111" s="630">
        <f t="shared" si="5"/>
        <v>2000</v>
      </c>
      <c r="L111" s="87">
        <f t="shared" si="5"/>
        <v>0</v>
      </c>
      <c r="M111" s="87">
        <f>E111-D111</f>
        <v>-80</v>
      </c>
      <c r="N111" s="93">
        <f>IF(D111=0,0,M111/D111)</f>
        <v>-3.8461538461538464E-2</v>
      </c>
      <c r="O111" s="133" t="s">
        <v>126</v>
      </c>
      <c r="P111" s="133"/>
      <c r="Q111" s="133"/>
      <c r="R111" s="133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72"/>
      <c r="AD111" s="72">
        <f>SUM(AD112,AD114,AD116)</f>
        <v>2000000</v>
      </c>
      <c r="AE111" s="73" t="s">
        <v>25</v>
      </c>
      <c r="AF111" s="495"/>
      <c r="AG111" s="526">
        <f t="shared" si="4"/>
        <v>2000000</v>
      </c>
    </row>
    <row r="112" spans="1:33" s="9" customFormat="1" ht="21" customHeight="1">
      <c r="A112" s="33"/>
      <c r="B112" s="34" t="s">
        <v>125</v>
      </c>
      <c r="C112" s="24" t="s">
        <v>10</v>
      </c>
      <c r="D112" s="116">
        <v>1000</v>
      </c>
      <c r="E112" s="87">
        <f>AD112/1000</f>
        <v>1000</v>
      </c>
      <c r="F112" s="88">
        <f>SUMIF($AB$113:$AB$113,"보조",$AD$113:$AD$113)/1000</f>
        <v>0</v>
      </c>
      <c r="G112" s="88">
        <f>SUMIF($AB$113:$AB$113,"7종",$AD$113:$AD$113)/1000</f>
        <v>0</v>
      </c>
      <c r="H112" s="88">
        <f>SUMIF($AB$113:$AB$113,"4종",$AD$113:$AD$113)/1000</f>
        <v>0</v>
      </c>
      <c r="I112" s="88">
        <f>SUMIF($AB$113:$AB$113,"후원",$AD$113:$AD$113)/1000</f>
        <v>0</v>
      </c>
      <c r="J112" s="88">
        <f>SUMIF($AB$113:$AB$113,"입소",$AD$113:$AD$113)/1000</f>
        <v>0</v>
      </c>
      <c r="K112" s="631">
        <f>SUMIF($AB$113:$AB$113,"법인",$AD$113:$AD$113)/1000</f>
        <v>1000</v>
      </c>
      <c r="L112" s="88">
        <f>SUMIF($AB$113:$AB$113,"잡수",$AD$113:$AD$113)/1000</f>
        <v>0</v>
      </c>
      <c r="M112" s="87">
        <f>E112-D112</f>
        <v>0</v>
      </c>
      <c r="N112" s="93">
        <f>IF(D112=0,0,M112/D112)</f>
        <v>0</v>
      </c>
      <c r="O112" s="75" t="s">
        <v>37</v>
      </c>
      <c r="P112" s="111"/>
      <c r="Q112" s="120"/>
      <c r="R112" s="120"/>
      <c r="S112" s="120"/>
      <c r="T112" s="69"/>
      <c r="U112" s="69"/>
      <c r="V112" s="69"/>
      <c r="W112" s="69"/>
      <c r="X112" s="69"/>
      <c r="Y112" s="518" t="s">
        <v>128</v>
      </c>
      <c r="Z112" s="518"/>
      <c r="AA112" s="518"/>
      <c r="AB112" s="518"/>
      <c r="AC112" s="128"/>
      <c r="AD112" s="128">
        <f>AD113</f>
        <v>1000000</v>
      </c>
      <c r="AE112" s="127" t="s">
        <v>25</v>
      </c>
      <c r="AF112" s="495"/>
      <c r="AG112" s="526">
        <f t="shared" si="4"/>
        <v>1000000</v>
      </c>
    </row>
    <row r="113" spans="1:34" s="9" customFormat="1" ht="21" customHeight="1">
      <c r="A113" s="33"/>
      <c r="B113" s="34"/>
      <c r="C113" s="34"/>
      <c r="D113" s="114"/>
      <c r="E113" s="83"/>
      <c r="F113" s="83"/>
      <c r="G113" s="83"/>
      <c r="H113" s="83"/>
      <c r="I113" s="83"/>
      <c r="J113" s="83"/>
      <c r="K113" s="628"/>
      <c r="L113" s="83"/>
      <c r="M113" s="83"/>
      <c r="N113" s="53"/>
      <c r="O113" s="521" t="s">
        <v>244</v>
      </c>
      <c r="P113" s="521"/>
      <c r="Q113" s="521"/>
      <c r="R113" s="521"/>
      <c r="S113" s="520"/>
      <c r="T113" s="406"/>
      <c r="U113" s="406"/>
      <c r="V113" s="520"/>
      <c r="W113" s="521"/>
      <c r="X113" s="520"/>
      <c r="Y113" s="520"/>
      <c r="Z113" s="520"/>
      <c r="AA113" s="520"/>
      <c r="AB113" s="520" t="s">
        <v>153</v>
      </c>
      <c r="AC113" s="520"/>
      <c r="AD113" s="673">
        <v>1000000</v>
      </c>
      <c r="AE113" s="103" t="s">
        <v>56</v>
      </c>
      <c r="AF113" s="495"/>
      <c r="AG113" s="526">
        <f t="shared" si="4"/>
        <v>1000000</v>
      </c>
    </row>
    <row r="114" spans="1:34" s="9" customFormat="1" ht="21" customHeight="1">
      <c r="A114" s="33"/>
      <c r="B114" s="34"/>
      <c r="C114" s="24" t="s">
        <v>11</v>
      </c>
      <c r="D114" s="116">
        <v>0</v>
      </c>
      <c r="E114" s="87">
        <f>AD114/1000</f>
        <v>0</v>
      </c>
      <c r="F114" s="88">
        <f>SUMIF($AB$115:$AB$115,"보조",$AD$115:$AD$115)/1000</f>
        <v>0</v>
      </c>
      <c r="G114" s="88">
        <f>SUMIF($AB$115:$AB$115,"7종",$AD$115:$AD$115)/1000</f>
        <v>0</v>
      </c>
      <c r="H114" s="88">
        <f>SUMIF($AB$115:$AB$115,"4종",$AD$115:$AD$115)/1000</f>
        <v>0</v>
      </c>
      <c r="I114" s="88">
        <f>SUMIF($AB$115:$AB$115,"후원",$AD$115:$AD$115)/1000</f>
        <v>0</v>
      </c>
      <c r="J114" s="88">
        <f>SUMIF($AB$115:$AB$115,"입소",$AD$115:$AD$115)/1000</f>
        <v>0</v>
      </c>
      <c r="K114" s="631">
        <f>SUMIF($AB$115:$AB$115,"법인",$AD$115:$AD$115)/1000</f>
        <v>0</v>
      </c>
      <c r="L114" s="88">
        <f>SUMIF($AB$115:$AB$115,"잡수",$AD$115:$AD$115)/1000</f>
        <v>0</v>
      </c>
      <c r="M114" s="87">
        <f>E114-D114</f>
        <v>0</v>
      </c>
      <c r="N114" s="93">
        <f>IF(D114=0,0,M114/D114)</f>
        <v>0</v>
      </c>
      <c r="O114" s="75" t="s">
        <v>127</v>
      </c>
      <c r="P114" s="519"/>
      <c r="Q114" s="131"/>
      <c r="R114" s="131"/>
      <c r="S114" s="131"/>
      <c r="T114" s="113"/>
      <c r="U114" s="113"/>
      <c r="V114" s="113"/>
      <c r="W114" s="113"/>
      <c r="X114" s="113"/>
      <c r="Y114" s="518" t="s">
        <v>128</v>
      </c>
      <c r="Z114" s="518"/>
      <c r="AA114" s="518"/>
      <c r="AB114" s="518"/>
      <c r="AC114" s="128"/>
      <c r="AD114" s="128">
        <v>0</v>
      </c>
      <c r="AE114" s="127" t="s">
        <v>25</v>
      </c>
      <c r="AF114" s="495"/>
      <c r="AG114" s="526">
        <f t="shared" si="4"/>
        <v>0</v>
      </c>
    </row>
    <row r="115" spans="1:34" s="9" customFormat="1" ht="21" customHeight="1">
      <c r="A115" s="33"/>
      <c r="B115" s="34"/>
      <c r="C115" s="44"/>
      <c r="D115" s="115"/>
      <c r="E115" s="85"/>
      <c r="F115" s="85"/>
      <c r="G115" s="85"/>
      <c r="H115" s="85"/>
      <c r="I115" s="85"/>
      <c r="J115" s="85"/>
      <c r="K115" s="629"/>
      <c r="L115" s="85"/>
      <c r="M115" s="85"/>
      <c r="N115" s="65"/>
      <c r="O115" s="273"/>
      <c r="P115" s="273"/>
      <c r="Q115" s="273"/>
      <c r="R115" s="273"/>
      <c r="S115" s="169"/>
      <c r="T115" s="66"/>
      <c r="U115" s="66"/>
      <c r="V115" s="169"/>
      <c r="W115" s="273"/>
      <c r="X115" s="169"/>
      <c r="Y115" s="169"/>
      <c r="Z115" s="169"/>
      <c r="AA115" s="169"/>
      <c r="AB115" s="169"/>
      <c r="AC115" s="169"/>
      <c r="AD115" s="169"/>
      <c r="AE115" s="56"/>
      <c r="AF115" s="495"/>
      <c r="AG115" s="526">
        <f t="shared" si="4"/>
        <v>0</v>
      </c>
    </row>
    <row r="116" spans="1:34" s="9" customFormat="1" ht="21" customHeight="1">
      <c r="A116" s="33"/>
      <c r="B116" s="34"/>
      <c r="C116" s="34" t="s">
        <v>69</v>
      </c>
      <c r="D116" s="114">
        <v>1080</v>
      </c>
      <c r="E116" s="83">
        <f>AD116/1000</f>
        <v>1000</v>
      </c>
      <c r="F116" s="88">
        <f>SUMIF($AB$117:$AB$119,"보조",$AD$117:$AD$119)/1000</f>
        <v>0</v>
      </c>
      <c r="G116" s="88">
        <f>SUMIF($AB$117:$AB$119,"7종",$AD$117:$AD$119)/1000</f>
        <v>0</v>
      </c>
      <c r="H116" s="88">
        <f>SUMIF($AB$117:$AB$119,"4종",$AD$117:$AD$119)/1000</f>
        <v>0</v>
      </c>
      <c r="I116" s="88">
        <f>SUMIF($AB$117:$AB$119,"후원",$AD$117:$AD$119)/1000</f>
        <v>0</v>
      </c>
      <c r="J116" s="88">
        <f>SUMIF($AB$117:$AB$119,"입소",$AD$117:$AD$119)/1000</f>
        <v>0</v>
      </c>
      <c r="K116" s="631">
        <f>SUMIF($AB$117:$AB$119,"법인",$AD$117:$AD$119)/1000</f>
        <v>1000</v>
      </c>
      <c r="L116" s="88">
        <f>SUMIF($AB$117:$AB$119,"잡수",$AD$117:$AD$119)/1000</f>
        <v>0</v>
      </c>
      <c r="M116" s="83">
        <f>E116-D116</f>
        <v>-80</v>
      </c>
      <c r="N116" s="53">
        <f>IF(D116=0,0,M116/D116)</f>
        <v>-7.407407407407407E-2</v>
      </c>
      <c r="O116" s="90" t="s">
        <v>38</v>
      </c>
      <c r="P116" s="131"/>
      <c r="Q116" s="131"/>
      <c r="R116" s="131"/>
      <c r="S116" s="131"/>
      <c r="T116" s="113"/>
      <c r="U116" s="113"/>
      <c r="V116" s="113"/>
      <c r="W116" s="113"/>
      <c r="X116" s="113"/>
      <c r="Y116" s="518" t="s">
        <v>128</v>
      </c>
      <c r="Z116" s="518"/>
      <c r="AA116" s="518"/>
      <c r="AB116" s="518"/>
      <c r="AC116" s="128"/>
      <c r="AD116" s="128">
        <f>SUM(AD117:AD119)</f>
        <v>1000000</v>
      </c>
      <c r="AE116" s="127" t="s">
        <v>25</v>
      </c>
      <c r="AF116" s="495"/>
      <c r="AG116" s="526">
        <f t="shared" si="4"/>
        <v>1000000</v>
      </c>
    </row>
    <row r="117" spans="1:34" s="11" customFormat="1" ht="21" customHeight="1">
      <c r="A117" s="33"/>
      <c r="B117" s="34"/>
      <c r="C117" s="34"/>
      <c r="D117" s="114"/>
      <c r="E117" s="83"/>
      <c r="F117" s="83"/>
      <c r="G117" s="83"/>
      <c r="H117" s="83"/>
      <c r="I117" s="83"/>
      <c r="J117" s="83"/>
      <c r="K117" s="628"/>
      <c r="L117" s="83"/>
      <c r="M117" s="83"/>
      <c r="N117" s="53"/>
      <c r="O117" s="521" t="s">
        <v>241</v>
      </c>
      <c r="P117" s="521"/>
      <c r="Q117" s="521"/>
      <c r="R117" s="521"/>
      <c r="S117" s="520"/>
      <c r="T117" s="406"/>
      <c r="U117" s="406"/>
      <c r="V117" s="520"/>
      <c r="W117" s="521"/>
      <c r="X117" s="520"/>
      <c r="Y117" s="520"/>
      <c r="Z117" s="520"/>
      <c r="AA117" s="520"/>
      <c r="AB117" s="520" t="s">
        <v>153</v>
      </c>
      <c r="AC117" s="520"/>
      <c r="AD117" s="673">
        <v>200000</v>
      </c>
      <c r="AE117" s="103" t="s">
        <v>56</v>
      </c>
      <c r="AF117" s="495"/>
      <c r="AG117" s="526">
        <f t="shared" si="4"/>
        <v>200000</v>
      </c>
    </row>
    <row r="118" spans="1:34" s="11" customFormat="1" ht="21" customHeight="1">
      <c r="A118" s="33"/>
      <c r="B118" s="34"/>
      <c r="C118" s="34"/>
      <c r="D118" s="114"/>
      <c r="E118" s="83"/>
      <c r="F118" s="83"/>
      <c r="G118" s="83"/>
      <c r="H118" s="83"/>
      <c r="I118" s="83"/>
      <c r="J118" s="83"/>
      <c r="K118" s="628"/>
      <c r="L118" s="83"/>
      <c r="M118" s="83"/>
      <c r="N118" s="53"/>
      <c r="O118" s="521" t="s">
        <v>181</v>
      </c>
      <c r="P118" s="521"/>
      <c r="Q118" s="521"/>
      <c r="R118" s="521"/>
      <c r="S118" s="520">
        <v>50000</v>
      </c>
      <c r="T118" s="520" t="s">
        <v>56</v>
      </c>
      <c r="U118" s="521" t="s">
        <v>57</v>
      </c>
      <c r="V118" s="520">
        <v>4</v>
      </c>
      <c r="W118" s="520" t="s">
        <v>55</v>
      </c>
      <c r="X118" s="521" t="s">
        <v>57</v>
      </c>
      <c r="Y118" s="232">
        <v>4</v>
      </c>
      <c r="Z118" s="475" t="s">
        <v>62</v>
      </c>
      <c r="AA118" s="475" t="s">
        <v>53</v>
      </c>
      <c r="AB118" s="475" t="s">
        <v>153</v>
      </c>
      <c r="AC118" s="521"/>
      <c r="AD118" s="673">
        <f>S118*V118*Y118</f>
        <v>800000</v>
      </c>
      <c r="AE118" s="103" t="s">
        <v>56</v>
      </c>
      <c r="AF118" s="495"/>
      <c r="AG118" s="526">
        <f t="shared" si="4"/>
        <v>800000</v>
      </c>
    </row>
    <row r="119" spans="1:34" s="11" customFormat="1" ht="21" customHeight="1">
      <c r="A119" s="33"/>
      <c r="B119" s="34"/>
      <c r="C119" s="34"/>
      <c r="D119" s="114"/>
      <c r="E119" s="83"/>
      <c r="F119" s="83"/>
      <c r="G119" s="83"/>
      <c r="H119" s="83"/>
      <c r="I119" s="83"/>
      <c r="J119" s="83"/>
      <c r="K119" s="628"/>
      <c r="L119" s="83"/>
      <c r="M119" s="83"/>
      <c r="N119" s="53"/>
      <c r="O119" s="521"/>
      <c r="P119" s="521"/>
      <c r="Q119" s="521"/>
      <c r="R119" s="521"/>
      <c r="S119" s="520"/>
      <c r="T119" s="406"/>
      <c r="U119" s="406"/>
      <c r="V119" s="520"/>
      <c r="W119" s="521"/>
      <c r="X119" s="520"/>
      <c r="Y119" s="520"/>
      <c r="Z119" s="520"/>
      <c r="AA119" s="520"/>
      <c r="AB119" s="520"/>
      <c r="AC119" s="520"/>
      <c r="AD119" s="673"/>
      <c r="AE119" s="103"/>
      <c r="AF119" s="495"/>
      <c r="AG119" s="526">
        <f t="shared" si="4"/>
        <v>0</v>
      </c>
    </row>
    <row r="120" spans="1:34" s="9" customFormat="1" ht="21" customHeight="1">
      <c r="A120" s="33"/>
      <c r="B120" s="24" t="s">
        <v>12</v>
      </c>
      <c r="C120" s="124" t="s">
        <v>5</v>
      </c>
      <c r="D120" s="125">
        <f t="shared" ref="D120:L120" si="6">SUM(D121,D124,D147,D155,D167,D174)</f>
        <v>160029</v>
      </c>
      <c r="E120" s="125">
        <f t="shared" si="6"/>
        <v>149024</v>
      </c>
      <c r="F120" s="125">
        <f t="shared" si="6"/>
        <v>65826</v>
      </c>
      <c r="G120" s="125">
        <f t="shared" si="6"/>
        <v>3600</v>
      </c>
      <c r="H120" s="125">
        <f t="shared" si="6"/>
        <v>0</v>
      </c>
      <c r="I120" s="125">
        <f t="shared" si="6"/>
        <v>9611</v>
      </c>
      <c r="J120" s="125">
        <f t="shared" si="6"/>
        <v>3070</v>
      </c>
      <c r="K120" s="635">
        <f t="shared" si="6"/>
        <v>8390</v>
      </c>
      <c r="L120" s="125">
        <f t="shared" si="6"/>
        <v>58527</v>
      </c>
      <c r="M120" s="441">
        <f>E120-D120</f>
        <v>-11005</v>
      </c>
      <c r="N120" s="126">
        <f>IF(D120=0,0,M120/D120)</f>
        <v>-6.8768785657599557E-2</v>
      </c>
      <c r="O120" s="519" t="s">
        <v>77</v>
      </c>
      <c r="P120" s="519"/>
      <c r="Q120" s="519"/>
      <c r="R120" s="519"/>
      <c r="S120" s="518"/>
      <c r="T120" s="134"/>
      <c r="U120" s="518"/>
      <c r="V120" s="816"/>
      <c r="W120" s="817"/>
      <c r="X120" s="518"/>
      <c r="Y120" s="518"/>
      <c r="Z120" s="518"/>
      <c r="AA120" s="518"/>
      <c r="AB120" s="518"/>
      <c r="AC120" s="518"/>
      <c r="AD120" s="672">
        <f>SUM(AD121,AD124,AD147,AD155,AD167,AD174)</f>
        <v>149024000</v>
      </c>
      <c r="AE120" s="127" t="s">
        <v>25</v>
      </c>
      <c r="AF120" s="495"/>
      <c r="AG120" s="526">
        <f t="shared" si="4"/>
        <v>149024000</v>
      </c>
    </row>
    <row r="121" spans="1:34" s="9" customFormat="1" ht="21" customHeight="1">
      <c r="A121" s="33"/>
      <c r="B121" s="34"/>
      <c r="C121" s="34" t="s">
        <v>70</v>
      </c>
      <c r="D121" s="114">
        <v>400</v>
      </c>
      <c r="E121" s="83">
        <f>AD121/1000</f>
        <v>400</v>
      </c>
      <c r="F121" s="88">
        <f>SUMIF($AB$122:$AB$123,"보조",$AD$122:$AD$123)/1000</f>
        <v>0</v>
      </c>
      <c r="G121" s="88">
        <f>SUMIF($AB$122:$AB$123,"7종",$AD$122:$AD$123)/1000</f>
        <v>0</v>
      </c>
      <c r="H121" s="88">
        <f>SUMIF($AB$122:$AB$123,"4종",$AD$122:$AD$123)/1000</f>
        <v>0</v>
      </c>
      <c r="I121" s="88">
        <f>SUMIF($AB$122:$AB$123,"후원",$AD$122:$AD$123)/1000</f>
        <v>0</v>
      </c>
      <c r="J121" s="88">
        <f>SUMIF($AB$122:$AB$123,"입소",$AD$122:$AD$123)/1000</f>
        <v>0</v>
      </c>
      <c r="K121" s="631">
        <f>SUMIF($AB$122:$AB$123,"법인",$AD$122:$AD$123)/1000</f>
        <v>400</v>
      </c>
      <c r="L121" s="88">
        <f>SUMIF($AB$122:$AB$123,"잡수",$AD$122:$AD$123)/1000</f>
        <v>0</v>
      </c>
      <c r="M121" s="83">
        <f>E121-D121</f>
        <v>0</v>
      </c>
      <c r="N121" s="53">
        <f>IF(D121=0,0,M121/D121)</f>
        <v>0</v>
      </c>
      <c r="O121" s="90" t="s">
        <v>40</v>
      </c>
      <c r="P121" s="131"/>
      <c r="Q121" s="131"/>
      <c r="R121" s="131"/>
      <c r="S121" s="131"/>
      <c r="T121" s="113"/>
      <c r="U121" s="113"/>
      <c r="V121" s="113"/>
      <c r="W121" s="113"/>
      <c r="X121" s="113"/>
      <c r="Y121" s="518" t="s">
        <v>128</v>
      </c>
      <c r="Z121" s="518"/>
      <c r="AA121" s="518"/>
      <c r="AB121" s="518"/>
      <c r="AC121" s="128"/>
      <c r="AD121" s="128">
        <f>SUM(AD122:AD123)</f>
        <v>400000</v>
      </c>
      <c r="AE121" s="127" t="s">
        <v>25</v>
      </c>
      <c r="AF121" s="495"/>
      <c r="AG121" s="526">
        <f t="shared" si="4"/>
        <v>400000</v>
      </c>
    </row>
    <row r="122" spans="1:34" s="9" customFormat="1" ht="21" customHeight="1">
      <c r="A122" s="33"/>
      <c r="B122" s="34"/>
      <c r="C122" s="34"/>
      <c r="D122" s="114"/>
      <c r="E122" s="83"/>
      <c r="F122" s="83"/>
      <c r="G122" s="83"/>
      <c r="H122" s="83"/>
      <c r="I122" s="83"/>
      <c r="J122" s="83"/>
      <c r="K122" s="628"/>
      <c r="L122" s="83"/>
      <c r="M122" s="83"/>
      <c r="N122" s="53"/>
      <c r="O122" s="521" t="s">
        <v>245</v>
      </c>
      <c r="P122" s="521"/>
      <c r="Q122" s="521"/>
      <c r="R122" s="521"/>
      <c r="S122" s="520"/>
      <c r="T122" s="406"/>
      <c r="U122" s="406"/>
      <c r="V122" s="520"/>
      <c r="W122" s="406"/>
      <c r="X122" s="520"/>
      <c r="Y122" s="520"/>
      <c r="Z122" s="520"/>
      <c r="AA122" s="520"/>
      <c r="AB122" s="520" t="s">
        <v>138</v>
      </c>
      <c r="AC122" s="520"/>
      <c r="AD122" s="673">
        <v>0</v>
      </c>
      <c r="AE122" s="103" t="s">
        <v>56</v>
      </c>
      <c r="AF122" s="495"/>
      <c r="AG122" s="526">
        <f t="shared" si="4"/>
        <v>0</v>
      </c>
    </row>
    <row r="123" spans="1:34" s="9" customFormat="1" ht="21" customHeight="1">
      <c r="A123" s="33"/>
      <c r="C123" s="34"/>
      <c r="D123" s="114"/>
      <c r="E123" s="83"/>
      <c r="F123" s="83"/>
      <c r="G123" s="83"/>
      <c r="H123" s="83"/>
      <c r="I123" s="83"/>
      <c r="J123" s="83"/>
      <c r="K123" s="628"/>
      <c r="L123" s="83"/>
      <c r="M123" s="83"/>
      <c r="N123" s="53"/>
      <c r="O123" s="521" t="s">
        <v>246</v>
      </c>
      <c r="P123" s="521"/>
      <c r="Q123" s="521"/>
      <c r="R123" s="521"/>
      <c r="S123" s="520"/>
      <c r="T123" s="406"/>
      <c r="U123" s="406"/>
      <c r="V123" s="520"/>
      <c r="W123" s="406"/>
      <c r="X123" s="520"/>
      <c r="Y123" s="520"/>
      <c r="Z123" s="520"/>
      <c r="AA123" s="520"/>
      <c r="AB123" s="520" t="s">
        <v>153</v>
      </c>
      <c r="AC123" s="520"/>
      <c r="AD123" s="673">
        <v>400000</v>
      </c>
      <c r="AE123" s="103" t="s">
        <v>56</v>
      </c>
      <c r="AF123" s="495"/>
      <c r="AG123" s="526">
        <f t="shared" si="4"/>
        <v>400000</v>
      </c>
      <c r="AH123" s="11"/>
    </row>
    <row r="124" spans="1:34" s="9" customFormat="1" ht="21" customHeight="1">
      <c r="A124" s="33"/>
      <c r="B124" s="34"/>
      <c r="C124" s="24" t="s">
        <v>41</v>
      </c>
      <c r="D124" s="116">
        <v>38091</v>
      </c>
      <c r="E124" s="87">
        <f>ROUND(AD124/1000,0)</f>
        <v>35661</v>
      </c>
      <c r="F124" s="88">
        <f>SUMIF($AB$125:$AB$143,"보조",$AD$125:$AD$143)/1000</f>
        <v>30513</v>
      </c>
      <c r="G124" s="88">
        <f>SUMIF($AB$125:$AB$143,"7종",$AD$125:$AD$143)/1000</f>
        <v>0</v>
      </c>
      <c r="H124" s="88">
        <f>SUMIF($AB$125:$AB$143,"4종",$AD$125:$AD$143)/1000</f>
        <v>0</v>
      </c>
      <c r="I124" s="88">
        <f>SUMIF($AB$125:$AB$143,"후원",$AD$125:$AD$143)/1000</f>
        <v>4148</v>
      </c>
      <c r="J124" s="88">
        <f>SUMIF($AB$125:$AB$143,"입소",$AD$125:$AD$143)/1000</f>
        <v>1000</v>
      </c>
      <c r="K124" s="631">
        <f>SUMIF($AB$125:$AB$143,"법인",$AD$125:$AD$143)/1000</f>
        <v>0</v>
      </c>
      <c r="L124" s="88">
        <f>SUMIF($AB$125:$AB$143,"잡수",$AD$125:$AD$143)/1000</f>
        <v>0</v>
      </c>
      <c r="M124" s="95">
        <f>E124-D124</f>
        <v>-2430</v>
      </c>
      <c r="N124" s="93">
        <f>IF(D124=0,0,M124/D124)</f>
        <v>-6.3794597148932819E-2</v>
      </c>
      <c r="O124" s="235" t="s">
        <v>42</v>
      </c>
      <c r="P124" s="236"/>
      <c r="Q124" s="236"/>
      <c r="R124" s="236"/>
      <c r="S124" s="236"/>
      <c r="T124" s="237"/>
      <c r="U124" s="237"/>
      <c r="V124" s="237"/>
      <c r="W124" s="237"/>
      <c r="X124" s="237"/>
      <c r="Y124" s="238" t="s">
        <v>28</v>
      </c>
      <c r="Z124" s="238"/>
      <c r="AA124" s="238"/>
      <c r="AB124" s="238"/>
      <c r="AC124" s="239"/>
      <c r="AD124" s="239">
        <f>SUM(AD125:AD143)</f>
        <v>35661000</v>
      </c>
      <c r="AE124" s="127" t="s">
        <v>25</v>
      </c>
      <c r="AF124" s="495"/>
      <c r="AG124" s="526">
        <f t="shared" si="4"/>
        <v>35661000</v>
      </c>
      <c r="AH124" s="559"/>
    </row>
    <row r="125" spans="1:34" s="9" customFormat="1" ht="21" customHeight="1">
      <c r="A125" s="33"/>
      <c r="B125" s="34"/>
      <c r="C125" s="34" t="s">
        <v>133</v>
      </c>
      <c r="D125" s="493"/>
      <c r="E125" s="491"/>
      <c r="F125" s="491"/>
      <c r="G125" s="491"/>
      <c r="H125" s="491"/>
      <c r="I125" s="491"/>
      <c r="J125" s="491"/>
      <c r="K125" s="661"/>
      <c r="L125" s="491"/>
      <c r="M125" s="686"/>
      <c r="N125" s="675"/>
      <c r="O125" s="240" t="s">
        <v>182</v>
      </c>
      <c r="P125" s="674"/>
      <c r="Q125" s="674"/>
      <c r="R125" s="674"/>
      <c r="S125" s="673"/>
      <c r="T125" s="406"/>
      <c r="U125" s="673"/>
      <c r="V125" s="241">
        <v>205000</v>
      </c>
      <c r="W125" s="458" t="s">
        <v>56</v>
      </c>
      <c r="X125" s="458" t="s">
        <v>26</v>
      </c>
      <c r="Y125" s="241">
        <v>12</v>
      </c>
      <c r="Z125" s="242" t="s">
        <v>29</v>
      </c>
      <c r="AA125" s="241" t="s">
        <v>27</v>
      </c>
      <c r="AB125" s="594" t="s">
        <v>71</v>
      </c>
      <c r="AC125" s="594"/>
      <c r="AD125" s="673">
        <f>V125*Y125</f>
        <v>2460000</v>
      </c>
      <c r="AE125" s="305" t="s">
        <v>25</v>
      </c>
      <c r="AF125" s="495"/>
      <c r="AG125" s="526">
        <f t="shared" si="4"/>
        <v>2460000</v>
      </c>
      <c r="AH125" s="505"/>
    </row>
    <row r="126" spans="1:34" s="9" customFormat="1" ht="21" customHeight="1">
      <c r="A126" s="33"/>
      <c r="B126" s="34"/>
      <c r="C126" s="34"/>
      <c r="D126" s="494"/>
      <c r="E126" s="492"/>
      <c r="F126" s="492"/>
      <c r="G126" s="492"/>
      <c r="H126" s="492"/>
      <c r="I126" s="492"/>
      <c r="J126" s="492"/>
      <c r="K126" s="662"/>
      <c r="L126" s="492"/>
      <c r="M126" s="686"/>
      <c r="N126" s="675"/>
      <c r="O126" s="674" t="s">
        <v>183</v>
      </c>
      <c r="P126" s="674"/>
      <c r="Q126" s="674"/>
      <c r="R126" s="674"/>
      <c r="S126" s="673"/>
      <c r="T126" s="406"/>
      <c r="U126" s="406"/>
      <c r="V126" s="241">
        <v>188300</v>
      </c>
      <c r="W126" s="458" t="s">
        <v>56</v>
      </c>
      <c r="X126" s="458" t="s">
        <v>26</v>
      </c>
      <c r="Y126" s="241">
        <v>10</v>
      </c>
      <c r="Z126" s="242" t="s">
        <v>29</v>
      </c>
      <c r="AA126" s="241" t="s">
        <v>27</v>
      </c>
      <c r="AB126" s="673" t="s">
        <v>71</v>
      </c>
      <c r="AC126" s="673"/>
      <c r="AD126" s="673">
        <f>V126*Y126</f>
        <v>1883000</v>
      </c>
      <c r="AE126" s="103" t="s">
        <v>56</v>
      </c>
      <c r="AF126" s="495">
        <v>1744000</v>
      </c>
      <c r="AG126" s="526">
        <f t="shared" si="4"/>
        <v>139000</v>
      </c>
    </row>
    <row r="127" spans="1:34" s="9" customFormat="1" ht="21" customHeight="1">
      <c r="A127" s="33"/>
      <c r="B127" s="34"/>
      <c r="C127" s="34"/>
      <c r="D127" s="114"/>
      <c r="E127" s="83"/>
      <c r="F127" s="83"/>
      <c r="G127" s="83"/>
      <c r="H127" s="83"/>
      <c r="I127" s="83"/>
      <c r="J127" s="83"/>
      <c r="K127" s="628"/>
      <c r="L127" s="83"/>
      <c r="M127" s="686"/>
      <c r="N127" s="675"/>
      <c r="O127" s="674" t="s">
        <v>786</v>
      </c>
      <c r="P127" s="674"/>
      <c r="Q127" s="674"/>
      <c r="R127" s="674"/>
      <c r="S127" s="673"/>
      <c r="T127" s="406"/>
      <c r="U127" s="406"/>
      <c r="V127" s="241">
        <v>316250</v>
      </c>
      <c r="W127" s="458" t="s">
        <v>56</v>
      </c>
      <c r="X127" s="458" t="s">
        <v>26</v>
      </c>
      <c r="Y127" s="241">
        <v>12</v>
      </c>
      <c r="Z127" s="242" t="s">
        <v>29</v>
      </c>
      <c r="AA127" s="241" t="s">
        <v>27</v>
      </c>
      <c r="AB127" s="673" t="s">
        <v>71</v>
      </c>
      <c r="AC127" s="673"/>
      <c r="AD127" s="673">
        <f>V127*Y127</f>
        <v>3795000</v>
      </c>
      <c r="AE127" s="632" t="s">
        <v>56</v>
      </c>
      <c r="AF127" s="495">
        <v>2640000</v>
      </c>
      <c r="AG127" s="526">
        <f t="shared" si="4"/>
        <v>1155000</v>
      </c>
    </row>
    <row r="128" spans="1:34" s="9" customFormat="1" ht="21" customHeight="1">
      <c r="A128" s="33"/>
      <c r="B128" s="34"/>
      <c r="C128" s="34"/>
      <c r="D128" s="114"/>
      <c r="E128" s="83"/>
      <c r="F128" s="83"/>
      <c r="G128" s="83"/>
      <c r="H128" s="83"/>
      <c r="I128" s="83"/>
      <c r="J128" s="83"/>
      <c r="K128" s="628"/>
      <c r="L128" s="83"/>
      <c r="M128" s="686"/>
      <c r="N128" s="675"/>
      <c r="O128" s="674" t="s">
        <v>222</v>
      </c>
      <c r="P128" s="674"/>
      <c r="Q128" s="674"/>
      <c r="R128" s="674"/>
      <c r="S128" s="673"/>
      <c r="T128" s="406"/>
      <c r="U128" s="406"/>
      <c r="V128" s="241">
        <v>500000</v>
      </c>
      <c r="W128" s="458" t="s">
        <v>56</v>
      </c>
      <c r="X128" s="458" t="s">
        <v>26</v>
      </c>
      <c r="Y128" s="241">
        <v>4</v>
      </c>
      <c r="Z128" s="242" t="s">
        <v>62</v>
      </c>
      <c r="AA128" s="241" t="s">
        <v>27</v>
      </c>
      <c r="AB128" s="673" t="s">
        <v>71</v>
      </c>
      <c r="AC128" s="673"/>
      <c r="AD128" s="673">
        <f>V128*Y128</f>
        <v>2000000</v>
      </c>
      <c r="AE128" s="103" t="s">
        <v>56</v>
      </c>
      <c r="AF128" s="495"/>
      <c r="AG128" s="526">
        <f t="shared" si="4"/>
        <v>2000000</v>
      </c>
    </row>
    <row r="129" spans="1:34" s="9" customFormat="1" ht="21" customHeight="1">
      <c r="A129" s="33"/>
      <c r="B129" s="34"/>
      <c r="C129" s="34"/>
      <c r="D129" s="114"/>
      <c r="E129" s="83"/>
      <c r="F129" s="83"/>
      <c r="G129" s="83"/>
      <c r="H129" s="83"/>
      <c r="I129" s="83"/>
      <c r="J129" s="83"/>
      <c r="K129" s="628"/>
      <c r="L129" s="83"/>
      <c r="M129" s="686"/>
      <c r="N129" s="675"/>
      <c r="O129" s="674" t="s">
        <v>210</v>
      </c>
      <c r="P129" s="674"/>
      <c r="Q129" s="674"/>
      <c r="R129" s="674"/>
      <c r="S129" s="673"/>
      <c r="T129" s="406"/>
      <c r="U129" s="406"/>
      <c r="V129" s="241">
        <v>200000</v>
      </c>
      <c r="W129" s="458" t="s">
        <v>56</v>
      </c>
      <c r="X129" s="458" t="s">
        <v>26</v>
      </c>
      <c r="Y129" s="241">
        <v>6</v>
      </c>
      <c r="Z129" s="242" t="s">
        <v>29</v>
      </c>
      <c r="AA129" s="241" t="s">
        <v>27</v>
      </c>
      <c r="AB129" s="673" t="s">
        <v>71</v>
      </c>
      <c r="AC129" s="673"/>
      <c r="AD129" s="673">
        <f>V129*Y129</f>
        <v>1200000</v>
      </c>
      <c r="AE129" s="103" t="s">
        <v>56</v>
      </c>
      <c r="AF129" s="495"/>
      <c r="AG129" s="526">
        <f t="shared" si="4"/>
        <v>1200000</v>
      </c>
    </row>
    <row r="130" spans="1:34" s="9" customFormat="1" ht="21" customHeight="1">
      <c r="A130" s="33"/>
      <c r="B130" s="34"/>
      <c r="C130" s="34"/>
      <c r="D130" s="114"/>
      <c r="E130" s="83"/>
      <c r="F130" s="83"/>
      <c r="G130" s="83"/>
      <c r="H130" s="83"/>
      <c r="I130" s="83"/>
      <c r="J130" s="83"/>
      <c r="K130" s="628"/>
      <c r="L130" s="83"/>
      <c r="M130" s="686"/>
      <c r="N130" s="675"/>
      <c r="O130" s="674"/>
      <c r="P130" s="674"/>
      <c r="Q130" s="674"/>
      <c r="R130" s="674"/>
      <c r="S130" s="673"/>
      <c r="T130" s="406"/>
      <c r="U130" s="406"/>
      <c r="V130" s="241"/>
      <c r="W130" s="458"/>
      <c r="X130" s="458"/>
      <c r="Y130" s="241"/>
      <c r="Z130" s="242"/>
      <c r="AA130" s="241"/>
      <c r="AB130" s="673" t="s">
        <v>71</v>
      </c>
      <c r="AC130" s="673"/>
      <c r="AD130" s="673">
        <v>300000</v>
      </c>
      <c r="AE130" s="103" t="s">
        <v>56</v>
      </c>
      <c r="AF130" s="495"/>
      <c r="AG130" s="526">
        <f t="shared" si="4"/>
        <v>300000</v>
      </c>
    </row>
    <row r="131" spans="1:34" s="9" customFormat="1" ht="21" customHeight="1">
      <c r="A131" s="33"/>
      <c r="B131" s="34"/>
      <c r="C131" s="34"/>
      <c r="D131" s="114"/>
      <c r="E131" s="83"/>
      <c r="F131" s="83"/>
      <c r="G131" s="83"/>
      <c r="H131" s="83"/>
      <c r="I131" s="83"/>
      <c r="J131" s="83"/>
      <c r="K131" s="628"/>
      <c r="L131" s="83"/>
      <c r="M131" s="686"/>
      <c r="N131" s="675"/>
      <c r="O131" s="674" t="s">
        <v>211</v>
      </c>
      <c r="P131" s="674"/>
      <c r="Q131" s="674"/>
      <c r="R131" s="674"/>
      <c r="S131" s="673"/>
      <c r="T131" s="406"/>
      <c r="U131" s="406"/>
      <c r="V131" s="241">
        <v>303750</v>
      </c>
      <c r="W131" s="458" t="s">
        <v>56</v>
      </c>
      <c r="X131" s="458" t="s">
        <v>26</v>
      </c>
      <c r="Y131" s="241">
        <v>12</v>
      </c>
      <c r="Z131" s="242" t="s">
        <v>29</v>
      </c>
      <c r="AA131" s="241" t="s">
        <v>27</v>
      </c>
      <c r="AB131" s="673" t="s">
        <v>71</v>
      </c>
      <c r="AC131" s="673"/>
      <c r="AD131" s="673">
        <f>V131*Y131</f>
        <v>3645000</v>
      </c>
      <c r="AE131" s="103" t="s">
        <v>56</v>
      </c>
      <c r="AF131" s="495">
        <v>2400000</v>
      </c>
      <c r="AG131" s="526">
        <f t="shared" si="4"/>
        <v>1245000</v>
      </c>
    </row>
    <row r="132" spans="1:34" s="9" customFormat="1" ht="21" customHeight="1">
      <c r="A132" s="33"/>
      <c r="B132" s="34"/>
      <c r="C132" s="34"/>
      <c r="D132" s="114"/>
      <c r="E132" s="83"/>
      <c r="F132" s="83"/>
      <c r="G132" s="83"/>
      <c r="H132" s="83"/>
      <c r="I132" s="83"/>
      <c r="J132" s="83"/>
      <c r="K132" s="628"/>
      <c r="L132" s="83"/>
      <c r="M132" s="686"/>
      <c r="N132" s="675"/>
      <c r="O132" s="674" t="s">
        <v>212</v>
      </c>
      <c r="P132" s="674"/>
      <c r="Q132" s="674"/>
      <c r="R132" s="674"/>
      <c r="S132" s="673"/>
      <c r="T132" s="406"/>
      <c r="U132" s="406"/>
      <c r="V132" s="457">
        <v>350000</v>
      </c>
      <c r="W132" s="458" t="s">
        <v>56</v>
      </c>
      <c r="X132" s="458" t="s">
        <v>26</v>
      </c>
      <c r="Y132" s="241">
        <v>12</v>
      </c>
      <c r="Z132" s="458" t="s">
        <v>29</v>
      </c>
      <c r="AA132" s="457" t="s">
        <v>27</v>
      </c>
      <c r="AB132" s="673" t="s">
        <v>71</v>
      </c>
      <c r="AC132" s="673"/>
      <c r="AD132" s="673">
        <f>V132*Y132</f>
        <v>4200000</v>
      </c>
      <c r="AE132" s="103" t="s">
        <v>56</v>
      </c>
      <c r="AF132" s="495">
        <v>3000000</v>
      </c>
      <c r="AG132" s="526">
        <f t="shared" si="4"/>
        <v>1200000</v>
      </c>
    </row>
    <row r="133" spans="1:34" s="9" customFormat="1" ht="21" customHeight="1">
      <c r="A133" s="33"/>
      <c r="B133" s="34"/>
      <c r="C133" s="34"/>
      <c r="D133" s="114"/>
      <c r="E133" s="83"/>
      <c r="F133" s="83"/>
      <c r="G133" s="83"/>
      <c r="H133" s="83"/>
      <c r="I133" s="83"/>
      <c r="J133" s="83"/>
      <c r="K133" s="628"/>
      <c r="L133" s="83"/>
      <c r="M133" s="686"/>
      <c r="N133" s="675"/>
      <c r="O133" s="674" t="s">
        <v>213</v>
      </c>
      <c r="P133" s="674"/>
      <c r="Q133" s="674"/>
      <c r="R133" s="674"/>
      <c r="S133" s="673"/>
      <c r="T133" s="406"/>
      <c r="U133" s="406"/>
      <c r="V133" s="241"/>
      <c r="W133" s="458" t="s">
        <v>56</v>
      </c>
      <c r="X133" s="458" t="s">
        <v>26</v>
      </c>
      <c r="Y133" s="241"/>
      <c r="Z133" s="242" t="s">
        <v>29</v>
      </c>
      <c r="AA133" s="241" t="s">
        <v>27</v>
      </c>
      <c r="AB133" s="673" t="s">
        <v>71</v>
      </c>
      <c r="AC133" s="673"/>
      <c r="AD133" s="673">
        <v>2376000</v>
      </c>
      <c r="AE133" s="103" t="s">
        <v>56</v>
      </c>
      <c r="AF133" s="495"/>
      <c r="AG133" s="526">
        <f t="shared" si="4"/>
        <v>2376000</v>
      </c>
    </row>
    <row r="134" spans="1:34" s="9" customFormat="1" ht="21" customHeight="1">
      <c r="A134" s="33"/>
      <c r="B134" s="34"/>
      <c r="C134" s="34"/>
      <c r="D134" s="114"/>
      <c r="E134" s="83"/>
      <c r="F134" s="83"/>
      <c r="G134" s="83"/>
      <c r="H134" s="83"/>
      <c r="I134" s="83"/>
      <c r="J134" s="83"/>
      <c r="K134" s="628"/>
      <c r="L134" s="83"/>
      <c r="M134" s="686"/>
      <c r="N134" s="675"/>
      <c r="O134" s="674" t="s">
        <v>257</v>
      </c>
      <c r="P134" s="674"/>
      <c r="Q134" s="674"/>
      <c r="R134" s="674"/>
      <c r="S134" s="673"/>
      <c r="T134" s="406"/>
      <c r="U134" s="673"/>
      <c r="V134" s="818"/>
      <c r="W134" s="819"/>
      <c r="X134" s="673"/>
      <c r="Y134" s="673"/>
      <c r="Z134" s="673"/>
      <c r="AA134" s="673"/>
      <c r="AB134" s="673" t="s">
        <v>71</v>
      </c>
      <c r="AC134" s="673"/>
      <c r="AD134" s="673">
        <v>1831000</v>
      </c>
      <c r="AE134" s="103" t="s">
        <v>25</v>
      </c>
      <c r="AF134" s="495">
        <v>3000000</v>
      </c>
      <c r="AG134" s="526">
        <f t="shared" si="4"/>
        <v>-1169000</v>
      </c>
    </row>
    <row r="135" spans="1:34" s="9" customFormat="1" ht="21" customHeight="1">
      <c r="A135" s="33"/>
      <c r="B135" s="34"/>
      <c r="C135" s="34"/>
      <c r="D135" s="114"/>
      <c r="E135" s="83"/>
      <c r="F135" s="83"/>
      <c r="G135" s="83"/>
      <c r="H135" s="83"/>
      <c r="I135" s="83"/>
      <c r="J135" s="83"/>
      <c r="K135" s="628"/>
      <c r="L135" s="83"/>
      <c r="M135" s="686"/>
      <c r="N135" s="675"/>
      <c r="O135" s="674"/>
      <c r="P135" s="674"/>
      <c r="Q135" s="674"/>
      <c r="R135" s="674"/>
      <c r="S135" s="673"/>
      <c r="T135" s="406"/>
      <c r="U135" s="673"/>
      <c r="V135" s="673"/>
      <c r="W135" s="674"/>
      <c r="X135" s="673"/>
      <c r="Y135" s="673"/>
      <c r="Z135" s="673"/>
      <c r="AA135" s="673"/>
      <c r="AB135" s="673" t="s">
        <v>138</v>
      </c>
      <c r="AC135" s="673"/>
      <c r="AD135" s="673">
        <v>0</v>
      </c>
      <c r="AE135" s="103" t="s">
        <v>25</v>
      </c>
      <c r="AF135" s="495">
        <v>2000000</v>
      </c>
      <c r="AG135" s="526">
        <f t="shared" si="4"/>
        <v>-2000000</v>
      </c>
    </row>
    <row r="136" spans="1:34" s="9" customFormat="1" ht="21" customHeight="1">
      <c r="A136" s="33"/>
      <c r="B136" s="34"/>
      <c r="C136" s="34"/>
      <c r="D136" s="114"/>
      <c r="E136" s="83"/>
      <c r="F136" s="83"/>
      <c r="G136" s="83"/>
      <c r="H136" s="83"/>
      <c r="I136" s="83"/>
      <c r="J136" s="83"/>
      <c r="K136" s="628"/>
      <c r="L136" s="83"/>
      <c r="M136" s="686"/>
      <c r="N136" s="675"/>
      <c r="O136" s="674" t="s">
        <v>258</v>
      </c>
      <c r="P136" s="674"/>
      <c r="Q136" s="674"/>
      <c r="R136" s="674"/>
      <c r="S136" s="673"/>
      <c r="T136" s="406"/>
      <c r="U136" s="406"/>
      <c r="V136" s="673"/>
      <c r="W136" s="674"/>
      <c r="X136" s="673"/>
      <c r="Y136" s="673"/>
      <c r="Z136" s="673"/>
      <c r="AA136" s="673"/>
      <c r="AB136" s="673" t="s">
        <v>71</v>
      </c>
      <c r="AC136" s="673"/>
      <c r="AD136" s="673">
        <v>428000</v>
      </c>
      <c r="AE136" s="103" t="s">
        <v>25</v>
      </c>
      <c r="AF136" s="495"/>
      <c r="AG136" s="526">
        <f t="shared" ref="AG136:AG199" si="7">AD136-AF136</f>
        <v>428000</v>
      </c>
    </row>
    <row r="137" spans="1:34" s="9" customFormat="1" ht="21" customHeight="1">
      <c r="A137" s="33"/>
      <c r="B137" s="34"/>
      <c r="C137" s="34"/>
      <c r="D137" s="114"/>
      <c r="E137" s="83"/>
      <c r="F137" s="83"/>
      <c r="G137" s="83"/>
      <c r="H137" s="83"/>
      <c r="I137" s="83"/>
      <c r="J137" s="83"/>
      <c r="K137" s="628"/>
      <c r="L137" s="83"/>
      <c r="M137" s="686"/>
      <c r="N137" s="675"/>
      <c r="O137" s="674" t="s">
        <v>326</v>
      </c>
      <c r="P137" s="674"/>
      <c r="Q137" s="674"/>
      <c r="R137" s="674"/>
      <c r="S137" s="673"/>
      <c r="T137" s="406"/>
      <c r="U137" s="406"/>
      <c r="V137" s="241"/>
      <c r="W137" s="458"/>
      <c r="X137" s="458"/>
      <c r="Y137" s="241"/>
      <c r="Z137" s="242"/>
      <c r="AA137" s="241"/>
      <c r="AB137" s="673" t="s">
        <v>71</v>
      </c>
      <c r="AC137" s="673"/>
      <c r="AD137" s="673">
        <v>3385000</v>
      </c>
      <c r="AE137" s="103" t="s">
        <v>56</v>
      </c>
      <c r="AF137" s="495"/>
      <c r="AG137" s="526">
        <f t="shared" si="7"/>
        <v>3385000</v>
      </c>
    </row>
    <row r="138" spans="1:34" s="9" customFormat="1" ht="21" customHeight="1">
      <c r="A138" s="33"/>
      <c r="B138" s="34"/>
      <c r="C138" s="34"/>
      <c r="D138" s="114"/>
      <c r="E138" s="83"/>
      <c r="F138" s="83"/>
      <c r="G138" s="83"/>
      <c r="H138" s="83"/>
      <c r="I138" s="83"/>
      <c r="J138" s="83"/>
      <c r="K138" s="628"/>
      <c r="L138" s="83"/>
      <c r="M138" s="686"/>
      <c r="N138" s="675"/>
      <c r="O138" s="674"/>
      <c r="P138" s="674"/>
      <c r="Q138" s="674"/>
      <c r="R138" s="674"/>
      <c r="S138" s="673"/>
      <c r="T138" s="406"/>
      <c r="U138" s="406"/>
      <c r="V138" s="673"/>
      <c r="W138" s="673"/>
      <c r="X138" s="673"/>
      <c r="Y138" s="673"/>
      <c r="Z138" s="673"/>
      <c r="AA138" s="673"/>
      <c r="AB138" s="673" t="s">
        <v>220</v>
      </c>
      <c r="AC138" s="673"/>
      <c r="AD138" s="673">
        <v>1000000</v>
      </c>
      <c r="AE138" s="103" t="s">
        <v>56</v>
      </c>
      <c r="AF138" s="495"/>
      <c r="AG138" s="526">
        <f t="shared" si="7"/>
        <v>1000000</v>
      </c>
    </row>
    <row r="139" spans="1:34" s="9" customFormat="1" ht="21" customHeight="1">
      <c r="A139" s="33"/>
      <c r="B139" s="34"/>
      <c r="C139" s="34"/>
      <c r="D139" s="114"/>
      <c r="E139" s="83"/>
      <c r="F139" s="83"/>
      <c r="G139" s="83"/>
      <c r="H139" s="83"/>
      <c r="I139" s="83"/>
      <c r="J139" s="83"/>
      <c r="K139" s="628"/>
      <c r="L139" s="83"/>
      <c r="M139" s="686"/>
      <c r="N139" s="675"/>
      <c r="O139" s="674" t="s">
        <v>259</v>
      </c>
      <c r="P139" s="674"/>
      <c r="Q139" s="674"/>
      <c r="R139" s="674"/>
      <c r="S139" s="673"/>
      <c r="T139" s="406"/>
      <c r="U139" s="406"/>
      <c r="V139" s="241">
        <v>150000</v>
      </c>
      <c r="W139" s="458" t="s">
        <v>56</v>
      </c>
      <c r="X139" s="458" t="s">
        <v>26</v>
      </c>
      <c r="Y139" s="241">
        <v>12</v>
      </c>
      <c r="Z139" s="242" t="s">
        <v>29</v>
      </c>
      <c r="AA139" s="241" t="s">
        <v>27</v>
      </c>
      <c r="AB139" s="673" t="s">
        <v>71</v>
      </c>
      <c r="AC139" s="673"/>
      <c r="AD139" s="673">
        <f>V139*Y139</f>
        <v>1800000</v>
      </c>
      <c r="AE139" s="311" t="s">
        <v>56</v>
      </c>
      <c r="AF139" s="495"/>
      <c r="AG139" s="526">
        <f t="shared" si="7"/>
        <v>1800000</v>
      </c>
    </row>
    <row r="140" spans="1:34" s="9" customFormat="1" ht="21" customHeight="1">
      <c r="A140" s="33"/>
      <c r="B140" s="34"/>
      <c r="C140" s="34"/>
      <c r="D140" s="114"/>
      <c r="E140" s="83"/>
      <c r="F140" s="83"/>
      <c r="G140" s="83"/>
      <c r="H140" s="83"/>
      <c r="I140" s="83"/>
      <c r="J140" s="83"/>
      <c r="K140" s="628"/>
      <c r="L140" s="83"/>
      <c r="M140" s="686"/>
      <c r="N140" s="675"/>
      <c r="O140" s="674" t="s">
        <v>335</v>
      </c>
      <c r="P140" s="674"/>
      <c r="Q140" s="674"/>
      <c r="R140" s="674"/>
      <c r="S140" s="673"/>
      <c r="T140" s="406"/>
      <c r="U140" s="406"/>
      <c r="V140" s="673"/>
      <c r="W140" s="674"/>
      <c r="X140" s="673"/>
      <c r="Y140" s="673"/>
      <c r="Z140" s="673"/>
      <c r="AA140" s="673"/>
      <c r="AB140" s="673" t="s">
        <v>138</v>
      </c>
      <c r="AC140" s="673"/>
      <c r="AD140" s="673">
        <v>3000000</v>
      </c>
      <c r="AE140" s="311" t="s">
        <v>56</v>
      </c>
      <c r="AF140" s="495">
        <v>6000000</v>
      </c>
      <c r="AG140" s="526">
        <f t="shared" si="7"/>
        <v>-3000000</v>
      </c>
      <c r="AH140" s="533" t="s">
        <v>704</v>
      </c>
    </row>
    <row r="141" spans="1:34" s="9" customFormat="1" ht="21" customHeight="1">
      <c r="A141" s="33"/>
      <c r="B141" s="34"/>
      <c r="C141" s="34"/>
      <c r="D141" s="114"/>
      <c r="E141" s="83"/>
      <c r="F141" s="83"/>
      <c r="G141" s="83"/>
      <c r="H141" s="83"/>
      <c r="I141" s="83"/>
      <c r="J141" s="83"/>
      <c r="K141" s="628"/>
      <c r="L141" s="83"/>
      <c r="M141" s="686"/>
      <c r="N141" s="675"/>
      <c r="O141" s="674" t="s">
        <v>319</v>
      </c>
      <c r="P141" s="674"/>
      <c r="Q141" s="674"/>
      <c r="R141" s="674"/>
      <c r="S141" s="673"/>
      <c r="T141" s="406"/>
      <c r="U141" s="406"/>
      <c r="V141" s="241">
        <v>110000</v>
      </c>
      <c r="W141" s="458" t="s">
        <v>56</v>
      </c>
      <c r="X141" s="458" t="s">
        <v>26</v>
      </c>
      <c r="Y141" s="241">
        <v>11</v>
      </c>
      <c r="Z141" s="242" t="s">
        <v>29</v>
      </c>
      <c r="AA141" s="241" t="s">
        <v>27</v>
      </c>
      <c r="AB141" s="673" t="s">
        <v>71</v>
      </c>
      <c r="AC141" s="673"/>
      <c r="AD141" s="673">
        <v>1210000</v>
      </c>
      <c r="AE141" s="103" t="s">
        <v>56</v>
      </c>
      <c r="AF141" s="495"/>
      <c r="AG141" s="526">
        <f t="shared" si="7"/>
        <v>1210000</v>
      </c>
    </row>
    <row r="142" spans="1:34" s="9" customFormat="1" ht="21" customHeight="1">
      <c r="A142" s="33"/>
      <c r="B142" s="34"/>
      <c r="C142" s="34"/>
      <c r="D142" s="114"/>
      <c r="E142" s="83"/>
      <c r="F142" s="83"/>
      <c r="G142" s="83"/>
      <c r="H142" s="83"/>
      <c r="I142" s="83"/>
      <c r="J142" s="83"/>
      <c r="K142" s="628"/>
      <c r="L142" s="83"/>
      <c r="M142" s="686"/>
      <c r="N142" s="675"/>
      <c r="O142" s="674"/>
      <c r="P142" s="674"/>
      <c r="Q142" s="674"/>
      <c r="R142" s="674"/>
      <c r="S142" s="673"/>
      <c r="T142" s="406"/>
      <c r="U142" s="406"/>
      <c r="V142" s="241">
        <v>110000</v>
      </c>
      <c r="W142" s="458" t="s">
        <v>56</v>
      </c>
      <c r="X142" s="458" t="s">
        <v>26</v>
      </c>
      <c r="Y142" s="241">
        <v>1</v>
      </c>
      <c r="Z142" s="242" t="s">
        <v>29</v>
      </c>
      <c r="AA142" s="241" t="s">
        <v>27</v>
      </c>
      <c r="AB142" s="673" t="s">
        <v>138</v>
      </c>
      <c r="AC142" s="673"/>
      <c r="AD142" s="673">
        <f>V142*Y142</f>
        <v>110000</v>
      </c>
      <c r="AE142" s="103" t="s">
        <v>56</v>
      </c>
      <c r="AF142" s="495"/>
      <c r="AG142" s="526">
        <f t="shared" si="7"/>
        <v>110000</v>
      </c>
    </row>
    <row r="143" spans="1:34" s="9" customFormat="1" ht="21" customHeight="1">
      <c r="A143" s="33"/>
      <c r="B143" s="34"/>
      <c r="C143" s="34"/>
      <c r="D143" s="114"/>
      <c r="E143" s="83"/>
      <c r="F143" s="83"/>
      <c r="G143" s="83"/>
      <c r="H143" s="83"/>
      <c r="I143" s="83"/>
      <c r="J143" s="83"/>
      <c r="K143" s="628"/>
      <c r="L143" s="83"/>
      <c r="M143" s="686"/>
      <c r="N143" s="675"/>
      <c r="O143" s="674" t="s">
        <v>320</v>
      </c>
      <c r="P143" s="674"/>
      <c r="Q143" s="674"/>
      <c r="R143" s="674"/>
      <c r="S143" s="673"/>
      <c r="T143" s="406"/>
      <c r="U143" s="673"/>
      <c r="V143" s="673"/>
      <c r="W143" s="674"/>
      <c r="X143" s="673"/>
      <c r="Y143" s="673"/>
      <c r="Z143" s="673"/>
      <c r="AA143" s="673"/>
      <c r="AB143" s="673" t="s">
        <v>138</v>
      </c>
      <c r="AC143" s="673"/>
      <c r="AD143" s="673">
        <f>SUM(AD144:AD146)</f>
        <v>1038000</v>
      </c>
      <c r="AE143" s="103" t="s">
        <v>56</v>
      </c>
      <c r="AF143" s="495"/>
      <c r="AG143" s="526">
        <f t="shared" si="7"/>
        <v>1038000</v>
      </c>
    </row>
    <row r="144" spans="1:34" s="9" customFormat="1" ht="21" customHeight="1">
      <c r="A144" s="33"/>
      <c r="B144" s="34"/>
      <c r="C144" s="34"/>
      <c r="D144" s="114"/>
      <c r="E144" s="83"/>
      <c r="F144" s="83"/>
      <c r="G144" s="83"/>
      <c r="H144" s="83"/>
      <c r="I144" s="83"/>
      <c r="J144" s="83"/>
      <c r="K144" s="628"/>
      <c r="L144" s="83"/>
      <c r="M144" s="686"/>
      <c r="N144" s="675"/>
      <c r="O144" s="242" t="s">
        <v>225</v>
      </c>
      <c r="P144" s="242"/>
      <c r="Q144" s="242"/>
      <c r="R144" s="242"/>
      <c r="S144" s="241">
        <v>44000</v>
      </c>
      <c r="T144" s="458" t="s">
        <v>56</v>
      </c>
      <c r="U144" s="458" t="s">
        <v>26</v>
      </c>
      <c r="V144" s="241">
        <v>12</v>
      </c>
      <c r="W144" s="242" t="s">
        <v>29</v>
      </c>
      <c r="X144" s="241" t="s">
        <v>27</v>
      </c>
      <c r="Y144" s="241"/>
      <c r="Z144" s="241"/>
      <c r="AA144" s="241"/>
      <c r="AB144" s="241"/>
      <c r="AC144" s="241"/>
      <c r="AD144" s="673">
        <v>528000</v>
      </c>
      <c r="AE144" s="311" t="s">
        <v>56</v>
      </c>
      <c r="AF144" s="495"/>
      <c r="AG144" s="526">
        <f t="shared" si="7"/>
        <v>528000</v>
      </c>
    </row>
    <row r="145" spans="1:33" s="9" customFormat="1" ht="21" customHeight="1">
      <c r="A145" s="33"/>
      <c r="B145" s="34"/>
      <c r="C145" s="34"/>
      <c r="D145" s="114"/>
      <c r="E145" s="83"/>
      <c r="F145" s="83"/>
      <c r="G145" s="83"/>
      <c r="H145" s="83"/>
      <c r="I145" s="83"/>
      <c r="J145" s="83"/>
      <c r="K145" s="628"/>
      <c r="L145" s="83"/>
      <c r="M145" s="686"/>
      <c r="N145" s="675"/>
      <c r="O145" s="242" t="s">
        <v>226</v>
      </c>
      <c r="P145" s="242"/>
      <c r="Q145" s="242"/>
      <c r="R145" s="242"/>
      <c r="S145" s="241">
        <v>40000</v>
      </c>
      <c r="T145" s="458" t="s">
        <v>56</v>
      </c>
      <c r="U145" s="458" t="s">
        <v>26</v>
      </c>
      <c r="V145" s="241">
        <v>12</v>
      </c>
      <c r="W145" s="242" t="s">
        <v>29</v>
      </c>
      <c r="X145" s="241" t="s">
        <v>27</v>
      </c>
      <c r="Y145" s="241"/>
      <c r="Z145" s="241"/>
      <c r="AA145" s="241"/>
      <c r="AB145" s="241"/>
      <c r="AC145" s="241"/>
      <c r="AD145" s="673">
        <v>480000</v>
      </c>
      <c r="AE145" s="311" t="s">
        <v>56</v>
      </c>
      <c r="AF145" s="495"/>
      <c r="AG145" s="526">
        <f t="shared" si="7"/>
        <v>480000</v>
      </c>
    </row>
    <row r="146" spans="1:33" s="9" customFormat="1" ht="21" customHeight="1">
      <c r="A146" s="33"/>
      <c r="B146" s="34"/>
      <c r="C146" s="44"/>
      <c r="D146" s="115"/>
      <c r="E146" s="85"/>
      <c r="F146" s="85"/>
      <c r="G146" s="85"/>
      <c r="H146" s="85"/>
      <c r="I146" s="85"/>
      <c r="J146" s="85"/>
      <c r="K146" s="629"/>
      <c r="L146" s="85"/>
      <c r="M146" s="687"/>
      <c r="N146" s="680"/>
      <c r="O146" s="410" t="s">
        <v>227</v>
      </c>
      <c r="P146" s="410"/>
      <c r="Q146" s="410"/>
      <c r="R146" s="410"/>
      <c r="S146" s="410"/>
      <c r="T146" s="410"/>
      <c r="U146" s="410"/>
      <c r="V146" s="410"/>
      <c r="W146" s="410"/>
      <c r="X146" s="410"/>
      <c r="Y146" s="410"/>
      <c r="Z146" s="410"/>
      <c r="AA146" s="410"/>
      <c r="AB146" s="410"/>
      <c r="AC146" s="410"/>
      <c r="AD146" s="411">
        <v>30000</v>
      </c>
      <c r="AE146" s="412" t="s">
        <v>56</v>
      </c>
      <c r="AF146" s="495"/>
      <c r="AG146" s="526">
        <f t="shared" si="7"/>
        <v>30000</v>
      </c>
    </row>
    <row r="147" spans="1:33" s="9" customFormat="1" ht="21" customHeight="1">
      <c r="A147" s="33"/>
      <c r="B147" s="34"/>
      <c r="C147" s="34" t="s">
        <v>39</v>
      </c>
      <c r="D147" s="114">
        <v>31415</v>
      </c>
      <c r="E147" s="83">
        <f>ROUND(AD147/1000,0)</f>
        <v>26715</v>
      </c>
      <c r="F147" s="88">
        <f>SUMIF($AB$148:$AB$154,"보조",$AD$148:$AD$154)/1000</f>
        <v>23715</v>
      </c>
      <c r="G147" s="88">
        <f>SUMIF($AB$148:$AB$154,"7종",$AD$148:$AD$154)/1000</f>
        <v>0</v>
      </c>
      <c r="H147" s="88">
        <f>SUMIF($AB$148:$AB$154,"4종",$AD$148:$AD$154)/1000</f>
        <v>0</v>
      </c>
      <c r="I147" s="88">
        <f>SUMIF($AB$148:$AB$154,"후원",$AD$148:$AD$154)/1000</f>
        <v>1000</v>
      </c>
      <c r="J147" s="88">
        <f>SUMIF($AB$148:$AB$154,"입소",$AD$148:$AD$154)/1000</f>
        <v>2000</v>
      </c>
      <c r="K147" s="631">
        <f>SUMIF($AB$148:$AB$154,"법인",$AD$148:$AD$154)/1000</f>
        <v>0</v>
      </c>
      <c r="L147" s="88">
        <f>SUMIF($AB$148:$AB$154,"잡수",$AD$148:$AD$154)/1000</f>
        <v>0</v>
      </c>
      <c r="M147" s="686">
        <f>E147-D147</f>
        <v>-4700</v>
      </c>
      <c r="N147" s="675">
        <f>IF(D147=0,0,M147/D147)</f>
        <v>-0.14961005888906573</v>
      </c>
      <c r="O147" s="227" t="s">
        <v>43</v>
      </c>
      <c r="P147" s="647"/>
      <c r="Q147" s="647"/>
      <c r="R147" s="647"/>
      <c r="S147" s="647"/>
      <c r="T147" s="688"/>
      <c r="U147" s="688"/>
      <c r="V147" s="688"/>
      <c r="W147" s="688"/>
      <c r="X147" s="688"/>
      <c r="Y147" s="238" t="s">
        <v>128</v>
      </c>
      <c r="Z147" s="238"/>
      <c r="AA147" s="238"/>
      <c r="AB147" s="238"/>
      <c r="AC147" s="239"/>
      <c r="AD147" s="239">
        <f>ROUND(SUM(AD148:AD154),-3)</f>
        <v>26715000</v>
      </c>
      <c r="AE147" s="268" t="s">
        <v>25</v>
      </c>
      <c r="AF147" s="495"/>
      <c r="AG147" s="526">
        <f t="shared" si="7"/>
        <v>26715000</v>
      </c>
    </row>
    <row r="148" spans="1:33" s="9" customFormat="1" ht="21" customHeight="1">
      <c r="A148" s="33"/>
      <c r="B148" s="34"/>
      <c r="C148" s="34"/>
      <c r="D148" s="493"/>
      <c r="E148" s="491"/>
      <c r="F148" s="491"/>
      <c r="G148" s="491"/>
      <c r="H148" s="491"/>
      <c r="I148" s="491"/>
      <c r="J148" s="491"/>
      <c r="K148" s="661"/>
      <c r="L148" s="491"/>
      <c r="M148" s="686"/>
      <c r="N148" s="675"/>
      <c r="O148" s="240" t="s">
        <v>195</v>
      </c>
      <c r="P148" s="674"/>
      <c r="Q148" s="674"/>
      <c r="R148" s="674"/>
      <c r="S148" s="673">
        <v>150000</v>
      </c>
      <c r="T148" s="458" t="s">
        <v>25</v>
      </c>
      <c r="U148" s="458" t="s">
        <v>26</v>
      </c>
      <c r="V148" s="241">
        <v>12</v>
      </c>
      <c r="W148" s="242" t="s">
        <v>29</v>
      </c>
      <c r="X148" s="241" t="s">
        <v>27</v>
      </c>
      <c r="Y148" s="673"/>
      <c r="Z148" s="673"/>
      <c r="AA148" s="673"/>
      <c r="AB148" s="673" t="s">
        <v>71</v>
      </c>
      <c r="AC148" s="673"/>
      <c r="AD148" s="673">
        <f>S148*V148</f>
        <v>1800000</v>
      </c>
      <c r="AE148" s="234" t="s">
        <v>25</v>
      </c>
      <c r="AF148" s="495"/>
      <c r="AG148" s="526">
        <f t="shared" si="7"/>
        <v>1800000</v>
      </c>
    </row>
    <row r="149" spans="1:33" s="9" customFormat="1" ht="21" customHeight="1">
      <c r="A149" s="33"/>
      <c r="B149" s="34"/>
      <c r="C149" s="34"/>
      <c r="D149" s="494"/>
      <c r="E149" s="492"/>
      <c r="F149" s="492"/>
      <c r="G149" s="492"/>
      <c r="H149" s="492"/>
      <c r="I149" s="492"/>
      <c r="J149" s="492"/>
      <c r="K149" s="662"/>
      <c r="L149" s="492"/>
      <c r="M149" s="686"/>
      <c r="N149" s="675"/>
      <c r="O149" s="674" t="s">
        <v>194</v>
      </c>
      <c r="P149" s="674"/>
      <c r="Q149" s="674"/>
      <c r="R149" s="674"/>
      <c r="S149" s="673">
        <v>900000</v>
      </c>
      <c r="T149" s="406" t="s">
        <v>56</v>
      </c>
      <c r="U149" s="406" t="s">
        <v>26</v>
      </c>
      <c r="V149" s="673">
        <v>12</v>
      </c>
      <c r="W149" s="674" t="s">
        <v>0</v>
      </c>
      <c r="X149" s="673" t="s">
        <v>27</v>
      </c>
      <c r="Y149" s="673"/>
      <c r="Z149" s="673"/>
      <c r="AA149" s="673"/>
      <c r="AB149" s="673" t="s">
        <v>71</v>
      </c>
      <c r="AC149" s="673"/>
      <c r="AD149" s="673">
        <f>S149*V149</f>
        <v>10800000</v>
      </c>
      <c r="AE149" s="234" t="s">
        <v>25</v>
      </c>
      <c r="AF149" s="495">
        <v>14400000</v>
      </c>
      <c r="AG149" s="526">
        <f t="shared" si="7"/>
        <v>-3600000</v>
      </c>
    </row>
    <row r="150" spans="1:33" s="11" customFormat="1" ht="21" customHeight="1">
      <c r="A150" s="33"/>
      <c r="B150" s="34"/>
      <c r="C150" s="34"/>
      <c r="D150" s="114"/>
      <c r="E150" s="83"/>
      <c r="F150" s="83"/>
      <c r="G150" s="83"/>
      <c r="H150" s="83"/>
      <c r="I150" s="83"/>
      <c r="J150" s="83"/>
      <c r="K150" s="628"/>
      <c r="L150" s="83"/>
      <c r="M150" s="686"/>
      <c r="N150" s="675"/>
      <c r="O150" s="674" t="s">
        <v>192</v>
      </c>
      <c r="P150" s="674"/>
      <c r="Q150" s="674"/>
      <c r="R150" s="674"/>
      <c r="S150" s="673">
        <v>650000</v>
      </c>
      <c r="T150" s="406" t="s">
        <v>56</v>
      </c>
      <c r="U150" s="406" t="s">
        <v>26</v>
      </c>
      <c r="V150" s="673">
        <v>11</v>
      </c>
      <c r="W150" s="674" t="s">
        <v>0</v>
      </c>
      <c r="X150" s="673" t="s">
        <v>27</v>
      </c>
      <c r="Y150" s="673"/>
      <c r="Z150" s="673"/>
      <c r="AA150" s="673"/>
      <c r="AB150" s="673" t="s">
        <v>71</v>
      </c>
      <c r="AC150" s="673"/>
      <c r="AD150" s="673">
        <f>S150*V150</f>
        <v>7150000</v>
      </c>
      <c r="AE150" s="234" t="s">
        <v>25</v>
      </c>
      <c r="AF150" s="495">
        <v>8250000</v>
      </c>
      <c r="AG150" s="526">
        <f t="shared" si="7"/>
        <v>-1100000</v>
      </c>
    </row>
    <row r="151" spans="1:33" s="11" customFormat="1" ht="21" customHeight="1">
      <c r="A151" s="33"/>
      <c r="B151" s="34"/>
      <c r="C151" s="34"/>
      <c r="D151" s="114"/>
      <c r="E151" s="83"/>
      <c r="F151" s="83"/>
      <c r="G151" s="83"/>
      <c r="H151" s="83"/>
      <c r="I151" s="83"/>
      <c r="J151" s="83"/>
      <c r="K151" s="628"/>
      <c r="L151" s="83"/>
      <c r="M151" s="686"/>
      <c r="N151" s="675"/>
      <c r="O151" s="674" t="s">
        <v>310</v>
      </c>
      <c r="P151" s="674"/>
      <c r="Q151" s="674"/>
      <c r="R151" s="674"/>
      <c r="S151" s="673">
        <v>60500</v>
      </c>
      <c r="T151" s="406" t="s">
        <v>56</v>
      </c>
      <c r="U151" s="406" t="s">
        <v>26</v>
      </c>
      <c r="V151" s="673">
        <v>12</v>
      </c>
      <c r="W151" s="674" t="s">
        <v>0</v>
      </c>
      <c r="X151" s="673" t="s">
        <v>27</v>
      </c>
      <c r="Y151" s="673"/>
      <c r="Z151" s="673"/>
      <c r="AA151" s="673"/>
      <c r="AB151" s="673" t="s">
        <v>71</v>
      </c>
      <c r="AC151" s="673"/>
      <c r="AD151" s="673">
        <f>S151*V151-1000</f>
        <v>725000</v>
      </c>
      <c r="AE151" s="234" t="s">
        <v>25</v>
      </c>
      <c r="AF151" s="495"/>
      <c r="AG151" s="526">
        <f t="shared" si="7"/>
        <v>725000</v>
      </c>
    </row>
    <row r="152" spans="1:33" s="11" customFormat="1" ht="21" customHeight="1">
      <c r="A152" s="33"/>
      <c r="B152" s="34"/>
      <c r="C152" s="34"/>
      <c r="D152" s="114"/>
      <c r="E152" s="83"/>
      <c r="F152" s="83"/>
      <c r="G152" s="83"/>
      <c r="H152" s="83"/>
      <c r="I152" s="83"/>
      <c r="J152" s="83"/>
      <c r="K152" s="628"/>
      <c r="L152" s="83"/>
      <c r="M152" s="686"/>
      <c r="N152" s="675"/>
      <c r="O152" s="674" t="s">
        <v>221</v>
      </c>
      <c r="P152" s="674"/>
      <c r="Q152" s="674"/>
      <c r="R152" s="674"/>
      <c r="S152" s="241">
        <v>270000</v>
      </c>
      <c r="T152" s="458" t="s">
        <v>56</v>
      </c>
      <c r="U152" s="458" t="s">
        <v>26</v>
      </c>
      <c r="V152" s="241">
        <v>12</v>
      </c>
      <c r="W152" s="242" t="s">
        <v>29</v>
      </c>
      <c r="X152" s="241" t="s">
        <v>27</v>
      </c>
      <c r="Y152" s="241"/>
      <c r="Z152" s="242"/>
      <c r="AA152" s="241"/>
      <c r="AB152" s="673" t="s">
        <v>71</v>
      </c>
      <c r="AC152" s="673"/>
      <c r="AD152" s="673">
        <f>S152*V152</f>
        <v>3240000</v>
      </c>
      <c r="AE152" s="103" t="s">
        <v>56</v>
      </c>
      <c r="AF152" s="495"/>
      <c r="AG152" s="526">
        <f t="shared" si="7"/>
        <v>3240000</v>
      </c>
    </row>
    <row r="153" spans="1:33" s="11" customFormat="1" ht="21" customHeight="1">
      <c r="A153" s="33"/>
      <c r="B153" s="34"/>
      <c r="C153" s="34"/>
      <c r="D153" s="114"/>
      <c r="E153" s="83"/>
      <c r="F153" s="83"/>
      <c r="G153" s="83"/>
      <c r="H153" s="83"/>
      <c r="I153" s="83"/>
      <c r="J153" s="83"/>
      <c r="K153" s="628"/>
      <c r="L153" s="83"/>
      <c r="M153" s="686"/>
      <c r="N153" s="675"/>
      <c r="O153" s="674" t="s">
        <v>252</v>
      </c>
      <c r="P153" s="674"/>
      <c r="Q153" s="674"/>
      <c r="R153" s="674"/>
      <c r="S153" s="673"/>
      <c r="T153" s="406"/>
      <c r="U153" s="406"/>
      <c r="V153" s="673"/>
      <c r="W153" s="674"/>
      <c r="X153" s="673"/>
      <c r="Y153" s="673"/>
      <c r="Z153" s="673"/>
      <c r="AA153" s="673"/>
      <c r="AB153" s="673" t="s">
        <v>220</v>
      </c>
      <c r="AC153" s="673"/>
      <c r="AD153" s="673">
        <v>2000000</v>
      </c>
      <c r="AE153" s="42" t="s">
        <v>56</v>
      </c>
      <c r="AF153" s="495"/>
      <c r="AG153" s="526">
        <f t="shared" si="7"/>
        <v>2000000</v>
      </c>
    </row>
    <row r="154" spans="1:33" s="11" customFormat="1" ht="21" customHeight="1">
      <c r="A154" s="33"/>
      <c r="B154" s="34"/>
      <c r="C154" s="34"/>
      <c r="D154" s="114"/>
      <c r="E154" s="83"/>
      <c r="F154" s="83"/>
      <c r="G154" s="83"/>
      <c r="H154" s="83"/>
      <c r="I154" s="83"/>
      <c r="J154" s="83"/>
      <c r="K154" s="628"/>
      <c r="L154" s="83"/>
      <c r="M154" s="686"/>
      <c r="N154" s="675"/>
      <c r="O154" s="456"/>
      <c r="P154" s="674"/>
      <c r="Q154" s="674"/>
      <c r="R154" s="674"/>
      <c r="S154" s="673"/>
      <c r="T154" s="406"/>
      <c r="U154" s="406"/>
      <c r="V154" s="673"/>
      <c r="W154" s="674"/>
      <c r="X154" s="673"/>
      <c r="Y154" s="673"/>
      <c r="Z154" s="673"/>
      <c r="AA154" s="673"/>
      <c r="AB154" s="673" t="s">
        <v>138</v>
      </c>
      <c r="AC154" s="673"/>
      <c r="AD154" s="673">
        <v>1000000</v>
      </c>
      <c r="AE154" s="42" t="s">
        <v>56</v>
      </c>
      <c r="AF154" s="495"/>
      <c r="AG154" s="526">
        <f t="shared" si="7"/>
        <v>1000000</v>
      </c>
    </row>
    <row r="155" spans="1:33" ht="21" customHeight="1">
      <c r="A155" s="33"/>
      <c r="B155" s="34"/>
      <c r="C155" s="24" t="s">
        <v>15</v>
      </c>
      <c r="D155" s="116">
        <v>10124</v>
      </c>
      <c r="E155" s="87">
        <f>ROUND(AD155/1000,0)</f>
        <v>9234</v>
      </c>
      <c r="F155" s="88">
        <f>SUMIF($AB$156:$AB$166,"보조",$AD$156:$AD$166)/1000</f>
        <v>7998</v>
      </c>
      <c r="G155" s="88">
        <f>SUMIF($AB$156:$AB$166,"7종",$AD$156:$AD$166)/1000</f>
        <v>0</v>
      </c>
      <c r="H155" s="88">
        <f>SUMIF($AB$156:$AB$166,"4종",$AD$156:$AD$166)/1000</f>
        <v>0</v>
      </c>
      <c r="I155" s="88">
        <f>SUMIF($AB$156:$AB$166,"후원",$AD$156:$AD$166)/1000</f>
        <v>1200</v>
      </c>
      <c r="J155" s="88">
        <f>SUMIF($AB$156:$AB$166,"입소",$AD$156:$AD$166)/1000</f>
        <v>0</v>
      </c>
      <c r="K155" s="631">
        <f>SUMIF($AB$156:$AB$166,"법인",$AD$156:$AD$166)/1000</f>
        <v>0</v>
      </c>
      <c r="L155" s="88">
        <f>SUMIF($AB$156:$AB$166,"잡수",$AD$156:$AD$166)/1000</f>
        <v>36</v>
      </c>
      <c r="M155" s="95">
        <f>E155-D155</f>
        <v>-890</v>
      </c>
      <c r="N155" s="676">
        <f>IF(D155=0,0,M155/D155)</f>
        <v>-8.7909917028842349E-2</v>
      </c>
      <c r="O155" s="235" t="s">
        <v>44</v>
      </c>
      <c r="P155" s="236"/>
      <c r="Q155" s="236"/>
      <c r="R155" s="236"/>
      <c r="S155" s="236"/>
      <c r="T155" s="237"/>
      <c r="U155" s="237"/>
      <c r="V155" s="237"/>
      <c r="W155" s="237"/>
      <c r="X155" s="237"/>
      <c r="Y155" s="238" t="s">
        <v>128</v>
      </c>
      <c r="Z155" s="238"/>
      <c r="AA155" s="238"/>
      <c r="AB155" s="238"/>
      <c r="AC155" s="239"/>
      <c r="AD155" s="239">
        <f>SUM(AD157:AD166)</f>
        <v>9234000</v>
      </c>
      <c r="AE155" s="268" t="s">
        <v>25</v>
      </c>
      <c r="AG155" s="526">
        <f t="shared" si="7"/>
        <v>9234000</v>
      </c>
    </row>
    <row r="156" spans="1:33" s="9" customFormat="1" ht="21" customHeight="1">
      <c r="A156" s="33"/>
      <c r="B156" s="34"/>
      <c r="C156" s="34"/>
      <c r="D156" s="493"/>
      <c r="E156" s="491"/>
      <c r="F156" s="491"/>
      <c r="G156" s="491"/>
      <c r="H156" s="491"/>
      <c r="I156" s="491"/>
      <c r="J156" s="491"/>
      <c r="K156" s="661"/>
      <c r="L156" s="491"/>
      <c r="M156" s="686"/>
      <c r="N156" s="675"/>
      <c r="O156" s="674" t="s">
        <v>161</v>
      </c>
      <c r="P156" s="674"/>
      <c r="Q156" s="674"/>
      <c r="R156" s="674"/>
      <c r="S156" s="674"/>
      <c r="T156" s="673"/>
      <c r="U156" s="673"/>
      <c r="V156" s="673"/>
      <c r="W156" s="673"/>
      <c r="X156" s="673"/>
      <c r="Y156" s="673"/>
      <c r="Z156" s="673"/>
      <c r="AA156" s="673"/>
      <c r="AB156" s="673"/>
      <c r="AC156" s="659"/>
      <c r="AD156" s="659"/>
      <c r="AE156" s="234"/>
      <c r="AF156" s="495"/>
      <c r="AG156" s="526">
        <f t="shared" si="7"/>
        <v>0</v>
      </c>
    </row>
    <row r="157" spans="1:33" s="9" customFormat="1" ht="21" customHeight="1">
      <c r="A157" s="33"/>
      <c r="B157" s="34"/>
      <c r="C157" s="34"/>
      <c r="D157" s="494"/>
      <c r="E157" s="492"/>
      <c r="F157" s="492"/>
      <c r="G157" s="492"/>
      <c r="H157" s="492"/>
      <c r="I157" s="492"/>
      <c r="J157" s="492"/>
      <c r="K157" s="662"/>
      <c r="L157" s="492"/>
      <c r="M157" s="686"/>
      <c r="N157" s="675"/>
      <c r="O157" s="674" t="s">
        <v>162</v>
      </c>
      <c r="P157" s="669"/>
      <c r="Q157" s="669"/>
      <c r="R157" s="669"/>
      <c r="S157" s="673">
        <v>120000</v>
      </c>
      <c r="T157" s="406" t="s">
        <v>56</v>
      </c>
      <c r="U157" s="406" t="s">
        <v>26</v>
      </c>
      <c r="V157" s="673">
        <v>12</v>
      </c>
      <c r="W157" s="674" t="s">
        <v>0</v>
      </c>
      <c r="X157" s="673" t="s">
        <v>27</v>
      </c>
      <c r="Y157" s="673"/>
      <c r="Z157" s="673"/>
      <c r="AA157" s="673"/>
      <c r="AB157" s="673" t="s">
        <v>71</v>
      </c>
      <c r="AC157" s="673"/>
      <c r="AD157" s="673">
        <f>S157*V157</f>
        <v>1440000</v>
      </c>
      <c r="AE157" s="103" t="s">
        <v>25</v>
      </c>
      <c r="AF157" s="495"/>
      <c r="AG157" s="526">
        <f t="shared" si="7"/>
        <v>1440000</v>
      </c>
    </row>
    <row r="158" spans="1:33" s="9" customFormat="1" ht="21" customHeight="1">
      <c r="A158" s="33"/>
      <c r="B158" s="34"/>
      <c r="C158" s="34"/>
      <c r="D158" s="114"/>
      <c r="E158" s="83"/>
      <c r="F158" s="83"/>
      <c r="G158" s="83"/>
      <c r="H158" s="83"/>
      <c r="I158" s="83"/>
      <c r="J158" s="83"/>
      <c r="K158" s="628"/>
      <c r="L158" s="83"/>
      <c r="M158" s="686"/>
      <c r="N158" s="675"/>
      <c r="O158" s="674" t="s">
        <v>163</v>
      </c>
      <c r="P158" s="669"/>
      <c r="Q158" s="669"/>
      <c r="R158" s="669"/>
      <c r="S158" s="673">
        <v>120000</v>
      </c>
      <c r="T158" s="406" t="s">
        <v>56</v>
      </c>
      <c r="U158" s="406" t="s">
        <v>26</v>
      </c>
      <c r="V158" s="673">
        <v>12</v>
      </c>
      <c r="W158" s="674" t="s">
        <v>0</v>
      </c>
      <c r="X158" s="673" t="s">
        <v>27</v>
      </c>
      <c r="Y158" s="673"/>
      <c r="Z158" s="673"/>
      <c r="AA158" s="673"/>
      <c r="AB158" s="673" t="s">
        <v>71</v>
      </c>
      <c r="AC158" s="673"/>
      <c r="AD158" s="673">
        <f>S158*V158</f>
        <v>1440000</v>
      </c>
      <c r="AE158" s="103" t="s">
        <v>25</v>
      </c>
      <c r="AF158" s="495"/>
      <c r="AG158" s="526">
        <f t="shared" si="7"/>
        <v>1440000</v>
      </c>
    </row>
    <row r="159" spans="1:33" s="9" customFormat="1" ht="21" customHeight="1">
      <c r="A159" s="33"/>
      <c r="B159" s="34"/>
      <c r="C159" s="34"/>
      <c r="D159" s="114"/>
      <c r="E159" s="83"/>
      <c r="F159" s="83"/>
      <c r="G159" s="83"/>
      <c r="H159" s="83"/>
      <c r="I159" s="83"/>
      <c r="J159" s="83"/>
      <c r="K159" s="628"/>
      <c r="L159" s="83"/>
      <c r="M159" s="686"/>
      <c r="N159" s="675"/>
      <c r="O159" s="674" t="s">
        <v>196</v>
      </c>
      <c r="P159" s="669"/>
      <c r="Q159" s="669"/>
      <c r="R159" s="669"/>
      <c r="S159" s="673">
        <v>100000</v>
      </c>
      <c r="T159" s="406" t="s">
        <v>56</v>
      </c>
      <c r="U159" s="406" t="s">
        <v>26</v>
      </c>
      <c r="V159" s="673">
        <v>1</v>
      </c>
      <c r="W159" s="674" t="s">
        <v>0</v>
      </c>
      <c r="X159" s="673" t="s">
        <v>27</v>
      </c>
      <c r="Y159" s="673"/>
      <c r="Z159" s="673"/>
      <c r="AA159" s="673"/>
      <c r="AB159" s="673" t="s">
        <v>71</v>
      </c>
      <c r="AC159" s="673"/>
      <c r="AD159" s="673">
        <v>75000</v>
      </c>
      <c r="AE159" s="103" t="s">
        <v>25</v>
      </c>
      <c r="AF159" s="495">
        <v>100000</v>
      </c>
      <c r="AG159" s="526">
        <f t="shared" si="7"/>
        <v>-25000</v>
      </c>
    </row>
    <row r="160" spans="1:33" s="9" customFormat="1" ht="21" customHeight="1">
      <c r="A160" s="33"/>
      <c r="B160" s="34"/>
      <c r="C160" s="34"/>
      <c r="D160" s="114"/>
      <c r="E160" s="83"/>
      <c r="F160" s="83"/>
      <c r="G160" s="83"/>
      <c r="H160" s="83"/>
      <c r="I160" s="83"/>
      <c r="J160" s="83"/>
      <c r="K160" s="628"/>
      <c r="L160" s="83"/>
      <c r="M160" s="686"/>
      <c r="N160" s="675"/>
      <c r="O160" s="674"/>
      <c r="P160" s="669"/>
      <c r="Q160" s="669"/>
      <c r="R160" s="669"/>
      <c r="S160" s="669"/>
      <c r="T160" s="659"/>
      <c r="U160" s="307"/>
      <c r="V160" s="674"/>
      <c r="W160" s="406"/>
      <c r="X160" s="673"/>
      <c r="Y160" s="673"/>
      <c r="Z160" s="673"/>
      <c r="AA160" s="674"/>
      <c r="AB160" s="674"/>
      <c r="AC160" s="673"/>
      <c r="AD160" s="673"/>
      <c r="AE160" s="103"/>
      <c r="AF160" s="495"/>
      <c r="AG160" s="526">
        <f t="shared" si="7"/>
        <v>0</v>
      </c>
    </row>
    <row r="161" spans="1:33" s="9" customFormat="1" ht="21" customHeight="1">
      <c r="A161" s="33"/>
      <c r="B161" s="34"/>
      <c r="C161" s="34"/>
      <c r="D161" s="114"/>
      <c r="E161" s="83"/>
      <c r="F161" s="83"/>
      <c r="G161" s="83"/>
      <c r="H161" s="83"/>
      <c r="I161" s="83"/>
      <c r="J161" s="83"/>
      <c r="K161" s="628"/>
      <c r="L161" s="83"/>
      <c r="M161" s="686"/>
      <c r="N161" s="675"/>
      <c r="O161" s="800" t="s">
        <v>164</v>
      </c>
      <c r="P161" s="800"/>
      <c r="Q161" s="800"/>
      <c r="R161" s="800"/>
      <c r="S161" s="800"/>
      <c r="T161" s="674"/>
      <c r="U161" s="673"/>
      <c r="V161" s="674"/>
      <c r="W161" s="406"/>
      <c r="X161" s="673"/>
      <c r="Y161" s="673"/>
      <c r="Z161" s="673"/>
      <c r="AA161" s="674"/>
      <c r="AB161" s="674"/>
      <c r="AC161" s="673"/>
      <c r="AD161" s="673"/>
      <c r="AE161" s="103"/>
      <c r="AF161" s="495"/>
      <c r="AG161" s="526">
        <f t="shared" si="7"/>
        <v>0</v>
      </c>
    </row>
    <row r="162" spans="1:33" s="9" customFormat="1" ht="21" customHeight="1">
      <c r="A162" s="33"/>
      <c r="B162" s="34"/>
      <c r="C162" s="34"/>
      <c r="D162" s="114"/>
      <c r="E162" s="83"/>
      <c r="F162" s="83"/>
      <c r="G162" s="83"/>
      <c r="H162" s="83"/>
      <c r="I162" s="83"/>
      <c r="J162" s="83"/>
      <c r="K162" s="628"/>
      <c r="L162" s="83"/>
      <c r="M162" s="686"/>
      <c r="N162" s="675"/>
      <c r="O162" s="674" t="s">
        <v>311</v>
      </c>
      <c r="P162" s="306"/>
      <c r="Q162" s="306"/>
      <c r="R162" s="306"/>
      <c r="S162" s="674"/>
      <c r="T162" s="659"/>
      <c r="U162" s="307"/>
      <c r="V162" s="674"/>
      <c r="W162" s="406"/>
      <c r="X162" s="673"/>
      <c r="Y162" s="673"/>
      <c r="Z162" s="673"/>
      <c r="AA162" s="674"/>
      <c r="AB162" s="674" t="s">
        <v>71</v>
      </c>
      <c r="AC162" s="673"/>
      <c r="AD162" s="673">
        <v>4217000</v>
      </c>
      <c r="AE162" s="103" t="s">
        <v>25</v>
      </c>
      <c r="AF162" s="495">
        <v>5062000</v>
      </c>
      <c r="AG162" s="526">
        <f t="shared" si="7"/>
        <v>-845000</v>
      </c>
    </row>
    <row r="163" spans="1:33" s="9" customFormat="1" ht="21" customHeight="1">
      <c r="A163" s="33"/>
      <c r="B163" s="34"/>
      <c r="C163" s="34"/>
      <c r="D163" s="114"/>
      <c r="E163" s="83"/>
      <c r="F163" s="83"/>
      <c r="G163" s="83"/>
      <c r="H163" s="83"/>
      <c r="I163" s="83"/>
      <c r="J163" s="83"/>
      <c r="K163" s="628"/>
      <c r="L163" s="83"/>
      <c r="M163" s="686"/>
      <c r="N163" s="675"/>
      <c r="O163" s="674" t="s">
        <v>228</v>
      </c>
      <c r="P163" s="669"/>
      <c r="Q163" s="669"/>
      <c r="R163" s="669"/>
      <c r="S163" s="669"/>
      <c r="T163" s="669"/>
      <c r="U163" s="669"/>
      <c r="V163" s="669"/>
      <c r="W163" s="669"/>
      <c r="X163" s="669"/>
      <c r="Y163" s="673"/>
      <c r="Z163" s="673"/>
      <c r="AA163" s="674"/>
      <c r="AB163" s="674" t="s">
        <v>71</v>
      </c>
      <c r="AC163" s="673"/>
      <c r="AD163" s="673">
        <v>826000</v>
      </c>
      <c r="AE163" s="103" t="s">
        <v>25</v>
      </c>
      <c r="AF163" s="495">
        <v>846000</v>
      </c>
      <c r="AG163" s="526">
        <f t="shared" si="7"/>
        <v>-20000</v>
      </c>
    </row>
    <row r="164" spans="1:33" s="9" customFormat="1" ht="21" customHeight="1">
      <c r="A164" s="33"/>
      <c r="B164" s="34"/>
      <c r="C164" s="34"/>
      <c r="D164" s="114"/>
      <c r="E164" s="83"/>
      <c r="F164" s="83"/>
      <c r="G164" s="83"/>
      <c r="H164" s="83"/>
      <c r="I164" s="83"/>
      <c r="J164" s="83"/>
      <c r="K164" s="628"/>
      <c r="L164" s="83"/>
      <c r="M164" s="686"/>
      <c r="N164" s="675"/>
      <c r="O164" s="674" t="s">
        <v>229</v>
      </c>
      <c r="P164" s="306"/>
      <c r="Q164" s="306"/>
      <c r="R164" s="306"/>
      <c r="S164" s="674"/>
      <c r="T164" s="659"/>
      <c r="U164" s="307"/>
      <c r="V164" s="674"/>
      <c r="W164" s="406"/>
      <c r="X164" s="673"/>
      <c r="Y164" s="673"/>
      <c r="Z164" s="673"/>
      <c r="AA164" s="674"/>
      <c r="AB164" s="674" t="s">
        <v>138</v>
      </c>
      <c r="AC164" s="673"/>
      <c r="AD164" s="673">
        <v>900000</v>
      </c>
      <c r="AE164" s="103" t="s">
        <v>56</v>
      </c>
      <c r="AF164" s="495"/>
      <c r="AG164" s="526">
        <f t="shared" si="7"/>
        <v>900000</v>
      </c>
    </row>
    <row r="165" spans="1:33" s="9" customFormat="1" ht="21" customHeight="1">
      <c r="A165" s="33"/>
      <c r="B165" s="34"/>
      <c r="C165" s="34"/>
      <c r="D165" s="114"/>
      <c r="E165" s="83"/>
      <c r="F165" s="83"/>
      <c r="G165" s="83"/>
      <c r="H165" s="83"/>
      <c r="I165" s="83"/>
      <c r="J165" s="83"/>
      <c r="K165" s="628"/>
      <c r="L165" s="83"/>
      <c r="M165" s="686"/>
      <c r="N165" s="675"/>
      <c r="O165" s="674" t="s">
        <v>240</v>
      </c>
      <c r="P165" s="306"/>
      <c r="Q165" s="306"/>
      <c r="R165" s="306"/>
      <c r="S165" s="674"/>
      <c r="T165" s="659"/>
      <c r="U165" s="307"/>
      <c r="V165" s="674"/>
      <c r="W165" s="406"/>
      <c r="X165" s="673"/>
      <c r="Y165" s="673"/>
      <c r="Z165" s="673"/>
      <c r="AA165" s="674"/>
      <c r="AB165" s="674" t="s">
        <v>138</v>
      </c>
      <c r="AC165" s="673"/>
      <c r="AD165" s="673">
        <v>300000</v>
      </c>
      <c r="AE165" s="103" t="s">
        <v>25</v>
      </c>
      <c r="AF165" s="495"/>
      <c r="AG165" s="526">
        <f t="shared" si="7"/>
        <v>300000</v>
      </c>
    </row>
    <row r="166" spans="1:33" s="9" customFormat="1" ht="21" customHeight="1">
      <c r="A166" s="33"/>
      <c r="B166" s="34"/>
      <c r="C166" s="34"/>
      <c r="D166" s="114"/>
      <c r="E166" s="83"/>
      <c r="F166" s="83"/>
      <c r="G166" s="83"/>
      <c r="H166" s="83"/>
      <c r="I166" s="83"/>
      <c r="J166" s="83"/>
      <c r="K166" s="628"/>
      <c r="L166" s="83"/>
      <c r="M166" s="686"/>
      <c r="N166" s="675"/>
      <c r="O166" s="689" t="s">
        <v>787</v>
      </c>
      <c r="P166" s="669"/>
      <c r="Q166" s="669"/>
      <c r="R166" s="669"/>
      <c r="S166" s="669"/>
      <c r="T166" s="669"/>
      <c r="U166" s="669"/>
      <c r="V166" s="669"/>
      <c r="W166" s="669"/>
      <c r="X166" s="669"/>
      <c r="Y166" s="299"/>
      <c r="Z166" s="299"/>
      <c r="AA166" s="299"/>
      <c r="AB166" s="299" t="s">
        <v>86</v>
      </c>
      <c r="AC166" s="299"/>
      <c r="AD166" s="673">
        <v>36000</v>
      </c>
      <c r="AE166" s="103" t="s">
        <v>25</v>
      </c>
      <c r="AF166" s="495"/>
      <c r="AG166" s="526">
        <f t="shared" si="7"/>
        <v>36000</v>
      </c>
    </row>
    <row r="167" spans="1:33" s="9" customFormat="1" ht="21" customHeight="1">
      <c r="A167" s="33"/>
      <c r="B167" s="34"/>
      <c r="C167" s="24" t="s">
        <v>45</v>
      </c>
      <c r="D167" s="116">
        <v>13533</v>
      </c>
      <c r="E167" s="87">
        <f>ROUND(AD167/1000,0)</f>
        <v>10533</v>
      </c>
      <c r="F167" s="88">
        <f>SUMIF($AB$168:$AB$173,"보조",$AD$168:$AD$173)/1000</f>
        <v>3600</v>
      </c>
      <c r="G167" s="88">
        <f>SUMIF($AB$168:$AB$173,"7종",$AD$168:$AD$173)/1000</f>
        <v>3600</v>
      </c>
      <c r="H167" s="88">
        <f>SUMIF($AB$168:$AB$173,"4종",$AD$168:$AD$173)/1000</f>
        <v>0</v>
      </c>
      <c r="I167" s="88">
        <f>SUMIF($AB$168:$AB$173,"후원",$AD$168:$AD$173)/1000</f>
        <v>3263</v>
      </c>
      <c r="J167" s="88">
        <f>SUMIF($AB$168:$AB$173,"입소",$AD$168:$AD$173)/1000</f>
        <v>70</v>
      </c>
      <c r="K167" s="631">
        <f>SUMIF($AB$168:$AB$173,"법인",$AD$168:$AD$173)/1000</f>
        <v>0</v>
      </c>
      <c r="L167" s="88">
        <f>SUMIF($AB$168:$AB$173,"잡수",$AD$168:$AD$173)/1000</f>
        <v>0</v>
      </c>
      <c r="M167" s="95">
        <f>E167-D167</f>
        <v>-3000</v>
      </c>
      <c r="N167" s="676">
        <f>IF(D167=0,0,M167/D167)</f>
        <v>-0.22168033695411218</v>
      </c>
      <c r="O167" s="235" t="s">
        <v>46</v>
      </c>
      <c r="P167" s="236"/>
      <c r="Q167" s="236"/>
      <c r="R167" s="236"/>
      <c r="S167" s="236"/>
      <c r="T167" s="237"/>
      <c r="U167" s="237"/>
      <c r="V167" s="237"/>
      <c r="W167" s="237"/>
      <c r="X167" s="237"/>
      <c r="Y167" s="238" t="s">
        <v>128</v>
      </c>
      <c r="Z167" s="238"/>
      <c r="AA167" s="238"/>
      <c r="AB167" s="238"/>
      <c r="AC167" s="239"/>
      <c r="AD167" s="239">
        <f>SUM(AD168:AD172)</f>
        <v>10533000</v>
      </c>
      <c r="AE167" s="127" t="s">
        <v>25</v>
      </c>
      <c r="AF167" s="495"/>
      <c r="AG167" s="526">
        <f t="shared" si="7"/>
        <v>10533000</v>
      </c>
    </row>
    <row r="168" spans="1:33" s="9" customFormat="1" ht="21" customHeight="1">
      <c r="A168" s="33"/>
      <c r="B168" s="34"/>
      <c r="C168" s="34"/>
      <c r="D168" s="493"/>
      <c r="E168" s="491"/>
      <c r="F168" s="491"/>
      <c r="G168" s="491"/>
      <c r="H168" s="491"/>
      <c r="I168" s="491"/>
      <c r="J168" s="491"/>
      <c r="K168" s="661"/>
      <c r="L168" s="491"/>
      <c r="M168" s="686"/>
      <c r="N168" s="675"/>
      <c r="O168" s="674" t="s">
        <v>230</v>
      </c>
      <c r="P168" s="674"/>
      <c r="Q168" s="674"/>
      <c r="R168" s="674"/>
      <c r="S168" s="673">
        <v>300000</v>
      </c>
      <c r="T168" s="406" t="s">
        <v>56</v>
      </c>
      <c r="U168" s="406" t="s">
        <v>26</v>
      </c>
      <c r="V168" s="673">
        <v>12</v>
      </c>
      <c r="W168" s="674" t="s">
        <v>0</v>
      </c>
      <c r="X168" s="673" t="s">
        <v>27</v>
      </c>
      <c r="Y168" s="673"/>
      <c r="Z168" s="673"/>
      <c r="AA168" s="673"/>
      <c r="AB168" s="673" t="s">
        <v>71</v>
      </c>
      <c r="AC168" s="673"/>
      <c r="AD168" s="673">
        <f>S168*V168</f>
        <v>3600000</v>
      </c>
      <c r="AE168" s="103" t="s">
        <v>25</v>
      </c>
      <c r="AF168" s="495"/>
      <c r="AG168" s="526">
        <f t="shared" si="7"/>
        <v>3600000</v>
      </c>
    </row>
    <row r="169" spans="1:33" s="9" customFormat="1" ht="21" customHeight="1">
      <c r="A169" s="33"/>
      <c r="B169" s="34"/>
      <c r="C169" s="34"/>
      <c r="D169" s="494"/>
      <c r="E169" s="492"/>
      <c r="F169" s="492"/>
      <c r="G169" s="492"/>
      <c r="H169" s="492"/>
      <c r="I169" s="492"/>
      <c r="J169" s="492"/>
      <c r="K169" s="662"/>
      <c r="L169" s="492"/>
      <c r="M169" s="686"/>
      <c r="N169" s="675"/>
      <c r="O169" s="674" t="s">
        <v>224</v>
      </c>
      <c r="P169" s="674"/>
      <c r="Q169" s="674"/>
      <c r="R169" s="674"/>
      <c r="S169" s="673">
        <v>300000</v>
      </c>
      <c r="T169" s="406" t="s">
        <v>56</v>
      </c>
      <c r="U169" s="406" t="s">
        <v>26</v>
      </c>
      <c r="V169" s="673">
        <v>12</v>
      </c>
      <c r="W169" s="674" t="s">
        <v>0</v>
      </c>
      <c r="X169" s="673" t="s">
        <v>27</v>
      </c>
      <c r="Y169" s="673"/>
      <c r="Z169" s="673"/>
      <c r="AA169" s="673"/>
      <c r="AB169" s="673" t="s">
        <v>219</v>
      </c>
      <c r="AC169" s="673"/>
      <c r="AD169" s="673">
        <f>S169*V169</f>
        <v>3600000</v>
      </c>
      <c r="AE169" s="103" t="s">
        <v>25</v>
      </c>
      <c r="AF169" s="495"/>
      <c r="AG169" s="526">
        <f t="shared" si="7"/>
        <v>3600000</v>
      </c>
    </row>
    <row r="170" spans="1:33" s="9" customFormat="1" ht="21" customHeight="1">
      <c r="A170" s="33"/>
      <c r="B170" s="34"/>
      <c r="C170" s="34"/>
      <c r="D170" s="498"/>
      <c r="E170" s="492"/>
      <c r="F170" s="492"/>
      <c r="G170" s="492"/>
      <c r="H170" s="492"/>
      <c r="I170" s="492"/>
      <c r="J170" s="492"/>
      <c r="K170" s="662"/>
      <c r="L170" s="492"/>
      <c r="M170" s="686"/>
      <c r="N170" s="675"/>
      <c r="O170" s="674"/>
      <c r="P170" s="674"/>
      <c r="Q170" s="674"/>
      <c r="R170" s="674"/>
      <c r="S170" s="673"/>
      <c r="T170" s="406"/>
      <c r="U170" s="406"/>
      <c r="V170" s="673"/>
      <c r="W170" s="674"/>
      <c r="X170" s="673"/>
      <c r="Y170" s="673"/>
      <c r="Z170" s="673"/>
      <c r="AA170" s="673"/>
      <c r="AB170" s="673" t="s">
        <v>220</v>
      </c>
      <c r="AC170" s="673"/>
      <c r="AD170" s="673">
        <v>70000</v>
      </c>
      <c r="AE170" s="103" t="s">
        <v>56</v>
      </c>
      <c r="AF170" s="495"/>
      <c r="AG170" s="526">
        <f t="shared" si="7"/>
        <v>70000</v>
      </c>
    </row>
    <row r="171" spans="1:33" s="9" customFormat="1" ht="21" customHeight="1">
      <c r="A171" s="33"/>
      <c r="B171" s="34"/>
      <c r="C171" s="34"/>
      <c r="D171" s="498"/>
      <c r="E171" s="492"/>
      <c r="F171" s="492"/>
      <c r="G171" s="492"/>
      <c r="H171" s="492"/>
      <c r="I171" s="492"/>
      <c r="J171" s="492"/>
      <c r="K171" s="662"/>
      <c r="L171" s="492"/>
      <c r="M171" s="686"/>
      <c r="N171" s="675"/>
      <c r="O171" s="674"/>
      <c r="P171" s="674"/>
      <c r="Q171" s="674"/>
      <c r="R171" s="674"/>
      <c r="S171" s="673"/>
      <c r="T171" s="406"/>
      <c r="U171" s="406"/>
      <c r="V171" s="673"/>
      <c r="W171" s="674"/>
      <c r="X171" s="673"/>
      <c r="Y171" s="673"/>
      <c r="Z171" s="673"/>
      <c r="AA171" s="673"/>
      <c r="AB171" s="673" t="s">
        <v>138</v>
      </c>
      <c r="AC171" s="673"/>
      <c r="AD171" s="673">
        <v>1355000</v>
      </c>
      <c r="AE171" s="103" t="s">
        <v>56</v>
      </c>
      <c r="AF171" s="495">
        <v>2355000</v>
      </c>
      <c r="AG171" s="526">
        <f t="shared" si="7"/>
        <v>-1000000</v>
      </c>
    </row>
    <row r="172" spans="1:33" s="9" customFormat="1" ht="21" customHeight="1">
      <c r="A172" s="33"/>
      <c r="B172" s="34"/>
      <c r="C172" s="34"/>
      <c r="D172" s="84"/>
      <c r="E172" s="83"/>
      <c r="F172" s="83"/>
      <c r="G172" s="83"/>
      <c r="H172" s="83"/>
      <c r="I172" s="83"/>
      <c r="J172" s="83"/>
      <c r="K172" s="628"/>
      <c r="L172" s="83"/>
      <c r="M172" s="686"/>
      <c r="N172" s="675"/>
      <c r="O172" s="674" t="s">
        <v>184</v>
      </c>
      <c r="P172" s="674"/>
      <c r="Q172" s="674"/>
      <c r="R172" s="674"/>
      <c r="S172" s="673"/>
      <c r="T172" s="406" t="s">
        <v>56</v>
      </c>
      <c r="U172" s="406" t="s">
        <v>26</v>
      </c>
      <c r="V172" s="673"/>
      <c r="W172" s="674" t="s">
        <v>0</v>
      </c>
      <c r="X172" s="673" t="s">
        <v>27</v>
      </c>
      <c r="Y172" s="673"/>
      <c r="Z172" s="673"/>
      <c r="AA172" s="673"/>
      <c r="AB172" s="673" t="s">
        <v>138</v>
      </c>
      <c r="AC172" s="673"/>
      <c r="AD172" s="673">
        <v>1908000</v>
      </c>
      <c r="AE172" s="103" t="s">
        <v>25</v>
      </c>
      <c r="AF172" s="495">
        <v>3908000</v>
      </c>
      <c r="AG172" s="526">
        <f t="shared" si="7"/>
        <v>-2000000</v>
      </c>
    </row>
    <row r="173" spans="1:33" s="9" customFormat="1" ht="21" customHeight="1">
      <c r="A173" s="33"/>
      <c r="B173" s="34"/>
      <c r="C173" s="44"/>
      <c r="D173" s="97"/>
      <c r="E173" s="85"/>
      <c r="F173" s="85"/>
      <c r="G173" s="85"/>
      <c r="H173" s="85"/>
      <c r="I173" s="85"/>
      <c r="J173" s="85"/>
      <c r="K173" s="629"/>
      <c r="L173" s="85"/>
      <c r="M173" s="687"/>
      <c r="N173" s="680"/>
      <c r="O173" s="671"/>
      <c r="P173" s="671"/>
      <c r="Q173" s="671"/>
      <c r="R173" s="671"/>
      <c r="S173" s="670"/>
      <c r="T173" s="308"/>
      <c r="U173" s="670"/>
      <c r="V173" s="801"/>
      <c r="W173" s="802"/>
      <c r="X173" s="670"/>
      <c r="Y173" s="670"/>
      <c r="Z173" s="670"/>
      <c r="AA173" s="670"/>
      <c r="AB173" s="670"/>
      <c r="AC173" s="670"/>
      <c r="AD173" s="670"/>
      <c r="AE173" s="309"/>
      <c r="AF173" s="495"/>
      <c r="AG173" s="526">
        <f t="shared" si="7"/>
        <v>0</v>
      </c>
    </row>
    <row r="174" spans="1:33" s="9" customFormat="1" ht="21" customHeight="1">
      <c r="A174" s="33"/>
      <c r="B174" s="34"/>
      <c r="C174" s="24" t="s">
        <v>72</v>
      </c>
      <c r="D174" s="98">
        <v>66466</v>
      </c>
      <c r="E174" s="87">
        <f>ROUND(AD174/1000,0)</f>
        <v>66481</v>
      </c>
      <c r="F174" s="88">
        <f>SUMIF($AB$176:$AB$195,"보조",$AD$176:$AD$195)/1000</f>
        <v>0</v>
      </c>
      <c r="G174" s="88">
        <f>SUMIF($AB$176:$AB$195,"7종",$AD$176:$AD$195)/1000</f>
        <v>0</v>
      </c>
      <c r="H174" s="88">
        <f>SUMIF($AB$176:$AB$195,"4종",$AD$176:$AD$195)/1000</f>
        <v>0</v>
      </c>
      <c r="I174" s="88">
        <f>SUMIF($AB$176:$AB$195,"후원",$AD$176:$AD$195)/1000</f>
        <v>0</v>
      </c>
      <c r="J174" s="88">
        <f>SUMIF($AB$176:$AB$195,"입소",$AD$176:$AD$195)/1000</f>
        <v>0</v>
      </c>
      <c r="K174" s="631">
        <f>SUMIF($AB$176:$AB$195,"법인",$AD$176:$AD$195)/1000</f>
        <v>7990</v>
      </c>
      <c r="L174" s="88">
        <f>SUMIF($AB$176:$AB$195,"잡수",$AD$176:$AD$195)/1000</f>
        <v>58491</v>
      </c>
      <c r="M174" s="95">
        <f>E174-D174</f>
        <v>15</v>
      </c>
      <c r="N174" s="676">
        <f>IF(D174=0,0,M174/D174)</f>
        <v>2.256792946769777E-4</v>
      </c>
      <c r="O174" s="227" t="s">
        <v>237</v>
      </c>
      <c r="P174" s="236"/>
      <c r="Q174" s="236"/>
      <c r="R174" s="236"/>
      <c r="S174" s="236"/>
      <c r="T174" s="237"/>
      <c r="U174" s="237"/>
      <c r="V174" s="237"/>
      <c r="W174" s="237"/>
      <c r="X174" s="237"/>
      <c r="Y174" s="238" t="s">
        <v>131</v>
      </c>
      <c r="Z174" s="238"/>
      <c r="AA174" s="238"/>
      <c r="AB174" s="238"/>
      <c r="AC174" s="239"/>
      <c r="AD174" s="239">
        <f>SUM(AD175,AD186)</f>
        <v>66481000</v>
      </c>
      <c r="AE174" s="127" t="s">
        <v>25</v>
      </c>
      <c r="AF174" s="495"/>
      <c r="AG174" s="526">
        <f t="shared" si="7"/>
        <v>66481000</v>
      </c>
    </row>
    <row r="175" spans="1:33" s="9" customFormat="1" ht="21" customHeight="1">
      <c r="A175" s="33"/>
      <c r="B175" s="34"/>
      <c r="C175" s="34"/>
      <c r="D175" s="493"/>
      <c r="E175" s="491"/>
      <c r="F175" s="491"/>
      <c r="G175" s="491"/>
      <c r="H175" s="491"/>
      <c r="I175" s="491"/>
      <c r="J175" s="491"/>
      <c r="K175" s="661"/>
      <c r="L175" s="491"/>
      <c r="M175" s="686"/>
      <c r="N175" s="675"/>
      <c r="O175" s="227" t="s">
        <v>73</v>
      </c>
      <c r="P175" s="647"/>
      <c r="Q175" s="647"/>
      <c r="R175" s="647"/>
      <c r="S175" s="647"/>
      <c r="T175" s="688"/>
      <c r="U175" s="688"/>
      <c r="V175" s="688"/>
      <c r="W175" s="688"/>
      <c r="X175" s="688"/>
      <c r="Y175" s="238" t="s">
        <v>128</v>
      </c>
      <c r="Z175" s="238"/>
      <c r="AA175" s="238"/>
      <c r="AB175" s="238"/>
      <c r="AC175" s="239"/>
      <c r="AD175" s="239">
        <f>SUM(AD177:AD185)</f>
        <v>7990000</v>
      </c>
      <c r="AE175" s="127" t="s">
        <v>25</v>
      </c>
      <c r="AF175" s="495"/>
      <c r="AG175" s="526">
        <f t="shared" si="7"/>
        <v>7990000</v>
      </c>
    </row>
    <row r="176" spans="1:33" s="9" customFormat="1" ht="20.25" customHeight="1">
      <c r="A176" s="33"/>
      <c r="B176" s="34"/>
      <c r="C176" s="34"/>
      <c r="D176" s="493"/>
      <c r="E176" s="491"/>
      <c r="F176" s="491"/>
      <c r="G176" s="492"/>
      <c r="H176" s="491"/>
      <c r="I176" s="491"/>
      <c r="J176" s="492"/>
      <c r="K176" s="661"/>
      <c r="L176" s="491"/>
      <c r="M176" s="686"/>
      <c r="N176" s="675"/>
      <c r="O176" s="674" t="s">
        <v>87</v>
      </c>
      <c r="P176" s="674"/>
      <c r="Q176" s="674"/>
      <c r="R176" s="674"/>
      <c r="S176" s="436"/>
      <c r="T176" s="673"/>
      <c r="U176" s="673"/>
      <c r="V176" s="673"/>
      <c r="W176" s="673"/>
      <c r="X176" s="673"/>
      <c r="Y176" s="673"/>
      <c r="Z176" s="673"/>
      <c r="AA176" s="673"/>
      <c r="AB176" s="673"/>
      <c r="AC176" s="659"/>
      <c r="AD176" s="659"/>
      <c r="AE176" s="42"/>
      <c r="AF176" s="495"/>
      <c r="AG176" s="526">
        <f t="shared" si="7"/>
        <v>0</v>
      </c>
    </row>
    <row r="177" spans="1:33" s="9" customFormat="1" ht="20.25" customHeight="1">
      <c r="A177" s="33"/>
      <c r="B177" s="34"/>
      <c r="C177" s="34"/>
      <c r="D177" s="494"/>
      <c r="E177" s="492"/>
      <c r="F177" s="492"/>
      <c r="G177" s="492"/>
      <c r="H177" s="492"/>
      <c r="I177" s="492"/>
      <c r="J177" s="492"/>
      <c r="K177" s="662"/>
      <c r="L177" s="492"/>
      <c r="M177" s="686"/>
      <c r="N177" s="675"/>
      <c r="O177" s="674" t="s">
        <v>231</v>
      </c>
      <c r="P177" s="674"/>
      <c r="Q177" s="674"/>
      <c r="R177" s="674"/>
      <c r="S177" s="659"/>
      <c r="T177" s="658"/>
      <c r="U177" s="646"/>
      <c r="V177" s="659"/>
      <c r="W177" s="658"/>
      <c r="X177" s="646"/>
      <c r="Y177" s="673"/>
      <c r="Z177" s="673"/>
      <c r="AA177" s="673"/>
      <c r="AB177" s="673" t="s">
        <v>153</v>
      </c>
      <c r="AC177" s="659"/>
      <c r="AD177" s="659">
        <f>2000000</f>
        <v>2000000</v>
      </c>
      <c r="AE177" s="103" t="s">
        <v>56</v>
      </c>
      <c r="AF177" s="495"/>
      <c r="AG177" s="526">
        <f t="shared" si="7"/>
        <v>2000000</v>
      </c>
    </row>
    <row r="178" spans="1:33" s="9" customFormat="1" ht="20.25" customHeight="1">
      <c r="A178" s="33"/>
      <c r="B178" s="34"/>
      <c r="C178" s="34"/>
      <c r="D178" s="99"/>
      <c r="E178" s="83"/>
      <c r="F178" s="83"/>
      <c r="G178" s="83"/>
      <c r="H178" s="83"/>
      <c r="I178" s="83"/>
      <c r="J178" s="83"/>
      <c r="K178" s="628"/>
      <c r="L178" s="83"/>
      <c r="M178" s="686"/>
      <c r="N178" s="675"/>
      <c r="O178" s="674" t="s">
        <v>232</v>
      </c>
      <c r="P178" s="674"/>
      <c r="Q178" s="674"/>
      <c r="R178" s="674"/>
      <c r="S178" s="673">
        <v>50000</v>
      </c>
      <c r="T178" s="673" t="s">
        <v>56</v>
      </c>
      <c r="U178" s="646" t="s">
        <v>57</v>
      </c>
      <c r="V178" s="673">
        <v>10</v>
      </c>
      <c r="W178" s="673" t="s">
        <v>55</v>
      </c>
      <c r="X178" s="646"/>
      <c r="Y178" s="673"/>
      <c r="Z178" s="673"/>
      <c r="AA178" s="673" t="s">
        <v>53</v>
      </c>
      <c r="AB178" s="673" t="s">
        <v>153</v>
      </c>
      <c r="AC178" s="659"/>
      <c r="AD178" s="659">
        <f>S178*V178</f>
        <v>500000</v>
      </c>
      <c r="AE178" s="103" t="s">
        <v>56</v>
      </c>
      <c r="AF178" s="495"/>
      <c r="AG178" s="526">
        <f t="shared" si="7"/>
        <v>500000</v>
      </c>
    </row>
    <row r="179" spans="1:33" s="9" customFormat="1" ht="20.25" customHeight="1">
      <c r="A179" s="33"/>
      <c r="B179" s="34"/>
      <c r="C179" s="34"/>
      <c r="D179" s="99"/>
      <c r="E179" s="83"/>
      <c r="F179" s="83"/>
      <c r="G179" s="83"/>
      <c r="H179" s="83"/>
      <c r="I179" s="83"/>
      <c r="J179" s="83"/>
      <c r="K179" s="628"/>
      <c r="L179" s="83"/>
      <c r="M179" s="686"/>
      <c r="N179" s="675"/>
      <c r="O179" s="674" t="s">
        <v>233</v>
      </c>
      <c r="P179" s="674"/>
      <c r="Q179" s="674"/>
      <c r="R179" s="674"/>
      <c r="S179" s="436"/>
      <c r="T179" s="673"/>
      <c r="U179" s="673"/>
      <c r="V179" s="673"/>
      <c r="W179" s="673"/>
      <c r="X179" s="673"/>
      <c r="Y179" s="673"/>
      <c r="Z179" s="673"/>
      <c r="AA179" s="673"/>
      <c r="AB179" s="673"/>
      <c r="AC179" s="659"/>
      <c r="AD179" s="659"/>
      <c r="AE179" s="234"/>
      <c r="AF179" s="495"/>
      <c r="AG179" s="526">
        <f t="shared" si="7"/>
        <v>0</v>
      </c>
    </row>
    <row r="180" spans="1:33" s="9" customFormat="1" ht="20.25" customHeight="1">
      <c r="A180" s="33"/>
      <c r="B180" s="34"/>
      <c r="C180" s="34"/>
      <c r="D180" s="99"/>
      <c r="E180" s="83"/>
      <c r="F180" s="83"/>
      <c r="G180" s="83"/>
      <c r="H180" s="83"/>
      <c r="I180" s="83"/>
      <c r="J180" s="83"/>
      <c r="K180" s="628"/>
      <c r="L180" s="83"/>
      <c r="M180" s="686"/>
      <c r="N180" s="675"/>
      <c r="O180" s="674" t="s">
        <v>788</v>
      </c>
      <c r="P180" s="674"/>
      <c r="Q180" s="674"/>
      <c r="R180" s="674"/>
      <c r="S180" s="673"/>
      <c r="T180" s="673"/>
      <c r="U180" s="646"/>
      <c r="V180" s="673"/>
      <c r="W180" s="673"/>
      <c r="X180" s="646"/>
      <c r="Y180" s="673"/>
      <c r="Z180" s="673"/>
      <c r="AA180" s="673" t="s">
        <v>53</v>
      </c>
      <c r="AB180" s="673" t="s">
        <v>153</v>
      </c>
      <c r="AC180" s="659"/>
      <c r="AD180" s="659">
        <v>2000000</v>
      </c>
      <c r="AE180" s="103" t="s">
        <v>56</v>
      </c>
      <c r="AF180" s="495"/>
      <c r="AG180" s="526">
        <f t="shared" si="7"/>
        <v>2000000</v>
      </c>
    </row>
    <row r="181" spans="1:33" s="9" customFormat="1" ht="20.25" customHeight="1">
      <c r="A181" s="33"/>
      <c r="B181" s="34"/>
      <c r="C181" s="34"/>
      <c r="D181" s="99"/>
      <c r="E181" s="83"/>
      <c r="F181" s="83"/>
      <c r="G181" s="83"/>
      <c r="H181" s="83"/>
      <c r="I181" s="83"/>
      <c r="J181" s="83"/>
      <c r="K181" s="628"/>
      <c r="L181" s="83"/>
      <c r="M181" s="686"/>
      <c r="N181" s="675"/>
      <c r="O181" s="674" t="s">
        <v>789</v>
      </c>
      <c r="P181" s="674"/>
      <c r="Q181" s="674"/>
      <c r="R181" s="674"/>
      <c r="S181" s="673"/>
      <c r="T181" s="406" t="s">
        <v>56</v>
      </c>
      <c r="U181" s="406" t="s">
        <v>26</v>
      </c>
      <c r="V181" s="673">
        <v>14</v>
      </c>
      <c r="W181" s="674" t="s">
        <v>55</v>
      </c>
      <c r="X181" s="673" t="s">
        <v>27</v>
      </c>
      <c r="Y181" s="673"/>
      <c r="Z181" s="673"/>
      <c r="AA181" s="673"/>
      <c r="AB181" s="673" t="s">
        <v>153</v>
      </c>
      <c r="AC181" s="659"/>
      <c r="AD181" s="673">
        <v>280000</v>
      </c>
      <c r="AE181" s="103" t="s">
        <v>56</v>
      </c>
      <c r="AF181" s="495">
        <v>200000</v>
      </c>
      <c r="AG181" s="526">
        <f t="shared" si="7"/>
        <v>80000</v>
      </c>
    </row>
    <row r="182" spans="1:33" s="9" customFormat="1" ht="20.25" customHeight="1">
      <c r="A182" s="33"/>
      <c r="B182" s="34"/>
      <c r="C182" s="34"/>
      <c r="D182" s="99"/>
      <c r="E182" s="83"/>
      <c r="F182" s="83"/>
      <c r="G182" s="83"/>
      <c r="H182" s="83"/>
      <c r="I182" s="83"/>
      <c r="J182" s="83"/>
      <c r="K182" s="628"/>
      <c r="L182" s="83"/>
      <c r="M182" s="686"/>
      <c r="N182" s="675"/>
      <c r="O182" s="674" t="s">
        <v>633</v>
      </c>
      <c r="P182" s="674"/>
      <c r="Q182" s="674"/>
      <c r="R182" s="674"/>
      <c r="S182" s="673">
        <v>20000</v>
      </c>
      <c r="T182" s="406" t="s">
        <v>56</v>
      </c>
      <c r="U182" s="406" t="s">
        <v>26</v>
      </c>
      <c r="V182" s="673">
        <v>14</v>
      </c>
      <c r="W182" s="674" t="s">
        <v>55</v>
      </c>
      <c r="X182" s="646" t="s">
        <v>57</v>
      </c>
      <c r="Y182" s="673">
        <v>2</v>
      </c>
      <c r="Z182" s="673" t="s">
        <v>62</v>
      </c>
      <c r="AA182" s="673" t="s">
        <v>53</v>
      </c>
      <c r="AB182" s="299" t="s">
        <v>153</v>
      </c>
      <c r="AC182" s="299"/>
      <c r="AD182" s="673">
        <f>S182*V182*Y182</f>
        <v>560000</v>
      </c>
      <c r="AE182" s="300" t="s">
        <v>25</v>
      </c>
      <c r="AF182" s="495"/>
      <c r="AG182" s="526">
        <f t="shared" si="7"/>
        <v>560000</v>
      </c>
    </row>
    <row r="183" spans="1:33" s="9" customFormat="1" ht="20.25" customHeight="1">
      <c r="A183" s="33"/>
      <c r="B183" s="34"/>
      <c r="C183" s="34"/>
      <c r="D183" s="99"/>
      <c r="E183" s="83"/>
      <c r="F183" s="83"/>
      <c r="G183" s="83"/>
      <c r="H183" s="83"/>
      <c r="I183" s="83"/>
      <c r="J183" s="83"/>
      <c r="K183" s="628"/>
      <c r="L183" s="83"/>
      <c r="M183" s="686"/>
      <c r="N183" s="675"/>
      <c r="O183" s="690" t="s">
        <v>608</v>
      </c>
      <c r="P183" s="674"/>
      <c r="Q183" s="674"/>
      <c r="R183" s="674"/>
      <c r="S183" s="673"/>
      <c r="T183" s="406"/>
      <c r="U183" s="406" t="s">
        <v>26</v>
      </c>
      <c r="V183" s="673"/>
      <c r="W183" s="674"/>
      <c r="X183" s="673" t="s">
        <v>27</v>
      </c>
      <c r="Y183" s="435"/>
      <c r="Z183" s="673"/>
      <c r="AA183" s="299"/>
      <c r="AB183" s="436" t="s">
        <v>153</v>
      </c>
      <c r="AC183" s="299"/>
      <c r="AD183" s="673">
        <v>400000</v>
      </c>
      <c r="AE183" s="300" t="s">
        <v>56</v>
      </c>
      <c r="AF183" s="495"/>
      <c r="AG183" s="526">
        <f t="shared" si="7"/>
        <v>400000</v>
      </c>
    </row>
    <row r="184" spans="1:33" s="9" customFormat="1" ht="20.25" customHeight="1">
      <c r="A184" s="33"/>
      <c r="B184" s="34"/>
      <c r="C184" s="34"/>
      <c r="D184" s="99"/>
      <c r="E184" s="83"/>
      <c r="F184" s="83"/>
      <c r="G184" s="83"/>
      <c r="H184" s="83"/>
      <c r="I184" s="83"/>
      <c r="J184" s="83"/>
      <c r="K184" s="628"/>
      <c r="L184" s="83"/>
      <c r="M184" s="686"/>
      <c r="N184" s="675"/>
      <c r="O184" s="674" t="s">
        <v>609</v>
      </c>
      <c r="P184" s="674"/>
      <c r="Q184" s="674"/>
      <c r="R184" s="674"/>
      <c r="S184" s="673">
        <v>50000</v>
      </c>
      <c r="T184" s="673" t="s">
        <v>56</v>
      </c>
      <c r="U184" s="646" t="s">
        <v>57</v>
      </c>
      <c r="V184" s="673">
        <v>45</v>
      </c>
      <c r="W184" s="673" t="s">
        <v>55</v>
      </c>
      <c r="X184" s="646" t="s">
        <v>57</v>
      </c>
      <c r="Y184" s="673">
        <v>1</v>
      </c>
      <c r="Z184" s="673" t="s">
        <v>62</v>
      </c>
      <c r="AA184" s="673" t="s">
        <v>53</v>
      </c>
      <c r="AB184" s="673" t="s">
        <v>153</v>
      </c>
      <c r="AC184" s="659"/>
      <c r="AD184" s="659">
        <f>S184*V184*Y184</f>
        <v>2250000</v>
      </c>
      <c r="AE184" s="103" t="s">
        <v>56</v>
      </c>
      <c r="AF184" s="495"/>
      <c r="AG184" s="526">
        <f t="shared" si="7"/>
        <v>2250000</v>
      </c>
    </row>
    <row r="185" spans="1:33" s="9" customFormat="1" ht="20.25" customHeight="1">
      <c r="A185" s="33"/>
      <c r="B185" s="34"/>
      <c r="C185" s="35"/>
      <c r="D185" s="99"/>
      <c r="E185" s="83"/>
      <c r="F185" s="83"/>
      <c r="G185" s="83"/>
      <c r="H185" s="83"/>
      <c r="I185" s="83"/>
      <c r="J185" s="83"/>
      <c r="K185" s="628"/>
      <c r="L185" s="83"/>
      <c r="M185" s="686"/>
      <c r="N185" s="675"/>
      <c r="O185" s="674"/>
      <c r="P185" s="674"/>
      <c r="Q185" s="674"/>
      <c r="R185" s="674"/>
      <c r="S185" s="673"/>
      <c r="T185" s="406"/>
      <c r="U185" s="406"/>
      <c r="V185" s="673"/>
      <c r="W185" s="674"/>
      <c r="X185" s="673"/>
      <c r="Y185" s="435"/>
      <c r="Z185" s="673"/>
      <c r="AA185" s="299"/>
      <c r="AB185" s="299"/>
      <c r="AC185" s="299"/>
      <c r="AD185" s="673"/>
      <c r="AE185" s="263"/>
      <c r="AF185" s="495"/>
      <c r="AG185" s="526">
        <f t="shared" si="7"/>
        <v>0</v>
      </c>
    </row>
    <row r="186" spans="1:33" s="9" customFormat="1" ht="20.25" customHeight="1">
      <c r="A186" s="33"/>
      <c r="B186" s="34"/>
      <c r="C186" s="35"/>
      <c r="D186" s="99"/>
      <c r="E186" s="83"/>
      <c r="F186" s="83"/>
      <c r="G186" s="83"/>
      <c r="H186" s="83"/>
      <c r="I186" s="83"/>
      <c r="J186" s="83"/>
      <c r="K186" s="628"/>
      <c r="L186" s="83"/>
      <c r="M186" s="686"/>
      <c r="N186" s="675"/>
      <c r="O186" s="227" t="s">
        <v>237</v>
      </c>
      <c r="P186" s="674"/>
      <c r="Q186" s="674"/>
      <c r="R186" s="674"/>
      <c r="S186" s="673"/>
      <c r="T186" s="406"/>
      <c r="U186" s="406"/>
      <c r="V186" s="673"/>
      <c r="W186" s="674"/>
      <c r="X186" s="673"/>
      <c r="Y186" s="238" t="s">
        <v>128</v>
      </c>
      <c r="Z186" s="238"/>
      <c r="AA186" s="238"/>
      <c r="AB186" s="238"/>
      <c r="AC186" s="239"/>
      <c r="AD186" s="239">
        <f>SUM(AD187:AD194)</f>
        <v>58491000</v>
      </c>
      <c r="AE186" s="127" t="s">
        <v>25</v>
      </c>
      <c r="AF186" s="495"/>
      <c r="AG186" s="526">
        <f t="shared" si="7"/>
        <v>58491000</v>
      </c>
    </row>
    <row r="187" spans="1:33" s="9" customFormat="1" ht="21" customHeight="1">
      <c r="A187" s="33"/>
      <c r="B187" s="34"/>
      <c r="C187" s="34"/>
      <c r="D187" s="114"/>
      <c r="E187" s="83"/>
      <c r="F187" s="83"/>
      <c r="G187" s="83"/>
      <c r="H187" s="83"/>
      <c r="I187" s="83"/>
      <c r="J187" s="83"/>
      <c r="K187" s="628"/>
      <c r="L187" s="83"/>
      <c r="M187" s="686"/>
      <c r="N187" s="675"/>
      <c r="O187" s="674" t="s">
        <v>790</v>
      </c>
      <c r="P187" s="674"/>
      <c r="Q187" s="673"/>
      <c r="R187" s="673"/>
      <c r="S187" s="673">
        <v>20000</v>
      </c>
      <c r="T187" s="299" t="s">
        <v>56</v>
      </c>
      <c r="U187" s="646" t="s">
        <v>57</v>
      </c>
      <c r="V187" s="303">
        <v>8</v>
      </c>
      <c r="W187" s="673" t="s">
        <v>55</v>
      </c>
      <c r="X187" s="646" t="s">
        <v>57</v>
      </c>
      <c r="Y187" s="299">
        <v>3</v>
      </c>
      <c r="Z187" s="299" t="s">
        <v>62</v>
      </c>
      <c r="AA187" s="304" t="s">
        <v>53</v>
      </c>
      <c r="AB187" s="299" t="s">
        <v>86</v>
      </c>
      <c r="AC187" s="299"/>
      <c r="AD187" s="673">
        <f>S187*V187*Y187</f>
        <v>480000</v>
      </c>
      <c r="AE187" s="300" t="s">
        <v>56</v>
      </c>
      <c r="AF187" s="495"/>
      <c r="AG187" s="526">
        <f t="shared" si="7"/>
        <v>480000</v>
      </c>
    </row>
    <row r="188" spans="1:33" s="9" customFormat="1" ht="21" customHeight="1">
      <c r="A188" s="33"/>
      <c r="B188" s="34"/>
      <c r="C188" s="34"/>
      <c r="D188" s="114"/>
      <c r="E188" s="83"/>
      <c r="F188" s="83"/>
      <c r="G188" s="83"/>
      <c r="H188" s="83"/>
      <c r="I188" s="83"/>
      <c r="J188" s="83"/>
      <c r="K188" s="628"/>
      <c r="L188" s="83"/>
      <c r="M188" s="686"/>
      <c r="N188" s="675"/>
      <c r="O188" s="674" t="s">
        <v>324</v>
      </c>
      <c r="P188" s="674"/>
      <c r="Q188" s="674"/>
      <c r="R188" s="674"/>
      <c r="S188" s="673"/>
      <c r="T188" s="299"/>
      <c r="U188" s="299"/>
      <c r="V188" s="299"/>
      <c r="W188" s="673"/>
      <c r="X188" s="299"/>
      <c r="Y188" s="299"/>
      <c r="Z188" s="299"/>
      <c r="AA188" s="673"/>
      <c r="AB188" s="299" t="s">
        <v>86</v>
      </c>
      <c r="AC188" s="299"/>
      <c r="AD188" s="673">
        <v>111000</v>
      </c>
      <c r="AE188" s="103" t="s">
        <v>56</v>
      </c>
      <c r="AF188" s="495">
        <v>176000</v>
      </c>
      <c r="AG188" s="526">
        <f t="shared" si="7"/>
        <v>-65000</v>
      </c>
    </row>
    <row r="189" spans="1:33" s="9" customFormat="1" ht="21" customHeight="1">
      <c r="A189" s="33"/>
      <c r="B189" s="34"/>
      <c r="C189" s="34"/>
      <c r="D189" s="114"/>
      <c r="E189" s="83"/>
      <c r="F189" s="83"/>
      <c r="G189" s="83"/>
      <c r="H189" s="83"/>
      <c r="I189" s="83"/>
      <c r="J189" s="83"/>
      <c r="K189" s="628"/>
      <c r="L189" s="83"/>
      <c r="M189" s="686"/>
      <c r="N189" s="675"/>
      <c r="O189" s="674" t="s">
        <v>791</v>
      </c>
      <c r="P189" s="674"/>
      <c r="Q189" s="674"/>
      <c r="R189" s="674"/>
      <c r="S189" s="673"/>
      <c r="T189" s="299"/>
      <c r="U189" s="299"/>
      <c r="V189" s="299"/>
      <c r="W189" s="673"/>
      <c r="X189" s="299"/>
      <c r="Y189" s="299"/>
      <c r="Z189" s="299"/>
      <c r="AA189" s="673"/>
      <c r="AB189" s="299" t="s">
        <v>86</v>
      </c>
      <c r="AC189" s="299"/>
      <c r="AD189" s="673">
        <v>300000</v>
      </c>
      <c r="AE189" s="103" t="s">
        <v>56</v>
      </c>
      <c r="AF189" s="495"/>
      <c r="AG189" s="526">
        <f t="shared" si="7"/>
        <v>300000</v>
      </c>
    </row>
    <row r="190" spans="1:33" s="9" customFormat="1" ht="21" customHeight="1">
      <c r="A190" s="33"/>
      <c r="B190" s="34"/>
      <c r="C190" s="34"/>
      <c r="D190" s="114"/>
      <c r="E190" s="83"/>
      <c r="F190" s="83"/>
      <c r="G190" s="83"/>
      <c r="H190" s="83"/>
      <c r="I190" s="83"/>
      <c r="J190" s="83"/>
      <c r="K190" s="628"/>
      <c r="L190" s="83"/>
      <c r="M190" s="686"/>
      <c r="N190" s="675"/>
      <c r="O190" s="640" t="s">
        <v>792</v>
      </c>
      <c r="P190" s="673"/>
      <c r="Q190" s="673"/>
      <c r="R190" s="673"/>
      <c r="S190" s="673">
        <v>60000</v>
      </c>
      <c r="T190" s="673" t="s">
        <v>56</v>
      </c>
      <c r="U190" s="406" t="s">
        <v>57</v>
      </c>
      <c r="V190" s="673">
        <v>46</v>
      </c>
      <c r="W190" s="674" t="s">
        <v>55</v>
      </c>
      <c r="X190" s="406" t="s">
        <v>57</v>
      </c>
      <c r="Y190" s="673">
        <v>12</v>
      </c>
      <c r="Z190" s="673" t="s">
        <v>0</v>
      </c>
      <c r="AA190" s="658" t="s">
        <v>53</v>
      </c>
      <c r="AB190" s="658" t="s">
        <v>86</v>
      </c>
      <c r="AC190" s="674"/>
      <c r="AD190" s="673">
        <f>ROUND(S190*V190*Y190,-3)</f>
        <v>33120000</v>
      </c>
      <c r="AE190" s="103" t="s">
        <v>56</v>
      </c>
      <c r="AF190" s="495"/>
      <c r="AG190" s="526">
        <f t="shared" si="7"/>
        <v>33120000</v>
      </c>
    </row>
    <row r="191" spans="1:33" s="9" customFormat="1" ht="21" customHeight="1">
      <c r="A191" s="33"/>
      <c r="B191" s="34"/>
      <c r="C191" s="34"/>
      <c r="D191" s="114"/>
      <c r="E191" s="83"/>
      <c r="F191" s="83"/>
      <c r="G191" s="83"/>
      <c r="H191" s="83"/>
      <c r="I191" s="83"/>
      <c r="J191" s="83"/>
      <c r="K191" s="628"/>
      <c r="L191" s="83"/>
      <c r="M191" s="686"/>
      <c r="N191" s="675"/>
      <c r="O191" s="674"/>
      <c r="P191" s="673"/>
      <c r="Q191" s="673"/>
      <c r="R191" s="673"/>
      <c r="S191" s="673"/>
      <c r="T191" s="673"/>
      <c r="U191" s="406"/>
      <c r="V191" s="673"/>
      <c r="W191" s="674"/>
      <c r="X191" s="406"/>
      <c r="Y191" s="673"/>
      <c r="Z191" s="673"/>
      <c r="AA191" s="658"/>
      <c r="AB191" s="658" t="s">
        <v>86</v>
      </c>
      <c r="AC191" s="674"/>
      <c r="AD191" s="673">
        <f>ROUND(S191*V191*Y191,-3)</f>
        <v>0</v>
      </c>
      <c r="AE191" s="103" t="s">
        <v>56</v>
      </c>
      <c r="AF191" s="495"/>
      <c r="AG191" s="526">
        <f t="shared" si="7"/>
        <v>0</v>
      </c>
    </row>
    <row r="192" spans="1:33" s="9" customFormat="1" ht="21" customHeight="1">
      <c r="A192" s="33"/>
      <c r="B192" s="34"/>
      <c r="C192" s="34"/>
      <c r="D192" s="114"/>
      <c r="E192" s="83"/>
      <c r="F192" s="83"/>
      <c r="G192" s="83"/>
      <c r="H192" s="83"/>
      <c r="I192" s="83"/>
      <c r="J192" s="83"/>
      <c r="K192" s="628"/>
      <c r="L192" s="83"/>
      <c r="M192" s="686"/>
      <c r="N192" s="675"/>
      <c r="O192" s="674" t="s">
        <v>793</v>
      </c>
      <c r="P192" s="674"/>
      <c r="Q192" s="674"/>
      <c r="R192" s="674"/>
      <c r="S192" s="673">
        <v>60000</v>
      </c>
      <c r="T192" s="406" t="s">
        <v>56</v>
      </c>
      <c r="U192" s="406" t="s">
        <v>26</v>
      </c>
      <c r="V192" s="673">
        <v>10</v>
      </c>
      <c r="W192" s="673" t="s">
        <v>55</v>
      </c>
      <c r="X192" s="406" t="s">
        <v>26</v>
      </c>
      <c r="Y192" s="673">
        <v>12</v>
      </c>
      <c r="Z192" s="673" t="s">
        <v>0</v>
      </c>
      <c r="AA192" s="658" t="s">
        <v>27</v>
      </c>
      <c r="AB192" s="673" t="s">
        <v>86</v>
      </c>
      <c r="AC192" s="673"/>
      <c r="AD192" s="673">
        <f>S192*V192*Y192</f>
        <v>7200000</v>
      </c>
      <c r="AE192" s="311" t="s">
        <v>56</v>
      </c>
      <c r="AF192" s="495"/>
      <c r="AG192" s="526">
        <f t="shared" si="7"/>
        <v>7200000</v>
      </c>
    </row>
    <row r="193" spans="1:33" s="9" customFormat="1" ht="21" customHeight="1">
      <c r="A193" s="33"/>
      <c r="B193" s="34"/>
      <c r="C193" s="34"/>
      <c r="D193" s="114"/>
      <c r="E193" s="83"/>
      <c r="F193" s="83"/>
      <c r="G193" s="83"/>
      <c r="H193" s="83"/>
      <c r="I193" s="83"/>
      <c r="J193" s="83"/>
      <c r="K193" s="628"/>
      <c r="L193" s="83"/>
      <c r="M193" s="686"/>
      <c r="N193" s="675"/>
      <c r="O193" s="674" t="s">
        <v>325</v>
      </c>
      <c r="P193" s="674"/>
      <c r="Q193" s="674"/>
      <c r="R193" s="674"/>
      <c r="S193" s="673">
        <v>60000</v>
      </c>
      <c r="T193" s="406" t="s">
        <v>56</v>
      </c>
      <c r="U193" s="406" t="s">
        <v>26</v>
      </c>
      <c r="V193" s="673">
        <v>21</v>
      </c>
      <c r="W193" s="673" t="s">
        <v>55</v>
      </c>
      <c r="X193" s="406" t="s">
        <v>26</v>
      </c>
      <c r="Y193" s="673">
        <v>12</v>
      </c>
      <c r="Z193" s="673" t="s">
        <v>0</v>
      </c>
      <c r="AA193" s="658" t="s">
        <v>27</v>
      </c>
      <c r="AB193" s="673" t="s">
        <v>86</v>
      </c>
      <c r="AC193" s="673"/>
      <c r="AD193" s="673">
        <f>S193*V193*Y193</f>
        <v>15120000</v>
      </c>
      <c r="AE193" s="311" t="s">
        <v>56</v>
      </c>
      <c r="AF193" s="495"/>
      <c r="AG193" s="526">
        <f t="shared" si="7"/>
        <v>15120000</v>
      </c>
    </row>
    <row r="194" spans="1:33" s="9" customFormat="1" ht="21" customHeight="1">
      <c r="A194" s="33"/>
      <c r="B194" s="34"/>
      <c r="C194" s="35"/>
      <c r="D194" s="114"/>
      <c r="E194" s="83"/>
      <c r="F194" s="83"/>
      <c r="G194" s="83"/>
      <c r="H194" s="83"/>
      <c r="I194" s="83"/>
      <c r="J194" s="83"/>
      <c r="K194" s="628"/>
      <c r="L194" s="83"/>
      <c r="M194" s="686"/>
      <c r="N194" s="675"/>
      <c r="O194" s="640" t="s">
        <v>733</v>
      </c>
      <c r="P194" s="673"/>
      <c r="Q194" s="673"/>
      <c r="R194" s="673"/>
      <c r="S194" s="673">
        <v>60000</v>
      </c>
      <c r="T194" s="673" t="s">
        <v>56</v>
      </c>
      <c r="U194" s="406" t="s">
        <v>26</v>
      </c>
      <c r="V194" s="673">
        <v>3</v>
      </c>
      <c r="W194" s="674" t="s">
        <v>55</v>
      </c>
      <c r="X194" s="674" t="s">
        <v>57</v>
      </c>
      <c r="Y194" s="673">
        <v>12</v>
      </c>
      <c r="Z194" s="673" t="s">
        <v>0</v>
      </c>
      <c r="AA194" s="658" t="s">
        <v>53</v>
      </c>
      <c r="AB194" s="658" t="s">
        <v>86</v>
      </c>
      <c r="AC194" s="674"/>
      <c r="AD194" s="673">
        <f>S194*V194*Y194</f>
        <v>2160000</v>
      </c>
      <c r="AE194" s="103" t="s">
        <v>56</v>
      </c>
      <c r="AF194" s="495"/>
      <c r="AG194" s="526">
        <f t="shared" si="7"/>
        <v>2160000</v>
      </c>
    </row>
    <row r="195" spans="1:33" s="9" customFormat="1" ht="21" customHeight="1">
      <c r="A195" s="33"/>
      <c r="B195" s="44"/>
      <c r="C195" s="389"/>
      <c r="D195" s="115"/>
      <c r="E195" s="85"/>
      <c r="F195" s="85"/>
      <c r="G195" s="85"/>
      <c r="H195" s="85"/>
      <c r="I195" s="85"/>
      <c r="J195" s="85"/>
      <c r="K195" s="629"/>
      <c r="L195" s="85"/>
      <c r="M195" s="687"/>
      <c r="N195" s="680"/>
      <c r="O195" s="671"/>
      <c r="P195" s="671"/>
      <c r="Q195" s="671"/>
      <c r="R195" s="671"/>
      <c r="S195" s="670"/>
      <c r="T195" s="671"/>
      <c r="U195" s="670"/>
      <c r="V195" s="422"/>
      <c r="W195" s="422"/>
      <c r="X195" s="670"/>
      <c r="Y195" s="670"/>
      <c r="Z195" s="670"/>
      <c r="AA195" s="670"/>
      <c r="AB195" s="670"/>
      <c r="AC195" s="670"/>
      <c r="AD195" s="670"/>
      <c r="AE195" s="56"/>
      <c r="AF195" s="495"/>
      <c r="AG195" s="526">
        <f t="shared" si="7"/>
        <v>0</v>
      </c>
    </row>
    <row r="196" spans="1:33" s="9" customFormat="1" ht="21" customHeight="1">
      <c r="A196" s="86" t="s">
        <v>47</v>
      </c>
      <c r="B196" s="797" t="s">
        <v>20</v>
      </c>
      <c r="C196" s="797"/>
      <c r="D196" s="138">
        <f>D197</f>
        <v>853648</v>
      </c>
      <c r="E196" s="138">
        <f>E197</f>
        <v>910741</v>
      </c>
      <c r="F196" s="138">
        <f t="shared" ref="F196:L196" si="8">F197</f>
        <v>539336</v>
      </c>
      <c r="G196" s="138">
        <f t="shared" si="8"/>
        <v>0</v>
      </c>
      <c r="H196" s="138">
        <f t="shared" si="8"/>
        <v>0</v>
      </c>
      <c r="I196" s="138">
        <f t="shared" si="8"/>
        <v>230909</v>
      </c>
      <c r="J196" s="138">
        <f t="shared" si="8"/>
        <v>0</v>
      </c>
      <c r="K196" s="637">
        <f t="shared" si="8"/>
        <v>140496</v>
      </c>
      <c r="L196" s="138">
        <f t="shared" si="8"/>
        <v>0</v>
      </c>
      <c r="M196" s="691">
        <f>E196-D196</f>
        <v>57093</v>
      </c>
      <c r="N196" s="692">
        <f>IF(D196=0,0,M196/D196)</f>
        <v>6.6881196933630718E-2</v>
      </c>
      <c r="O196" s="647" t="s">
        <v>130</v>
      </c>
      <c r="P196" s="647"/>
      <c r="Q196" s="647"/>
      <c r="R196" s="647"/>
      <c r="S196" s="688"/>
      <c r="T196" s="688"/>
      <c r="U196" s="688"/>
      <c r="V196" s="688"/>
      <c r="W196" s="688"/>
      <c r="X196" s="688"/>
      <c r="Y196" s="688"/>
      <c r="Z196" s="688"/>
      <c r="AA196" s="688"/>
      <c r="AB196" s="688"/>
      <c r="AC196" s="688"/>
      <c r="AD196" s="688">
        <f>AD197</f>
        <v>910741000</v>
      </c>
      <c r="AE196" s="22" t="s">
        <v>25</v>
      </c>
      <c r="AF196" s="495"/>
      <c r="AG196" s="526">
        <f t="shared" si="7"/>
        <v>910741000</v>
      </c>
    </row>
    <row r="197" spans="1:33" s="9" customFormat="1" ht="21" customHeight="1">
      <c r="A197" s="137" t="s">
        <v>135</v>
      </c>
      <c r="B197" s="34" t="s">
        <v>17</v>
      </c>
      <c r="C197" s="34" t="s">
        <v>131</v>
      </c>
      <c r="D197" s="83">
        <f t="shared" ref="D197:L197" si="9">SUM(D198,D207,D222)</f>
        <v>853648</v>
      </c>
      <c r="E197" s="83">
        <f t="shared" si="9"/>
        <v>910741</v>
      </c>
      <c r="F197" s="83">
        <f t="shared" si="9"/>
        <v>539336</v>
      </c>
      <c r="G197" s="83">
        <f t="shared" si="9"/>
        <v>0</v>
      </c>
      <c r="H197" s="83">
        <f t="shared" si="9"/>
        <v>0</v>
      </c>
      <c r="I197" s="83">
        <f t="shared" si="9"/>
        <v>230909</v>
      </c>
      <c r="J197" s="83">
        <f t="shared" si="9"/>
        <v>0</v>
      </c>
      <c r="K197" s="628">
        <f t="shared" si="9"/>
        <v>140496</v>
      </c>
      <c r="L197" s="83">
        <f t="shared" si="9"/>
        <v>0</v>
      </c>
      <c r="M197" s="686">
        <f>E197-D197</f>
        <v>57093</v>
      </c>
      <c r="N197" s="675">
        <f>IF(D197=0,0,M197/D197)</f>
        <v>6.6881196933630718E-2</v>
      </c>
      <c r="O197" s="236" t="s">
        <v>132</v>
      </c>
      <c r="P197" s="236"/>
      <c r="Q197" s="236"/>
      <c r="R197" s="236"/>
      <c r="S197" s="236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460"/>
      <c r="AD197" s="460">
        <f>AD198+AD207+AD222</f>
        <v>910741000</v>
      </c>
      <c r="AE197" s="73" t="s">
        <v>25</v>
      </c>
      <c r="AF197" s="495"/>
      <c r="AG197" s="526">
        <f t="shared" si="7"/>
        <v>910741000</v>
      </c>
    </row>
    <row r="198" spans="1:33" s="9" customFormat="1" ht="21" customHeight="1">
      <c r="A198" s="33"/>
      <c r="B198" s="34"/>
      <c r="C198" s="24" t="s">
        <v>132</v>
      </c>
      <c r="D198" s="135">
        <v>807980</v>
      </c>
      <c r="E198" s="135">
        <f>ROUND(AD198/1000,0)</f>
        <v>828048</v>
      </c>
      <c r="F198" s="88">
        <f>SUMIF($AB$200:$AB$206,"보조",$AD$200:$AD$206)/1000</f>
        <v>534980</v>
      </c>
      <c r="G198" s="88">
        <f>SUMIF($AB$206:$AB$206,"7종",$AD$206:$AD$206)/1000</f>
        <v>0</v>
      </c>
      <c r="H198" s="88">
        <f>SUMIF($AB$206:$AB$206,"4종",$AD$206:$AD$206)/1000</f>
        <v>0</v>
      </c>
      <c r="I198" s="88">
        <f>SUMIF($AB$200:$AB$206,"후원",$AD$200:$AD$206)/1000</f>
        <v>171892</v>
      </c>
      <c r="J198" s="88">
        <f>SUMIF($AB$206:$AB$206,"입소",$AD$206:$AD$206)/1000</f>
        <v>0</v>
      </c>
      <c r="K198" s="631">
        <f>SUMIF($AB$200:$AB$206,"법인",$AD$200:$AD$206)/1000</f>
        <v>121176</v>
      </c>
      <c r="L198" s="88">
        <f>SUMIF($AB$206:$AB$206,"잡수",$AD$206:$AD$206)/1000</f>
        <v>0</v>
      </c>
      <c r="M198" s="95">
        <f>E198-D198</f>
        <v>20068</v>
      </c>
      <c r="N198" s="676">
        <f>IF(D198=0,0,M198/D198)</f>
        <v>2.4837248446743732E-2</v>
      </c>
      <c r="O198" s="235" t="s">
        <v>48</v>
      </c>
      <c r="P198" s="236"/>
      <c r="Q198" s="236"/>
      <c r="R198" s="236"/>
      <c r="S198" s="236"/>
      <c r="T198" s="237"/>
      <c r="U198" s="237"/>
      <c r="V198" s="237"/>
      <c r="W198" s="237"/>
      <c r="X198" s="237"/>
      <c r="Y198" s="238" t="s">
        <v>131</v>
      </c>
      <c r="Z198" s="238"/>
      <c r="AA198" s="238"/>
      <c r="AB198" s="238"/>
      <c r="AC198" s="239"/>
      <c r="AD198" s="239">
        <f>AD199+AD202</f>
        <v>828048000</v>
      </c>
      <c r="AE198" s="127" t="s">
        <v>25</v>
      </c>
      <c r="AF198" s="495"/>
      <c r="AG198" s="526">
        <f t="shared" si="7"/>
        <v>828048000</v>
      </c>
    </row>
    <row r="199" spans="1:33" s="9" customFormat="1" ht="21" customHeight="1">
      <c r="A199" s="33"/>
      <c r="B199" s="34"/>
      <c r="C199" s="34"/>
      <c r="D199" s="493"/>
      <c r="E199" s="491"/>
      <c r="F199" s="491"/>
      <c r="G199" s="491"/>
      <c r="H199" s="491"/>
      <c r="I199" s="491"/>
      <c r="J199" s="491"/>
      <c r="K199" s="661"/>
      <c r="L199" s="491"/>
      <c r="M199" s="686"/>
      <c r="N199" s="675"/>
      <c r="O199" s="647"/>
      <c r="P199" s="647"/>
      <c r="Q199" s="647"/>
      <c r="R199" s="647"/>
      <c r="S199" s="647"/>
      <c r="T199" s="688"/>
      <c r="U199" s="688"/>
      <c r="V199" s="688"/>
      <c r="W199" s="688"/>
      <c r="X199" s="688"/>
      <c r="Y199" s="238" t="s">
        <v>128</v>
      </c>
      <c r="Z199" s="238"/>
      <c r="AA199" s="238"/>
      <c r="AB199" s="238"/>
      <c r="AC199" s="239"/>
      <c r="AD199" s="239">
        <f>SUM(AD200:AD201)</f>
        <v>625300000</v>
      </c>
      <c r="AE199" s="127" t="s">
        <v>25</v>
      </c>
      <c r="AF199" s="495"/>
      <c r="AG199" s="526">
        <f t="shared" si="7"/>
        <v>625300000</v>
      </c>
    </row>
    <row r="200" spans="1:33" s="9" customFormat="1" ht="21" customHeight="1">
      <c r="A200" s="33"/>
      <c r="B200" s="34"/>
      <c r="C200" s="34"/>
      <c r="D200" s="494"/>
      <c r="E200" s="492"/>
      <c r="F200" s="492"/>
      <c r="G200" s="492"/>
      <c r="H200" s="492"/>
      <c r="I200" s="492"/>
      <c r="J200" s="492"/>
      <c r="K200" s="662"/>
      <c r="L200" s="492"/>
      <c r="M200" s="686"/>
      <c r="N200" s="675"/>
      <c r="O200" s="647" t="s">
        <v>595</v>
      </c>
      <c r="P200" s="647"/>
      <c r="Q200" s="647"/>
      <c r="R200" s="647"/>
      <c r="S200" s="647"/>
      <c r="T200" s="688"/>
      <c r="U200" s="688"/>
      <c r="V200" s="688"/>
      <c r="W200" s="688"/>
      <c r="X200" s="688"/>
      <c r="Y200" s="688"/>
      <c r="Z200" s="688"/>
      <c r="AA200" s="688"/>
      <c r="AB200" s="673" t="s">
        <v>71</v>
      </c>
      <c r="AC200" s="666"/>
      <c r="AD200" s="666">
        <v>534980000</v>
      </c>
      <c r="AE200" s="22" t="s">
        <v>56</v>
      </c>
      <c r="AF200" s="495"/>
      <c r="AG200" s="526">
        <f t="shared" ref="AG200:AG224" si="10">AD200-AF200</f>
        <v>534980000</v>
      </c>
    </row>
    <row r="201" spans="1:33" s="9" customFormat="1" ht="20.25" customHeight="1">
      <c r="A201" s="33"/>
      <c r="B201" s="34"/>
      <c r="C201" s="34"/>
      <c r="D201" s="443"/>
      <c r="E201" s="442"/>
      <c r="F201" s="419"/>
      <c r="G201" s="419"/>
      <c r="H201" s="419"/>
      <c r="I201" s="419"/>
      <c r="J201" s="419"/>
      <c r="K201" s="653"/>
      <c r="L201" s="419"/>
      <c r="M201" s="686"/>
      <c r="N201" s="675"/>
      <c r="O201" s="647"/>
      <c r="P201" s="647"/>
      <c r="Q201" s="647"/>
      <c r="R201" s="647"/>
      <c r="S201" s="647"/>
      <c r="T201" s="688"/>
      <c r="U201" s="688"/>
      <c r="V201" s="688"/>
      <c r="W201" s="688"/>
      <c r="X201" s="688"/>
      <c r="Y201" s="688"/>
      <c r="Z201" s="688"/>
      <c r="AA201" s="688"/>
      <c r="AB201" s="673" t="s">
        <v>153</v>
      </c>
      <c r="AC201" s="666"/>
      <c r="AD201" s="666">
        <f>19320000+71000000</f>
        <v>90320000</v>
      </c>
      <c r="AE201" s="22" t="s">
        <v>56</v>
      </c>
      <c r="AF201" s="495">
        <v>87000000</v>
      </c>
      <c r="AG201" s="526">
        <f t="shared" si="10"/>
        <v>3320000</v>
      </c>
    </row>
    <row r="202" spans="1:33" s="9" customFormat="1" ht="20.25" customHeight="1">
      <c r="A202" s="33"/>
      <c r="B202" s="34"/>
      <c r="C202" s="34"/>
      <c r="D202" s="443"/>
      <c r="E202" s="442"/>
      <c r="F202" s="419"/>
      <c r="G202" s="419"/>
      <c r="H202" s="419"/>
      <c r="I202" s="419"/>
      <c r="J202" s="419"/>
      <c r="K202" s="653"/>
      <c r="L202" s="419"/>
      <c r="M202" s="686"/>
      <c r="N202" s="675"/>
      <c r="O202" s="647" t="s">
        <v>679</v>
      </c>
      <c r="P202" s="647"/>
      <c r="Q202" s="647"/>
      <c r="R202" s="647"/>
      <c r="S202" s="647"/>
      <c r="T202" s="688"/>
      <c r="U202" s="688"/>
      <c r="V202" s="688"/>
      <c r="W202" s="688"/>
      <c r="X202" s="688"/>
      <c r="Y202" s="238" t="s">
        <v>128</v>
      </c>
      <c r="Z202" s="238"/>
      <c r="AA202" s="238"/>
      <c r="AB202" s="332"/>
      <c r="AC202" s="239"/>
      <c r="AD202" s="239">
        <f>SUM(AD203:AD206)</f>
        <v>202748000</v>
      </c>
      <c r="AE202" s="127" t="s">
        <v>25</v>
      </c>
      <c r="AF202" s="495"/>
      <c r="AG202" s="526">
        <f t="shared" si="10"/>
        <v>202748000</v>
      </c>
    </row>
    <row r="203" spans="1:33" s="9" customFormat="1" ht="21" customHeight="1">
      <c r="A203" s="33"/>
      <c r="B203" s="34"/>
      <c r="C203" s="34"/>
      <c r="D203" s="443"/>
      <c r="E203" s="442"/>
      <c r="F203" s="419"/>
      <c r="G203" s="419"/>
      <c r="H203" s="419"/>
      <c r="I203" s="419"/>
      <c r="J203" s="419"/>
      <c r="K203" s="653"/>
      <c r="L203" s="419"/>
      <c r="M203" s="686"/>
      <c r="N203" s="675"/>
      <c r="O203" s="647" t="s">
        <v>794</v>
      </c>
      <c r="P203" s="647"/>
      <c r="Q203" s="647"/>
      <c r="R203" s="647"/>
      <c r="S203" s="647"/>
      <c r="T203" s="688"/>
      <c r="U203" s="688"/>
      <c r="V203" s="688"/>
      <c r="W203" s="688" t="s">
        <v>795</v>
      </c>
      <c r="X203" s="688"/>
      <c r="Y203" s="314" t="s">
        <v>655</v>
      </c>
      <c r="Z203" s="688"/>
      <c r="AA203" s="688"/>
      <c r="AB203" s="673" t="s">
        <v>138</v>
      </c>
      <c r="AC203" s="666"/>
      <c r="AD203" s="659">
        <v>150000000</v>
      </c>
      <c r="AE203" s="22" t="s">
        <v>56</v>
      </c>
      <c r="AF203" s="495"/>
      <c r="AG203" s="526">
        <f t="shared" si="10"/>
        <v>150000000</v>
      </c>
    </row>
    <row r="204" spans="1:33" s="9" customFormat="1" ht="21" customHeight="1">
      <c r="A204" s="33"/>
      <c r="B204" s="34"/>
      <c r="C204" s="34"/>
      <c r="D204" s="443"/>
      <c r="E204" s="442"/>
      <c r="F204" s="419"/>
      <c r="G204" s="419"/>
      <c r="H204" s="419"/>
      <c r="I204" s="419"/>
      <c r="J204" s="419"/>
      <c r="K204" s="653"/>
      <c r="L204" s="419"/>
      <c r="M204" s="686"/>
      <c r="N204" s="675"/>
      <c r="O204" s="647"/>
      <c r="P204" s="647"/>
      <c r="Q204" s="647"/>
      <c r="R204" s="647"/>
      <c r="S204" s="647"/>
      <c r="T204" s="688"/>
      <c r="U204" s="688"/>
      <c r="V204" s="688"/>
      <c r="W204" s="688"/>
      <c r="X204" s="688"/>
      <c r="Y204" s="314" t="s">
        <v>680</v>
      </c>
      <c r="Z204" s="688"/>
      <c r="AA204" s="688"/>
      <c r="AB204" s="673" t="s">
        <v>138</v>
      </c>
      <c r="AC204" s="666"/>
      <c r="AD204" s="659">
        <v>17592000</v>
      </c>
      <c r="AE204" s="22" t="s">
        <v>56</v>
      </c>
      <c r="AF204" s="495">
        <v>0</v>
      </c>
      <c r="AG204" s="526">
        <f t="shared" si="10"/>
        <v>17592000</v>
      </c>
    </row>
    <row r="205" spans="1:33" s="9" customFormat="1" ht="21" customHeight="1">
      <c r="A205" s="33"/>
      <c r="B205" s="34"/>
      <c r="C205" s="34"/>
      <c r="D205" s="443"/>
      <c r="E205" s="442"/>
      <c r="F205" s="419"/>
      <c r="G205" s="419"/>
      <c r="H205" s="419"/>
      <c r="I205" s="419"/>
      <c r="J205" s="419"/>
      <c r="K205" s="653"/>
      <c r="L205" s="419"/>
      <c r="M205" s="686"/>
      <c r="N205" s="675"/>
      <c r="O205" s="647"/>
      <c r="P205" s="647"/>
      <c r="Q205" s="647"/>
      <c r="R205" s="647"/>
      <c r="S205" s="647"/>
      <c r="T205" s="688"/>
      <c r="U205" s="688"/>
      <c r="V205" s="688"/>
      <c r="W205" s="688"/>
      <c r="X205" s="688"/>
      <c r="Y205" s="314" t="s">
        <v>655</v>
      </c>
      <c r="Z205" s="688"/>
      <c r="AA205" s="688"/>
      <c r="AB205" s="673" t="s">
        <v>138</v>
      </c>
      <c r="AC205" s="666"/>
      <c r="AD205" s="659">
        <v>4300000</v>
      </c>
      <c r="AE205" s="22" t="s">
        <v>56</v>
      </c>
      <c r="AF205" s="495">
        <v>0</v>
      </c>
      <c r="AG205" s="526">
        <f t="shared" si="10"/>
        <v>4300000</v>
      </c>
    </row>
    <row r="206" spans="1:33" s="9" customFormat="1" ht="21" customHeight="1">
      <c r="A206" s="33"/>
      <c r="B206" s="34"/>
      <c r="C206" s="34"/>
      <c r="D206" s="114"/>
      <c r="E206" s="83"/>
      <c r="F206" s="83"/>
      <c r="G206" s="83"/>
      <c r="H206" s="83"/>
      <c r="I206" s="83"/>
      <c r="J206" s="83"/>
      <c r="K206" s="628"/>
      <c r="L206" s="83"/>
      <c r="M206" s="686"/>
      <c r="N206" s="675"/>
      <c r="O206" s="436"/>
      <c r="P206" s="436"/>
      <c r="Q206" s="436"/>
      <c r="R206" s="436"/>
      <c r="S206" s="436"/>
      <c r="T206" s="436"/>
      <c r="U206" s="436"/>
      <c r="V206" s="436"/>
      <c r="W206" s="436"/>
      <c r="X206" s="436"/>
      <c r="Y206" s="436"/>
      <c r="Z206" s="436"/>
      <c r="AA206" s="436"/>
      <c r="AB206" s="436" t="s">
        <v>153</v>
      </c>
      <c r="AC206" s="436"/>
      <c r="AD206" s="455">
        <v>30856000</v>
      </c>
      <c r="AE206" s="444" t="s">
        <v>56</v>
      </c>
      <c r="AF206" s="495">
        <v>36000000</v>
      </c>
      <c r="AG206" s="526">
        <f t="shared" si="10"/>
        <v>-5144000</v>
      </c>
    </row>
    <row r="207" spans="1:33" s="9" customFormat="1" ht="21" customHeight="1">
      <c r="A207" s="33"/>
      <c r="B207" s="34"/>
      <c r="C207" s="24" t="s">
        <v>18</v>
      </c>
      <c r="D207" s="116">
        <v>14228</v>
      </c>
      <c r="E207" s="87">
        <f>ROUND(AD207/1000,0)</f>
        <v>28069</v>
      </c>
      <c r="F207" s="88">
        <f>SUMIF($AB$208:$AB$221,"보조",$AD$208:$AD$221)/1000</f>
        <v>0</v>
      </c>
      <c r="G207" s="88">
        <f>SUMIF($AB$208:$AB$221,"7종",$AD$208:$AD$221)/1000</f>
        <v>0</v>
      </c>
      <c r="H207" s="88">
        <f>SUMIF($AB$208:$AB$221,"4종",$AD$208:$AD$221)/1000</f>
        <v>0</v>
      </c>
      <c r="I207" s="88">
        <f>SUMIF($AB$208:$AB$221,"후원",$AD$208:$AD$221)/1000</f>
        <v>28069</v>
      </c>
      <c r="J207" s="88">
        <f>SUMIF($AB$208:$AB$221,"입소",$AD$208:$AD$221)/1000</f>
        <v>0</v>
      </c>
      <c r="K207" s="631">
        <f>SUMIF($AB$208:$AB$221,"법인",$AD$208:$AD$221)/1000</f>
        <v>0</v>
      </c>
      <c r="L207" s="88">
        <f>SUMIF($AB$208:$AB$221,"잡수",$AD$208:$AD$221)/1000</f>
        <v>0</v>
      </c>
      <c r="M207" s="95">
        <f>E207-D207</f>
        <v>13841</v>
      </c>
      <c r="N207" s="676">
        <f>IF(D207=0,0,M207/D207)</f>
        <v>0.97280011245431541</v>
      </c>
      <c r="O207" s="235" t="s">
        <v>49</v>
      </c>
      <c r="P207" s="236"/>
      <c r="Q207" s="236"/>
      <c r="R207" s="236"/>
      <c r="S207" s="236"/>
      <c r="T207" s="237"/>
      <c r="U207" s="237"/>
      <c r="V207" s="237"/>
      <c r="W207" s="237"/>
      <c r="X207" s="237"/>
      <c r="Y207" s="238" t="s">
        <v>128</v>
      </c>
      <c r="Z207" s="238"/>
      <c r="AA207" s="238"/>
      <c r="AB207" s="332"/>
      <c r="AC207" s="239"/>
      <c r="AD207" s="239">
        <f>SUM(AD208:AD221)</f>
        <v>28069000</v>
      </c>
      <c r="AE207" s="127" t="s">
        <v>25</v>
      </c>
      <c r="AF207" s="495"/>
      <c r="AG207" s="526">
        <f t="shared" si="10"/>
        <v>28069000</v>
      </c>
    </row>
    <row r="208" spans="1:33" s="9" customFormat="1" ht="21" customHeight="1">
      <c r="A208" s="33"/>
      <c r="B208" s="34"/>
      <c r="C208" s="34"/>
      <c r="D208" s="493"/>
      <c r="E208" s="491"/>
      <c r="F208" s="491"/>
      <c r="G208" s="491"/>
      <c r="H208" s="491"/>
      <c r="I208" s="491"/>
      <c r="J208" s="491"/>
      <c r="K208" s="661"/>
      <c r="L208" s="491"/>
      <c r="M208" s="686"/>
      <c r="N208" s="675"/>
      <c r="O208" s="674" t="s">
        <v>732</v>
      </c>
      <c r="P208" s="674"/>
      <c r="Q208" s="674"/>
      <c r="R208" s="674"/>
      <c r="S208" s="673"/>
      <c r="T208" s="406"/>
      <c r="U208" s="406"/>
      <c r="V208" s="673"/>
      <c r="W208" s="674"/>
      <c r="X208" s="673"/>
      <c r="Y208" s="673"/>
      <c r="Z208" s="673"/>
      <c r="AA208" s="673"/>
      <c r="AB208" s="673" t="s">
        <v>138</v>
      </c>
      <c r="AC208" s="673"/>
      <c r="AD208" s="673">
        <v>12150000</v>
      </c>
      <c r="AE208" s="417" t="s">
        <v>731</v>
      </c>
      <c r="AF208" s="495">
        <v>0</v>
      </c>
      <c r="AG208" s="526">
        <f t="shared" si="10"/>
        <v>12150000</v>
      </c>
    </row>
    <row r="209" spans="1:35" s="9" customFormat="1" ht="21" customHeight="1">
      <c r="A209" s="33"/>
      <c r="B209" s="34"/>
      <c r="C209" s="34"/>
      <c r="D209" s="494"/>
      <c r="E209" s="492"/>
      <c r="F209" s="492"/>
      <c r="G209" s="492"/>
      <c r="H209" s="492"/>
      <c r="I209" s="492"/>
      <c r="J209" s="492"/>
      <c r="K209" s="662"/>
      <c r="L209" s="492"/>
      <c r="M209" s="686"/>
      <c r="N209" s="675"/>
      <c r="O209" s="674" t="s">
        <v>796</v>
      </c>
      <c r="P209" s="674"/>
      <c r="Q209" s="674"/>
      <c r="R209" s="674"/>
      <c r="S209" s="673"/>
      <c r="T209" s="406"/>
      <c r="U209" s="406"/>
      <c r="V209" s="673"/>
      <c r="W209" s="674"/>
      <c r="X209" s="673"/>
      <c r="Y209" s="673"/>
      <c r="Z209" s="673"/>
      <c r="AA209" s="673"/>
      <c r="AB209" s="673" t="s">
        <v>138</v>
      </c>
      <c r="AC209" s="673"/>
      <c r="AD209" s="673">
        <v>7854000</v>
      </c>
      <c r="AE209" s="103" t="s">
        <v>56</v>
      </c>
      <c r="AF209" s="495">
        <v>5000000</v>
      </c>
      <c r="AG209" s="526">
        <f t="shared" si="10"/>
        <v>2854000</v>
      </c>
    </row>
    <row r="210" spans="1:35" s="9" customFormat="1" ht="21" customHeight="1">
      <c r="A210" s="33"/>
      <c r="B210" s="34"/>
      <c r="C210" s="34"/>
      <c r="D210" s="498"/>
      <c r="E210" s="492"/>
      <c r="F210" s="492"/>
      <c r="G210" s="492"/>
      <c r="H210" s="492"/>
      <c r="I210" s="492"/>
      <c r="J210" s="492"/>
      <c r="K210" s="662"/>
      <c r="L210" s="492"/>
      <c r="M210" s="686"/>
      <c r="N210" s="675"/>
      <c r="O210" s="674" t="s">
        <v>678</v>
      </c>
      <c r="P210" s="674"/>
      <c r="Q210" s="674"/>
      <c r="R210" s="674"/>
      <c r="S210" s="673"/>
      <c r="T210" s="406"/>
      <c r="U210" s="406"/>
      <c r="V210" s="673"/>
      <c r="W210" s="674"/>
      <c r="X210" s="673"/>
      <c r="Y210" s="673"/>
      <c r="Z210" s="673"/>
      <c r="AA210" s="673"/>
      <c r="AB210" s="673" t="s">
        <v>138</v>
      </c>
      <c r="AC210" s="673"/>
      <c r="AD210" s="673">
        <v>3465000</v>
      </c>
      <c r="AE210" s="103" t="s">
        <v>677</v>
      </c>
      <c r="AF210" s="495">
        <v>0</v>
      </c>
      <c r="AG210" s="526">
        <f t="shared" si="10"/>
        <v>3465000</v>
      </c>
    </row>
    <row r="211" spans="1:35" s="9" customFormat="1" ht="21" customHeight="1">
      <c r="A211" s="33"/>
      <c r="B211" s="34"/>
      <c r="C211" s="34"/>
      <c r="D211" s="498"/>
      <c r="E211" s="492"/>
      <c r="F211" s="492"/>
      <c r="G211" s="492"/>
      <c r="H211" s="492"/>
      <c r="I211" s="492"/>
      <c r="J211" s="492"/>
      <c r="K211" s="662"/>
      <c r="L211" s="492"/>
      <c r="M211" s="686"/>
      <c r="N211" s="675"/>
      <c r="O211" s="674" t="s">
        <v>797</v>
      </c>
      <c r="P211" s="674"/>
      <c r="Q211" s="674"/>
      <c r="R211" s="674"/>
      <c r="S211" s="673"/>
      <c r="T211" s="406"/>
      <c r="U211" s="406"/>
      <c r="V211" s="673"/>
      <c r="W211" s="674"/>
      <c r="X211" s="673"/>
      <c r="Y211" s="673"/>
      <c r="Z211" s="673"/>
      <c r="AA211" s="673"/>
      <c r="AB211" s="673" t="s">
        <v>138</v>
      </c>
      <c r="AC211" s="673"/>
      <c r="AD211" s="673">
        <v>1100000</v>
      </c>
      <c r="AE211" s="103" t="s">
        <v>677</v>
      </c>
      <c r="AF211" s="495">
        <v>0</v>
      </c>
      <c r="AG211" s="526">
        <f t="shared" si="10"/>
        <v>1100000</v>
      </c>
      <c r="AH211" s="495"/>
      <c r="AI211" s="526"/>
    </row>
    <row r="212" spans="1:35" s="9" customFormat="1" ht="21" customHeight="1">
      <c r="A212" s="33"/>
      <c r="B212" s="34"/>
      <c r="C212" s="34"/>
      <c r="D212" s="498"/>
      <c r="E212" s="492"/>
      <c r="F212" s="492"/>
      <c r="G212" s="492"/>
      <c r="H212" s="492"/>
      <c r="I212" s="492"/>
      <c r="J212" s="492"/>
      <c r="K212" s="662"/>
      <c r="L212" s="492"/>
      <c r="M212" s="686"/>
      <c r="N212" s="675"/>
      <c r="O212" s="674" t="s">
        <v>798</v>
      </c>
      <c r="P212" s="674"/>
      <c r="Q212" s="674"/>
      <c r="R212" s="674"/>
      <c r="S212" s="673"/>
      <c r="T212" s="436"/>
      <c r="U212" s="406"/>
      <c r="V212" s="659"/>
      <c r="W212" s="659"/>
      <c r="X212" s="673"/>
      <c r="Y212" s="314" t="s">
        <v>680</v>
      </c>
      <c r="Z212" s="673"/>
      <c r="AA212" s="673"/>
      <c r="AB212" s="673" t="s">
        <v>138</v>
      </c>
      <c r="AC212" s="673"/>
      <c r="AD212" s="673">
        <v>3490000</v>
      </c>
      <c r="AE212" s="103" t="s">
        <v>56</v>
      </c>
      <c r="AF212" s="495">
        <v>3228000</v>
      </c>
      <c r="AG212" s="526">
        <f t="shared" si="10"/>
        <v>262000</v>
      </c>
    </row>
    <row r="213" spans="1:35" s="9" customFormat="1" ht="21" customHeight="1">
      <c r="A213" s="33"/>
      <c r="B213" s="34"/>
      <c r="C213" s="34"/>
      <c r="D213" s="84"/>
      <c r="E213" s="83"/>
      <c r="F213" s="83"/>
      <c r="G213" s="83"/>
      <c r="H213" s="83"/>
      <c r="I213" s="83"/>
      <c r="J213" s="83"/>
      <c r="K213" s="628"/>
      <c r="L213" s="83"/>
      <c r="M213" s="686"/>
      <c r="N213" s="675"/>
      <c r="O213" s="674"/>
      <c r="P213" s="674"/>
      <c r="Q213" s="674"/>
      <c r="R213" s="674"/>
      <c r="S213" s="673"/>
      <c r="T213" s="436"/>
      <c r="U213" s="406"/>
      <c r="V213" s="659"/>
      <c r="W213" s="659"/>
      <c r="X213" s="673"/>
      <c r="Y213" s="314" t="s">
        <v>655</v>
      </c>
      <c r="Z213" s="673"/>
      <c r="AA213" s="673"/>
      <c r="AB213" s="673" t="s">
        <v>138</v>
      </c>
      <c r="AC213" s="673"/>
      <c r="AD213" s="673">
        <v>10000</v>
      </c>
      <c r="AE213" s="103" t="s">
        <v>56</v>
      </c>
      <c r="AF213" s="495"/>
      <c r="AG213" s="526">
        <f t="shared" si="10"/>
        <v>10000</v>
      </c>
    </row>
    <row r="214" spans="1:35" s="9" customFormat="1" ht="21" hidden="1" customHeight="1">
      <c r="A214" s="33"/>
      <c r="B214" s="34"/>
      <c r="C214" s="34"/>
      <c r="D214" s="84"/>
      <c r="E214" s="83"/>
      <c r="F214" s="83"/>
      <c r="G214" s="83"/>
      <c r="H214" s="83"/>
      <c r="I214" s="83"/>
      <c r="J214" s="83"/>
      <c r="K214" s="628"/>
      <c r="L214" s="83"/>
      <c r="M214" s="686"/>
      <c r="N214" s="675"/>
      <c r="O214" s="674"/>
      <c r="P214" s="674"/>
      <c r="Q214" s="674"/>
      <c r="R214" s="674"/>
      <c r="S214" s="673"/>
      <c r="T214" s="406"/>
      <c r="U214" s="406"/>
      <c r="V214" s="673"/>
      <c r="W214" s="674"/>
      <c r="X214" s="673"/>
      <c r="Y214" s="673"/>
      <c r="Z214" s="673"/>
      <c r="AA214" s="673"/>
      <c r="AB214" s="673" t="s">
        <v>138</v>
      </c>
      <c r="AC214" s="673"/>
      <c r="AD214" s="673"/>
      <c r="AE214" s="103" t="s">
        <v>56</v>
      </c>
      <c r="AF214" s="495"/>
      <c r="AG214" s="526">
        <f t="shared" si="10"/>
        <v>0</v>
      </c>
    </row>
    <row r="215" spans="1:35" s="9" customFormat="1" ht="21" hidden="1" customHeight="1">
      <c r="A215" s="33"/>
      <c r="B215" s="34"/>
      <c r="C215" s="34"/>
      <c r="D215" s="84"/>
      <c r="E215" s="83"/>
      <c r="F215" s="83"/>
      <c r="G215" s="83"/>
      <c r="H215" s="83"/>
      <c r="I215" s="83"/>
      <c r="J215" s="83"/>
      <c r="K215" s="628"/>
      <c r="L215" s="83"/>
      <c r="M215" s="686"/>
      <c r="N215" s="675"/>
      <c r="O215" s="674"/>
      <c r="P215" s="674"/>
      <c r="Q215" s="674"/>
      <c r="R215" s="674"/>
      <c r="S215" s="673"/>
      <c r="T215" s="436"/>
      <c r="U215" s="406"/>
      <c r="V215" s="659"/>
      <c r="W215" s="659"/>
      <c r="X215" s="673"/>
      <c r="Y215" s="673"/>
      <c r="Z215" s="673"/>
      <c r="AA215" s="673"/>
      <c r="AB215" s="673" t="s">
        <v>138</v>
      </c>
      <c r="AC215" s="673"/>
      <c r="AD215" s="673"/>
      <c r="AE215" s="103" t="s">
        <v>56</v>
      </c>
      <c r="AF215" s="495"/>
      <c r="AG215" s="526">
        <f t="shared" si="10"/>
        <v>0</v>
      </c>
    </row>
    <row r="216" spans="1:35" s="9" customFormat="1" ht="21" hidden="1" customHeight="1">
      <c r="A216" s="33"/>
      <c r="B216" s="34"/>
      <c r="C216" s="34"/>
      <c r="D216" s="84"/>
      <c r="E216" s="83"/>
      <c r="F216" s="83"/>
      <c r="G216" s="83"/>
      <c r="H216" s="83"/>
      <c r="I216" s="83"/>
      <c r="J216" s="83"/>
      <c r="K216" s="628"/>
      <c r="L216" s="83"/>
      <c r="M216" s="686"/>
      <c r="N216" s="675"/>
      <c r="O216" s="674"/>
      <c r="P216" s="674"/>
      <c r="Q216" s="674"/>
      <c r="R216" s="674"/>
      <c r="S216" s="673"/>
      <c r="T216" s="436"/>
      <c r="U216" s="406"/>
      <c r="V216" s="659"/>
      <c r="W216" s="659"/>
      <c r="X216" s="673"/>
      <c r="Y216" s="673"/>
      <c r="Z216" s="673"/>
      <c r="AA216" s="673"/>
      <c r="AB216" s="673" t="s">
        <v>138</v>
      </c>
      <c r="AC216" s="673"/>
      <c r="AD216" s="673"/>
      <c r="AE216" s="103" t="s">
        <v>56</v>
      </c>
      <c r="AF216" s="495"/>
      <c r="AG216" s="526">
        <f t="shared" si="10"/>
        <v>0</v>
      </c>
    </row>
    <row r="217" spans="1:35" s="9" customFormat="1" ht="21" hidden="1" customHeight="1">
      <c r="A217" s="33"/>
      <c r="B217" s="34"/>
      <c r="C217" s="34"/>
      <c r="D217" s="84"/>
      <c r="E217" s="83"/>
      <c r="F217" s="83"/>
      <c r="G217" s="83"/>
      <c r="H217" s="83"/>
      <c r="I217" s="83"/>
      <c r="J217" s="83"/>
      <c r="K217" s="628"/>
      <c r="L217" s="83"/>
      <c r="M217" s="686"/>
      <c r="N217" s="675"/>
      <c r="O217" s="674"/>
      <c r="P217" s="674"/>
      <c r="Q217" s="674"/>
      <c r="R217" s="674"/>
      <c r="S217" s="673"/>
      <c r="T217" s="436"/>
      <c r="U217" s="406"/>
      <c r="V217" s="659"/>
      <c r="W217" s="659"/>
      <c r="X217" s="673"/>
      <c r="Y217" s="673"/>
      <c r="Z217" s="673"/>
      <c r="AA217" s="673"/>
      <c r="AB217" s="673" t="s">
        <v>138</v>
      </c>
      <c r="AC217" s="673"/>
      <c r="AD217" s="673"/>
      <c r="AE217" s="103" t="s">
        <v>56</v>
      </c>
      <c r="AF217" s="495"/>
      <c r="AG217" s="526">
        <f t="shared" si="10"/>
        <v>0</v>
      </c>
    </row>
    <row r="218" spans="1:35" s="9" customFormat="1" ht="21" hidden="1" customHeight="1">
      <c r="A218" s="33"/>
      <c r="B218" s="34"/>
      <c r="C218" s="34"/>
      <c r="D218" s="84"/>
      <c r="E218" s="83"/>
      <c r="F218" s="83"/>
      <c r="G218" s="83"/>
      <c r="H218" s="83"/>
      <c r="I218" s="83"/>
      <c r="J218" s="83"/>
      <c r="K218" s="628"/>
      <c r="L218" s="83"/>
      <c r="M218" s="686"/>
      <c r="N218" s="675"/>
      <c r="O218" s="674"/>
      <c r="P218" s="674"/>
      <c r="Q218" s="674"/>
      <c r="R218" s="674"/>
      <c r="S218" s="673"/>
      <c r="T218" s="436"/>
      <c r="U218" s="406"/>
      <c r="V218" s="659"/>
      <c r="W218" s="659"/>
      <c r="X218" s="673"/>
      <c r="Y218" s="673"/>
      <c r="Z218" s="673"/>
      <c r="AA218" s="673"/>
      <c r="AB218" s="673" t="s">
        <v>138</v>
      </c>
      <c r="AC218" s="673"/>
      <c r="AD218" s="673"/>
      <c r="AE218" s="103" t="s">
        <v>56</v>
      </c>
      <c r="AF218" s="495"/>
      <c r="AG218" s="526">
        <f t="shared" si="10"/>
        <v>0</v>
      </c>
    </row>
    <row r="219" spans="1:35" s="9" customFormat="1" ht="21" hidden="1" customHeight="1">
      <c r="A219" s="33"/>
      <c r="B219" s="34"/>
      <c r="C219" s="34"/>
      <c r="D219" s="84"/>
      <c r="E219" s="83"/>
      <c r="F219" s="83"/>
      <c r="G219" s="83"/>
      <c r="H219" s="83"/>
      <c r="I219" s="83"/>
      <c r="J219" s="83"/>
      <c r="K219" s="628"/>
      <c r="L219" s="83"/>
      <c r="M219" s="686"/>
      <c r="N219" s="675"/>
      <c r="O219" s="674"/>
      <c r="P219" s="674"/>
      <c r="Q219" s="674"/>
      <c r="R219" s="674"/>
      <c r="S219" s="673"/>
      <c r="T219" s="436"/>
      <c r="U219" s="406"/>
      <c r="V219" s="659"/>
      <c r="W219" s="659"/>
      <c r="X219" s="673"/>
      <c r="Y219" s="673"/>
      <c r="Z219" s="673"/>
      <c r="AA219" s="673"/>
      <c r="AB219" s="673" t="s">
        <v>138</v>
      </c>
      <c r="AC219" s="673"/>
      <c r="AD219" s="673"/>
      <c r="AE219" s="103" t="s">
        <v>56</v>
      </c>
      <c r="AF219" s="495"/>
      <c r="AG219" s="526">
        <f t="shared" si="10"/>
        <v>0</v>
      </c>
    </row>
    <row r="220" spans="1:35" s="9" customFormat="1" ht="21" hidden="1" customHeight="1">
      <c r="A220" s="33"/>
      <c r="B220" s="34"/>
      <c r="C220" s="34"/>
      <c r="D220" s="84"/>
      <c r="E220" s="83"/>
      <c r="F220" s="83"/>
      <c r="G220" s="83"/>
      <c r="H220" s="83"/>
      <c r="I220" s="83"/>
      <c r="J220" s="83"/>
      <c r="K220" s="628"/>
      <c r="L220" s="83"/>
      <c r="M220" s="686"/>
      <c r="N220" s="675"/>
      <c r="O220" s="674"/>
      <c r="P220" s="674"/>
      <c r="Q220" s="674"/>
      <c r="R220" s="674"/>
      <c r="S220" s="673"/>
      <c r="T220" s="436"/>
      <c r="U220" s="406"/>
      <c r="V220" s="659"/>
      <c r="W220" s="659"/>
      <c r="X220" s="673"/>
      <c r="Y220" s="673"/>
      <c r="Z220" s="673"/>
      <c r="AA220" s="673"/>
      <c r="AB220" s="673" t="s">
        <v>138</v>
      </c>
      <c r="AC220" s="673"/>
      <c r="AD220" s="673"/>
      <c r="AE220" s="103" t="s">
        <v>56</v>
      </c>
      <c r="AF220" s="495"/>
      <c r="AG220" s="526">
        <f t="shared" si="10"/>
        <v>0</v>
      </c>
    </row>
    <row r="221" spans="1:35" s="9" customFormat="1" ht="21" hidden="1" customHeight="1">
      <c r="A221" s="33"/>
      <c r="B221" s="34"/>
      <c r="C221" s="34"/>
      <c r="D221" s="84"/>
      <c r="E221" s="83"/>
      <c r="F221" s="83"/>
      <c r="G221" s="83"/>
      <c r="H221" s="83"/>
      <c r="I221" s="83"/>
      <c r="J221" s="83"/>
      <c r="K221" s="628"/>
      <c r="L221" s="83"/>
      <c r="M221" s="686"/>
      <c r="N221" s="675"/>
      <c r="O221" s="674"/>
      <c r="P221" s="674"/>
      <c r="Q221" s="674"/>
      <c r="R221" s="674"/>
      <c r="S221" s="673"/>
      <c r="T221" s="436"/>
      <c r="U221" s="406"/>
      <c r="V221" s="659"/>
      <c r="W221" s="659"/>
      <c r="X221" s="673"/>
      <c r="Y221" s="673"/>
      <c r="Z221" s="673"/>
      <c r="AA221" s="673"/>
      <c r="AB221" s="673" t="s">
        <v>138</v>
      </c>
      <c r="AC221" s="673"/>
      <c r="AD221" s="673"/>
      <c r="AE221" s="103" t="s">
        <v>56</v>
      </c>
      <c r="AF221" s="495"/>
      <c r="AG221" s="526">
        <f t="shared" si="10"/>
        <v>0</v>
      </c>
    </row>
    <row r="222" spans="1:35" s="9" customFormat="1" ht="21" customHeight="1">
      <c r="A222" s="33"/>
      <c r="B222" s="34"/>
      <c r="C222" s="24" t="s">
        <v>50</v>
      </c>
      <c r="D222" s="116">
        <v>31440</v>
      </c>
      <c r="E222" s="87">
        <f>ROUND(AD222/1000,0)</f>
        <v>54624</v>
      </c>
      <c r="F222" s="88">
        <f>SUMIF($AB$223:$AB$241,"보조",$AD$223:$AD$241)/1000</f>
        <v>4356</v>
      </c>
      <c r="G222" s="88">
        <f>SUMIF($AB$223:$AB$241,"7종",$AD$223:$AD$241)/1000</f>
        <v>0</v>
      </c>
      <c r="H222" s="88">
        <f>SUMIF($AB$223:$AB$241,"4종",$AD$223:$AD$241)/1000</f>
        <v>0</v>
      </c>
      <c r="I222" s="88">
        <f>SUMIF($AB$223:$AB$241,"후원",$AD$223:$AD$241)/1000</f>
        <v>30948</v>
      </c>
      <c r="J222" s="88">
        <f>SUMIF($AB$223:$AB$241,"입소",$AD$223:$AD$241)/1000</f>
        <v>0</v>
      </c>
      <c r="K222" s="631">
        <f>SUMIF($AB$223:$AB$241,"법인",$AD$223:$AD$241)/1000</f>
        <v>19320</v>
      </c>
      <c r="L222" s="88">
        <f>SUMIF($AB$223:$AB$241,"잡수",$AD$223:$AD$241)/1000</f>
        <v>0</v>
      </c>
      <c r="M222" s="95">
        <f>E222-D222</f>
        <v>23184</v>
      </c>
      <c r="N222" s="676">
        <f>IF(D222=0,0,M222/D222)</f>
        <v>0.73740458015267174</v>
      </c>
      <c r="O222" s="235" t="s">
        <v>51</v>
      </c>
      <c r="P222" s="236"/>
      <c r="Q222" s="236"/>
      <c r="R222" s="236"/>
      <c r="S222" s="236"/>
      <c r="T222" s="237"/>
      <c r="U222" s="237"/>
      <c r="V222" s="237"/>
      <c r="W222" s="237"/>
      <c r="X222" s="237"/>
      <c r="Y222" s="238" t="s">
        <v>128</v>
      </c>
      <c r="Z222" s="238"/>
      <c r="AA222" s="238"/>
      <c r="AB222" s="238"/>
      <c r="AC222" s="239"/>
      <c r="AD222" s="239">
        <f>SUM(AD223:AD241)</f>
        <v>54624000</v>
      </c>
      <c r="AE222" s="127" t="s">
        <v>25</v>
      </c>
      <c r="AF222" s="495"/>
      <c r="AG222" s="526">
        <f t="shared" si="10"/>
        <v>54624000</v>
      </c>
    </row>
    <row r="223" spans="1:35" s="1" customFormat="1" ht="21" customHeight="1">
      <c r="A223" s="33"/>
      <c r="B223" s="34"/>
      <c r="C223" s="34" t="s">
        <v>141</v>
      </c>
      <c r="D223" s="493"/>
      <c r="E223" s="491"/>
      <c r="F223" s="491"/>
      <c r="G223" s="491"/>
      <c r="H223" s="491"/>
      <c r="I223" s="491"/>
      <c r="J223" s="491"/>
      <c r="K223" s="661"/>
      <c r="L223" s="491"/>
      <c r="M223" s="686"/>
      <c r="N223" s="675"/>
      <c r="O223" s="674" t="s">
        <v>799</v>
      </c>
      <c r="P223" s="674"/>
      <c r="Q223" s="674"/>
      <c r="R223" s="674"/>
      <c r="S223" s="673">
        <v>176000</v>
      </c>
      <c r="T223" s="406" t="s">
        <v>56</v>
      </c>
      <c r="U223" s="406" t="s">
        <v>26</v>
      </c>
      <c r="V223" s="673">
        <v>3</v>
      </c>
      <c r="W223" s="674" t="s">
        <v>0</v>
      </c>
      <c r="X223" s="673" t="s">
        <v>27</v>
      </c>
      <c r="Y223" s="673"/>
      <c r="Z223" s="673"/>
      <c r="AA223" s="673"/>
      <c r="AB223" s="673" t="s">
        <v>71</v>
      </c>
      <c r="AC223" s="673"/>
      <c r="AD223" s="673">
        <f>S223*V223</f>
        <v>528000</v>
      </c>
      <c r="AE223" s="103" t="s">
        <v>25</v>
      </c>
      <c r="AF223" s="495">
        <v>2112000</v>
      </c>
      <c r="AG223" s="526">
        <f t="shared" si="10"/>
        <v>-1584000</v>
      </c>
    </row>
    <row r="224" spans="1:35" s="1" customFormat="1" ht="21" customHeight="1">
      <c r="A224" s="33"/>
      <c r="B224" s="34"/>
      <c r="C224" s="34"/>
      <c r="D224" s="493"/>
      <c r="E224" s="491"/>
      <c r="F224" s="491"/>
      <c r="G224" s="491"/>
      <c r="H224" s="491"/>
      <c r="I224" s="491"/>
      <c r="J224" s="491"/>
      <c r="K224" s="661"/>
      <c r="L224" s="491"/>
      <c r="M224" s="686"/>
      <c r="N224" s="675"/>
      <c r="O224" s="674" t="s">
        <v>155</v>
      </c>
      <c r="P224" s="674"/>
      <c r="Q224" s="674"/>
      <c r="R224" s="674"/>
      <c r="S224" s="673">
        <v>220000</v>
      </c>
      <c r="T224" s="406" t="s">
        <v>56</v>
      </c>
      <c r="U224" s="406" t="s">
        <v>26</v>
      </c>
      <c r="V224" s="673">
        <v>8</v>
      </c>
      <c r="W224" s="674" t="s">
        <v>0</v>
      </c>
      <c r="X224" s="673" t="s">
        <v>27</v>
      </c>
      <c r="Y224" s="673"/>
      <c r="Z224" s="673"/>
      <c r="AA224" s="673"/>
      <c r="AB224" s="673" t="s">
        <v>71</v>
      </c>
      <c r="AC224" s="673"/>
      <c r="AD224" s="673">
        <f>S224*V224</f>
        <v>1760000</v>
      </c>
      <c r="AE224" s="103" t="s">
        <v>25</v>
      </c>
      <c r="AF224" s="495">
        <v>0</v>
      </c>
      <c r="AG224" s="526">
        <f t="shared" si="10"/>
        <v>1760000</v>
      </c>
    </row>
    <row r="225" spans="1:33" s="1" customFormat="1" ht="21" customHeight="1">
      <c r="A225" s="33"/>
      <c r="B225" s="34"/>
      <c r="C225" s="34"/>
      <c r="D225" s="493"/>
      <c r="E225" s="491"/>
      <c r="F225" s="491"/>
      <c r="G225" s="491"/>
      <c r="H225" s="491"/>
      <c r="I225" s="491"/>
      <c r="J225" s="491"/>
      <c r="K225" s="661"/>
      <c r="L225" s="491"/>
      <c r="M225" s="686"/>
      <c r="N225" s="675"/>
      <c r="O225" s="674"/>
      <c r="P225" s="674"/>
      <c r="Q225" s="674"/>
      <c r="R225" s="674"/>
      <c r="S225" s="673">
        <v>220000</v>
      </c>
      <c r="T225" s="406" t="s">
        <v>56</v>
      </c>
      <c r="U225" s="406" t="s">
        <v>26</v>
      </c>
      <c r="V225" s="673">
        <v>1</v>
      </c>
      <c r="W225" s="674" t="s">
        <v>735</v>
      </c>
      <c r="X225" s="673" t="s">
        <v>27</v>
      </c>
      <c r="Y225" s="673"/>
      <c r="Z225" s="673"/>
      <c r="AA225" s="673"/>
      <c r="AB225" s="673" t="s">
        <v>138</v>
      </c>
      <c r="AC225" s="673"/>
      <c r="AD225" s="673">
        <f>S225*V225</f>
        <v>220000</v>
      </c>
      <c r="AE225" s="103" t="s">
        <v>25</v>
      </c>
      <c r="AF225" s="495"/>
      <c r="AG225" s="526"/>
    </row>
    <row r="226" spans="1:33" s="1" customFormat="1" ht="21" customHeight="1">
      <c r="A226" s="33"/>
      <c r="B226" s="34"/>
      <c r="C226" s="34"/>
      <c r="D226" s="494"/>
      <c r="E226" s="492"/>
      <c r="F226" s="492"/>
      <c r="G226" s="492"/>
      <c r="H226" s="492"/>
      <c r="I226" s="492"/>
      <c r="J226" s="492"/>
      <c r="K226" s="662"/>
      <c r="L226" s="492"/>
      <c r="M226" s="686"/>
      <c r="N226" s="675"/>
      <c r="O226" s="674" t="s">
        <v>800</v>
      </c>
      <c r="P226" s="674"/>
      <c r="Q226" s="674"/>
      <c r="R226" s="674"/>
      <c r="S226" s="673">
        <v>140000</v>
      </c>
      <c r="T226" s="406" t="s">
        <v>56</v>
      </c>
      <c r="U226" s="406" t="s">
        <v>26</v>
      </c>
      <c r="V226" s="673">
        <v>11</v>
      </c>
      <c r="W226" s="674" t="s">
        <v>0</v>
      </c>
      <c r="X226" s="673" t="s">
        <v>27</v>
      </c>
      <c r="Y226" s="673"/>
      <c r="Z226" s="673"/>
      <c r="AA226" s="673"/>
      <c r="AB226" s="673" t="s">
        <v>71</v>
      </c>
      <c r="AC226" s="673"/>
      <c r="AD226" s="673">
        <f>S226*V226</f>
        <v>1540000</v>
      </c>
      <c r="AE226" s="103" t="s">
        <v>25</v>
      </c>
      <c r="AF226" s="495">
        <v>1680000</v>
      </c>
      <c r="AG226" s="526">
        <f>AD226-AF226</f>
        <v>-140000</v>
      </c>
    </row>
    <row r="227" spans="1:33" s="1" customFormat="1" ht="21" customHeight="1">
      <c r="A227" s="33"/>
      <c r="B227" s="34"/>
      <c r="C227" s="34"/>
      <c r="D227" s="494"/>
      <c r="E227" s="492"/>
      <c r="F227" s="492"/>
      <c r="G227" s="492"/>
      <c r="H227" s="492"/>
      <c r="I227" s="492"/>
      <c r="J227" s="492"/>
      <c r="K227" s="662"/>
      <c r="L227" s="492"/>
      <c r="M227" s="686"/>
      <c r="N227" s="675"/>
      <c r="O227" s="674"/>
      <c r="P227" s="674"/>
      <c r="Q227" s="674"/>
      <c r="R227" s="674"/>
      <c r="S227" s="673">
        <v>140000</v>
      </c>
      <c r="T227" s="406" t="s">
        <v>56</v>
      </c>
      <c r="U227" s="406" t="s">
        <v>26</v>
      </c>
      <c r="V227" s="673">
        <v>1</v>
      </c>
      <c r="W227" s="674" t="s">
        <v>0</v>
      </c>
      <c r="X227" s="673" t="s">
        <v>27</v>
      </c>
      <c r="Y227" s="673"/>
      <c r="Z227" s="673"/>
      <c r="AA227" s="673"/>
      <c r="AB227" s="673" t="s">
        <v>138</v>
      </c>
      <c r="AC227" s="673"/>
      <c r="AD227" s="673">
        <f>S227*V227</f>
        <v>140000</v>
      </c>
      <c r="AE227" s="103" t="s">
        <v>25</v>
      </c>
      <c r="AF227" s="495"/>
      <c r="AG227" s="526"/>
    </row>
    <row r="228" spans="1:33" s="1" customFormat="1" ht="21" customHeight="1">
      <c r="A228" s="33"/>
      <c r="B228" s="34"/>
      <c r="C228" s="34"/>
      <c r="D228" s="494"/>
      <c r="E228" s="492"/>
      <c r="F228" s="492"/>
      <c r="G228" s="492"/>
      <c r="H228" s="492"/>
      <c r="I228" s="492"/>
      <c r="J228" s="492"/>
      <c r="K228" s="662"/>
      <c r="L228" s="492"/>
      <c r="M228" s="686"/>
      <c r="N228" s="675"/>
      <c r="O228" s="674" t="s">
        <v>734</v>
      </c>
      <c r="P228" s="674"/>
      <c r="Q228" s="674"/>
      <c r="R228" s="674"/>
      <c r="S228" s="673"/>
      <c r="T228" s="406"/>
      <c r="U228" s="406"/>
      <c r="V228" s="673"/>
      <c r="W228" s="674"/>
      <c r="X228" s="673"/>
      <c r="Y228" s="673"/>
      <c r="Z228" s="673"/>
      <c r="AA228" s="673"/>
      <c r="AB228" s="673" t="s">
        <v>71</v>
      </c>
      <c r="AC228" s="673"/>
      <c r="AD228" s="673">
        <v>528000</v>
      </c>
      <c r="AE228" s="103" t="s">
        <v>25</v>
      </c>
      <c r="AF228" s="495">
        <v>0</v>
      </c>
      <c r="AG228" s="526">
        <f t="shared" ref="AG228:AG259" si="11">AD228-AF228</f>
        <v>528000</v>
      </c>
    </row>
    <row r="229" spans="1:33" s="1" customFormat="1" ht="21" customHeight="1">
      <c r="A229" s="33"/>
      <c r="B229" s="34"/>
      <c r="C229" s="34"/>
      <c r="D229" s="114"/>
      <c r="E229" s="83"/>
      <c r="F229" s="83"/>
      <c r="G229" s="83"/>
      <c r="H229" s="83"/>
      <c r="I229" s="83"/>
      <c r="J229" s="83"/>
      <c r="K229" s="628"/>
      <c r="L229" s="83"/>
      <c r="M229" s="686"/>
      <c r="N229" s="675"/>
      <c r="O229" s="674" t="s">
        <v>681</v>
      </c>
      <c r="P229" s="674"/>
      <c r="Q229" s="674"/>
      <c r="R229" s="674"/>
      <c r="S229" s="673"/>
      <c r="T229" s="406"/>
      <c r="U229" s="406"/>
      <c r="V229" s="673"/>
      <c r="W229" s="674"/>
      <c r="X229" s="673"/>
      <c r="Y229" s="314" t="s">
        <v>655</v>
      </c>
      <c r="Z229" s="673"/>
      <c r="AA229" s="673"/>
      <c r="AB229" s="673" t="s">
        <v>138</v>
      </c>
      <c r="AC229" s="673"/>
      <c r="AD229" s="673">
        <v>13130000</v>
      </c>
      <c r="AE229" s="103" t="s">
        <v>56</v>
      </c>
      <c r="AF229" s="495">
        <v>18300000</v>
      </c>
      <c r="AG229" s="526">
        <f t="shared" si="11"/>
        <v>-5170000</v>
      </c>
    </row>
    <row r="230" spans="1:33" s="1" customFormat="1" ht="21" customHeight="1">
      <c r="A230" s="33"/>
      <c r="B230" s="34"/>
      <c r="C230" s="34"/>
      <c r="D230" s="114"/>
      <c r="E230" s="83"/>
      <c r="F230" s="83"/>
      <c r="G230" s="83"/>
      <c r="H230" s="83"/>
      <c r="I230" s="83"/>
      <c r="J230" s="83"/>
      <c r="K230" s="628"/>
      <c r="L230" s="83"/>
      <c r="M230" s="686"/>
      <c r="N230" s="675"/>
      <c r="O230" s="674"/>
      <c r="P230" s="674"/>
      <c r="Q230" s="674"/>
      <c r="R230" s="674"/>
      <c r="S230" s="673"/>
      <c r="T230" s="406"/>
      <c r="U230" s="406"/>
      <c r="V230" s="673"/>
      <c r="W230" s="674"/>
      <c r="X230" s="673"/>
      <c r="Y230" s="314" t="s">
        <v>680</v>
      </c>
      <c r="Z230" s="673"/>
      <c r="AA230" s="673"/>
      <c r="AB230" s="673" t="s">
        <v>138</v>
      </c>
      <c r="AC230" s="673"/>
      <c r="AD230" s="673">
        <v>0</v>
      </c>
      <c r="AE230" s="103" t="s">
        <v>677</v>
      </c>
      <c r="AF230" s="495">
        <v>17592000</v>
      </c>
      <c r="AG230" s="526">
        <f t="shared" si="11"/>
        <v>-17592000</v>
      </c>
    </row>
    <row r="231" spans="1:33" s="1" customFormat="1" ht="21" customHeight="1">
      <c r="A231" s="33"/>
      <c r="B231" s="34"/>
      <c r="C231" s="34"/>
      <c r="D231" s="114"/>
      <c r="E231" s="83"/>
      <c r="F231" s="83"/>
      <c r="G231" s="83"/>
      <c r="H231" s="83"/>
      <c r="I231" s="83"/>
      <c r="J231" s="83"/>
      <c r="K231" s="628"/>
      <c r="L231" s="83"/>
      <c r="M231" s="686"/>
      <c r="N231" s="675"/>
      <c r="O231" s="674" t="s">
        <v>765</v>
      </c>
      <c r="P231" s="674"/>
      <c r="Q231" s="674"/>
      <c r="R231" s="674"/>
      <c r="S231" s="673"/>
      <c r="T231" s="406"/>
      <c r="U231" s="406"/>
      <c r="V231" s="673"/>
      <c r="W231" s="674"/>
      <c r="X231" s="673"/>
      <c r="Y231" s="314" t="s">
        <v>655</v>
      </c>
      <c r="Z231" s="673"/>
      <c r="AA231" s="673"/>
      <c r="AB231" s="673" t="s">
        <v>138</v>
      </c>
      <c r="AC231" s="673"/>
      <c r="AD231" s="673">
        <v>3850000</v>
      </c>
      <c r="AE231" s="103" t="s">
        <v>56</v>
      </c>
      <c r="AF231" s="495">
        <v>0</v>
      </c>
      <c r="AG231" s="526">
        <f t="shared" si="11"/>
        <v>3850000</v>
      </c>
    </row>
    <row r="232" spans="1:33" s="1" customFormat="1" ht="21" customHeight="1">
      <c r="A232" s="33"/>
      <c r="B232" s="34"/>
      <c r="C232" s="34"/>
      <c r="D232" s="114"/>
      <c r="E232" s="83"/>
      <c r="F232" s="83"/>
      <c r="G232" s="83"/>
      <c r="H232" s="83"/>
      <c r="I232" s="83"/>
      <c r="J232" s="83"/>
      <c r="K232" s="628"/>
      <c r="L232" s="83"/>
      <c r="M232" s="686"/>
      <c r="N232" s="675"/>
      <c r="O232" s="674" t="s">
        <v>764</v>
      </c>
      <c r="P232" s="674"/>
      <c r="Q232" s="674"/>
      <c r="R232" s="674"/>
      <c r="S232" s="673"/>
      <c r="T232" s="406"/>
      <c r="U232" s="406"/>
      <c r="V232" s="673"/>
      <c r="W232" s="674"/>
      <c r="X232" s="673"/>
      <c r="Y232" s="314" t="s">
        <v>655</v>
      </c>
      <c r="Z232" s="673"/>
      <c r="AA232" s="673"/>
      <c r="AB232" s="673" t="s">
        <v>138</v>
      </c>
      <c r="AC232" s="673"/>
      <c r="AD232" s="673">
        <v>1320000</v>
      </c>
      <c r="AE232" s="103" t="s">
        <v>56</v>
      </c>
      <c r="AF232" s="495">
        <v>0</v>
      </c>
      <c r="AG232" s="526">
        <f t="shared" si="11"/>
        <v>1320000</v>
      </c>
    </row>
    <row r="233" spans="1:33" s="1" customFormat="1" ht="21" customHeight="1">
      <c r="A233" s="33"/>
      <c r="B233" s="34"/>
      <c r="C233" s="34"/>
      <c r="D233" s="114"/>
      <c r="E233" s="83"/>
      <c r="F233" s="83"/>
      <c r="G233" s="83"/>
      <c r="H233" s="83"/>
      <c r="I233" s="83"/>
      <c r="J233" s="83"/>
      <c r="K233" s="628"/>
      <c r="L233" s="83"/>
      <c r="M233" s="686"/>
      <c r="N233" s="675"/>
      <c r="O233" s="674" t="s">
        <v>801</v>
      </c>
      <c r="P233" s="674"/>
      <c r="Q233" s="674"/>
      <c r="R233" s="674"/>
      <c r="S233" s="673"/>
      <c r="T233" s="406"/>
      <c r="U233" s="406"/>
      <c r="V233" s="673"/>
      <c r="W233" s="674"/>
      <c r="X233" s="673"/>
      <c r="Y233" s="673"/>
      <c r="Z233" s="673"/>
      <c r="AA233" s="673"/>
      <c r="AB233" s="673" t="s">
        <v>138</v>
      </c>
      <c r="AC233" s="673"/>
      <c r="AD233" s="673">
        <v>2640000</v>
      </c>
      <c r="AE233" s="103" t="s">
        <v>56</v>
      </c>
      <c r="AF233" s="495"/>
      <c r="AG233" s="526">
        <f t="shared" si="11"/>
        <v>2640000</v>
      </c>
    </row>
    <row r="234" spans="1:33" s="1" customFormat="1" ht="21" customHeight="1">
      <c r="A234" s="33"/>
      <c r="B234" s="34"/>
      <c r="C234" s="34"/>
      <c r="D234" s="114"/>
      <c r="E234" s="83"/>
      <c r="F234" s="83"/>
      <c r="G234" s="83"/>
      <c r="H234" s="83"/>
      <c r="I234" s="83"/>
      <c r="J234" s="83"/>
      <c r="K234" s="628"/>
      <c r="L234" s="83"/>
      <c r="M234" s="686"/>
      <c r="N234" s="675"/>
      <c r="O234" s="674" t="s">
        <v>802</v>
      </c>
      <c r="P234" s="674"/>
      <c r="Q234" s="674"/>
      <c r="R234" s="674"/>
      <c r="S234" s="673"/>
      <c r="T234" s="406"/>
      <c r="U234" s="406"/>
      <c r="V234" s="673"/>
      <c r="W234" s="674"/>
      <c r="X234" s="673"/>
      <c r="Y234" s="673"/>
      <c r="Z234" s="673"/>
      <c r="AA234" s="673"/>
      <c r="AB234" s="673" t="s">
        <v>219</v>
      </c>
      <c r="AC234" s="673"/>
      <c r="AD234" s="673">
        <v>0</v>
      </c>
      <c r="AE234" s="103" t="s">
        <v>56</v>
      </c>
      <c r="AF234" s="495"/>
      <c r="AG234" s="526">
        <f t="shared" si="11"/>
        <v>0</v>
      </c>
    </row>
    <row r="235" spans="1:33" s="1" customFormat="1" ht="21" customHeight="1">
      <c r="A235" s="33"/>
      <c r="B235" s="34"/>
      <c r="C235" s="34"/>
      <c r="D235" s="114"/>
      <c r="E235" s="83"/>
      <c r="F235" s="83"/>
      <c r="G235" s="83"/>
      <c r="H235" s="83"/>
      <c r="I235" s="83"/>
      <c r="J235" s="83"/>
      <c r="K235" s="628"/>
      <c r="L235" s="83"/>
      <c r="M235" s="686"/>
      <c r="N235" s="675"/>
      <c r="O235" s="674"/>
      <c r="P235" s="674"/>
      <c r="Q235" s="674"/>
      <c r="R235" s="674"/>
      <c r="S235" s="673"/>
      <c r="T235" s="406"/>
      <c r="U235" s="406"/>
      <c r="V235" s="673"/>
      <c r="W235" s="674"/>
      <c r="X235" s="673"/>
      <c r="Y235" s="673" t="s">
        <v>266</v>
      </c>
      <c r="Z235" s="673"/>
      <c r="AA235" s="673"/>
      <c r="AB235" s="673" t="s">
        <v>138</v>
      </c>
      <c r="AC235" s="673"/>
      <c r="AD235" s="673">
        <v>0</v>
      </c>
      <c r="AE235" s="103" t="s">
        <v>56</v>
      </c>
      <c r="AF235" s="495"/>
      <c r="AG235" s="526">
        <f t="shared" si="11"/>
        <v>0</v>
      </c>
    </row>
    <row r="236" spans="1:33" s="1" customFormat="1" ht="21" customHeight="1">
      <c r="A236" s="33"/>
      <c r="B236" s="34"/>
      <c r="C236" s="34"/>
      <c r="D236" s="114"/>
      <c r="E236" s="83"/>
      <c r="F236" s="83"/>
      <c r="G236" s="83"/>
      <c r="H236" s="83"/>
      <c r="I236" s="83"/>
      <c r="J236" s="83"/>
      <c r="K236" s="628"/>
      <c r="L236" s="83"/>
      <c r="M236" s="686"/>
      <c r="N236" s="675"/>
      <c r="O236" s="674" t="s">
        <v>766</v>
      </c>
      <c r="P236" s="674"/>
      <c r="Q236" s="674"/>
      <c r="R236" s="674"/>
      <c r="S236" s="673"/>
      <c r="T236" s="406"/>
      <c r="U236" s="406"/>
      <c r="V236" s="673"/>
      <c r="W236" s="674"/>
      <c r="X236" s="673"/>
      <c r="Y236" s="673"/>
      <c r="Z236" s="673"/>
      <c r="AA236" s="673"/>
      <c r="AB236" s="673" t="s">
        <v>153</v>
      </c>
      <c r="AC236" s="673"/>
      <c r="AD236" s="673">
        <v>4000000</v>
      </c>
      <c r="AE236" s="103" t="s">
        <v>56</v>
      </c>
      <c r="AF236" s="495">
        <v>0</v>
      </c>
      <c r="AG236" s="526">
        <f t="shared" si="11"/>
        <v>4000000</v>
      </c>
    </row>
    <row r="237" spans="1:33" s="1" customFormat="1" ht="21" customHeight="1">
      <c r="A237" s="33"/>
      <c r="B237" s="34"/>
      <c r="C237" s="34"/>
      <c r="D237" s="114"/>
      <c r="E237" s="83"/>
      <c r="F237" s="83"/>
      <c r="G237" s="83"/>
      <c r="H237" s="83"/>
      <c r="I237" s="83"/>
      <c r="J237" s="83"/>
      <c r="K237" s="628"/>
      <c r="L237" s="83"/>
      <c r="M237" s="686"/>
      <c r="N237" s="675"/>
      <c r="O237" s="674" t="s">
        <v>689</v>
      </c>
      <c r="P237" s="674"/>
      <c r="Q237" s="674"/>
      <c r="R237" s="674"/>
      <c r="S237" s="673"/>
      <c r="T237" s="406"/>
      <c r="U237" s="406"/>
      <c r="V237" s="673"/>
      <c r="W237" s="674"/>
      <c r="X237" s="673"/>
      <c r="Y237" s="673"/>
      <c r="Z237" s="673"/>
      <c r="AA237" s="673"/>
      <c r="AB237" s="673" t="s">
        <v>138</v>
      </c>
      <c r="AC237" s="673"/>
      <c r="AD237" s="673">
        <v>0</v>
      </c>
      <c r="AE237" s="103" t="s">
        <v>56</v>
      </c>
      <c r="AF237" s="495"/>
      <c r="AG237" s="526">
        <f t="shared" si="11"/>
        <v>0</v>
      </c>
    </row>
    <row r="238" spans="1:33" s="1" customFormat="1" ht="21" customHeight="1">
      <c r="A238" s="33"/>
      <c r="B238" s="34"/>
      <c r="C238" s="34"/>
      <c r="D238" s="114"/>
      <c r="E238" s="83"/>
      <c r="F238" s="83"/>
      <c r="G238" s="83"/>
      <c r="H238" s="83"/>
      <c r="I238" s="83"/>
      <c r="J238" s="83"/>
      <c r="K238" s="628"/>
      <c r="L238" s="83"/>
      <c r="M238" s="686"/>
      <c r="N238" s="675"/>
      <c r="O238" s="674" t="s">
        <v>682</v>
      </c>
      <c r="P238" s="674"/>
      <c r="Q238" s="674"/>
      <c r="R238" s="674"/>
      <c r="S238" s="673"/>
      <c r="T238" s="406"/>
      <c r="U238" s="406"/>
      <c r="V238" s="673"/>
      <c r="W238" s="674"/>
      <c r="X238" s="673"/>
      <c r="Y238" s="673"/>
      <c r="Z238" s="673"/>
      <c r="AA238" s="673"/>
      <c r="AB238" s="673" t="s">
        <v>138</v>
      </c>
      <c r="AC238" s="673"/>
      <c r="AD238" s="673">
        <v>0</v>
      </c>
      <c r="AE238" s="103" t="s">
        <v>56</v>
      </c>
      <c r="AF238" s="495"/>
      <c r="AG238" s="526">
        <f t="shared" si="11"/>
        <v>0</v>
      </c>
    </row>
    <row r="239" spans="1:33" s="1" customFormat="1" ht="21" customHeight="1">
      <c r="A239" s="33"/>
      <c r="B239" s="34"/>
      <c r="C239" s="34"/>
      <c r="D239" s="114"/>
      <c r="E239" s="83"/>
      <c r="F239" s="83"/>
      <c r="G239" s="83"/>
      <c r="H239" s="83"/>
      <c r="I239" s="83"/>
      <c r="J239" s="83"/>
      <c r="K239" s="628"/>
      <c r="L239" s="83"/>
      <c r="M239" s="686"/>
      <c r="N239" s="675"/>
      <c r="O239" s="674" t="s">
        <v>683</v>
      </c>
      <c r="P239" s="674"/>
      <c r="Q239" s="674"/>
      <c r="R239" s="674"/>
      <c r="S239" s="673"/>
      <c r="T239" s="406"/>
      <c r="U239" s="406"/>
      <c r="V239" s="673"/>
      <c r="W239" s="674"/>
      <c r="X239" s="673"/>
      <c r="Y239" s="673"/>
      <c r="Z239" s="673"/>
      <c r="AA239" s="673"/>
      <c r="AB239" s="673" t="s">
        <v>138</v>
      </c>
      <c r="AC239" s="673"/>
      <c r="AD239" s="673">
        <v>0</v>
      </c>
      <c r="AE239" s="103" t="s">
        <v>56</v>
      </c>
      <c r="AF239" s="495"/>
      <c r="AG239" s="526">
        <f t="shared" si="11"/>
        <v>0</v>
      </c>
    </row>
    <row r="240" spans="1:33" s="1" customFormat="1" ht="21" customHeight="1">
      <c r="A240" s="33"/>
      <c r="B240" s="34"/>
      <c r="C240" s="34"/>
      <c r="D240" s="114"/>
      <c r="E240" s="83"/>
      <c r="F240" s="83"/>
      <c r="G240" s="83"/>
      <c r="H240" s="83"/>
      <c r="I240" s="83"/>
      <c r="J240" s="83"/>
      <c r="K240" s="628"/>
      <c r="L240" s="83"/>
      <c r="M240" s="686"/>
      <c r="N240" s="675"/>
      <c r="O240" s="674" t="s">
        <v>803</v>
      </c>
      <c r="P240" s="674"/>
      <c r="Q240" s="674"/>
      <c r="R240" s="674"/>
      <c r="S240" s="673"/>
      <c r="T240" s="406"/>
      <c r="U240" s="406"/>
      <c r="V240" s="673"/>
      <c r="W240" s="674"/>
      <c r="X240" s="673"/>
      <c r="Y240" s="673"/>
      <c r="Z240" s="673"/>
      <c r="AA240" s="673"/>
      <c r="AB240" s="673" t="s">
        <v>138</v>
      </c>
      <c r="AC240" s="673"/>
      <c r="AD240" s="673">
        <v>9648000</v>
      </c>
      <c r="AE240" s="103" t="s">
        <v>56</v>
      </c>
      <c r="AF240" s="495">
        <v>10008000</v>
      </c>
      <c r="AG240" s="526">
        <f t="shared" si="11"/>
        <v>-360000</v>
      </c>
    </row>
    <row r="241" spans="1:35" s="1" customFormat="1" ht="21" customHeight="1">
      <c r="A241" s="33"/>
      <c r="B241" s="34"/>
      <c r="C241" s="34"/>
      <c r="D241" s="114"/>
      <c r="E241" s="83"/>
      <c r="F241" s="83"/>
      <c r="G241" s="83"/>
      <c r="H241" s="83"/>
      <c r="I241" s="83"/>
      <c r="J241" s="83"/>
      <c r="K241" s="628"/>
      <c r="L241" s="83"/>
      <c r="M241" s="686"/>
      <c r="N241" s="675"/>
      <c r="O241" s="674"/>
      <c r="P241" s="674"/>
      <c r="Q241" s="674"/>
      <c r="R241" s="674"/>
      <c r="S241" s="673"/>
      <c r="T241" s="406"/>
      <c r="U241" s="406"/>
      <c r="V241" s="673"/>
      <c r="W241" s="674"/>
      <c r="X241" s="673"/>
      <c r="Y241" s="673"/>
      <c r="Z241" s="673"/>
      <c r="AA241" s="673"/>
      <c r="AB241" s="673" t="s">
        <v>153</v>
      </c>
      <c r="AC241" s="673"/>
      <c r="AD241" s="673">
        <v>15320000</v>
      </c>
      <c r="AE241" s="103" t="s">
        <v>56</v>
      </c>
      <c r="AF241" s="495">
        <v>0</v>
      </c>
      <c r="AG241" s="526">
        <f t="shared" si="11"/>
        <v>15320000</v>
      </c>
    </row>
    <row r="242" spans="1:35" s="9" customFormat="1" ht="21" customHeight="1">
      <c r="A242" s="139" t="s">
        <v>19</v>
      </c>
      <c r="B242" s="798" t="s">
        <v>20</v>
      </c>
      <c r="C242" s="799"/>
      <c r="D242" s="140">
        <f t="shared" ref="D242:M242" si="12">SUM(D243,D283)</f>
        <v>406412</v>
      </c>
      <c r="E242" s="140">
        <f t="shared" si="12"/>
        <v>391439</v>
      </c>
      <c r="F242" s="140">
        <f t="shared" si="12"/>
        <v>112096</v>
      </c>
      <c r="G242" s="140">
        <f t="shared" si="12"/>
        <v>9000</v>
      </c>
      <c r="H242" s="140">
        <f t="shared" si="12"/>
        <v>21346</v>
      </c>
      <c r="I242" s="140">
        <f t="shared" si="12"/>
        <v>117839</v>
      </c>
      <c r="J242" s="140">
        <f t="shared" si="12"/>
        <v>126269</v>
      </c>
      <c r="K242" s="638">
        <f t="shared" si="12"/>
        <v>0</v>
      </c>
      <c r="L242" s="140">
        <f t="shared" si="12"/>
        <v>4889</v>
      </c>
      <c r="M242" s="693">
        <f t="shared" si="12"/>
        <v>-14973</v>
      </c>
      <c r="N242" s="694">
        <f>IF(D242=0,0,M242/D242)</f>
        <v>-3.6841923958938219E-2</v>
      </c>
      <c r="O242" s="236" t="s">
        <v>120</v>
      </c>
      <c r="P242" s="236"/>
      <c r="Q242" s="236"/>
      <c r="R242" s="236"/>
      <c r="S242" s="236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>
        <f>SUM(AD243,AD283)</f>
        <v>391439000</v>
      </c>
      <c r="AE242" s="73" t="s">
        <v>25</v>
      </c>
      <c r="AF242" s="495"/>
      <c r="AG242" s="526">
        <f t="shared" si="11"/>
        <v>391439000</v>
      </c>
    </row>
    <row r="243" spans="1:35" s="9" customFormat="1" ht="21" customHeight="1">
      <c r="A243" s="34"/>
      <c r="B243" s="24" t="s">
        <v>77</v>
      </c>
      <c r="C243" s="24" t="s">
        <v>131</v>
      </c>
      <c r="D243" s="87">
        <f t="shared" ref="D243:L243" si="13">SUM(D244,D263,D267,D270,D278)</f>
        <v>238812</v>
      </c>
      <c r="E243" s="87">
        <f t="shared" si="13"/>
        <v>247165</v>
      </c>
      <c r="F243" s="87">
        <f t="shared" si="13"/>
        <v>111596</v>
      </c>
      <c r="G243" s="87">
        <f t="shared" si="13"/>
        <v>6300</v>
      </c>
      <c r="H243" s="87">
        <f t="shared" si="13"/>
        <v>21346</v>
      </c>
      <c r="I243" s="87">
        <f t="shared" si="13"/>
        <v>7209</v>
      </c>
      <c r="J243" s="87">
        <f t="shared" si="13"/>
        <v>98804</v>
      </c>
      <c r="K243" s="630">
        <f t="shared" si="13"/>
        <v>0</v>
      </c>
      <c r="L243" s="87">
        <f t="shared" si="13"/>
        <v>1910</v>
      </c>
      <c r="M243" s="95">
        <f>E243-D243</f>
        <v>8353</v>
      </c>
      <c r="N243" s="676">
        <f>IF(D243=0,0,M243/D243)</f>
        <v>3.4977304323065846E-2</v>
      </c>
      <c r="O243" s="236"/>
      <c r="P243" s="236"/>
      <c r="Q243" s="236"/>
      <c r="R243" s="236"/>
      <c r="S243" s="236"/>
      <c r="T243" s="237"/>
      <c r="U243" s="237"/>
      <c r="V243" s="237"/>
      <c r="W243" s="237"/>
      <c r="X243" s="237"/>
      <c r="Y243" s="237" t="s">
        <v>28</v>
      </c>
      <c r="Z243" s="237"/>
      <c r="AA243" s="237"/>
      <c r="AB243" s="237"/>
      <c r="AC243" s="460"/>
      <c r="AD243" s="460">
        <f>SUM(AD244,AD263,AD267,AD270,AD278)</f>
        <v>247165000</v>
      </c>
      <c r="AE243" s="73" t="s">
        <v>25</v>
      </c>
      <c r="AF243" s="495"/>
      <c r="AG243" s="526">
        <f t="shared" si="11"/>
        <v>247165000</v>
      </c>
    </row>
    <row r="244" spans="1:35" s="9" customFormat="1" ht="21" customHeight="1">
      <c r="A244" s="34"/>
      <c r="B244" s="34"/>
      <c r="C244" s="24" t="s">
        <v>58</v>
      </c>
      <c r="D244" s="116">
        <v>197843</v>
      </c>
      <c r="E244" s="87">
        <f>AD244/1000</f>
        <v>202960</v>
      </c>
      <c r="F244" s="88">
        <f>SUMIF($AB$245:$AB$262,"보조",$AD$245:$AD$262)/1000</f>
        <v>87110</v>
      </c>
      <c r="G244" s="88">
        <f>SUMIF($AB$245:$AB$262,"7종",$AD$245:$AD$262)/1000</f>
        <v>0</v>
      </c>
      <c r="H244" s="88">
        <f>SUMIF($AB$245:$AB$262,"4종",$AD$245:$AD$262)/1000</f>
        <v>15106</v>
      </c>
      <c r="I244" s="88">
        <f>SUMIF($AB$245:$AB$262,"후원",$AD$245:$AD$262)/1000</f>
        <v>500</v>
      </c>
      <c r="J244" s="88">
        <f>SUMIF($AB$245:$AB$262,"입소",$AD$245:$AD$262)/1000</f>
        <v>98334</v>
      </c>
      <c r="K244" s="631">
        <f>SUMIF($AB$245:$AB$262,"법인",$AD$245:$AD$262)/1000</f>
        <v>0</v>
      </c>
      <c r="L244" s="88">
        <f>SUMIF($AB$245:$AB$262,"잡수",$AD$245:$AD$262)/1000</f>
        <v>1910</v>
      </c>
      <c r="M244" s="95">
        <f>E244-D244</f>
        <v>5117</v>
      </c>
      <c r="N244" s="676">
        <f>IF(D244=0,0,M244/D244)</f>
        <v>2.5863942621169311E-2</v>
      </c>
      <c r="O244" s="235" t="s">
        <v>78</v>
      </c>
      <c r="P244" s="236"/>
      <c r="Q244" s="236"/>
      <c r="R244" s="236"/>
      <c r="S244" s="236"/>
      <c r="T244" s="237"/>
      <c r="U244" s="237"/>
      <c r="V244" s="237"/>
      <c r="W244" s="237"/>
      <c r="X244" s="237"/>
      <c r="Y244" s="238" t="s">
        <v>128</v>
      </c>
      <c r="Z244" s="238"/>
      <c r="AA244" s="238"/>
      <c r="AB244" s="238"/>
      <c r="AC244" s="239"/>
      <c r="AD244" s="239">
        <f>SUM(AD245:AD262)</f>
        <v>202960000</v>
      </c>
      <c r="AE244" s="127" t="s">
        <v>25</v>
      </c>
      <c r="AF244" s="495"/>
      <c r="AG244" s="526">
        <f t="shared" si="11"/>
        <v>202960000</v>
      </c>
    </row>
    <row r="245" spans="1:35" s="9" customFormat="1" ht="21" customHeight="1">
      <c r="A245" s="34"/>
      <c r="B245" s="34"/>
      <c r="C245" s="34"/>
      <c r="D245" s="493"/>
      <c r="E245" s="491"/>
      <c r="F245" s="491"/>
      <c r="G245" s="491"/>
      <c r="H245" s="491"/>
      <c r="I245" s="491"/>
      <c r="J245" s="491"/>
      <c r="K245" s="661"/>
      <c r="L245" s="491"/>
      <c r="M245" s="686"/>
      <c r="N245" s="675"/>
      <c r="O245" s="674" t="s">
        <v>804</v>
      </c>
      <c r="P245" s="674"/>
      <c r="Q245" s="673"/>
      <c r="R245" s="673"/>
      <c r="S245" s="673">
        <v>287225</v>
      </c>
      <c r="T245" s="673" t="s">
        <v>56</v>
      </c>
      <c r="U245" s="406" t="s">
        <v>57</v>
      </c>
      <c r="V245" s="673">
        <v>12</v>
      </c>
      <c r="W245" s="673" t="s">
        <v>0</v>
      </c>
      <c r="X245" s="406" t="s">
        <v>57</v>
      </c>
      <c r="Y245" s="673">
        <v>23</v>
      </c>
      <c r="Z245" s="673" t="s">
        <v>55</v>
      </c>
      <c r="AA245" s="658" t="s">
        <v>53</v>
      </c>
      <c r="AB245" s="673" t="s">
        <v>71</v>
      </c>
      <c r="AC245" s="659"/>
      <c r="AD245" s="659">
        <f>ROUND(S245*V245*Y245,-3)</f>
        <v>79274000</v>
      </c>
      <c r="AE245" s="103" t="s">
        <v>25</v>
      </c>
      <c r="AF245" s="495"/>
      <c r="AG245" s="526">
        <f t="shared" si="11"/>
        <v>79274000</v>
      </c>
    </row>
    <row r="246" spans="1:35" s="9" customFormat="1" ht="21" customHeight="1">
      <c r="A246" s="34"/>
      <c r="B246" s="34"/>
      <c r="C246" s="34"/>
      <c r="D246" s="494"/>
      <c r="E246" s="492"/>
      <c r="F246" s="492"/>
      <c r="G246" s="492"/>
      <c r="H246" s="492"/>
      <c r="I246" s="492"/>
      <c r="J246" s="492"/>
      <c r="K246" s="662"/>
      <c r="L246" s="492"/>
      <c r="M246" s="686"/>
      <c r="N246" s="675"/>
      <c r="O246" s="674"/>
      <c r="P246" s="674"/>
      <c r="Q246" s="673"/>
      <c r="R246" s="673"/>
      <c r="S246" s="673">
        <v>287225</v>
      </c>
      <c r="T246" s="673" t="s">
        <v>56</v>
      </c>
      <c r="U246" s="406" t="s">
        <v>57</v>
      </c>
      <c r="V246" s="673">
        <v>9</v>
      </c>
      <c r="W246" s="673" t="s">
        <v>0</v>
      </c>
      <c r="X246" s="406" t="s">
        <v>57</v>
      </c>
      <c r="Y246" s="673">
        <v>1</v>
      </c>
      <c r="Z246" s="673" t="s">
        <v>55</v>
      </c>
      <c r="AA246" s="658" t="s">
        <v>53</v>
      </c>
      <c r="AB246" s="673" t="s">
        <v>71</v>
      </c>
      <c r="AC246" s="659"/>
      <c r="AD246" s="659">
        <f>ROUNDUP(S246*V246*Y246,-3)</f>
        <v>2586000</v>
      </c>
      <c r="AE246" s="103" t="s">
        <v>25</v>
      </c>
      <c r="AF246" s="495"/>
      <c r="AG246" s="526">
        <f t="shared" si="11"/>
        <v>2586000</v>
      </c>
    </row>
    <row r="247" spans="1:35" s="9" customFormat="1" ht="21" customHeight="1">
      <c r="A247" s="34"/>
      <c r="B247" s="34"/>
      <c r="C247" s="34"/>
      <c r="D247" s="84"/>
      <c r="E247" s="83"/>
      <c r="F247" s="83"/>
      <c r="G247" s="83"/>
      <c r="H247" s="83"/>
      <c r="I247" s="83"/>
      <c r="J247" s="83"/>
      <c r="K247" s="628"/>
      <c r="L247" s="83"/>
      <c r="M247" s="686"/>
      <c r="N247" s="675"/>
      <c r="O247" s="674"/>
      <c r="P247" s="674"/>
      <c r="Q247" s="673"/>
      <c r="R247" s="673"/>
      <c r="S247" s="673">
        <v>150000</v>
      </c>
      <c r="T247" s="673" t="s">
        <v>56</v>
      </c>
      <c r="U247" s="406" t="s">
        <v>57</v>
      </c>
      <c r="V247" s="673">
        <v>12</v>
      </c>
      <c r="W247" s="673" t="s">
        <v>0</v>
      </c>
      <c r="X247" s="406" t="s">
        <v>57</v>
      </c>
      <c r="Y247" s="673">
        <v>1</v>
      </c>
      <c r="Z247" s="673" t="s">
        <v>55</v>
      </c>
      <c r="AA247" s="658" t="s">
        <v>53</v>
      </c>
      <c r="AB247" s="673" t="s">
        <v>71</v>
      </c>
      <c r="AC247" s="659"/>
      <c r="AD247" s="659">
        <f>ROUNDUP(S247*V247*Y247,-3)</f>
        <v>1800000</v>
      </c>
      <c r="AE247" s="103" t="s">
        <v>25</v>
      </c>
      <c r="AF247" s="495"/>
      <c r="AG247" s="526">
        <f t="shared" si="11"/>
        <v>1800000</v>
      </c>
    </row>
    <row r="248" spans="1:35" s="9" customFormat="1" ht="21" customHeight="1">
      <c r="A248" s="34"/>
      <c r="B248" s="34"/>
      <c r="C248" s="34"/>
      <c r="D248" s="84"/>
      <c r="E248" s="83"/>
      <c r="F248" s="83"/>
      <c r="G248" s="83"/>
      <c r="H248" s="83"/>
      <c r="I248" s="83"/>
      <c r="J248" s="83"/>
      <c r="K248" s="628"/>
      <c r="L248" s="83"/>
      <c r="M248" s="686"/>
      <c r="N248" s="675"/>
      <c r="O248" s="674" t="s">
        <v>690</v>
      </c>
      <c r="P248" s="674"/>
      <c r="Q248" s="674"/>
      <c r="R248" s="674"/>
      <c r="S248" s="673">
        <v>287225</v>
      </c>
      <c r="T248" s="673" t="s">
        <v>56</v>
      </c>
      <c r="U248" s="406" t="s">
        <v>57</v>
      </c>
      <c r="V248" s="673">
        <v>12</v>
      </c>
      <c r="W248" s="673" t="s">
        <v>0</v>
      </c>
      <c r="X248" s="406" t="s">
        <v>57</v>
      </c>
      <c r="Y248" s="673">
        <v>28</v>
      </c>
      <c r="Z248" s="673" t="s">
        <v>55</v>
      </c>
      <c r="AA248" s="658" t="s">
        <v>53</v>
      </c>
      <c r="AB248" s="673" t="s">
        <v>220</v>
      </c>
      <c r="AC248" s="659"/>
      <c r="AD248" s="659">
        <f>ROUNDUP(S248*V248*Y248,-3)</f>
        <v>96508000</v>
      </c>
      <c r="AE248" s="103" t="s">
        <v>25</v>
      </c>
      <c r="AF248" s="495">
        <v>90066000</v>
      </c>
      <c r="AG248" s="563">
        <f t="shared" si="11"/>
        <v>6442000</v>
      </c>
      <c r="AH248" s="564"/>
      <c r="AI248" s="526"/>
    </row>
    <row r="249" spans="1:35" s="9" customFormat="1" ht="21" customHeight="1">
      <c r="A249" s="34"/>
      <c r="B249" s="34"/>
      <c r="C249" s="34"/>
      <c r="D249" s="84"/>
      <c r="E249" s="83"/>
      <c r="F249" s="83"/>
      <c r="G249" s="83"/>
      <c r="H249" s="83"/>
      <c r="I249" s="83"/>
      <c r="J249" s="83"/>
      <c r="K249" s="628"/>
      <c r="L249" s="83"/>
      <c r="M249" s="686"/>
      <c r="N249" s="675"/>
      <c r="O249" s="674" t="s">
        <v>691</v>
      </c>
      <c r="P249" s="674"/>
      <c r="Q249" s="673"/>
      <c r="R249" s="673"/>
      <c r="S249" s="673">
        <v>500</v>
      </c>
      <c r="T249" s="673" t="s">
        <v>56</v>
      </c>
      <c r="U249" s="406" t="s">
        <v>57</v>
      </c>
      <c r="V249" s="673">
        <v>365</v>
      </c>
      <c r="W249" s="673" t="s">
        <v>85</v>
      </c>
      <c r="X249" s="406" t="s">
        <v>57</v>
      </c>
      <c r="Y249" s="673">
        <v>52</v>
      </c>
      <c r="Z249" s="673" t="s">
        <v>55</v>
      </c>
      <c r="AA249" s="658" t="s">
        <v>53</v>
      </c>
      <c r="AB249" s="673" t="s">
        <v>159</v>
      </c>
      <c r="AC249" s="659"/>
      <c r="AD249" s="659">
        <f>ROUND(S249*V249*Y249,-3)</f>
        <v>9490000</v>
      </c>
      <c r="AE249" s="103" t="s">
        <v>25</v>
      </c>
      <c r="AF249" s="495"/>
      <c r="AG249" s="526">
        <f t="shared" si="11"/>
        <v>9490000</v>
      </c>
    </row>
    <row r="250" spans="1:35" s="9" customFormat="1" ht="21" customHeight="1">
      <c r="A250" s="34"/>
      <c r="B250" s="34"/>
      <c r="C250" s="34"/>
      <c r="D250" s="84"/>
      <c r="E250" s="83"/>
      <c r="F250" s="83"/>
      <c r="G250" s="83"/>
      <c r="H250" s="83"/>
      <c r="I250" s="83"/>
      <c r="J250" s="83"/>
      <c r="K250" s="628"/>
      <c r="L250" s="83"/>
      <c r="M250" s="686"/>
      <c r="N250" s="675"/>
      <c r="O250" s="674" t="s">
        <v>692</v>
      </c>
      <c r="P250" s="674"/>
      <c r="Q250" s="673"/>
      <c r="R250" s="673"/>
      <c r="S250" s="673">
        <v>5000</v>
      </c>
      <c r="T250" s="673" t="s">
        <v>56</v>
      </c>
      <c r="U250" s="406" t="s">
        <v>57</v>
      </c>
      <c r="V250" s="673">
        <v>12</v>
      </c>
      <c r="W250" s="673" t="s">
        <v>29</v>
      </c>
      <c r="X250" s="406" t="s">
        <v>57</v>
      </c>
      <c r="Y250" s="673">
        <v>52</v>
      </c>
      <c r="Z250" s="673" t="s">
        <v>55</v>
      </c>
      <c r="AA250" s="658" t="s">
        <v>53</v>
      </c>
      <c r="AB250" s="673" t="s">
        <v>159</v>
      </c>
      <c r="AC250" s="659"/>
      <c r="AD250" s="659">
        <f>S250*V250*Y250</f>
        <v>3120000</v>
      </c>
      <c r="AE250" s="103" t="s">
        <v>25</v>
      </c>
      <c r="AF250" s="495"/>
      <c r="AG250" s="526">
        <f t="shared" si="11"/>
        <v>3120000</v>
      </c>
    </row>
    <row r="251" spans="1:35" s="9" customFormat="1" ht="21" customHeight="1">
      <c r="A251" s="34"/>
      <c r="B251" s="34"/>
      <c r="C251" s="34"/>
      <c r="D251" s="84"/>
      <c r="E251" s="83"/>
      <c r="F251" s="83"/>
      <c r="G251" s="83"/>
      <c r="H251" s="83"/>
      <c r="I251" s="83"/>
      <c r="J251" s="83"/>
      <c r="K251" s="628"/>
      <c r="L251" s="83"/>
      <c r="M251" s="686"/>
      <c r="N251" s="675"/>
      <c r="O251" s="674" t="s">
        <v>693</v>
      </c>
      <c r="P251" s="674"/>
      <c r="Q251" s="673"/>
      <c r="R251" s="673"/>
      <c r="S251" s="673">
        <v>12000</v>
      </c>
      <c r="T251" s="673" t="s">
        <v>56</v>
      </c>
      <c r="U251" s="406" t="s">
        <v>57</v>
      </c>
      <c r="V251" s="673">
        <v>4</v>
      </c>
      <c r="W251" s="673" t="s">
        <v>62</v>
      </c>
      <c r="X251" s="406" t="s">
        <v>57</v>
      </c>
      <c r="Y251" s="673">
        <v>52</v>
      </c>
      <c r="Z251" s="673" t="s">
        <v>55</v>
      </c>
      <c r="AA251" s="658" t="s">
        <v>53</v>
      </c>
      <c r="AB251" s="673" t="s">
        <v>159</v>
      </c>
      <c r="AC251" s="659"/>
      <c r="AD251" s="659">
        <f>S251*V251*Y251</f>
        <v>2496000</v>
      </c>
      <c r="AE251" s="103" t="s">
        <v>25</v>
      </c>
      <c r="AF251" s="495"/>
      <c r="AG251" s="526">
        <f t="shared" si="11"/>
        <v>2496000</v>
      </c>
    </row>
    <row r="252" spans="1:35" s="9" customFormat="1" ht="21" customHeight="1">
      <c r="A252" s="34"/>
      <c r="B252" s="34"/>
      <c r="C252" s="34"/>
      <c r="D252" s="84"/>
      <c r="E252" s="83"/>
      <c r="F252" s="83"/>
      <c r="G252" s="83"/>
      <c r="H252" s="83"/>
      <c r="I252" s="83"/>
      <c r="J252" s="83"/>
      <c r="K252" s="628"/>
      <c r="L252" s="83"/>
      <c r="M252" s="686"/>
      <c r="N252" s="675"/>
      <c r="O252" s="674" t="s">
        <v>805</v>
      </c>
      <c r="P252" s="674"/>
      <c r="Q252" s="673"/>
      <c r="R252" s="673"/>
      <c r="S252" s="673">
        <v>50000</v>
      </c>
      <c r="T252" s="673" t="s">
        <v>56</v>
      </c>
      <c r="U252" s="406" t="s">
        <v>57</v>
      </c>
      <c r="V252" s="673">
        <v>2</v>
      </c>
      <c r="W252" s="673" t="s">
        <v>62</v>
      </c>
      <c r="X252" s="406" t="s">
        <v>57</v>
      </c>
      <c r="Y252" s="673">
        <v>24</v>
      </c>
      <c r="Z252" s="673" t="s">
        <v>55</v>
      </c>
      <c r="AA252" s="658" t="s">
        <v>53</v>
      </c>
      <c r="AB252" s="673" t="s">
        <v>71</v>
      </c>
      <c r="AC252" s="659"/>
      <c r="AD252" s="659">
        <f>ROUNDUP(S252*V252*Y252,-3)</f>
        <v>2400000</v>
      </c>
      <c r="AE252" s="103" t="s">
        <v>25</v>
      </c>
      <c r="AF252" s="495"/>
      <c r="AG252" s="526">
        <f t="shared" si="11"/>
        <v>2400000</v>
      </c>
    </row>
    <row r="253" spans="1:35" s="9" customFormat="1" ht="21" customHeight="1">
      <c r="A253" s="34"/>
      <c r="B253" s="34"/>
      <c r="C253" s="34"/>
      <c r="D253" s="84"/>
      <c r="E253" s="83"/>
      <c r="F253" s="83"/>
      <c r="G253" s="83"/>
      <c r="H253" s="83"/>
      <c r="I253" s="83"/>
      <c r="J253" s="83"/>
      <c r="K253" s="628"/>
      <c r="L253" s="83"/>
      <c r="M253" s="686"/>
      <c r="N253" s="675"/>
      <c r="O253" s="674"/>
      <c r="P253" s="674"/>
      <c r="Q253" s="673"/>
      <c r="R253" s="673"/>
      <c r="S253" s="673">
        <v>50000</v>
      </c>
      <c r="T253" s="673" t="s">
        <v>56</v>
      </c>
      <c r="U253" s="406" t="s">
        <v>57</v>
      </c>
      <c r="V253" s="673">
        <v>1</v>
      </c>
      <c r="W253" s="673" t="s">
        <v>62</v>
      </c>
      <c r="X253" s="406" t="s">
        <v>57</v>
      </c>
      <c r="Y253" s="673">
        <v>1</v>
      </c>
      <c r="Z253" s="673" t="s">
        <v>55</v>
      </c>
      <c r="AA253" s="658" t="s">
        <v>53</v>
      </c>
      <c r="AB253" s="673" t="s">
        <v>71</v>
      </c>
      <c r="AC253" s="659"/>
      <c r="AD253" s="659">
        <f>ROUNDUP(S253*V253*Y253,-3)</f>
        <v>50000</v>
      </c>
      <c r="AE253" s="103" t="s">
        <v>25</v>
      </c>
      <c r="AF253" s="495"/>
      <c r="AG253" s="526">
        <f t="shared" si="11"/>
        <v>50000</v>
      </c>
    </row>
    <row r="254" spans="1:35" s="9" customFormat="1" ht="21" customHeight="1">
      <c r="A254" s="34"/>
      <c r="B254" s="34"/>
      <c r="C254" s="34"/>
      <c r="D254" s="114"/>
      <c r="E254" s="83"/>
      <c r="F254" s="83"/>
      <c r="G254" s="83"/>
      <c r="H254" s="83"/>
      <c r="I254" s="83"/>
      <c r="J254" s="83"/>
      <c r="K254" s="628"/>
      <c r="L254" s="83"/>
      <c r="M254" s="686"/>
      <c r="N254" s="675"/>
      <c r="O254" s="674" t="s">
        <v>694</v>
      </c>
      <c r="P254" s="674"/>
      <c r="Q254" s="673"/>
      <c r="R254" s="673"/>
      <c r="S254" s="673">
        <v>40000</v>
      </c>
      <c r="T254" s="673" t="s">
        <v>56</v>
      </c>
      <c r="U254" s="406" t="s">
        <v>57</v>
      </c>
      <c r="V254" s="673">
        <v>1</v>
      </c>
      <c r="W254" s="673" t="s">
        <v>62</v>
      </c>
      <c r="X254" s="406" t="s">
        <v>57</v>
      </c>
      <c r="Y254" s="673">
        <v>25</v>
      </c>
      <c r="Z254" s="673" t="s">
        <v>55</v>
      </c>
      <c r="AA254" s="658" t="s">
        <v>53</v>
      </c>
      <c r="AB254" s="673" t="s">
        <v>71</v>
      </c>
      <c r="AC254" s="659"/>
      <c r="AD254" s="659">
        <f>ROUNDUP(S254*V254*Y254,-3)</f>
        <v>1000000</v>
      </c>
      <c r="AE254" s="103" t="s">
        <v>25</v>
      </c>
      <c r="AF254" s="495"/>
      <c r="AG254" s="526">
        <f t="shared" si="11"/>
        <v>1000000</v>
      </c>
    </row>
    <row r="255" spans="1:35" s="9" customFormat="1" ht="21" customHeight="1">
      <c r="A255" s="34"/>
      <c r="B255" s="34"/>
      <c r="C255" s="34"/>
      <c r="D255" s="114"/>
      <c r="E255" s="83"/>
      <c r="F255" s="83"/>
      <c r="G255" s="83"/>
      <c r="H255" s="83"/>
      <c r="I255" s="83"/>
      <c r="J255" s="83"/>
      <c r="K255" s="628"/>
      <c r="L255" s="83"/>
      <c r="M255" s="686"/>
      <c r="N255" s="675"/>
      <c r="O255" s="674" t="s">
        <v>699</v>
      </c>
      <c r="P255" s="674"/>
      <c r="Q255" s="673"/>
      <c r="R255" s="673"/>
      <c r="S255" s="673">
        <v>40000</v>
      </c>
      <c r="T255" s="673" t="s">
        <v>56</v>
      </c>
      <c r="U255" s="406" t="s">
        <v>57</v>
      </c>
      <c r="V255" s="673">
        <v>1</v>
      </c>
      <c r="W255" s="673" t="s">
        <v>62</v>
      </c>
      <c r="X255" s="406" t="s">
        <v>57</v>
      </c>
      <c r="Y255" s="673">
        <v>27</v>
      </c>
      <c r="Z255" s="673" t="s">
        <v>55</v>
      </c>
      <c r="AA255" s="658" t="s">
        <v>53</v>
      </c>
      <c r="AB255" s="673" t="s">
        <v>220</v>
      </c>
      <c r="AC255" s="659"/>
      <c r="AD255" s="659">
        <f>ROUND(S255*V255*Y255,-3)</f>
        <v>1080000</v>
      </c>
      <c r="AE255" s="103" t="s">
        <v>56</v>
      </c>
      <c r="AF255" s="495">
        <v>1120000</v>
      </c>
      <c r="AG255" s="563">
        <f t="shared" si="11"/>
        <v>-40000</v>
      </c>
    </row>
    <row r="256" spans="1:35" s="9" customFormat="1" ht="21" customHeight="1">
      <c r="A256" s="34"/>
      <c r="B256" s="34"/>
      <c r="C256" s="34"/>
      <c r="D256" s="114"/>
      <c r="E256" s="83"/>
      <c r="F256" s="83"/>
      <c r="G256" s="83"/>
      <c r="H256" s="83"/>
      <c r="I256" s="83"/>
      <c r="J256" s="83"/>
      <c r="K256" s="628"/>
      <c r="L256" s="83"/>
      <c r="M256" s="686"/>
      <c r="N256" s="675"/>
      <c r="O256" s="674" t="s">
        <v>700</v>
      </c>
      <c r="P256" s="678"/>
      <c r="Q256" s="673"/>
      <c r="R256" s="673"/>
      <c r="S256" s="673"/>
      <c r="T256" s="673"/>
      <c r="U256" s="406"/>
      <c r="V256" s="673"/>
      <c r="W256" s="673"/>
      <c r="X256" s="406"/>
      <c r="Y256" s="673"/>
      <c r="Z256" s="673"/>
      <c r="AA256" s="658"/>
      <c r="AB256" s="673" t="s">
        <v>220</v>
      </c>
      <c r="AC256" s="659"/>
      <c r="AD256" s="659">
        <v>746000</v>
      </c>
      <c r="AE256" s="103" t="s">
        <v>56</v>
      </c>
      <c r="AF256" s="495"/>
      <c r="AG256" s="526">
        <f t="shared" si="11"/>
        <v>746000</v>
      </c>
    </row>
    <row r="257" spans="1:34" s="9" customFormat="1" ht="21" customHeight="1">
      <c r="A257" s="34"/>
      <c r="B257" s="34"/>
      <c r="C257" s="34"/>
      <c r="D257" s="114"/>
      <c r="E257" s="83"/>
      <c r="F257" s="83"/>
      <c r="G257" s="83"/>
      <c r="H257" s="83"/>
      <c r="I257" s="83"/>
      <c r="J257" s="83"/>
      <c r="K257" s="628"/>
      <c r="L257" s="83"/>
      <c r="M257" s="686"/>
      <c r="N257" s="675"/>
      <c r="O257" s="674"/>
      <c r="P257" s="674"/>
      <c r="Q257" s="673"/>
      <c r="R257" s="673"/>
      <c r="S257" s="673"/>
      <c r="T257" s="673"/>
      <c r="U257" s="406"/>
      <c r="V257" s="673"/>
      <c r="W257" s="673"/>
      <c r="X257" s="406"/>
      <c r="Y257" s="673"/>
      <c r="Z257" s="673"/>
      <c r="AA257" s="658"/>
      <c r="AB257" s="673" t="s">
        <v>86</v>
      </c>
      <c r="AC257" s="659"/>
      <c r="AD257" s="659">
        <v>1910000</v>
      </c>
      <c r="AE257" s="103" t="s">
        <v>56</v>
      </c>
      <c r="AF257" s="495">
        <v>3195000</v>
      </c>
      <c r="AG257" s="526">
        <f t="shared" si="11"/>
        <v>-1285000</v>
      </c>
    </row>
    <row r="258" spans="1:34" s="9" customFormat="1" ht="21" customHeight="1">
      <c r="A258" s="34"/>
      <c r="B258" s="34"/>
      <c r="C258" s="34"/>
      <c r="D258" s="114"/>
      <c r="E258" s="83"/>
      <c r="F258" s="83"/>
      <c r="G258" s="83"/>
      <c r="H258" s="83"/>
      <c r="I258" s="83"/>
      <c r="J258" s="83"/>
      <c r="K258" s="628"/>
      <c r="L258" s="83"/>
      <c r="M258" s="686"/>
      <c r="N258" s="675"/>
      <c r="O258" s="640" t="s">
        <v>238</v>
      </c>
      <c r="P258" s="673"/>
      <c r="Q258" s="673"/>
      <c r="R258" s="673"/>
      <c r="S258" s="673"/>
      <c r="T258" s="673" t="s">
        <v>56</v>
      </c>
      <c r="U258" s="406" t="s">
        <v>57</v>
      </c>
      <c r="V258" s="673">
        <v>38</v>
      </c>
      <c r="W258" s="674" t="s">
        <v>55</v>
      </c>
      <c r="X258" s="406" t="s">
        <v>57</v>
      </c>
      <c r="Y258" s="673">
        <v>12</v>
      </c>
      <c r="Z258" s="673" t="s">
        <v>0</v>
      </c>
      <c r="AA258" s="658" t="s">
        <v>53</v>
      </c>
      <c r="AB258" s="658" t="s">
        <v>86</v>
      </c>
      <c r="AC258" s="674"/>
      <c r="AD258" s="673">
        <f>ROUND(S258*V258*Y258,-3)</f>
        <v>0</v>
      </c>
      <c r="AE258" s="103" t="s">
        <v>56</v>
      </c>
      <c r="AF258" s="495"/>
      <c r="AG258" s="526">
        <f t="shared" si="11"/>
        <v>0</v>
      </c>
    </row>
    <row r="259" spans="1:34" s="9" customFormat="1" ht="21" customHeight="1">
      <c r="A259" s="34"/>
      <c r="B259" s="34"/>
      <c r="C259" s="34"/>
      <c r="D259" s="114"/>
      <c r="E259" s="83"/>
      <c r="F259" s="83"/>
      <c r="G259" s="83"/>
      <c r="H259" s="83"/>
      <c r="I259" s="83"/>
      <c r="J259" s="83"/>
      <c r="K259" s="628"/>
      <c r="L259" s="83"/>
      <c r="M259" s="686"/>
      <c r="N259" s="675"/>
      <c r="O259" s="674" t="s">
        <v>695</v>
      </c>
      <c r="P259" s="674"/>
      <c r="Q259" s="674"/>
      <c r="R259" s="674"/>
      <c r="S259" s="673"/>
      <c r="T259" s="406" t="s">
        <v>56</v>
      </c>
      <c r="U259" s="406" t="s">
        <v>26</v>
      </c>
      <c r="V259" s="673">
        <v>10</v>
      </c>
      <c r="W259" s="673" t="s">
        <v>55</v>
      </c>
      <c r="X259" s="406" t="s">
        <v>26</v>
      </c>
      <c r="Y259" s="673">
        <v>12</v>
      </c>
      <c r="Z259" s="673" t="s">
        <v>0</v>
      </c>
      <c r="AA259" s="658" t="s">
        <v>27</v>
      </c>
      <c r="AB259" s="673" t="s">
        <v>86</v>
      </c>
      <c r="AC259" s="673"/>
      <c r="AD259" s="673">
        <f>S259*V259*Y259</f>
        <v>0</v>
      </c>
      <c r="AE259" s="311" t="s">
        <v>56</v>
      </c>
      <c r="AF259" s="495"/>
      <c r="AG259" s="526">
        <f t="shared" si="11"/>
        <v>0</v>
      </c>
    </row>
    <row r="260" spans="1:34" s="9" customFormat="1" ht="21" customHeight="1">
      <c r="A260" s="34"/>
      <c r="B260" s="34"/>
      <c r="C260" s="34"/>
      <c r="D260" s="114"/>
      <c r="E260" s="83"/>
      <c r="F260" s="83"/>
      <c r="G260" s="83"/>
      <c r="H260" s="83"/>
      <c r="I260" s="83"/>
      <c r="J260" s="83"/>
      <c r="K260" s="628"/>
      <c r="L260" s="83"/>
      <c r="M260" s="686"/>
      <c r="N260" s="675"/>
      <c r="O260" s="674" t="s">
        <v>312</v>
      </c>
      <c r="P260" s="674"/>
      <c r="Q260" s="674"/>
      <c r="R260" s="674"/>
      <c r="S260" s="673">
        <v>60000</v>
      </c>
      <c r="T260" s="406" t="s">
        <v>56</v>
      </c>
      <c r="U260" s="406" t="s">
        <v>26</v>
      </c>
      <c r="V260" s="673">
        <v>21</v>
      </c>
      <c r="W260" s="673" t="s">
        <v>55</v>
      </c>
      <c r="X260" s="406" t="s">
        <v>26</v>
      </c>
      <c r="Y260" s="673">
        <v>12</v>
      </c>
      <c r="Z260" s="673" t="s">
        <v>0</v>
      </c>
      <c r="AA260" s="658" t="s">
        <v>27</v>
      </c>
      <c r="AB260" s="673" t="s">
        <v>86</v>
      </c>
      <c r="AC260" s="673"/>
      <c r="AD260" s="673">
        <v>0</v>
      </c>
      <c r="AE260" s="311" t="s">
        <v>56</v>
      </c>
      <c r="AF260" s="495"/>
      <c r="AG260" s="526">
        <f t="shared" ref="AG260:AG291" si="14">AD260-AF260</f>
        <v>0</v>
      </c>
    </row>
    <row r="261" spans="1:34" s="9" customFormat="1" ht="21" customHeight="1">
      <c r="A261" s="34"/>
      <c r="B261" s="34"/>
      <c r="C261" s="34"/>
      <c r="D261" s="114"/>
      <c r="E261" s="83"/>
      <c r="F261" s="83"/>
      <c r="G261" s="83"/>
      <c r="H261" s="83"/>
      <c r="I261" s="83"/>
      <c r="J261" s="83"/>
      <c r="K261" s="628"/>
      <c r="L261" s="83"/>
      <c r="M261" s="686"/>
      <c r="N261" s="675"/>
      <c r="O261" s="674" t="s">
        <v>696</v>
      </c>
      <c r="P261" s="674"/>
      <c r="Q261" s="674"/>
      <c r="R261" s="674"/>
      <c r="S261" s="673"/>
      <c r="T261" s="406" t="s">
        <v>56</v>
      </c>
      <c r="U261" s="406" t="s">
        <v>26</v>
      </c>
      <c r="V261" s="673"/>
      <c r="W261" s="673" t="s">
        <v>55</v>
      </c>
      <c r="X261" s="406" t="s">
        <v>26</v>
      </c>
      <c r="Y261" s="673"/>
      <c r="Z261" s="673" t="s">
        <v>0</v>
      </c>
      <c r="AA261" s="658" t="s">
        <v>27</v>
      </c>
      <c r="AB261" s="673" t="s">
        <v>138</v>
      </c>
      <c r="AC261" s="673"/>
      <c r="AD261" s="673">
        <v>500000</v>
      </c>
      <c r="AE261" s="311" t="s">
        <v>56</v>
      </c>
      <c r="AF261" s="495"/>
      <c r="AG261" s="526">
        <f t="shared" si="14"/>
        <v>500000</v>
      </c>
    </row>
    <row r="262" spans="1:34" s="9" customFormat="1" ht="21" customHeight="1">
      <c r="A262" s="34"/>
      <c r="B262" s="34"/>
      <c r="C262" s="44"/>
      <c r="D262" s="115"/>
      <c r="E262" s="85"/>
      <c r="F262" s="85"/>
      <c r="G262" s="85"/>
      <c r="H262" s="85"/>
      <c r="I262" s="85"/>
      <c r="J262" s="85"/>
      <c r="K262" s="629"/>
      <c r="L262" s="85"/>
      <c r="M262" s="687"/>
      <c r="N262" s="680"/>
      <c r="O262" s="436"/>
      <c r="P262" s="436"/>
      <c r="Q262" s="436"/>
      <c r="R262" s="436"/>
      <c r="S262" s="436"/>
      <c r="T262" s="436"/>
      <c r="U262" s="436"/>
      <c r="V262" s="436"/>
      <c r="W262" s="436"/>
      <c r="X262" s="436"/>
      <c r="Y262" s="436"/>
      <c r="Z262" s="436"/>
      <c r="AA262" s="436"/>
      <c r="AB262" s="436"/>
      <c r="AC262" s="436"/>
      <c r="AD262" s="455"/>
      <c r="AE262" s="96"/>
      <c r="AF262" s="495"/>
      <c r="AG262" s="526">
        <f t="shared" si="14"/>
        <v>0</v>
      </c>
    </row>
    <row r="263" spans="1:34" s="9" customFormat="1" ht="21" customHeight="1">
      <c r="A263" s="34"/>
      <c r="B263" s="34"/>
      <c r="C263" s="34" t="s">
        <v>79</v>
      </c>
      <c r="D263" s="114">
        <v>6650</v>
      </c>
      <c r="E263" s="83">
        <f>ROUND(AD263/1000,0)</f>
        <v>5396</v>
      </c>
      <c r="F263" s="88">
        <f>SUMIF($AB$264:$AB$266,"보조",$AD$264:$AD$266)/1000</f>
        <v>4786</v>
      </c>
      <c r="G263" s="88">
        <f>SUMIF($AB$264:$AB$266,"7종",$AD$264:$AD$266)/1000</f>
        <v>0</v>
      </c>
      <c r="H263" s="88">
        <f>SUMIF($AB$264:$AB$266,"4종",$AD$264:$AD$266)/1000</f>
        <v>0</v>
      </c>
      <c r="I263" s="88">
        <f>SUMIF($AB$264:$AB$266,"후원",$AD$264:$AD$266)/1000</f>
        <v>610</v>
      </c>
      <c r="J263" s="88">
        <f>SUMIF($AB$264:$AB$266,"입소",$AD$264:$AD$266)/1000</f>
        <v>0</v>
      </c>
      <c r="K263" s="631">
        <f>SUMIF($AB$264:$AB$266,"법인",$AD$264:$AD$266)/1000</f>
        <v>0</v>
      </c>
      <c r="L263" s="88">
        <f>SUMIF($AB$264:$AB$266,"잡수",$AD$264:$AD$266)/1000</f>
        <v>0</v>
      </c>
      <c r="M263" s="686">
        <f>E263-D263</f>
        <v>-1254</v>
      </c>
      <c r="N263" s="675">
        <f>IF(D263=0,0,M263/D263)</f>
        <v>-0.18857142857142858</v>
      </c>
      <c r="O263" s="235" t="s">
        <v>80</v>
      </c>
      <c r="P263" s="236"/>
      <c r="Q263" s="236"/>
      <c r="R263" s="236"/>
      <c r="S263" s="236"/>
      <c r="T263" s="237"/>
      <c r="U263" s="237"/>
      <c r="V263" s="237"/>
      <c r="W263" s="237"/>
      <c r="X263" s="237"/>
      <c r="Y263" s="238" t="s">
        <v>128</v>
      </c>
      <c r="Z263" s="238"/>
      <c r="AA263" s="238"/>
      <c r="AB263" s="238"/>
      <c r="AC263" s="239"/>
      <c r="AD263" s="239">
        <f>SUM(AD264:AD266)</f>
        <v>5396000</v>
      </c>
      <c r="AE263" s="127" t="s">
        <v>25</v>
      </c>
      <c r="AF263" s="495"/>
      <c r="AG263" s="526">
        <f t="shared" si="14"/>
        <v>5396000</v>
      </c>
    </row>
    <row r="264" spans="1:34" s="9" customFormat="1" ht="21" customHeight="1">
      <c r="A264" s="34"/>
      <c r="B264" s="34"/>
      <c r="C264" s="34" t="s">
        <v>134</v>
      </c>
      <c r="D264" s="493"/>
      <c r="E264" s="491"/>
      <c r="F264" s="491"/>
      <c r="G264" s="491"/>
      <c r="H264" s="491"/>
      <c r="I264" s="491"/>
      <c r="J264" s="491"/>
      <c r="K264" s="661"/>
      <c r="L264" s="491"/>
      <c r="M264" s="686"/>
      <c r="N264" s="675"/>
      <c r="O264" s="674" t="s">
        <v>185</v>
      </c>
      <c r="P264" s="674"/>
      <c r="Q264" s="674"/>
      <c r="R264" s="674"/>
      <c r="S264" s="673"/>
      <c r="T264" s="406"/>
      <c r="U264" s="406"/>
      <c r="V264" s="673"/>
      <c r="W264" s="673"/>
      <c r="X264" s="673"/>
      <c r="Y264" s="673"/>
      <c r="Z264" s="673"/>
      <c r="AA264" s="673"/>
      <c r="AB264" s="673" t="s">
        <v>71</v>
      </c>
      <c r="AC264" s="673"/>
      <c r="AD264" s="673">
        <v>4786000</v>
      </c>
      <c r="AE264" s="103" t="s">
        <v>56</v>
      </c>
      <c r="AF264" s="520">
        <v>6050000</v>
      </c>
      <c r="AG264" s="526">
        <f t="shared" si="14"/>
        <v>-1264000</v>
      </c>
      <c r="AH264" s="532" t="s">
        <v>684</v>
      </c>
    </row>
    <row r="265" spans="1:34" s="9" customFormat="1" ht="21" customHeight="1">
      <c r="A265" s="34"/>
      <c r="B265" s="34"/>
      <c r="C265" s="34"/>
      <c r="D265" s="494"/>
      <c r="E265" s="492"/>
      <c r="F265" s="492"/>
      <c r="G265" s="492"/>
      <c r="H265" s="492"/>
      <c r="I265" s="492"/>
      <c r="J265" s="492"/>
      <c r="K265" s="662"/>
      <c r="L265" s="492"/>
      <c r="M265" s="686"/>
      <c r="N265" s="675"/>
      <c r="O265" s="674" t="s">
        <v>251</v>
      </c>
      <c r="P265" s="674"/>
      <c r="Q265" s="674"/>
      <c r="R265" s="674"/>
      <c r="S265" s="673"/>
      <c r="T265" s="406"/>
      <c r="U265" s="406"/>
      <c r="V265" s="673"/>
      <c r="W265" s="673"/>
      <c r="X265" s="673"/>
      <c r="Y265" s="673"/>
      <c r="Z265" s="673"/>
      <c r="AA265" s="673"/>
      <c r="AB265" s="673" t="s">
        <v>138</v>
      </c>
      <c r="AC265" s="673"/>
      <c r="AD265" s="673">
        <v>610000</v>
      </c>
      <c r="AE265" s="103" t="s">
        <v>56</v>
      </c>
      <c r="AF265" s="495">
        <v>600000</v>
      </c>
      <c r="AG265" s="526">
        <f t="shared" si="14"/>
        <v>10000</v>
      </c>
    </row>
    <row r="266" spans="1:34" s="9" customFormat="1" ht="21" customHeight="1">
      <c r="A266" s="34"/>
      <c r="B266" s="34"/>
      <c r="C266" s="34"/>
      <c r="D266" s="114"/>
      <c r="E266" s="83"/>
      <c r="F266" s="83"/>
      <c r="G266" s="83"/>
      <c r="H266" s="83"/>
      <c r="I266" s="83"/>
      <c r="J266" s="83"/>
      <c r="K266" s="628"/>
      <c r="L266" s="83"/>
      <c r="M266" s="686"/>
      <c r="N266" s="675"/>
      <c r="O266" s="671"/>
      <c r="P266" s="671"/>
      <c r="Q266" s="671"/>
      <c r="R266" s="671"/>
      <c r="S266" s="670"/>
      <c r="T266" s="308"/>
      <c r="U266" s="406"/>
      <c r="V266" s="317"/>
      <c r="W266" s="670"/>
      <c r="X266" s="670"/>
      <c r="Y266" s="670"/>
      <c r="Z266" s="670"/>
      <c r="AA266" s="670"/>
      <c r="AB266" s="670"/>
      <c r="AC266" s="670"/>
      <c r="AD266" s="670"/>
      <c r="AE266" s="233"/>
      <c r="AF266" s="495"/>
      <c r="AG266" s="526">
        <f t="shared" si="14"/>
        <v>0</v>
      </c>
    </row>
    <row r="267" spans="1:34" s="9" customFormat="1" ht="21" customHeight="1">
      <c r="A267" s="34"/>
      <c r="B267" s="34"/>
      <c r="C267" s="24" t="s">
        <v>74</v>
      </c>
      <c r="D267" s="116">
        <v>4160</v>
      </c>
      <c r="E267" s="87">
        <f>ROUND(AD267/1000,0)</f>
        <v>4160</v>
      </c>
      <c r="F267" s="88">
        <f>SUMIF($AB$268:$AB$269,"보조",$AD$268:$AD$269)/1000</f>
        <v>0</v>
      </c>
      <c r="G267" s="88">
        <f>SUMIF($AB$268:$AB$269,"7종",$AD$268:$AD$269)/1000</f>
        <v>0</v>
      </c>
      <c r="H267" s="88">
        <f>SUMIF($AB$268:$AB$269,"4종",$AD$268:$AD$269)/1000</f>
        <v>4160</v>
      </c>
      <c r="I267" s="88">
        <f>SUMIF($AB$268:$AB$269,"후원",$AD$268:$AD$269)/1000</f>
        <v>0</v>
      </c>
      <c r="J267" s="88">
        <f>SUMIF($AB$268:$AB$269,"입소",$AD$268:$AD$269)/1000</f>
        <v>0</v>
      </c>
      <c r="K267" s="631">
        <f>SUMIF($AB$268:$AB$269,"법인",$AD$268:$AD$269)/1000</f>
        <v>0</v>
      </c>
      <c r="L267" s="88">
        <f>SUMIF($AB$268:$AB$269,"잡수",$AD$268:$AD$269)/1000</f>
        <v>0</v>
      </c>
      <c r="M267" s="95">
        <f>E267-D267</f>
        <v>0</v>
      </c>
      <c r="N267" s="676">
        <f>IF(D267=0,0,M267/D267)</f>
        <v>0</v>
      </c>
      <c r="O267" s="235" t="s">
        <v>122</v>
      </c>
      <c r="P267" s="695"/>
      <c r="Q267" s="236"/>
      <c r="R267" s="236"/>
      <c r="S267" s="236"/>
      <c r="T267" s="237"/>
      <c r="U267" s="237"/>
      <c r="V267" s="237"/>
      <c r="W267" s="237"/>
      <c r="X267" s="237"/>
      <c r="Y267" s="238" t="s">
        <v>128</v>
      </c>
      <c r="Z267" s="238"/>
      <c r="AA267" s="238"/>
      <c r="AB267" s="238"/>
      <c r="AC267" s="239"/>
      <c r="AD267" s="239">
        <f>SUM(AD268:AD269)</f>
        <v>4160000</v>
      </c>
      <c r="AE267" s="127" t="s">
        <v>25</v>
      </c>
      <c r="AF267" s="495"/>
      <c r="AG267" s="526">
        <f t="shared" si="14"/>
        <v>4160000</v>
      </c>
    </row>
    <row r="268" spans="1:34" s="9" customFormat="1" ht="21" customHeight="1">
      <c r="A268" s="34"/>
      <c r="B268" s="34"/>
      <c r="C268" s="34"/>
      <c r="D268" s="84"/>
      <c r="E268" s="83"/>
      <c r="F268" s="83"/>
      <c r="G268" s="83"/>
      <c r="H268" s="83"/>
      <c r="I268" s="83"/>
      <c r="J268" s="83"/>
      <c r="K268" s="628"/>
      <c r="L268" s="83"/>
      <c r="M268" s="686"/>
      <c r="N268" s="675"/>
      <c r="O268" s="674" t="s">
        <v>806</v>
      </c>
      <c r="P268" s="674"/>
      <c r="Q268" s="673"/>
      <c r="R268" s="673"/>
      <c r="S268" s="673">
        <v>20000</v>
      </c>
      <c r="T268" s="673" t="s">
        <v>56</v>
      </c>
      <c r="U268" s="674" t="s">
        <v>57</v>
      </c>
      <c r="V268" s="673">
        <v>4</v>
      </c>
      <c r="W268" s="673" t="s">
        <v>62</v>
      </c>
      <c r="X268" s="674" t="s">
        <v>57</v>
      </c>
      <c r="Y268" s="673">
        <v>52</v>
      </c>
      <c r="Z268" s="673" t="s">
        <v>55</v>
      </c>
      <c r="AA268" s="673" t="s">
        <v>53</v>
      </c>
      <c r="AB268" s="673" t="s">
        <v>159</v>
      </c>
      <c r="AC268" s="659"/>
      <c r="AD268" s="659">
        <f>ROUND(S268*V268*Y268,-1)</f>
        <v>4160000</v>
      </c>
      <c r="AE268" s="103" t="s">
        <v>25</v>
      </c>
      <c r="AF268" s="495"/>
      <c r="AG268" s="526">
        <f t="shared" si="14"/>
        <v>4160000</v>
      </c>
    </row>
    <row r="269" spans="1:34" s="9" customFormat="1" ht="21" customHeight="1">
      <c r="A269" s="34"/>
      <c r="B269" s="34"/>
      <c r="C269" s="34"/>
      <c r="D269" s="114"/>
      <c r="E269" s="83"/>
      <c r="F269" s="83"/>
      <c r="G269" s="83"/>
      <c r="H269" s="83"/>
      <c r="I269" s="83"/>
      <c r="J269" s="83"/>
      <c r="K269" s="628"/>
      <c r="L269" s="83"/>
      <c r="M269" s="686"/>
      <c r="N269" s="675"/>
      <c r="O269" s="674"/>
      <c r="P269" s="674"/>
      <c r="Q269" s="673"/>
      <c r="R269" s="673"/>
      <c r="S269" s="673"/>
      <c r="T269" s="673"/>
      <c r="U269" s="674"/>
      <c r="V269" s="673"/>
      <c r="W269" s="673"/>
      <c r="X269" s="674"/>
      <c r="Y269" s="673"/>
      <c r="Z269" s="673"/>
      <c r="AA269" s="673"/>
      <c r="AB269" s="673"/>
      <c r="AC269" s="659"/>
      <c r="AD269" s="659"/>
      <c r="AE269" s="103"/>
      <c r="AF269" s="495"/>
      <c r="AG269" s="526">
        <f t="shared" si="14"/>
        <v>0</v>
      </c>
    </row>
    <row r="270" spans="1:34" s="9" customFormat="1" ht="21" customHeight="1">
      <c r="A270" s="34"/>
      <c r="B270" s="34"/>
      <c r="C270" s="24" t="s">
        <v>75</v>
      </c>
      <c r="D270" s="116">
        <v>13460</v>
      </c>
      <c r="E270" s="87">
        <f>ROUND(AD270/1000,0)</f>
        <v>13520</v>
      </c>
      <c r="F270" s="88">
        <f>SUMIF($AB$271:$AB$277,"보조",$AD$271:$AD$277)/1000</f>
        <v>540</v>
      </c>
      <c r="G270" s="88">
        <f>SUMIF($AB$271:$AB$277,"7종",$AD$271:$AD$277)/1000</f>
        <v>6300</v>
      </c>
      <c r="H270" s="88">
        <f>SUMIF($AB$271:$AB$277,"4종",$AD$271:$AD$277)/1000</f>
        <v>2080</v>
      </c>
      <c r="I270" s="88">
        <f>SUMIF($AB$271:$AB$277,"후원",$AD$271:$AD$277)/1000</f>
        <v>4600</v>
      </c>
      <c r="J270" s="88">
        <f>SUMIF($AB$271:$AB$277,"입소",$AD$271:$AD$277)/1000</f>
        <v>0</v>
      </c>
      <c r="K270" s="631">
        <f>SUMIF($AB$271:$AB$277,"법인",$AD$271:$AD$277)/1000</f>
        <v>0</v>
      </c>
      <c r="L270" s="88">
        <f>SUMIF($AB$271:$AB$277,"잡수",$AD$271:$AD$277)/1000</f>
        <v>0</v>
      </c>
      <c r="M270" s="95">
        <f>E270-D270</f>
        <v>60</v>
      </c>
      <c r="N270" s="676">
        <f>IF(D270=0,0,M270/D270)</f>
        <v>4.4576523031203564E-3</v>
      </c>
      <c r="O270" s="235" t="s">
        <v>123</v>
      </c>
      <c r="P270" s="695"/>
      <c r="Q270" s="236"/>
      <c r="R270" s="236"/>
      <c r="S270" s="236"/>
      <c r="T270" s="237"/>
      <c r="U270" s="237"/>
      <c r="V270" s="237"/>
      <c r="W270" s="237"/>
      <c r="X270" s="237"/>
      <c r="Y270" s="238" t="s">
        <v>128</v>
      </c>
      <c r="Z270" s="238"/>
      <c r="AA270" s="238"/>
      <c r="AB270" s="238"/>
      <c r="AC270" s="239"/>
      <c r="AD270" s="239">
        <f>SUM(AD271:AD276)</f>
        <v>13520000</v>
      </c>
      <c r="AE270" s="127" t="s">
        <v>25</v>
      </c>
      <c r="AF270" s="495"/>
      <c r="AG270" s="526">
        <f t="shared" si="14"/>
        <v>13520000</v>
      </c>
    </row>
    <row r="271" spans="1:34" s="11" customFormat="1" ht="21" customHeight="1">
      <c r="A271" s="34"/>
      <c r="B271" s="34"/>
      <c r="C271" s="34"/>
      <c r="D271" s="493"/>
      <c r="E271" s="491"/>
      <c r="F271" s="491"/>
      <c r="G271" s="491"/>
      <c r="H271" s="491"/>
      <c r="I271" s="491"/>
      <c r="J271" s="491"/>
      <c r="K271" s="661"/>
      <c r="L271" s="491"/>
      <c r="M271" s="686"/>
      <c r="N271" s="675"/>
      <c r="O271" s="674" t="s">
        <v>697</v>
      </c>
      <c r="P271" s="674"/>
      <c r="Q271" s="673"/>
      <c r="R271" s="673"/>
      <c r="S271" s="673">
        <v>40000</v>
      </c>
      <c r="T271" s="673" t="s">
        <v>56</v>
      </c>
      <c r="U271" s="674" t="s">
        <v>57</v>
      </c>
      <c r="V271" s="673">
        <v>1</v>
      </c>
      <c r="W271" s="673" t="s">
        <v>62</v>
      </c>
      <c r="X271" s="674" t="s">
        <v>57</v>
      </c>
      <c r="Y271" s="673">
        <v>52</v>
      </c>
      <c r="Z271" s="673" t="s">
        <v>55</v>
      </c>
      <c r="AA271" s="673" t="s">
        <v>53</v>
      </c>
      <c r="AB271" s="673" t="s">
        <v>159</v>
      </c>
      <c r="AC271" s="659"/>
      <c r="AD271" s="659">
        <f>S271*V271*Y271</f>
        <v>2080000</v>
      </c>
      <c r="AE271" s="103" t="s">
        <v>25</v>
      </c>
      <c r="AF271" s="495"/>
      <c r="AG271" s="526">
        <f t="shared" si="14"/>
        <v>2080000</v>
      </c>
    </row>
    <row r="272" spans="1:34" s="11" customFormat="1" ht="21" customHeight="1">
      <c r="A272" s="34"/>
      <c r="B272" s="34"/>
      <c r="C272" s="34"/>
      <c r="D272" s="494"/>
      <c r="E272" s="492"/>
      <c r="F272" s="492"/>
      <c r="G272" s="492"/>
      <c r="H272" s="492"/>
      <c r="I272" s="492"/>
      <c r="J272" s="492"/>
      <c r="K272" s="662"/>
      <c r="L272" s="492"/>
      <c r="M272" s="686"/>
      <c r="N272" s="696"/>
      <c r="O272" s="640" t="s">
        <v>807</v>
      </c>
      <c r="P272" s="674"/>
      <c r="Q272" s="674"/>
      <c r="R272" s="674"/>
      <c r="S272" s="673">
        <v>70000</v>
      </c>
      <c r="T272" s="673" t="s">
        <v>56</v>
      </c>
      <c r="U272" s="674" t="s">
        <v>57</v>
      </c>
      <c r="V272" s="673">
        <v>90</v>
      </c>
      <c r="W272" s="673" t="s">
        <v>85</v>
      </c>
      <c r="X272" s="674" t="s">
        <v>57</v>
      </c>
      <c r="Y272" s="232">
        <v>1</v>
      </c>
      <c r="Z272" s="658" t="s">
        <v>55</v>
      </c>
      <c r="AA272" s="658" t="s">
        <v>53</v>
      </c>
      <c r="AB272" s="673" t="s">
        <v>219</v>
      </c>
      <c r="AC272" s="659"/>
      <c r="AD272" s="673">
        <f>S272*V272*Y272</f>
        <v>6300000</v>
      </c>
      <c r="AE272" s="103" t="s">
        <v>56</v>
      </c>
      <c r="AF272" s="495"/>
      <c r="AG272" s="526">
        <f t="shared" si="14"/>
        <v>6300000</v>
      </c>
    </row>
    <row r="273" spans="1:33" s="11" customFormat="1" ht="21" customHeight="1">
      <c r="A273" s="34"/>
      <c r="B273" s="34"/>
      <c r="C273" s="34"/>
      <c r="D273" s="114"/>
      <c r="E273" s="83"/>
      <c r="F273" s="83"/>
      <c r="G273" s="83"/>
      <c r="H273" s="83"/>
      <c r="I273" s="83"/>
      <c r="J273" s="83"/>
      <c r="K273" s="628"/>
      <c r="L273" s="83"/>
      <c r="M273" s="686"/>
      <c r="N273" s="675"/>
      <c r="O273" s="674" t="s">
        <v>808</v>
      </c>
      <c r="P273" s="674"/>
      <c r="Q273" s="674"/>
      <c r="R273" s="674"/>
      <c r="S273" s="673">
        <v>0</v>
      </c>
      <c r="T273" s="406" t="s">
        <v>56</v>
      </c>
      <c r="U273" s="406" t="s">
        <v>26</v>
      </c>
      <c r="V273" s="673">
        <v>12</v>
      </c>
      <c r="W273" s="673" t="s">
        <v>0</v>
      </c>
      <c r="X273" s="658"/>
      <c r="Y273" s="312"/>
      <c r="Z273" s="299"/>
      <c r="AA273" s="313" t="s">
        <v>53</v>
      </c>
      <c r="AB273" s="673" t="s">
        <v>138</v>
      </c>
      <c r="AC273" s="673"/>
      <c r="AD273" s="673">
        <f>S273*V273</f>
        <v>0</v>
      </c>
      <c r="AE273" s="103" t="s">
        <v>25</v>
      </c>
      <c r="AF273" s="495"/>
      <c r="AG273" s="526">
        <f t="shared" si="14"/>
        <v>0</v>
      </c>
    </row>
    <row r="274" spans="1:33" s="11" customFormat="1" ht="21" customHeight="1">
      <c r="A274" s="34"/>
      <c r="B274" s="34"/>
      <c r="C274" s="34"/>
      <c r="D274" s="114"/>
      <c r="E274" s="83"/>
      <c r="F274" s="83"/>
      <c r="G274" s="83"/>
      <c r="H274" s="83"/>
      <c r="I274" s="83"/>
      <c r="J274" s="83"/>
      <c r="K274" s="628"/>
      <c r="L274" s="83"/>
      <c r="M274" s="686"/>
      <c r="N274" s="675"/>
      <c r="O274" s="674" t="s">
        <v>809</v>
      </c>
      <c r="P274" s="674"/>
      <c r="Q274" s="674"/>
      <c r="R274" s="674"/>
      <c r="S274" s="673">
        <v>45000</v>
      </c>
      <c r="T274" s="406" t="s">
        <v>56</v>
      </c>
      <c r="U274" s="406" t="s">
        <v>26</v>
      </c>
      <c r="V274" s="673">
        <v>12</v>
      </c>
      <c r="W274" s="673" t="s">
        <v>0</v>
      </c>
      <c r="X274" s="658"/>
      <c r="Y274" s="312"/>
      <c r="Z274" s="299"/>
      <c r="AA274" s="313" t="s">
        <v>53</v>
      </c>
      <c r="AB274" s="673" t="s">
        <v>71</v>
      </c>
      <c r="AC274" s="673"/>
      <c r="AD274" s="673">
        <f>S274*V274</f>
        <v>540000</v>
      </c>
      <c r="AE274" s="103" t="s">
        <v>25</v>
      </c>
      <c r="AF274" s="495">
        <v>480000</v>
      </c>
      <c r="AG274" s="526">
        <f t="shared" si="14"/>
        <v>60000</v>
      </c>
    </row>
    <row r="275" spans="1:33" s="11" customFormat="1" ht="21" customHeight="1">
      <c r="A275" s="34"/>
      <c r="B275" s="34"/>
      <c r="C275" s="34"/>
      <c r="D275" s="114"/>
      <c r="E275" s="83"/>
      <c r="F275" s="83"/>
      <c r="G275" s="83"/>
      <c r="H275" s="83"/>
      <c r="I275" s="83"/>
      <c r="J275" s="83"/>
      <c r="K275" s="628"/>
      <c r="L275" s="83"/>
      <c r="M275" s="686"/>
      <c r="N275" s="675"/>
      <c r="O275" s="674"/>
      <c r="P275" s="674"/>
      <c r="Q275" s="674"/>
      <c r="R275" s="674"/>
      <c r="S275" s="673">
        <v>350000</v>
      </c>
      <c r="T275" s="406" t="s">
        <v>56</v>
      </c>
      <c r="U275" s="406" t="s">
        <v>26</v>
      </c>
      <c r="V275" s="673">
        <v>12</v>
      </c>
      <c r="W275" s="673" t="s">
        <v>0</v>
      </c>
      <c r="X275" s="658"/>
      <c r="Y275" s="312"/>
      <c r="Z275" s="299"/>
      <c r="AA275" s="313" t="s">
        <v>53</v>
      </c>
      <c r="AB275" s="673" t="s">
        <v>138</v>
      </c>
      <c r="AC275" s="673"/>
      <c r="AD275" s="673">
        <f>S275*V275</f>
        <v>4200000</v>
      </c>
      <c r="AE275" s="103" t="s">
        <v>25</v>
      </c>
      <c r="AF275" s="495"/>
      <c r="AG275" s="526">
        <f t="shared" si="14"/>
        <v>4200000</v>
      </c>
    </row>
    <row r="276" spans="1:33" s="11" customFormat="1" ht="21" customHeight="1">
      <c r="A276" s="34"/>
      <c r="B276" s="34"/>
      <c r="C276" s="34"/>
      <c r="D276" s="114"/>
      <c r="E276" s="83"/>
      <c r="F276" s="83"/>
      <c r="G276" s="83"/>
      <c r="H276" s="83"/>
      <c r="I276" s="83"/>
      <c r="J276" s="83"/>
      <c r="K276" s="628"/>
      <c r="L276" s="83"/>
      <c r="M276" s="686"/>
      <c r="N276" s="675"/>
      <c r="O276" s="674" t="s">
        <v>698</v>
      </c>
      <c r="P276" s="674"/>
      <c r="Q276" s="674"/>
      <c r="R276" s="674"/>
      <c r="S276" s="673">
        <v>2000</v>
      </c>
      <c r="T276" s="673" t="s">
        <v>56</v>
      </c>
      <c r="U276" s="674" t="s">
        <v>57</v>
      </c>
      <c r="V276" s="673">
        <v>100</v>
      </c>
      <c r="W276" s="673" t="s">
        <v>55</v>
      </c>
      <c r="X276" s="674" t="s">
        <v>57</v>
      </c>
      <c r="Y276" s="232">
        <v>2</v>
      </c>
      <c r="Z276" s="658" t="s">
        <v>62</v>
      </c>
      <c r="AA276" s="658" t="s">
        <v>53</v>
      </c>
      <c r="AB276" s="673" t="s">
        <v>138</v>
      </c>
      <c r="AC276" s="659"/>
      <c r="AD276" s="673">
        <f>S276*V276*Y276</f>
        <v>400000</v>
      </c>
      <c r="AE276" s="103" t="s">
        <v>56</v>
      </c>
      <c r="AF276" s="495"/>
      <c r="AG276" s="526">
        <f t="shared" si="14"/>
        <v>400000</v>
      </c>
    </row>
    <row r="277" spans="1:33" s="9" customFormat="1" ht="21" customHeight="1">
      <c r="A277" s="34"/>
      <c r="B277" s="34"/>
      <c r="C277" s="44"/>
      <c r="D277" s="115"/>
      <c r="E277" s="121"/>
      <c r="F277" s="121"/>
      <c r="G277" s="121"/>
      <c r="H277" s="121"/>
      <c r="I277" s="121"/>
      <c r="J277" s="121"/>
      <c r="K277" s="634"/>
      <c r="L277" s="121"/>
      <c r="M277" s="101"/>
      <c r="N277" s="680"/>
      <c r="O277" s="314"/>
      <c r="P277" s="314"/>
      <c r="Q277" s="314"/>
      <c r="R277" s="314"/>
      <c r="S277" s="314"/>
      <c r="T277" s="102"/>
      <c r="U277" s="673"/>
      <c r="V277" s="658"/>
      <c r="W277" s="673"/>
      <c r="X277" s="673"/>
      <c r="Y277" s="673"/>
      <c r="Z277" s="673"/>
      <c r="AA277" s="673"/>
      <c r="AB277" s="673"/>
      <c r="AC277" s="673"/>
      <c r="AD277" s="673"/>
      <c r="AE277" s="103"/>
      <c r="AF277" s="495"/>
      <c r="AG277" s="526">
        <f t="shared" si="14"/>
        <v>0</v>
      </c>
    </row>
    <row r="278" spans="1:33" s="9" customFormat="1" ht="21" customHeight="1">
      <c r="A278" s="34"/>
      <c r="B278" s="34"/>
      <c r="C278" s="34" t="s">
        <v>76</v>
      </c>
      <c r="D278" s="99">
        <v>16699</v>
      </c>
      <c r="E278" s="83">
        <f>ROUND(AD278/1000,0)</f>
        <v>21129</v>
      </c>
      <c r="F278" s="88">
        <f>SUMIF($AB$279:$AB$282,"보조",$AD$279:$AD$282)/1000</f>
        <v>19160</v>
      </c>
      <c r="G278" s="88">
        <f>SUMIF($AB$279:$AB$282,"7종",$AD$279:$AD$282)/1000</f>
        <v>0</v>
      </c>
      <c r="H278" s="88">
        <f>SUMIF($AB$279:$AB$282,"4종",$AD$279:$AD$282)/1000</f>
        <v>0</v>
      </c>
      <c r="I278" s="88">
        <f>SUMIF($AB$279:$AB$282,"후원",$AD$279:$AD$282)/1000</f>
        <v>1499</v>
      </c>
      <c r="J278" s="88">
        <f>SUMIF($AB$279:$AB$282,"입소",$AD$279:$AD$282)/1000</f>
        <v>470</v>
      </c>
      <c r="K278" s="631">
        <f>SUMIF($AB$279:$AB$282,"법인",$AD$279:$AD$282)/1000</f>
        <v>0</v>
      </c>
      <c r="L278" s="88">
        <f>SUMIF($AB$279:$AB$282,"잡수",$AD$279:$AD$282)/1000</f>
        <v>0</v>
      </c>
      <c r="M278" s="686">
        <f>E278-D278</f>
        <v>4430</v>
      </c>
      <c r="N278" s="675">
        <f>IF(D278=0,0,M278/D278)</f>
        <v>0.26528534642792984</v>
      </c>
      <c r="O278" s="235" t="s">
        <v>81</v>
      </c>
      <c r="P278" s="236"/>
      <c r="Q278" s="236"/>
      <c r="R278" s="236"/>
      <c r="S278" s="236"/>
      <c r="T278" s="237"/>
      <c r="U278" s="237"/>
      <c r="V278" s="237"/>
      <c r="W278" s="237"/>
      <c r="X278" s="237"/>
      <c r="Y278" s="238" t="s">
        <v>128</v>
      </c>
      <c r="Z278" s="238"/>
      <c r="AA278" s="238"/>
      <c r="AB278" s="238"/>
      <c r="AC278" s="239"/>
      <c r="AD278" s="239">
        <f>SUM(AD279:AD282)</f>
        <v>21129000</v>
      </c>
      <c r="AE278" s="127" t="s">
        <v>25</v>
      </c>
      <c r="AF278" s="495"/>
      <c r="AG278" s="526">
        <f t="shared" si="14"/>
        <v>21129000</v>
      </c>
    </row>
    <row r="279" spans="1:33" s="9" customFormat="1" ht="21" customHeight="1">
      <c r="A279" s="34"/>
      <c r="B279" s="34"/>
      <c r="C279" s="34"/>
      <c r="D279" s="493"/>
      <c r="E279" s="491"/>
      <c r="F279" s="491"/>
      <c r="G279" s="491"/>
      <c r="H279" s="491"/>
      <c r="I279" s="491"/>
      <c r="J279" s="491"/>
      <c r="K279" s="661"/>
      <c r="L279" s="491"/>
      <c r="M279" s="686"/>
      <c r="N279" s="675"/>
      <c r="O279" s="674" t="s">
        <v>186</v>
      </c>
      <c r="P279" s="674"/>
      <c r="Q279" s="674"/>
      <c r="R279" s="674"/>
      <c r="S279" s="673">
        <v>1000000</v>
      </c>
      <c r="T279" s="406" t="s">
        <v>56</v>
      </c>
      <c r="U279" s="406" t="s">
        <v>26</v>
      </c>
      <c r="V279" s="673">
        <v>11</v>
      </c>
      <c r="W279" s="673" t="s">
        <v>0</v>
      </c>
      <c r="X279" s="658"/>
      <c r="Y279" s="312"/>
      <c r="Z279" s="299"/>
      <c r="AA279" s="313" t="s">
        <v>53</v>
      </c>
      <c r="AB279" s="673" t="s">
        <v>71</v>
      </c>
      <c r="AC279" s="673"/>
      <c r="AD279" s="673">
        <f>S279*V279</f>
        <v>11000000</v>
      </c>
      <c r="AE279" s="103" t="s">
        <v>25</v>
      </c>
      <c r="AF279" s="495">
        <v>8000000</v>
      </c>
      <c r="AG279" s="526">
        <f t="shared" si="14"/>
        <v>3000000</v>
      </c>
    </row>
    <row r="280" spans="1:33" s="9" customFormat="1" ht="21" customHeight="1">
      <c r="A280" s="34"/>
      <c r="B280" s="34"/>
      <c r="C280" s="34"/>
      <c r="D280" s="494"/>
      <c r="E280" s="492"/>
      <c r="F280" s="492"/>
      <c r="G280" s="492"/>
      <c r="H280" s="492"/>
      <c r="I280" s="492"/>
      <c r="J280" s="492"/>
      <c r="K280" s="662"/>
      <c r="L280" s="492"/>
      <c r="M280" s="686"/>
      <c r="N280" s="675"/>
      <c r="O280" s="674" t="s">
        <v>253</v>
      </c>
      <c r="P280" s="674"/>
      <c r="Q280" s="674"/>
      <c r="R280" s="674"/>
      <c r="S280" s="673">
        <v>680000</v>
      </c>
      <c r="T280" s="406" t="s">
        <v>25</v>
      </c>
      <c r="U280" s="674" t="s">
        <v>26</v>
      </c>
      <c r="V280" s="673">
        <v>12</v>
      </c>
      <c r="W280" s="674" t="s">
        <v>29</v>
      </c>
      <c r="X280" s="674"/>
      <c r="Y280" s="673"/>
      <c r="Z280" s="673"/>
      <c r="AA280" s="673" t="s">
        <v>53</v>
      </c>
      <c r="AB280" s="673" t="s">
        <v>71</v>
      </c>
      <c r="AC280" s="673"/>
      <c r="AD280" s="673">
        <f>S280*V280</f>
        <v>8160000</v>
      </c>
      <c r="AE280" s="103" t="s">
        <v>56</v>
      </c>
      <c r="AF280" s="495">
        <v>7200000</v>
      </c>
      <c r="AG280" s="526">
        <f t="shared" si="14"/>
        <v>960000</v>
      </c>
    </row>
    <row r="281" spans="1:33" s="9" customFormat="1" ht="21" customHeight="1">
      <c r="A281" s="34"/>
      <c r="B281" s="34"/>
      <c r="C281" s="34"/>
      <c r="D281" s="114"/>
      <c r="E281" s="83"/>
      <c r="F281" s="83"/>
      <c r="G281" s="83"/>
      <c r="H281" s="83"/>
      <c r="I281" s="83"/>
      <c r="J281" s="83"/>
      <c r="K281" s="628"/>
      <c r="L281" s="83"/>
      <c r="M281" s="686"/>
      <c r="N281" s="675"/>
      <c r="O281" s="674" t="s">
        <v>197</v>
      </c>
      <c r="P281" s="674"/>
      <c r="Q281" s="674"/>
      <c r="R281" s="674"/>
      <c r="S281" s="673"/>
      <c r="T281" s="406"/>
      <c r="U281" s="674"/>
      <c r="V281" s="673"/>
      <c r="W281" s="674"/>
      <c r="X281" s="673"/>
      <c r="Y281" s="673"/>
      <c r="Z281" s="673"/>
      <c r="AA281" s="673"/>
      <c r="AB281" s="673" t="s">
        <v>138</v>
      </c>
      <c r="AC281" s="673"/>
      <c r="AD281" s="673">
        <v>1499000</v>
      </c>
      <c r="AE281" s="103" t="s">
        <v>56</v>
      </c>
      <c r="AF281" s="495"/>
      <c r="AG281" s="526">
        <f t="shared" si="14"/>
        <v>1499000</v>
      </c>
    </row>
    <row r="282" spans="1:33" s="9" customFormat="1" ht="21" customHeight="1">
      <c r="A282" s="34"/>
      <c r="B282" s="34"/>
      <c r="C282" s="34"/>
      <c r="D282" s="114"/>
      <c r="E282" s="83"/>
      <c r="F282" s="83"/>
      <c r="G282" s="83"/>
      <c r="H282" s="83"/>
      <c r="I282" s="83"/>
      <c r="J282" s="83"/>
      <c r="K282" s="628"/>
      <c r="L282" s="83"/>
      <c r="M282" s="686"/>
      <c r="N282" s="675"/>
      <c r="O282" s="674"/>
      <c r="P282" s="674"/>
      <c r="Q282" s="674"/>
      <c r="R282" s="674"/>
      <c r="S282" s="673"/>
      <c r="T282" s="406"/>
      <c r="U282" s="674"/>
      <c r="V282" s="673"/>
      <c r="W282" s="674"/>
      <c r="X282" s="673"/>
      <c r="Y282" s="673"/>
      <c r="Z282" s="673"/>
      <c r="AA282" s="673"/>
      <c r="AB282" s="673" t="s">
        <v>220</v>
      </c>
      <c r="AC282" s="673"/>
      <c r="AD282" s="673">
        <v>470000</v>
      </c>
      <c r="AE282" s="103" t="s">
        <v>56</v>
      </c>
      <c r="AF282" s="495">
        <v>0</v>
      </c>
      <c r="AG282" s="526">
        <f t="shared" si="14"/>
        <v>470000</v>
      </c>
    </row>
    <row r="283" spans="1:33" s="9" customFormat="1" ht="21" customHeight="1">
      <c r="A283" s="34"/>
      <c r="B283" s="24" t="s">
        <v>82</v>
      </c>
      <c r="C283" s="124" t="s">
        <v>131</v>
      </c>
      <c r="D283" s="125">
        <f t="shared" ref="D283:N283" si="15">SUM(D284,D301,D313,D316,D338,D351,D361,D367,D371,D378)</f>
        <v>167600</v>
      </c>
      <c r="E283" s="125">
        <f t="shared" si="15"/>
        <v>144274</v>
      </c>
      <c r="F283" s="125">
        <f t="shared" si="15"/>
        <v>500</v>
      </c>
      <c r="G283" s="125">
        <f t="shared" si="15"/>
        <v>2700</v>
      </c>
      <c r="H283" s="125">
        <f t="shared" si="15"/>
        <v>0</v>
      </c>
      <c r="I283" s="125">
        <f t="shared" si="15"/>
        <v>110630</v>
      </c>
      <c r="J283" s="125">
        <f t="shared" si="15"/>
        <v>27465</v>
      </c>
      <c r="K283" s="635">
        <f t="shared" si="15"/>
        <v>0</v>
      </c>
      <c r="L283" s="125">
        <f t="shared" si="15"/>
        <v>2979</v>
      </c>
      <c r="M283" s="441">
        <f t="shared" si="15"/>
        <v>-23326</v>
      </c>
      <c r="N283" s="441">
        <f t="shared" si="15"/>
        <v>-0.98396947713768812</v>
      </c>
      <c r="O283" s="695"/>
      <c r="P283" s="695"/>
      <c r="Q283" s="695"/>
      <c r="R283" s="695"/>
      <c r="S283" s="695"/>
      <c r="T283" s="238"/>
      <c r="U283" s="238"/>
      <c r="V283" s="238"/>
      <c r="W283" s="238"/>
      <c r="X283" s="238"/>
      <c r="Y283" s="238" t="s">
        <v>28</v>
      </c>
      <c r="Z283" s="238"/>
      <c r="AA283" s="238"/>
      <c r="AB283" s="238"/>
      <c r="AC283" s="239"/>
      <c r="AD283" s="239">
        <f>SUM(AD284,AD301,AD313,AD316,AD338,AD351,AD361,AD367,AD371,AD378)</f>
        <v>144274000</v>
      </c>
      <c r="AE283" s="127" t="s">
        <v>25</v>
      </c>
      <c r="AF283" s="495"/>
      <c r="AG283" s="526">
        <f t="shared" si="14"/>
        <v>144274000</v>
      </c>
    </row>
    <row r="284" spans="1:33" s="9" customFormat="1" ht="21" customHeight="1">
      <c r="A284" s="34"/>
      <c r="B284" s="34" t="s">
        <v>120</v>
      </c>
      <c r="C284" s="24" t="s">
        <v>260</v>
      </c>
      <c r="D284" s="116">
        <v>7755</v>
      </c>
      <c r="E284" s="83">
        <f>ROUND(AD284/1000,0)</f>
        <v>5055</v>
      </c>
      <c r="F284" s="88">
        <f>SUMIF($AB$285:$AB$300,"보조",$AD$285:$AD$300)/1000</f>
        <v>0</v>
      </c>
      <c r="G284" s="88">
        <f>SUMIF($AB$285:$AB$300,"7종",$AD$285:$AD$300)/1000</f>
        <v>900</v>
      </c>
      <c r="H284" s="88">
        <f>SUMIF($AB$285:$AB$300,"4종",$AD$285:$AD$300)/1000</f>
        <v>0</v>
      </c>
      <c r="I284" s="88">
        <f>SUMIF($AB$285:$AB$300,"후원",$AD$285:$AD$300)/1000</f>
        <v>4155</v>
      </c>
      <c r="J284" s="88">
        <f>SUMIF($AB$285:$AB$300,"입소",$AD$285:$AD$300)/1000</f>
        <v>0</v>
      </c>
      <c r="K284" s="631">
        <f>SUMIF($AB$285:$AB$300,"법인",$AD$285:$AD$300)/1000</f>
        <v>0</v>
      </c>
      <c r="L284" s="88">
        <f>SUMIF($AB$285:$AB$300,"잡수",$AD$285:$AD$300)/1000</f>
        <v>0</v>
      </c>
      <c r="M284" s="686">
        <f>E284-D284</f>
        <v>-2700</v>
      </c>
      <c r="N284" s="675">
        <f>IF(D284=0,0,M284/D284)</f>
        <v>-0.34816247582205029</v>
      </c>
      <c r="O284" s="235"/>
      <c r="P284" s="236"/>
      <c r="Q284" s="236"/>
      <c r="R284" s="236"/>
      <c r="S284" s="236"/>
      <c r="T284" s="237"/>
      <c r="U284" s="237"/>
      <c r="V284" s="237"/>
      <c r="W284" s="237"/>
      <c r="X284" s="237"/>
      <c r="Y284" s="238" t="s">
        <v>128</v>
      </c>
      <c r="Z284" s="238"/>
      <c r="AA284" s="238"/>
      <c r="AB284" s="238"/>
      <c r="AC284" s="239"/>
      <c r="AD284" s="239">
        <f>SUM(AD285:AD300)</f>
        <v>5055000</v>
      </c>
      <c r="AE284" s="127" t="s">
        <v>25</v>
      </c>
      <c r="AF284" s="495"/>
      <c r="AG284" s="526">
        <f t="shared" si="14"/>
        <v>5055000</v>
      </c>
    </row>
    <row r="285" spans="1:33" s="9" customFormat="1" ht="21" customHeight="1">
      <c r="A285" s="34"/>
      <c r="B285" s="34"/>
      <c r="C285" s="34" t="s">
        <v>120</v>
      </c>
      <c r="D285" s="493"/>
      <c r="E285" s="491"/>
      <c r="F285" s="491"/>
      <c r="G285" s="491"/>
      <c r="H285" s="491"/>
      <c r="I285" s="491"/>
      <c r="J285" s="491"/>
      <c r="K285" s="661"/>
      <c r="L285" s="491"/>
      <c r="M285" s="686"/>
      <c r="N285" s="675"/>
      <c r="O285" s="456" t="s">
        <v>267</v>
      </c>
      <c r="P285" s="314"/>
      <c r="Q285" s="314"/>
      <c r="R285" s="314"/>
      <c r="S285" s="314"/>
      <c r="T285" s="314"/>
      <c r="U285" s="314"/>
      <c r="V285" s="314"/>
      <c r="W285" s="314"/>
      <c r="X285" s="314"/>
      <c r="Y285" s="314"/>
      <c r="Z285" s="314"/>
      <c r="AA285" s="314"/>
      <c r="AB285" s="314"/>
      <c r="AC285" s="314"/>
      <c r="AD285" s="329"/>
      <c r="AE285" s="316"/>
      <c r="AF285" s="495"/>
      <c r="AG285" s="526">
        <f t="shared" si="14"/>
        <v>0</v>
      </c>
    </row>
    <row r="286" spans="1:33" s="9" customFormat="1" ht="21" customHeight="1">
      <c r="A286" s="34"/>
      <c r="B286" s="34"/>
      <c r="C286" s="34"/>
      <c r="D286" s="494"/>
      <c r="E286" s="492"/>
      <c r="F286" s="492"/>
      <c r="G286" s="492"/>
      <c r="H286" s="492"/>
      <c r="I286" s="492"/>
      <c r="J286" s="492"/>
      <c r="K286" s="662"/>
      <c r="L286" s="492"/>
      <c r="M286" s="686"/>
      <c r="N286" s="675"/>
      <c r="O286" s="674" t="s">
        <v>268</v>
      </c>
      <c r="P286" s="314"/>
      <c r="Q286" s="314"/>
      <c r="R286" s="314"/>
      <c r="S286" s="314"/>
      <c r="T286" s="314"/>
      <c r="U286" s="314"/>
      <c r="V286" s="314"/>
      <c r="W286" s="314"/>
      <c r="X286" s="314"/>
      <c r="Y286" s="314"/>
      <c r="Z286" s="314"/>
      <c r="AA286" s="314"/>
      <c r="AB286" s="314" t="s">
        <v>138</v>
      </c>
      <c r="AC286" s="314"/>
      <c r="AD286" s="329">
        <v>1900000</v>
      </c>
      <c r="AE286" s="316" t="s">
        <v>56</v>
      </c>
      <c r="AF286" s="495"/>
      <c r="AG286" s="526">
        <f t="shared" si="14"/>
        <v>1900000</v>
      </c>
    </row>
    <row r="287" spans="1:33" s="9" customFormat="1" ht="21" customHeight="1">
      <c r="A287" s="34"/>
      <c r="B287" s="34"/>
      <c r="C287" s="34"/>
      <c r="D287" s="114"/>
      <c r="E287" s="83"/>
      <c r="F287" s="83"/>
      <c r="G287" s="83"/>
      <c r="H287" s="83"/>
      <c r="I287" s="83"/>
      <c r="J287" s="83"/>
      <c r="K287" s="628"/>
      <c r="L287" s="83"/>
      <c r="M287" s="686"/>
      <c r="N287" s="675"/>
      <c r="O287" s="674" t="s">
        <v>308</v>
      </c>
      <c r="P287" s="314"/>
      <c r="Q287" s="314"/>
      <c r="R287" s="314"/>
      <c r="S287" s="314"/>
      <c r="T287" s="314"/>
      <c r="U287" s="314"/>
      <c r="V287" s="314"/>
      <c r="W287" s="314"/>
      <c r="X287" s="314"/>
      <c r="Y287" s="314"/>
      <c r="Z287" s="314"/>
      <c r="AA287" s="314"/>
      <c r="AB287" s="314" t="s">
        <v>138</v>
      </c>
      <c r="AC287" s="314"/>
      <c r="AD287" s="329"/>
      <c r="AE287" s="316" t="s">
        <v>56</v>
      </c>
      <c r="AF287" s="495"/>
      <c r="AG287" s="526">
        <f t="shared" si="14"/>
        <v>0</v>
      </c>
    </row>
    <row r="288" spans="1:33" s="9" customFormat="1" ht="21" customHeight="1">
      <c r="A288" s="34"/>
      <c r="B288" s="34"/>
      <c r="C288" s="34"/>
      <c r="D288" s="114"/>
      <c r="E288" s="83"/>
      <c r="F288" s="83"/>
      <c r="G288" s="83"/>
      <c r="H288" s="83"/>
      <c r="I288" s="83"/>
      <c r="J288" s="83"/>
      <c r="K288" s="628"/>
      <c r="L288" s="83"/>
      <c r="M288" s="686"/>
      <c r="N288" s="675"/>
      <c r="O288" s="674" t="s">
        <v>810</v>
      </c>
      <c r="P288" s="314"/>
      <c r="Q288" s="314"/>
      <c r="R288" s="314"/>
      <c r="S288" s="314"/>
      <c r="T288" s="314"/>
      <c r="U288" s="314"/>
      <c r="V288" s="314"/>
      <c r="W288" s="314"/>
      <c r="X288" s="314"/>
      <c r="Y288" s="314"/>
      <c r="Z288" s="314"/>
      <c r="AA288" s="314"/>
      <c r="AB288" s="314" t="s">
        <v>219</v>
      </c>
      <c r="AC288" s="314"/>
      <c r="AD288" s="329">
        <v>900000</v>
      </c>
      <c r="AE288" s="316" t="s">
        <v>56</v>
      </c>
      <c r="AF288" s="495"/>
      <c r="AG288" s="526">
        <f t="shared" si="14"/>
        <v>900000</v>
      </c>
    </row>
    <row r="289" spans="1:33" s="9" customFormat="1" ht="21" customHeight="1">
      <c r="A289" s="34"/>
      <c r="B289" s="34"/>
      <c r="C289" s="34"/>
      <c r="D289" s="114"/>
      <c r="E289" s="83"/>
      <c r="F289" s="83"/>
      <c r="G289" s="83"/>
      <c r="H289" s="83"/>
      <c r="I289" s="83"/>
      <c r="J289" s="83"/>
      <c r="K289" s="628"/>
      <c r="L289" s="83"/>
      <c r="M289" s="686"/>
      <c r="N289" s="675"/>
      <c r="O289" s="674"/>
      <c r="P289" s="314"/>
      <c r="Q289" s="314"/>
      <c r="R289" s="314"/>
      <c r="S289" s="314"/>
      <c r="T289" s="314"/>
      <c r="U289" s="314"/>
      <c r="V289" s="314"/>
      <c r="W289" s="314"/>
      <c r="X289" s="314"/>
      <c r="Y289" s="314"/>
      <c r="Z289" s="314"/>
      <c r="AA289" s="314"/>
      <c r="AB289" s="314" t="s">
        <v>138</v>
      </c>
      <c r="AC289" s="314"/>
      <c r="AD289" s="329">
        <v>100000</v>
      </c>
      <c r="AE289" s="316" t="s">
        <v>56</v>
      </c>
      <c r="AF289" s="495"/>
      <c r="AG289" s="526">
        <f t="shared" si="14"/>
        <v>100000</v>
      </c>
    </row>
    <row r="290" spans="1:33" s="9" customFormat="1" ht="21" customHeight="1">
      <c r="A290" s="34"/>
      <c r="B290" s="34"/>
      <c r="C290" s="34"/>
      <c r="D290" s="114"/>
      <c r="E290" s="83"/>
      <c r="F290" s="83"/>
      <c r="G290" s="83"/>
      <c r="H290" s="83"/>
      <c r="I290" s="83"/>
      <c r="J290" s="83"/>
      <c r="K290" s="628"/>
      <c r="L290" s="83"/>
      <c r="M290" s="686"/>
      <c r="N290" s="675"/>
      <c r="O290" s="674" t="s">
        <v>596</v>
      </c>
      <c r="P290" s="314"/>
      <c r="Q290" s="314"/>
      <c r="R290" s="314"/>
      <c r="S290" s="314"/>
      <c r="T290" s="314"/>
      <c r="U290" s="314"/>
      <c r="V290" s="314"/>
      <c r="W290" s="314"/>
      <c r="X290" s="314"/>
      <c r="Y290" s="314"/>
      <c r="Z290" s="314"/>
      <c r="AA290" s="314"/>
      <c r="AB290" s="314" t="s">
        <v>138</v>
      </c>
      <c r="AC290" s="314"/>
      <c r="AD290" s="329">
        <v>535000</v>
      </c>
      <c r="AE290" s="316" t="s">
        <v>56</v>
      </c>
      <c r="AF290" s="495"/>
      <c r="AG290" s="526">
        <f t="shared" si="14"/>
        <v>535000</v>
      </c>
    </row>
    <row r="291" spans="1:33" s="9" customFormat="1" ht="21" customHeight="1">
      <c r="A291" s="34"/>
      <c r="B291" s="34"/>
      <c r="C291" s="34"/>
      <c r="D291" s="114"/>
      <c r="E291" s="83"/>
      <c r="F291" s="83"/>
      <c r="G291" s="83"/>
      <c r="H291" s="83"/>
      <c r="I291" s="83"/>
      <c r="J291" s="83"/>
      <c r="K291" s="628"/>
      <c r="L291" s="83"/>
      <c r="M291" s="686"/>
      <c r="N291" s="675"/>
      <c r="O291" s="674" t="s">
        <v>269</v>
      </c>
      <c r="P291" s="314"/>
      <c r="Q291" s="314"/>
      <c r="R291" s="314"/>
      <c r="S291" s="314"/>
      <c r="T291" s="314"/>
      <c r="U291" s="314"/>
      <c r="V291" s="314"/>
      <c r="W291" s="314"/>
      <c r="X291" s="314"/>
      <c r="Y291" s="314"/>
      <c r="Z291" s="314"/>
      <c r="AA291" s="314"/>
      <c r="AB291" s="314" t="s">
        <v>138</v>
      </c>
      <c r="AC291" s="314"/>
      <c r="AD291" s="329">
        <v>520000</v>
      </c>
      <c r="AE291" s="316" t="s">
        <v>56</v>
      </c>
      <c r="AF291" s="495"/>
      <c r="AG291" s="526">
        <f t="shared" si="14"/>
        <v>520000</v>
      </c>
    </row>
    <row r="292" spans="1:33" s="9" customFormat="1" ht="21" customHeight="1">
      <c r="A292" s="34"/>
      <c r="B292" s="34"/>
      <c r="C292" s="34"/>
      <c r="D292" s="114"/>
      <c r="E292" s="83"/>
      <c r="F292" s="83"/>
      <c r="G292" s="83"/>
      <c r="H292" s="83"/>
      <c r="I292" s="83"/>
      <c r="J292" s="83"/>
      <c r="K292" s="628"/>
      <c r="L292" s="83"/>
      <c r="M292" s="686"/>
      <c r="N292" s="675"/>
      <c r="O292" s="674" t="s">
        <v>270</v>
      </c>
      <c r="P292" s="674"/>
      <c r="Q292" s="674"/>
      <c r="R292" s="674"/>
      <c r="S292" s="674"/>
      <c r="T292" s="673"/>
      <c r="U292" s="673"/>
      <c r="V292" s="673"/>
      <c r="W292" s="673"/>
      <c r="X292" s="673"/>
      <c r="Y292" s="673"/>
      <c r="Z292" s="673"/>
      <c r="AA292" s="673"/>
      <c r="AB292" s="673" t="s">
        <v>138</v>
      </c>
      <c r="AC292" s="659"/>
      <c r="AD292" s="440">
        <v>400000</v>
      </c>
      <c r="AE292" s="103" t="s">
        <v>56</v>
      </c>
      <c r="AF292" s="495"/>
      <c r="AG292" s="526">
        <f t="shared" ref="AG292:AG323" si="16">AD292-AF292</f>
        <v>400000</v>
      </c>
    </row>
    <row r="293" spans="1:33" s="9" customFormat="1" ht="21" customHeight="1">
      <c r="A293" s="34"/>
      <c r="B293" s="34"/>
      <c r="C293" s="34"/>
      <c r="D293" s="114"/>
      <c r="E293" s="83"/>
      <c r="F293" s="83"/>
      <c r="G293" s="83"/>
      <c r="H293" s="83"/>
      <c r="I293" s="83"/>
      <c r="J293" s="83"/>
      <c r="K293" s="628"/>
      <c r="L293" s="83"/>
      <c r="M293" s="686"/>
      <c r="N293" s="675"/>
      <c r="O293" s="640" t="s">
        <v>271</v>
      </c>
      <c r="P293" s="674"/>
      <c r="Q293" s="674"/>
      <c r="R293" s="674"/>
      <c r="S293" s="674"/>
      <c r="T293" s="673"/>
      <c r="U293" s="673"/>
      <c r="V293" s="673"/>
      <c r="W293" s="673"/>
      <c r="X293" s="673"/>
      <c r="Y293" s="673"/>
      <c r="Z293" s="673"/>
      <c r="AA293" s="673"/>
      <c r="AB293" s="673" t="s">
        <v>138</v>
      </c>
      <c r="AC293" s="659"/>
      <c r="AD293" s="440">
        <v>650000</v>
      </c>
      <c r="AE293" s="103" t="s">
        <v>56</v>
      </c>
      <c r="AF293" s="495"/>
      <c r="AG293" s="526">
        <f t="shared" si="16"/>
        <v>650000</v>
      </c>
    </row>
    <row r="294" spans="1:33" s="9" customFormat="1" ht="21" customHeight="1">
      <c r="A294" s="34"/>
      <c r="B294" s="34"/>
      <c r="C294" s="34"/>
      <c r="D294" s="114"/>
      <c r="E294" s="83"/>
      <c r="F294" s="83"/>
      <c r="G294" s="83"/>
      <c r="H294" s="83"/>
      <c r="I294" s="83"/>
      <c r="J294" s="83"/>
      <c r="K294" s="628"/>
      <c r="L294" s="83"/>
      <c r="M294" s="686"/>
      <c r="N294" s="675"/>
      <c r="O294" s="640" t="s">
        <v>811</v>
      </c>
      <c r="P294" s="674"/>
      <c r="Q294" s="674"/>
      <c r="R294" s="674"/>
      <c r="S294" s="674"/>
      <c r="T294" s="673"/>
      <c r="U294" s="673"/>
      <c r="V294" s="673"/>
      <c r="W294" s="673"/>
      <c r="X294" s="673"/>
      <c r="Y294" s="673"/>
      <c r="Z294" s="673"/>
      <c r="AA294" s="673"/>
      <c r="AB294" s="673" t="s">
        <v>138</v>
      </c>
      <c r="AC294" s="659"/>
      <c r="AD294" s="440">
        <v>50000</v>
      </c>
      <c r="AE294" s="103" t="s">
        <v>56</v>
      </c>
      <c r="AF294" s="495"/>
      <c r="AG294" s="526">
        <f t="shared" si="16"/>
        <v>50000</v>
      </c>
    </row>
    <row r="295" spans="1:33" s="9" customFormat="1" ht="21" customHeight="1">
      <c r="A295" s="34"/>
      <c r="B295" s="34"/>
      <c r="C295" s="34"/>
      <c r="D295" s="114"/>
      <c r="E295" s="83"/>
      <c r="F295" s="83"/>
      <c r="G295" s="83"/>
      <c r="H295" s="83"/>
      <c r="I295" s="83"/>
      <c r="J295" s="83"/>
      <c r="K295" s="628"/>
      <c r="L295" s="83"/>
      <c r="M295" s="686"/>
      <c r="N295" s="675"/>
      <c r="O295" s="640" t="s">
        <v>272</v>
      </c>
      <c r="P295" s="674"/>
      <c r="Q295" s="674"/>
      <c r="R295" s="674"/>
      <c r="S295" s="674"/>
      <c r="T295" s="673"/>
      <c r="U295" s="673"/>
      <c r="V295" s="673"/>
      <c r="W295" s="673"/>
      <c r="X295" s="673"/>
      <c r="Y295" s="673"/>
      <c r="Z295" s="673"/>
      <c r="AA295" s="673"/>
      <c r="AB295" s="314"/>
      <c r="AC295" s="659"/>
      <c r="AD295" s="440"/>
      <c r="AE295" s="103" t="s">
        <v>56</v>
      </c>
      <c r="AF295" s="495"/>
      <c r="AG295" s="526">
        <f t="shared" si="16"/>
        <v>0</v>
      </c>
    </row>
    <row r="296" spans="1:33" s="9" customFormat="1" ht="21" customHeight="1">
      <c r="A296" s="34"/>
      <c r="B296" s="34"/>
      <c r="C296" s="34"/>
      <c r="D296" s="114"/>
      <c r="E296" s="83"/>
      <c r="F296" s="83"/>
      <c r="G296" s="83"/>
      <c r="H296" s="83"/>
      <c r="I296" s="83"/>
      <c r="J296" s="83"/>
      <c r="K296" s="628"/>
      <c r="L296" s="83"/>
      <c r="M296" s="686"/>
      <c r="N296" s="675"/>
      <c r="O296" s="640" t="s">
        <v>812</v>
      </c>
      <c r="P296" s="674"/>
      <c r="Q296" s="674"/>
      <c r="R296" s="674"/>
      <c r="S296" s="674"/>
      <c r="T296" s="673"/>
      <c r="U296" s="673"/>
      <c r="V296" s="673"/>
      <c r="W296" s="673"/>
      <c r="X296" s="673"/>
      <c r="Y296" s="673"/>
      <c r="Z296" s="673"/>
      <c r="AA296" s="673"/>
      <c r="AB296" s="314" t="s">
        <v>138</v>
      </c>
      <c r="AC296" s="659"/>
      <c r="AD296" s="440">
        <v>0</v>
      </c>
      <c r="AE296" s="103" t="s">
        <v>56</v>
      </c>
      <c r="AF296" s="495">
        <v>1000000</v>
      </c>
      <c r="AG296" s="526">
        <f t="shared" si="16"/>
        <v>-1000000</v>
      </c>
    </row>
    <row r="297" spans="1:33" s="9" customFormat="1" ht="21" customHeight="1">
      <c r="A297" s="34"/>
      <c r="B297" s="34"/>
      <c r="C297" s="34"/>
      <c r="D297" s="114"/>
      <c r="E297" s="83"/>
      <c r="F297" s="83"/>
      <c r="G297" s="83"/>
      <c r="H297" s="83"/>
      <c r="I297" s="83"/>
      <c r="J297" s="83"/>
      <c r="K297" s="628"/>
      <c r="L297" s="83"/>
      <c r="M297" s="686"/>
      <c r="N297" s="675"/>
      <c r="O297" s="640" t="s">
        <v>603</v>
      </c>
      <c r="P297" s="674"/>
      <c r="Q297" s="674"/>
      <c r="R297" s="674"/>
      <c r="S297" s="674"/>
      <c r="T297" s="673"/>
      <c r="U297" s="673"/>
      <c r="V297" s="673"/>
      <c r="W297" s="673"/>
      <c r="X297" s="673"/>
      <c r="Y297" s="673"/>
      <c r="Z297" s="673"/>
      <c r="AA297" s="673"/>
      <c r="AB297" s="314" t="s">
        <v>138</v>
      </c>
      <c r="AC297" s="659"/>
      <c r="AD297" s="440">
        <v>0</v>
      </c>
      <c r="AE297" s="103" t="s">
        <v>56</v>
      </c>
      <c r="AF297" s="495">
        <v>200000</v>
      </c>
      <c r="AG297" s="526">
        <f t="shared" si="16"/>
        <v>-200000</v>
      </c>
    </row>
    <row r="298" spans="1:33" s="9" customFormat="1" ht="21" customHeight="1">
      <c r="A298" s="34"/>
      <c r="B298" s="34"/>
      <c r="C298" s="34"/>
      <c r="D298" s="114"/>
      <c r="E298" s="83"/>
      <c r="F298" s="83"/>
      <c r="G298" s="83"/>
      <c r="H298" s="83"/>
      <c r="I298" s="83"/>
      <c r="J298" s="83"/>
      <c r="K298" s="628"/>
      <c r="L298" s="83"/>
      <c r="M298" s="686"/>
      <c r="N298" s="675"/>
      <c r="O298" s="640" t="s">
        <v>597</v>
      </c>
      <c r="P298" s="674"/>
      <c r="Q298" s="674"/>
      <c r="R298" s="674"/>
      <c r="S298" s="674"/>
      <c r="T298" s="673"/>
      <c r="U298" s="673"/>
      <c r="V298" s="673"/>
      <c r="W298" s="673"/>
      <c r="X298" s="673"/>
      <c r="Y298" s="673"/>
      <c r="Z298" s="673"/>
      <c r="AA298" s="673"/>
      <c r="AB298" s="314" t="s">
        <v>138</v>
      </c>
      <c r="AC298" s="659"/>
      <c r="AD298" s="440">
        <v>0</v>
      </c>
      <c r="AE298" s="103" t="s">
        <v>56</v>
      </c>
      <c r="AF298" s="495">
        <v>700000</v>
      </c>
      <c r="AG298" s="526">
        <f t="shared" si="16"/>
        <v>-700000</v>
      </c>
    </row>
    <row r="299" spans="1:33" s="9" customFormat="1" ht="21" customHeight="1">
      <c r="A299" s="34"/>
      <c r="B299" s="34"/>
      <c r="C299" s="34"/>
      <c r="D299" s="114"/>
      <c r="E299" s="83"/>
      <c r="F299" s="83"/>
      <c r="G299" s="83"/>
      <c r="H299" s="83"/>
      <c r="I299" s="83"/>
      <c r="J299" s="83"/>
      <c r="K299" s="628"/>
      <c r="L299" s="83"/>
      <c r="M299" s="686"/>
      <c r="N299" s="675"/>
      <c r="O299" s="640" t="s">
        <v>813</v>
      </c>
      <c r="P299" s="674"/>
      <c r="Q299" s="674"/>
      <c r="R299" s="674"/>
      <c r="S299" s="674"/>
      <c r="T299" s="673"/>
      <c r="U299" s="673"/>
      <c r="V299" s="673"/>
      <c r="W299" s="673"/>
      <c r="X299" s="673"/>
      <c r="Y299" s="673"/>
      <c r="Z299" s="673"/>
      <c r="AA299" s="673"/>
      <c r="AB299" s="314" t="s">
        <v>138</v>
      </c>
      <c r="AC299" s="659"/>
      <c r="AD299" s="440">
        <v>0</v>
      </c>
      <c r="AE299" s="103" t="s">
        <v>56</v>
      </c>
      <c r="AF299" s="495">
        <v>300000</v>
      </c>
      <c r="AG299" s="526">
        <f t="shared" si="16"/>
        <v>-300000</v>
      </c>
    </row>
    <row r="300" spans="1:33" s="9" customFormat="1" ht="21" customHeight="1">
      <c r="A300" s="34"/>
      <c r="B300" s="34"/>
      <c r="C300" s="44"/>
      <c r="D300" s="115"/>
      <c r="E300" s="85"/>
      <c r="F300" s="85"/>
      <c r="G300" s="85"/>
      <c r="H300" s="85"/>
      <c r="I300" s="85"/>
      <c r="J300" s="85"/>
      <c r="K300" s="629"/>
      <c r="L300" s="85"/>
      <c r="M300" s="687"/>
      <c r="N300" s="680"/>
      <c r="O300" s="641" t="s">
        <v>598</v>
      </c>
      <c r="P300" s="671"/>
      <c r="Q300" s="671"/>
      <c r="R300" s="671"/>
      <c r="S300" s="671"/>
      <c r="T300" s="670"/>
      <c r="U300" s="670"/>
      <c r="V300" s="670"/>
      <c r="W300" s="670"/>
      <c r="X300" s="670"/>
      <c r="Y300" s="670"/>
      <c r="Z300" s="670"/>
      <c r="AA300" s="670"/>
      <c r="AB300" s="314" t="s">
        <v>138</v>
      </c>
      <c r="AC300" s="317"/>
      <c r="AD300" s="503">
        <v>0</v>
      </c>
      <c r="AE300" s="309" t="s">
        <v>56</v>
      </c>
      <c r="AF300" s="495">
        <v>500000</v>
      </c>
      <c r="AG300" s="526">
        <f t="shared" si="16"/>
        <v>-500000</v>
      </c>
    </row>
    <row r="301" spans="1:33" s="9" customFormat="1" ht="21" customHeight="1">
      <c r="A301" s="34"/>
      <c r="B301" s="34"/>
      <c r="C301" s="24" t="s">
        <v>261</v>
      </c>
      <c r="D301" s="116">
        <v>22585</v>
      </c>
      <c r="E301" s="83">
        <f>ROUND(AD301/1000,0)</f>
        <v>21715</v>
      </c>
      <c r="F301" s="88">
        <f>SUMIF($AB$302:$AB$312,"보조",$AD$302:$AD$312)/1000</f>
        <v>0</v>
      </c>
      <c r="G301" s="88">
        <f>SUMIF($AB$302:$AB$312,"7종",$AD$302:$AD$312)/1000</f>
        <v>0</v>
      </c>
      <c r="H301" s="88">
        <f>SUMIF($AB$302:$AB$312,"4종",$AD$302:$AD$312)/1000</f>
        <v>0</v>
      </c>
      <c r="I301" s="88">
        <f>SUMIF($AB$302:$AB$312,"후원",$AD$302:$AD$312)/1000</f>
        <v>11685</v>
      </c>
      <c r="J301" s="88">
        <f>SUMIF($AB$302:$AB$312,"입소",$AD$302:$AD$312)/1000</f>
        <v>10030</v>
      </c>
      <c r="K301" s="631">
        <f>SUMIF($AB$302:$AB$312,"법인",$AD$302:$AD$312)/1000</f>
        <v>0</v>
      </c>
      <c r="L301" s="88">
        <f>SUMIF($AB$302:$AB$312,"잡수",$AD$302:$AD$312)/1000</f>
        <v>0</v>
      </c>
      <c r="M301" s="95">
        <f>E301-D301</f>
        <v>-870</v>
      </c>
      <c r="N301" s="676">
        <f>IF(D301=0,0,M301/D301)</f>
        <v>-3.8521142351117997E-2</v>
      </c>
      <c r="O301" s="226"/>
      <c r="P301" s="236"/>
      <c r="Q301" s="236"/>
      <c r="R301" s="331"/>
      <c r="S301" s="331"/>
      <c r="T301" s="331"/>
      <c r="U301" s="331"/>
      <c r="V301" s="331"/>
      <c r="W301" s="332" t="s">
        <v>121</v>
      </c>
      <c r="X301" s="332"/>
      <c r="Y301" s="332"/>
      <c r="Z301" s="332"/>
      <c r="AA301" s="332"/>
      <c r="AB301" s="332"/>
      <c r="AC301" s="648"/>
      <c r="AD301" s="648">
        <f>SUM(AD302:AD312)</f>
        <v>21715000</v>
      </c>
      <c r="AE301" s="333" t="s">
        <v>25</v>
      </c>
      <c r="AF301" s="495"/>
      <c r="AG301" s="526">
        <f t="shared" si="16"/>
        <v>21715000</v>
      </c>
    </row>
    <row r="302" spans="1:33" s="9" customFormat="1" ht="21" customHeight="1">
      <c r="A302" s="34"/>
      <c r="B302" s="34"/>
      <c r="C302" s="34" t="s">
        <v>262</v>
      </c>
      <c r="D302" s="493"/>
      <c r="E302" s="491"/>
      <c r="F302" s="491"/>
      <c r="G302" s="491"/>
      <c r="H302" s="491"/>
      <c r="I302" s="491"/>
      <c r="J302" s="491"/>
      <c r="K302" s="661"/>
      <c r="L302" s="491"/>
      <c r="M302" s="686"/>
      <c r="N302" s="675"/>
      <c r="O302" s="674" t="s">
        <v>273</v>
      </c>
      <c r="P302" s="314"/>
      <c r="Q302" s="314"/>
      <c r="R302" s="314"/>
      <c r="S302" s="314"/>
      <c r="T302" s="314"/>
      <c r="U302" s="314"/>
      <c r="V302" s="314"/>
      <c r="W302" s="314"/>
      <c r="X302" s="314"/>
      <c r="Y302" s="314"/>
      <c r="Z302" s="314"/>
      <c r="AA302" s="314"/>
      <c r="AB302" s="314" t="s">
        <v>220</v>
      </c>
      <c r="AC302" s="314"/>
      <c r="AD302" s="329">
        <v>430000</v>
      </c>
      <c r="AE302" s="316" t="s">
        <v>56</v>
      </c>
      <c r="AF302" s="495">
        <v>160000</v>
      </c>
      <c r="AG302" s="526">
        <f t="shared" si="16"/>
        <v>270000</v>
      </c>
    </row>
    <row r="303" spans="1:33" s="9" customFormat="1" ht="21" customHeight="1">
      <c r="A303" s="34"/>
      <c r="B303" s="34"/>
      <c r="C303" s="34"/>
      <c r="D303" s="494"/>
      <c r="E303" s="492"/>
      <c r="F303" s="492"/>
      <c r="G303" s="492"/>
      <c r="H303" s="492"/>
      <c r="I303" s="492"/>
      <c r="J303" s="492"/>
      <c r="K303" s="662"/>
      <c r="L303" s="492"/>
      <c r="M303" s="686"/>
      <c r="N303" s="675"/>
      <c r="O303" s="674"/>
      <c r="P303" s="314"/>
      <c r="Q303" s="314"/>
      <c r="R303" s="314"/>
      <c r="S303" s="314"/>
      <c r="T303" s="314"/>
      <c r="U303" s="314"/>
      <c r="V303" s="314"/>
      <c r="W303" s="314"/>
      <c r="X303" s="314"/>
      <c r="Y303" s="314"/>
      <c r="Z303" s="314"/>
      <c r="AA303" s="314"/>
      <c r="AB303" s="314" t="s">
        <v>138</v>
      </c>
      <c r="AC303" s="314"/>
      <c r="AD303" s="329">
        <v>3100000</v>
      </c>
      <c r="AE303" s="316" t="s">
        <v>56</v>
      </c>
      <c r="AF303" s="495"/>
      <c r="AG303" s="526">
        <f t="shared" si="16"/>
        <v>3100000</v>
      </c>
    </row>
    <row r="304" spans="1:33" s="9" customFormat="1" ht="21" customHeight="1">
      <c r="A304" s="34"/>
      <c r="B304" s="34"/>
      <c r="C304" s="34"/>
      <c r="D304" s="494"/>
      <c r="E304" s="492"/>
      <c r="F304" s="492"/>
      <c r="G304" s="492"/>
      <c r="H304" s="492"/>
      <c r="I304" s="492"/>
      <c r="J304" s="492"/>
      <c r="K304" s="662"/>
      <c r="L304" s="492"/>
      <c r="M304" s="686"/>
      <c r="N304" s="675"/>
      <c r="O304" s="674" t="s">
        <v>274</v>
      </c>
      <c r="P304" s="314"/>
      <c r="Q304" s="314"/>
      <c r="R304" s="314"/>
      <c r="S304" s="314"/>
      <c r="T304" s="314"/>
      <c r="U304" s="314"/>
      <c r="V304" s="314"/>
      <c r="W304" s="314"/>
      <c r="X304" s="314"/>
      <c r="Y304" s="314"/>
      <c r="Z304" s="314"/>
      <c r="AA304" s="314"/>
      <c r="AB304" s="314" t="s">
        <v>220</v>
      </c>
      <c r="AC304" s="314"/>
      <c r="AD304" s="329">
        <v>9000000</v>
      </c>
      <c r="AE304" s="316" t="s">
        <v>56</v>
      </c>
      <c r="AF304" s="495">
        <v>8000000</v>
      </c>
      <c r="AG304" s="526">
        <f t="shared" si="16"/>
        <v>1000000</v>
      </c>
    </row>
    <row r="305" spans="1:33" s="9" customFormat="1" ht="21" customHeight="1">
      <c r="A305" s="34"/>
      <c r="B305" s="34"/>
      <c r="C305" s="34"/>
      <c r="D305" s="114"/>
      <c r="E305" s="83"/>
      <c r="F305" s="83"/>
      <c r="G305" s="83"/>
      <c r="H305" s="83"/>
      <c r="I305" s="83"/>
      <c r="J305" s="83"/>
      <c r="K305" s="628"/>
      <c r="L305" s="83"/>
      <c r="M305" s="686"/>
      <c r="N305" s="675"/>
      <c r="O305" s="674"/>
      <c r="P305" s="314"/>
      <c r="Q305" s="314"/>
      <c r="R305" s="314"/>
      <c r="S305" s="314"/>
      <c r="T305" s="314"/>
      <c r="U305" s="314"/>
      <c r="V305" s="314"/>
      <c r="W305" s="314"/>
      <c r="X305" s="314"/>
      <c r="Y305" s="314"/>
      <c r="Z305" s="314"/>
      <c r="AA305" s="314"/>
      <c r="AB305" s="314" t="s">
        <v>138</v>
      </c>
      <c r="AC305" s="314"/>
      <c r="AD305" s="329">
        <v>5585000</v>
      </c>
      <c r="AE305" s="316" t="s">
        <v>56</v>
      </c>
      <c r="AF305" s="495"/>
      <c r="AG305" s="526">
        <f t="shared" si="16"/>
        <v>5585000</v>
      </c>
    </row>
    <row r="306" spans="1:33" s="9" customFormat="1" ht="21" customHeight="1">
      <c r="A306" s="34"/>
      <c r="B306" s="34"/>
      <c r="C306" s="34"/>
      <c r="D306" s="114"/>
      <c r="E306" s="83"/>
      <c r="F306" s="83"/>
      <c r="G306" s="83"/>
      <c r="H306" s="83"/>
      <c r="I306" s="83"/>
      <c r="J306" s="83"/>
      <c r="K306" s="628"/>
      <c r="L306" s="83"/>
      <c r="M306" s="686"/>
      <c r="N306" s="675"/>
      <c r="O306" s="674"/>
      <c r="P306" s="314"/>
      <c r="Q306" s="314"/>
      <c r="R306" s="314"/>
      <c r="S306" s="314"/>
      <c r="T306" s="314"/>
      <c r="U306" s="314"/>
      <c r="V306" s="314"/>
      <c r="W306" s="314"/>
      <c r="X306" s="314"/>
      <c r="Y306" s="314"/>
      <c r="Z306" s="314"/>
      <c r="AA306" s="314"/>
      <c r="AB306" s="314" t="s">
        <v>138</v>
      </c>
      <c r="AC306" s="314"/>
      <c r="AD306" s="329">
        <v>0</v>
      </c>
      <c r="AE306" s="316" t="s">
        <v>56</v>
      </c>
      <c r="AF306" s="495"/>
      <c r="AG306" s="526">
        <f t="shared" si="16"/>
        <v>0</v>
      </c>
    </row>
    <row r="307" spans="1:33" s="9" customFormat="1" ht="21" customHeight="1">
      <c r="A307" s="34"/>
      <c r="B307" s="34"/>
      <c r="C307" s="34"/>
      <c r="D307" s="114"/>
      <c r="E307" s="83"/>
      <c r="F307" s="83"/>
      <c r="G307" s="83"/>
      <c r="H307" s="83"/>
      <c r="I307" s="83"/>
      <c r="J307" s="83"/>
      <c r="K307" s="628"/>
      <c r="L307" s="83"/>
      <c r="M307" s="686"/>
      <c r="N307" s="675"/>
      <c r="O307" s="674" t="s">
        <v>275</v>
      </c>
      <c r="P307" s="314"/>
      <c r="Q307" s="314"/>
      <c r="R307" s="314"/>
      <c r="S307" s="314"/>
      <c r="T307" s="314"/>
      <c r="U307" s="314"/>
      <c r="V307" s="314"/>
      <c r="W307" s="314"/>
      <c r="X307" s="314"/>
      <c r="Y307" s="314"/>
      <c r="Z307" s="314"/>
      <c r="AA307" s="314"/>
      <c r="AB307" s="314" t="s">
        <v>220</v>
      </c>
      <c r="AC307" s="314"/>
      <c r="AD307" s="329">
        <v>600000</v>
      </c>
      <c r="AE307" s="316" t="s">
        <v>56</v>
      </c>
      <c r="AF307" s="495">
        <v>240000</v>
      </c>
      <c r="AG307" s="526">
        <f t="shared" si="16"/>
        <v>360000</v>
      </c>
    </row>
    <row r="308" spans="1:33" s="9" customFormat="1" ht="21" customHeight="1">
      <c r="A308" s="34"/>
      <c r="B308" s="34"/>
      <c r="C308" s="34"/>
      <c r="D308" s="114"/>
      <c r="E308" s="83"/>
      <c r="F308" s="83"/>
      <c r="G308" s="83"/>
      <c r="H308" s="83"/>
      <c r="I308" s="83"/>
      <c r="J308" s="83"/>
      <c r="K308" s="628"/>
      <c r="L308" s="83"/>
      <c r="M308" s="686"/>
      <c r="N308" s="675"/>
      <c r="O308" s="674"/>
      <c r="P308" s="314"/>
      <c r="Q308" s="314"/>
      <c r="R308" s="314"/>
      <c r="S308" s="314"/>
      <c r="T308" s="314"/>
      <c r="U308" s="314"/>
      <c r="V308" s="314"/>
      <c r="W308" s="314"/>
      <c r="X308" s="314"/>
      <c r="Y308" s="314"/>
      <c r="Z308" s="314"/>
      <c r="AA308" s="314"/>
      <c r="AB308" s="314" t="s">
        <v>138</v>
      </c>
      <c r="AC308" s="314"/>
      <c r="AD308" s="329">
        <v>0</v>
      </c>
      <c r="AE308" s="316" t="s">
        <v>56</v>
      </c>
      <c r="AF308" s="495">
        <v>2500000</v>
      </c>
      <c r="AG308" s="526">
        <f t="shared" si="16"/>
        <v>-2500000</v>
      </c>
    </row>
    <row r="309" spans="1:33" s="9" customFormat="1" ht="21" customHeight="1">
      <c r="A309" s="34"/>
      <c r="B309" s="34"/>
      <c r="C309" s="34"/>
      <c r="D309" s="114"/>
      <c r="E309" s="83"/>
      <c r="F309" s="83"/>
      <c r="G309" s="83"/>
      <c r="H309" s="83"/>
      <c r="I309" s="83"/>
      <c r="J309" s="83"/>
      <c r="K309" s="628"/>
      <c r="L309" s="83"/>
      <c r="M309" s="686"/>
      <c r="N309" s="675"/>
      <c r="O309" s="674" t="s">
        <v>276</v>
      </c>
      <c r="P309" s="314"/>
      <c r="Q309" s="314"/>
      <c r="R309" s="314"/>
      <c r="S309" s="314"/>
      <c r="T309" s="314"/>
      <c r="U309" s="314"/>
      <c r="V309" s="314"/>
      <c r="W309" s="314"/>
      <c r="X309" s="314"/>
      <c r="Y309" s="314"/>
      <c r="Z309" s="314"/>
      <c r="AA309" s="314"/>
      <c r="AB309" s="314" t="s">
        <v>219</v>
      </c>
      <c r="AC309" s="314"/>
      <c r="AD309" s="329"/>
      <c r="AE309" s="316" t="s">
        <v>56</v>
      </c>
      <c r="AF309" s="495"/>
      <c r="AG309" s="526">
        <f t="shared" si="16"/>
        <v>0</v>
      </c>
    </row>
    <row r="310" spans="1:33" s="9" customFormat="1" ht="21" customHeight="1">
      <c r="A310" s="34"/>
      <c r="B310" s="34"/>
      <c r="C310" s="34"/>
      <c r="D310" s="114"/>
      <c r="E310" s="83"/>
      <c r="F310" s="83"/>
      <c r="G310" s="83"/>
      <c r="H310" s="83"/>
      <c r="I310" s="83"/>
      <c r="J310" s="83"/>
      <c r="K310" s="628"/>
      <c r="L310" s="83"/>
      <c r="M310" s="686"/>
      <c r="N310" s="675"/>
      <c r="O310" s="674"/>
      <c r="P310" s="314"/>
      <c r="Q310" s="314"/>
      <c r="R310" s="314"/>
      <c r="S310" s="314"/>
      <c r="T310" s="314"/>
      <c r="U310" s="314"/>
      <c r="V310" s="314"/>
      <c r="W310" s="314"/>
      <c r="X310" s="314"/>
      <c r="Y310" s="314"/>
      <c r="Z310" s="314"/>
      <c r="AA310" s="314"/>
      <c r="AB310" s="314" t="s">
        <v>138</v>
      </c>
      <c r="AC310" s="314"/>
      <c r="AD310" s="329"/>
      <c r="AE310" s="316" t="s">
        <v>56</v>
      </c>
      <c r="AF310" s="495"/>
      <c r="AG310" s="526">
        <f t="shared" si="16"/>
        <v>0</v>
      </c>
    </row>
    <row r="311" spans="1:33" s="9" customFormat="1" ht="21" customHeight="1">
      <c r="A311" s="34"/>
      <c r="B311" s="34"/>
      <c r="C311" s="34"/>
      <c r="D311" s="114"/>
      <c r="E311" s="83"/>
      <c r="F311" s="83"/>
      <c r="G311" s="83"/>
      <c r="H311" s="83"/>
      <c r="I311" s="83"/>
      <c r="J311" s="83"/>
      <c r="K311" s="628"/>
      <c r="L311" s="83"/>
      <c r="M311" s="686"/>
      <c r="N311" s="675"/>
      <c r="O311" s="674" t="s">
        <v>277</v>
      </c>
      <c r="P311" s="314"/>
      <c r="Q311" s="314"/>
      <c r="R311" s="314"/>
      <c r="S311" s="314"/>
      <c r="T311" s="314"/>
      <c r="U311" s="314"/>
      <c r="V311" s="314"/>
      <c r="W311" s="314"/>
      <c r="X311" s="314"/>
      <c r="Y311" s="314"/>
      <c r="Z311" s="314"/>
      <c r="AA311" s="314"/>
      <c r="AB311" s="314" t="s">
        <v>138</v>
      </c>
      <c r="AC311" s="314"/>
      <c r="AD311" s="329">
        <v>3000000</v>
      </c>
      <c r="AE311" s="316" t="s">
        <v>56</v>
      </c>
      <c r="AF311" s="495"/>
      <c r="AG311" s="526">
        <f t="shared" si="16"/>
        <v>3000000</v>
      </c>
    </row>
    <row r="312" spans="1:33" s="9" customFormat="1" ht="21" customHeight="1">
      <c r="A312" s="34"/>
      <c r="B312" s="34"/>
      <c r="C312" s="34"/>
      <c r="D312" s="114"/>
      <c r="E312" s="85"/>
      <c r="F312" s="83"/>
      <c r="G312" s="83"/>
      <c r="H312" s="83"/>
      <c r="I312" s="83"/>
      <c r="J312" s="83"/>
      <c r="K312" s="628"/>
      <c r="L312" s="83"/>
      <c r="M312" s="686"/>
      <c r="N312" s="675"/>
      <c r="O312" s="674"/>
      <c r="P312" s="674"/>
      <c r="Q312" s="674"/>
      <c r="R312" s="674"/>
      <c r="S312" s="674"/>
      <c r="T312" s="673"/>
      <c r="U312" s="673"/>
      <c r="V312" s="673"/>
      <c r="W312" s="673"/>
      <c r="X312" s="673"/>
      <c r="Y312" s="673"/>
      <c r="Z312" s="673"/>
      <c r="AA312" s="673"/>
      <c r="AB312" s="673" t="s">
        <v>220</v>
      </c>
      <c r="AC312" s="659"/>
      <c r="AD312" s="440">
        <v>0</v>
      </c>
      <c r="AE312" s="316" t="s">
        <v>56</v>
      </c>
      <c r="AF312" s="495"/>
      <c r="AG312" s="526">
        <f t="shared" si="16"/>
        <v>0</v>
      </c>
    </row>
    <row r="313" spans="1:33" s="9" customFormat="1" ht="21" customHeight="1">
      <c r="A313" s="34"/>
      <c r="B313" s="34"/>
      <c r="C313" s="24" t="s">
        <v>263</v>
      </c>
      <c r="D313" s="116">
        <v>600</v>
      </c>
      <c r="E313" s="87">
        <f>ROUND(AD313/1000,0)</f>
        <v>450</v>
      </c>
      <c r="F313" s="88">
        <f>SUMIF($AB$314:$AB$314,"보조",$AD$314:$AD$314)/1000</f>
        <v>0</v>
      </c>
      <c r="G313" s="88">
        <f>SUMIF($AB$314:$AB$314,"7종",$AD$314:$AD$314)/1000</f>
        <v>0</v>
      </c>
      <c r="H313" s="88">
        <f>SUMIF($AB$314:$AB$314,"4종",$AD$314:$AD$314)/1000</f>
        <v>0</v>
      </c>
      <c r="I313" s="88">
        <f>SUMIF($AB$314:$AB$314,"후원",$AD$314:$AD$314)/1000</f>
        <v>0</v>
      </c>
      <c r="J313" s="88">
        <f>SUMIF($AB$314:$AB$314,"입소",$AD$314:$AD$314)/1000</f>
        <v>450</v>
      </c>
      <c r="K313" s="631">
        <f>SUMIF($AB$314:$AB$314,"법인",$AD$314:$AD$314)/1000</f>
        <v>0</v>
      </c>
      <c r="L313" s="88">
        <f>SUMIF($AB$314:$AB$314,"잡수",$AD$314:$AD$314)/1000</f>
        <v>0</v>
      </c>
      <c r="M313" s="95">
        <f>E313-D313</f>
        <v>-150</v>
      </c>
      <c r="N313" s="676">
        <f>IF(D313=0,0,M313/D313)</f>
        <v>-0.25</v>
      </c>
      <c r="O313" s="226"/>
      <c r="P313" s="236"/>
      <c r="Q313" s="236"/>
      <c r="R313" s="331"/>
      <c r="S313" s="331"/>
      <c r="T313" s="331"/>
      <c r="U313" s="331"/>
      <c r="V313" s="331"/>
      <c r="W313" s="332" t="s">
        <v>121</v>
      </c>
      <c r="X313" s="332"/>
      <c r="Y313" s="332"/>
      <c r="Z313" s="332"/>
      <c r="AA313" s="332"/>
      <c r="AB313" s="332"/>
      <c r="AC313" s="648"/>
      <c r="AD313" s="648">
        <f>SUM(AD314:AD315)</f>
        <v>450000</v>
      </c>
      <c r="AE313" s="333" t="s">
        <v>25</v>
      </c>
      <c r="AF313" s="495"/>
      <c r="AG313" s="526">
        <f t="shared" si="16"/>
        <v>450000</v>
      </c>
    </row>
    <row r="314" spans="1:33" s="9" customFormat="1" ht="24" customHeight="1">
      <c r="A314" s="34"/>
      <c r="B314" s="34"/>
      <c r="C314" s="34" t="s">
        <v>120</v>
      </c>
      <c r="D314" s="114"/>
      <c r="E314" s="83"/>
      <c r="F314" s="83"/>
      <c r="G314" s="83"/>
      <c r="H314" s="83"/>
      <c r="I314" s="83"/>
      <c r="J314" s="83"/>
      <c r="K314" s="628"/>
      <c r="L314" s="83"/>
      <c r="M314" s="686"/>
      <c r="N314" s="675"/>
      <c r="O314" s="674" t="s">
        <v>278</v>
      </c>
      <c r="P314" s="314"/>
      <c r="Q314" s="314"/>
      <c r="R314" s="314"/>
      <c r="S314" s="314"/>
      <c r="T314" s="314"/>
      <c r="U314" s="314"/>
      <c r="V314" s="314"/>
      <c r="W314" s="314"/>
      <c r="X314" s="314"/>
      <c r="Y314" s="314"/>
      <c r="Z314" s="314"/>
      <c r="AA314" s="314"/>
      <c r="AB314" s="314" t="s">
        <v>220</v>
      </c>
      <c r="AC314" s="314"/>
      <c r="AD314" s="329">
        <v>450000</v>
      </c>
      <c r="AE314" s="316" t="s">
        <v>56</v>
      </c>
      <c r="AF314" s="495">
        <v>600000</v>
      </c>
      <c r="AG314" s="526">
        <f t="shared" si="16"/>
        <v>-150000</v>
      </c>
    </row>
    <row r="315" spans="1:33" s="9" customFormat="1" ht="24" customHeight="1">
      <c r="A315" s="34"/>
      <c r="B315" s="34"/>
      <c r="C315" s="34"/>
      <c r="D315" s="114"/>
      <c r="E315" s="83"/>
      <c r="F315" s="83"/>
      <c r="G315" s="83"/>
      <c r="H315" s="83"/>
      <c r="I315" s="83"/>
      <c r="J315" s="83"/>
      <c r="K315" s="628"/>
      <c r="L315" s="83"/>
      <c r="M315" s="686"/>
      <c r="N315" s="675"/>
      <c r="O315" s="674"/>
      <c r="P315" s="314"/>
      <c r="Q315" s="314"/>
      <c r="R315" s="314"/>
      <c r="S315" s="314"/>
      <c r="T315" s="314"/>
      <c r="U315" s="314"/>
      <c r="V315" s="314"/>
      <c r="W315" s="314"/>
      <c r="X315" s="314"/>
      <c r="Y315" s="314"/>
      <c r="Z315" s="314"/>
      <c r="AA315" s="314"/>
      <c r="AB315" s="314"/>
      <c r="AC315" s="314"/>
      <c r="AD315" s="329"/>
      <c r="AE315" s="316"/>
      <c r="AF315" s="495"/>
      <c r="AG315" s="526">
        <f t="shared" si="16"/>
        <v>0</v>
      </c>
    </row>
    <row r="316" spans="1:33" s="12" customFormat="1" ht="24" customHeight="1">
      <c r="A316" s="34"/>
      <c r="B316" s="34"/>
      <c r="C316" s="24" t="s">
        <v>264</v>
      </c>
      <c r="D316" s="334">
        <v>54901</v>
      </c>
      <c r="E316" s="87">
        <f>ROUND(AD316/1000,0)</f>
        <v>40090</v>
      </c>
      <c r="F316" s="88">
        <f>SUMIF($AB$317:$AB$337,"보조",$AD$317:$AD$337)/1000</f>
        <v>0</v>
      </c>
      <c r="G316" s="88">
        <f>SUMIF($AB$317:$AB$337,"7종",$AD$317:$AD$337)/1000</f>
        <v>1800</v>
      </c>
      <c r="H316" s="88">
        <f>SUMIF($AB$317:$AB$337,"4종",$AD$317:$AD$337)/1000</f>
        <v>0</v>
      </c>
      <c r="I316" s="88">
        <f>SUMIF($AB$317:$AB$337,"후원",$AD$317:$AD$337)/1000</f>
        <v>28388</v>
      </c>
      <c r="J316" s="88">
        <f>SUMIF($AB$317:$AB$337,"입소",$AD$317:$AD$337)/1000</f>
        <v>9082</v>
      </c>
      <c r="K316" s="631">
        <f>SUMIF($AB$317:$AB$337,"법인",$AD$317:$AD$337)/1000</f>
        <v>0</v>
      </c>
      <c r="L316" s="88">
        <f>SUMIF($AB$317:$AB$337,"잡수",$AD$317:$AD$337)/1000</f>
        <v>820</v>
      </c>
      <c r="M316" s="95">
        <f>E316-D316</f>
        <v>-14811</v>
      </c>
      <c r="N316" s="676">
        <f>IF(D316=0,0,M316/D316)</f>
        <v>-0.26977650680315479</v>
      </c>
      <c r="O316" s="226"/>
      <c r="P316" s="240"/>
      <c r="Q316" s="240"/>
      <c r="R316" s="240"/>
      <c r="S316" s="240"/>
      <c r="T316" s="594"/>
      <c r="U316" s="594"/>
      <c r="V316" s="594"/>
      <c r="W316" s="332" t="s">
        <v>121</v>
      </c>
      <c r="X316" s="332"/>
      <c r="Y316" s="332"/>
      <c r="Z316" s="332"/>
      <c r="AA316" s="332"/>
      <c r="AB316" s="332"/>
      <c r="AC316" s="648"/>
      <c r="AD316" s="648">
        <f>SUM(AD317:AD337)</f>
        <v>40090000</v>
      </c>
      <c r="AE316" s="110" t="s">
        <v>25</v>
      </c>
      <c r="AF316" s="497"/>
      <c r="AG316" s="526">
        <f t="shared" si="16"/>
        <v>40090000</v>
      </c>
    </row>
    <row r="317" spans="1:33" s="12" customFormat="1" ht="24" customHeight="1">
      <c r="A317" s="34"/>
      <c r="B317" s="34"/>
      <c r="C317" s="34" t="s">
        <v>82</v>
      </c>
      <c r="D317" s="493"/>
      <c r="E317" s="491"/>
      <c r="F317" s="491"/>
      <c r="G317" s="491"/>
      <c r="H317" s="491"/>
      <c r="I317" s="491"/>
      <c r="J317" s="491"/>
      <c r="K317" s="661"/>
      <c r="L317" s="491"/>
      <c r="M317" s="686"/>
      <c r="N317" s="675"/>
      <c r="O317" s="674" t="s">
        <v>279</v>
      </c>
      <c r="P317" s="674"/>
      <c r="Q317" s="674"/>
      <c r="R317" s="674"/>
      <c r="S317" s="674"/>
      <c r="T317" s="673"/>
      <c r="U317" s="673"/>
      <c r="V317" s="673"/>
      <c r="W317" s="673"/>
      <c r="X317" s="673"/>
      <c r="Y317" s="673"/>
      <c r="Z317" s="673"/>
      <c r="AA317" s="673"/>
      <c r="AB317" s="673" t="s">
        <v>138</v>
      </c>
      <c r="AC317" s="659"/>
      <c r="AD317" s="659">
        <v>11376000</v>
      </c>
      <c r="AE317" s="103" t="s">
        <v>56</v>
      </c>
      <c r="AF317" s="476">
        <v>18918000</v>
      </c>
      <c r="AG317" s="526">
        <f t="shared" si="16"/>
        <v>-7542000</v>
      </c>
    </row>
    <row r="318" spans="1:33" s="12" customFormat="1" ht="24" customHeight="1">
      <c r="A318" s="34"/>
      <c r="B318" s="34"/>
      <c r="C318" s="34" t="s">
        <v>120</v>
      </c>
      <c r="D318" s="494"/>
      <c r="E318" s="492"/>
      <c r="F318" s="492"/>
      <c r="G318" s="492"/>
      <c r="H318" s="492"/>
      <c r="I318" s="492"/>
      <c r="J318" s="492"/>
      <c r="K318" s="662"/>
      <c r="L318" s="492"/>
      <c r="M318" s="686"/>
      <c r="N318" s="675"/>
      <c r="O318" s="674"/>
      <c r="P318" s="674"/>
      <c r="Q318" s="674"/>
      <c r="R318" s="674"/>
      <c r="S318" s="674"/>
      <c r="T318" s="673"/>
      <c r="U318" s="673"/>
      <c r="V318" s="673"/>
      <c r="W318" s="673"/>
      <c r="X318" s="673"/>
      <c r="Y318" s="673"/>
      <c r="Z318" s="673"/>
      <c r="AA318" s="673"/>
      <c r="AB318" s="673" t="s">
        <v>220</v>
      </c>
      <c r="AC318" s="659"/>
      <c r="AD318" s="659">
        <v>6365000</v>
      </c>
      <c r="AE318" s="103" t="s">
        <v>56</v>
      </c>
      <c r="AF318" s="497">
        <v>6364000</v>
      </c>
      <c r="AG318" s="526">
        <f t="shared" si="16"/>
        <v>1000</v>
      </c>
    </row>
    <row r="319" spans="1:33" s="12" customFormat="1" ht="24" customHeight="1">
      <c r="A319" s="34"/>
      <c r="B319" s="34"/>
      <c r="C319" s="34"/>
      <c r="D319" s="117"/>
      <c r="E319" s="83"/>
      <c r="F319" s="83"/>
      <c r="G319" s="83"/>
      <c r="H319" s="83"/>
      <c r="I319" s="83"/>
      <c r="J319" s="83"/>
      <c r="K319" s="628"/>
      <c r="L319" s="83"/>
      <c r="M319" s="686"/>
      <c r="N319" s="675"/>
      <c r="O319" s="674" t="s">
        <v>247</v>
      </c>
      <c r="P319" s="674"/>
      <c r="Q319" s="674"/>
      <c r="R319" s="674"/>
      <c r="S319" s="673"/>
      <c r="T319" s="673"/>
      <c r="U319" s="674"/>
      <c r="V319" s="673"/>
      <c r="W319" s="673"/>
      <c r="X319" s="673"/>
      <c r="Y319" s="673"/>
      <c r="Z319" s="673"/>
      <c r="AA319" s="673"/>
      <c r="AB319" s="673" t="s">
        <v>138</v>
      </c>
      <c r="AC319" s="673"/>
      <c r="AD319" s="673">
        <v>550000</v>
      </c>
      <c r="AE319" s="103" t="s">
        <v>25</v>
      </c>
      <c r="AF319" s="497"/>
      <c r="AG319" s="526">
        <f t="shared" si="16"/>
        <v>550000</v>
      </c>
    </row>
    <row r="320" spans="1:33" s="12" customFormat="1" ht="24" customHeight="1">
      <c r="A320" s="34"/>
      <c r="B320" s="34"/>
      <c r="C320" s="34"/>
      <c r="D320" s="114"/>
      <c r="E320" s="83"/>
      <c r="F320" s="83"/>
      <c r="G320" s="83"/>
      <c r="H320" s="83"/>
      <c r="I320" s="83"/>
      <c r="J320" s="83"/>
      <c r="K320" s="628"/>
      <c r="L320" s="83"/>
      <c r="M320" s="686"/>
      <c r="N320" s="675"/>
      <c r="O320" s="674" t="s">
        <v>657</v>
      </c>
      <c r="P320" s="674"/>
      <c r="Q320" s="674"/>
      <c r="R320" s="674"/>
      <c r="S320" s="673"/>
      <c r="T320" s="406"/>
      <c r="U320" s="406"/>
      <c r="V320" s="673"/>
      <c r="W320" s="674"/>
      <c r="X320" s="673"/>
      <c r="Y320" s="314"/>
      <c r="Z320" s="314"/>
      <c r="AA320" s="314"/>
      <c r="AB320" s="673" t="s">
        <v>138</v>
      </c>
      <c r="AC320" s="314"/>
      <c r="AD320" s="329">
        <v>900000</v>
      </c>
      <c r="AE320" s="316" t="s">
        <v>56</v>
      </c>
      <c r="AF320" s="497"/>
      <c r="AG320" s="526">
        <f t="shared" si="16"/>
        <v>900000</v>
      </c>
    </row>
    <row r="321" spans="1:33" s="12" customFormat="1" ht="24" customHeight="1">
      <c r="A321" s="34"/>
      <c r="B321" s="34"/>
      <c r="C321" s="34"/>
      <c r="D321" s="114"/>
      <c r="E321" s="83"/>
      <c r="F321" s="83"/>
      <c r="G321" s="83"/>
      <c r="H321" s="83"/>
      <c r="I321" s="83"/>
      <c r="J321" s="83"/>
      <c r="K321" s="628"/>
      <c r="L321" s="83"/>
      <c r="M321" s="686"/>
      <c r="N321" s="675"/>
      <c r="O321" s="674" t="s">
        <v>280</v>
      </c>
      <c r="P321" s="674"/>
      <c r="Q321" s="674"/>
      <c r="R321" s="674"/>
      <c r="S321" s="673"/>
      <c r="T321" s="406"/>
      <c r="U321" s="406"/>
      <c r="V321" s="673"/>
      <c r="W321" s="674"/>
      <c r="X321" s="673"/>
      <c r="Y321" s="314"/>
      <c r="Z321" s="314"/>
      <c r="AA321" s="314"/>
      <c r="AB321" s="673" t="s">
        <v>138</v>
      </c>
      <c r="AC321" s="314"/>
      <c r="AD321" s="329">
        <v>1890000</v>
      </c>
      <c r="AE321" s="316" t="s">
        <v>56</v>
      </c>
      <c r="AF321" s="329">
        <v>4890000</v>
      </c>
      <c r="AG321" s="526">
        <f t="shared" si="16"/>
        <v>-3000000</v>
      </c>
    </row>
    <row r="322" spans="1:33" s="12" customFormat="1" ht="24" customHeight="1">
      <c r="A322" s="34"/>
      <c r="B322" s="34"/>
      <c r="C322" s="34"/>
      <c r="D322" s="114"/>
      <c r="E322" s="83"/>
      <c r="F322" s="83"/>
      <c r="G322" s="83"/>
      <c r="H322" s="83"/>
      <c r="I322" s="83"/>
      <c r="J322" s="83"/>
      <c r="K322" s="628"/>
      <c r="L322" s="83"/>
      <c r="M322" s="686"/>
      <c r="N322" s="675"/>
      <c r="O322" s="674"/>
      <c r="P322" s="674"/>
      <c r="Q322" s="674"/>
      <c r="R322" s="674"/>
      <c r="S322" s="673"/>
      <c r="T322" s="406"/>
      <c r="U322" s="406" t="s">
        <v>317</v>
      </c>
      <c r="V322" s="673"/>
      <c r="W322" s="674"/>
      <c r="X322" s="673"/>
      <c r="Y322" s="314"/>
      <c r="Z322" s="314"/>
      <c r="AA322" s="314"/>
      <c r="AB322" s="673" t="s">
        <v>86</v>
      </c>
      <c r="AC322" s="314"/>
      <c r="AD322" s="329">
        <v>820000</v>
      </c>
      <c r="AE322" s="316" t="s">
        <v>56</v>
      </c>
      <c r="AF322" s="329">
        <v>490000</v>
      </c>
      <c r="AG322" s="526">
        <f t="shared" si="16"/>
        <v>330000</v>
      </c>
    </row>
    <row r="323" spans="1:33" s="12" customFormat="1" ht="24" customHeight="1">
      <c r="A323" s="34"/>
      <c r="B323" s="34"/>
      <c r="C323" s="34"/>
      <c r="D323" s="114"/>
      <c r="E323" s="83"/>
      <c r="F323" s="83"/>
      <c r="G323" s="83"/>
      <c r="H323" s="83"/>
      <c r="I323" s="83"/>
      <c r="J323" s="83"/>
      <c r="K323" s="628"/>
      <c r="L323" s="83"/>
      <c r="M323" s="686"/>
      <c r="N323" s="675"/>
      <c r="O323" s="674" t="s">
        <v>281</v>
      </c>
      <c r="P323" s="674"/>
      <c r="Q323" s="674"/>
      <c r="R323" s="674"/>
      <c r="S323" s="673"/>
      <c r="T323" s="406"/>
      <c r="U323" s="406"/>
      <c r="V323" s="673"/>
      <c r="W323" s="674"/>
      <c r="X323" s="673"/>
      <c r="Y323" s="314"/>
      <c r="Z323" s="314"/>
      <c r="AA323" s="314"/>
      <c r="AB323" s="673" t="s">
        <v>138</v>
      </c>
      <c r="AC323" s="314"/>
      <c r="AD323" s="329">
        <v>100000</v>
      </c>
      <c r="AE323" s="316" t="s">
        <v>56</v>
      </c>
      <c r="AF323" s="497"/>
      <c r="AG323" s="526">
        <f t="shared" si="16"/>
        <v>100000</v>
      </c>
    </row>
    <row r="324" spans="1:33" s="12" customFormat="1" ht="24" customHeight="1">
      <c r="A324" s="34"/>
      <c r="B324" s="34"/>
      <c r="C324" s="34"/>
      <c r="D324" s="114"/>
      <c r="E324" s="83"/>
      <c r="F324" s="83"/>
      <c r="G324" s="83"/>
      <c r="H324" s="83"/>
      <c r="I324" s="83"/>
      <c r="J324" s="83"/>
      <c r="K324" s="628"/>
      <c r="L324" s="83"/>
      <c r="M324" s="686"/>
      <c r="N324" s="675"/>
      <c r="O324" s="674" t="s">
        <v>282</v>
      </c>
      <c r="P324" s="674"/>
      <c r="Q324" s="674"/>
      <c r="R324" s="674"/>
      <c r="S324" s="673"/>
      <c r="T324" s="406"/>
      <c r="U324" s="406"/>
      <c r="V324" s="673"/>
      <c r="W324" s="674"/>
      <c r="X324" s="673"/>
      <c r="Y324" s="314" t="s">
        <v>655</v>
      </c>
      <c r="Z324" s="314"/>
      <c r="AA324" s="314"/>
      <c r="AB324" s="673" t="s">
        <v>138</v>
      </c>
      <c r="AC324" s="314"/>
      <c r="AD324" s="329">
        <v>3060000</v>
      </c>
      <c r="AE324" s="316" t="s">
        <v>56</v>
      </c>
      <c r="AF324" s="497"/>
      <c r="AG324" s="526">
        <f t="shared" ref="AG324:AG355" si="17">AD324-AF324</f>
        <v>3060000</v>
      </c>
    </row>
    <row r="325" spans="1:33" s="12" customFormat="1" ht="24" customHeight="1">
      <c r="A325" s="34"/>
      <c r="B325" s="34"/>
      <c r="C325" s="34"/>
      <c r="D325" s="114"/>
      <c r="E325" s="83"/>
      <c r="F325" s="83"/>
      <c r="G325" s="83"/>
      <c r="H325" s="83"/>
      <c r="I325" s="83"/>
      <c r="J325" s="83"/>
      <c r="K325" s="628"/>
      <c r="L325" s="83"/>
      <c r="M325" s="686"/>
      <c r="N325" s="675"/>
      <c r="O325" s="674"/>
      <c r="P325" s="674"/>
      <c r="Q325" s="674"/>
      <c r="R325" s="674"/>
      <c r="S325" s="673"/>
      <c r="T325" s="406"/>
      <c r="U325" s="406"/>
      <c r="V325" s="673"/>
      <c r="W325" s="674"/>
      <c r="X325" s="673"/>
      <c r="Y325" s="314"/>
      <c r="Z325" s="314"/>
      <c r="AA325" s="314"/>
      <c r="AB325" s="673" t="s">
        <v>138</v>
      </c>
      <c r="AC325" s="314"/>
      <c r="AD325" s="329">
        <v>1312000</v>
      </c>
      <c r="AE325" s="316" t="s">
        <v>56</v>
      </c>
      <c r="AF325" s="497"/>
      <c r="AG325" s="526">
        <f t="shared" si="17"/>
        <v>1312000</v>
      </c>
    </row>
    <row r="326" spans="1:33" s="12" customFormat="1" ht="24" customHeight="1">
      <c r="A326" s="34"/>
      <c r="B326" s="34"/>
      <c r="C326" s="34"/>
      <c r="D326" s="114"/>
      <c r="E326" s="83"/>
      <c r="F326" s="83"/>
      <c r="G326" s="83"/>
      <c r="H326" s="83"/>
      <c r="I326" s="83"/>
      <c r="J326" s="83"/>
      <c r="K326" s="628"/>
      <c r="L326" s="83"/>
      <c r="M326" s="686"/>
      <c r="N326" s="675"/>
      <c r="O326" s="674" t="s">
        <v>283</v>
      </c>
      <c r="P326" s="674"/>
      <c r="Q326" s="674"/>
      <c r="R326" s="674"/>
      <c r="S326" s="673"/>
      <c r="T326" s="406"/>
      <c r="U326" s="406"/>
      <c r="V326" s="673"/>
      <c r="W326" s="674"/>
      <c r="X326" s="673"/>
      <c r="Y326" s="314"/>
      <c r="Z326" s="314"/>
      <c r="AA326" s="314"/>
      <c r="AB326" s="673" t="s">
        <v>138</v>
      </c>
      <c r="AC326" s="314"/>
      <c r="AD326" s="329">
        <v>0</v>
      </c>
      <c r="AE326" s="316" t="s">
        <v>56</v>
      </c>
      <c r="AF326" s="497"/>
      <c r="AG326" s="526">
        <f t="shared" si="17"/>
        <v>0</v>
      </c>
    </row>
    <row r="327" spans="1:33" s="12" customFormat="1" ht="24" customHeight="1">
      <c r="A327" s="34"/>
      <c r="B327" s="34"/>
      <c r="C327" s="34"/>
      <c r="D327" s="114"/>
      <c r="E327" s="83"/>
      <c r="F327" s="83"/>
      <c r="G327" s="83"/>
      <c r="H327" s="83"/>
      <c r="I327" s="83"/>
      <c r="J327" s="83"/>
      <c r="K327" s="628"/>
      <c r="L327" s="83"/>
      <c r="M327" s="686"/>
      <c r="N327" s="675"/>
      <c r="O327" s="674"/>
      <c r="P327" s="674"/>
      <c r="Q327" s="674"/>
      <c r="R327" s="674"/>
      <c r="S327" s="673"/>
      <c r="T327" s="406"/>
      <c r="U327" s="406"/>
      <c r="V327" s="673"/>
      <c r="W327" s="674"/>
      <c r="X327" s="673"/>
      <c r="Y327" s="314"/>
      <c r="Z327" s="314"/>
      <c r="AA327" s="314"/>
      <c r="AB327" s="673" t="s">
        <v>138</v>
      </c>
      <c r="AC327" s="314"/>
      <c r="AD327" s="329">
        <v>600000</v>
      </c>
      <c r="AE327" s="316" t="s">
        <v>56</v>
      </c>
      <c r="AF327" s="329">
        <v>3600000</v>
      </c>
      <c r="AG327" s="526">
        <f t="shared" si="17"/>
        <v>-3000000</v>
      </c>
    </row>
    <row r="328" spans="1:33" s="12" customFormat="1" ht="24" customHeight="1">
      <c r="A328" s="34"/>
      <c r="B328" s="34"/>
      <c r="C328" s="34"/>
      <c r="D328" s="114"/>
      <c r="E328" s="83"/>
      <c r="F328" s="83"/>
      <c r="G328" s="83"/>
      <c r="H328" s="83"/>
      <c r="I328" s="83"/>
      <c r="J328" s="83"/>
      <c r="K328" s="628"/>
      <c r="L328" s="83"/>
      <c r="M328" s="686"/>
      <c r="N328" s="675"/>
      <c r="O328" s="674" t="s">
        <v>284</v>
      </c>
      <c r="P328" s="674"/>
      <c r="Q328" s="674"/>
      <c r="R328" s="674"/>
      <c r="S328" s="673"/>
      <c r="T328" s="406"/>
      <c r="U328" s="406"/>
      <c r="V328" s="673"/>
      <c r="W328" s="674"/>
      <c r="X328" s="673"/>
      <c r="Y328" s="314"/>
      <c r="Z328" s="314"/>
      <c r="AA328" s="314"/>
      <c r="AB328" s="673" t="s">
        <v>138</v>
      </c>
      <c r="AC328" s="314"/>
      <c r="AD328" s="329">
        <v>0</v>
      </c>
      <c r="AE328" s="316" t="s">
        <v>56</v>
      </c>
      <c r="AF328" s="329">
        <v>1500000</v>
      </c>
      <c r="AG328" s="526">
        <f t="shared" si="17"/>
        <v>-1500000</v>
      </c>
    </row>
    <row r="329" spans="1:33" s="12" customFormat="1" ht="24" customHeight="1">
      <c r="A329" s="34"/>
      <c r="B329" s="34"/>
      <c r="C329" s="34"/>
      <c r="D329" s="114"/>
      <c r="E329" s="83"/>
      <c r="F329" s="83"/>
      <c r="G329" s="83"/>
      <c r="H329" s="83"/>
      <c r="I329" s="83"/>
      <c r="J329" s="83"/>
      <c r="K329" s="628"/>
      <c r="L329" s="83"/>
      <c r="M329" s="686"/>
      <c r="N329" s="675"/>
      <c r="O329" s="674" t="s">
        <v>285</v>
      </c>
      <c r="P329" s="674"/>
      <c r="Q329" s="674"/>
      <c r="R329" s="674"/>
      <c r="S329" s="673"/>
      <c r="T329" s="406"/>
      <c r="U329" s="406"/>
      <c r="V329" s="673"/>
      <c r="W329" s="674"/>
      <c r="X329" s="673"/>
      <c r="Y329" s="314"/>
      <c r="Z329" s="314"/>
      <c r="AA329" s="314"/>
      <c r="AB329" s="673" t="s">
        <v>138</v>
      </c>
      <c r="AC329" s="314"/>
      <c r="AD329" s="329">
        <v>100000</v>
      </c>
      <c r="AE329" s="316" t="s">
        <v>56</v>
      </c>
      <c r="AF329" s="497">
        <v>100000</v>
      </c>
      <c r="AG329" s="526">
        <f t="shared" si="17"/>
        <v>0</v>
      </c>
    </row>
    <row r="330" spans="1:33" s="12" customFormat="1" ht="24" customHeight="1">
      <c r="A330" s="34"/>
      <c r="B330" s="34"/>
      <c r="C330" s="34"/>
      <c r="D330" s="114"/>
      <c r="E330" s="83"/>
      <c r="F330" s="83"/>
      <c r="G330" s="83"/>
      <c r="H330" s="83"/>
      <c r="I330" s="83"/>
      <c r="J330" s="83"/>
      <c r="K330" s="628"/>
      <c r="L330" s="83"/>
      <c r="M330" s="686"/>
      <c r="N330" s="675"/>
      <c r="O330" s="674"/>
      <c r="P330" s="674"/>
      <c r="Q330" s="674"/>
      <c r="R330" s="674"/>
      <c r="S330" s="673"/>
      <c r="T330" s="406"/>
      <c r="U330" s="406"/>
      <c r="V330" s="673"/>
      <c r="W330" s="674"/>
      <c r="X330" s="673"/>
      <c r="Y330" s="314" t="s">
        <v>655</v>
      </c>
      <c r="Z330" s="314"/>
      <c r="AA330" s="314"/>
      <c r="AB330" s="673" t="s">
        <v>138</v>
      </c>
      <c r="AC330" s="314"/>
      <c r="AD330" s="659">
        <v>2000000</v>
      </c>
      <c r="AE330" s="316" t="s">
        <v>56</v>
      </c>
      <c r="AF330" s="497">
        <v>2000000</v>
      </c>
      <c r="AG330" s="526">
        <f t="shared" si="17"/>
        <v>0</v>
      </c>
    </row>
    <row r="331" spans="1:33" s="12" customFormat="1" ht="24" customHeight="1">
      <c r="A331" s="34"/>
      <c r="B331" s="34"/>
      <c r="C331" s="34"/>
      <c r="D331" s="114"/>
      <c r="E331" s="83"/>
      <c r="F331" s="83"/>
      <c r="G331" s="83"/>
      <c r="H331" s="83"/>
      <c r="I331" s="83"/>
      <c r="J331" s="83"/>
      <c r="K331" s="628"/>
      <c r="L331" s="83"/>
      <c r="M331" s="686"/>
      <c r="N331" s="675"/>
      <c r="O331" s="674"/>
      <c r="P331" s="674"/>
      <c r="Q331" s="674"/>
      <c r="R331" s="674"/>
      <c r="S331" s="673"/>
      <c r="T331" s="406"/>
      <c r="U331" s="406"/>
      <c r="V331" s="673"/>
      <c r="W331" s="674"/>
      <c r="X331" s="673"/>
      <c r="Y331" s="314"/>
      <c r="Z331" s="314"/>
      <c r="AA331" s="314"/>
      <c r="AB331" s="673" t="s">
        <v>220</v>
      </c>
      <c r="AC331" s="314"/>
      <c r="AD331" s="329">
        <v>1137000</v>
      </c>
      <c r="AE331" s="316" t="s">
        <v>56</v>
      </c>
      <c r="AF331" s="329">
        <v>1737000</v>
      </c>
      <c r="AG331" s="526">
        <f t="shared" si="17"/>
        <v>-600000</v>
      </c>
    </row>
    <row r="332" spans="1:33" s="12" customFormat="1" ht="24" customHeight="1">
      <c r="A332" s="34"/>
      <c r="B332" s="34"/>
      <c r="C332" s="34"/>
      <c r="D332" s="114"/>
      <c r="E332" s="83"/>
      <c r="F332" s="83"/>
      <c r="G332" s="83"/>
      <c r="H332" s="83"/>
      <c r="I332" s="83"/>
      <c r="J332" s="83"/>
      <c r="K332" s="628"/>
      <c r="L332" s="83"/>
      <c r="M332" s="686"/>
      <c r="N332" s="675"/>
      <c r="O332" s="674" t="s">
        <v>286</v>
      </c>
      <c r="P332" s="674"/>
      <c r="Q332" s="674"/>
      <c r="R332" s="674"/>
      <c r="S332" s="673"/>
      <c r="T332" s="406"/>
      <c r="U332" s="406"/>
      <c r="V332" s="673"/>
      <c r="W332" s="674"/>
      <c r="X332" s="314" t="s">
        <v>658</v>
      </c>
      <c r="Y332" s="314"/>
      <c r="Z332" s="314"/>
      <c r="AA332" s="314"/>
      <c r="AB332" s="673" t="s">
        <v>219</v>
      </c>
      <c r="AC332" s="673"/>
      <c r="AD332" s="329">
        <v>1800000</v>
      </c>
      <c r="AE332" s="316" t="s">
        <v>56</v>
      </c>
      <c r="AF332" s="497"/>
      <c r="AG332" s="526">
        <f t="shared" si="17"/>
        <v>1800000</v>
      </c>
    </row>
    <row r="333" spans="1:33" s="12" customFormat="1" ht="24" customHeight="1">
      <c r="A333" s="34"/>
      <c r="B333" s="34"/>
      <c r="C333" s="34"/>
      <c r="D333" s="114"/>
      <c r="E333" s="83"/>
      <c r="F333" s="83"/>
      <c r="G333" s="83"/>
      <c r="H333" s="83"/>
      <c r="I333" s="83"/>
      <c r="J333" s="83"/>
      <c r="K333" s="628"/>
      <c r="L333" s="83"/>
      <c r="M333" s="686"/>
      <c r="N333" s="675"/>
      <c r="O333" s="674"/>
      <c r="P333" s="674"/>
      <c r="Q333" s="674"/>
      <c r="R333" s="674"/>
      <c r="S333" s="673"/>
      <c r="T333" s="406"/>
      <c r="U333" s="406"/>
      <c r="V333" s="673"/>
      <c r="W333" s="674"/>
      <c r="X333" s="673"/>
      <c r="Y333" s="314"/>
      <c r="Z333" s="314"/>
      <c r="AA333" s="314"/>
      <c r="AB333" s="673" t="s">
        <v>220</v>
      </c>
      <c r="AC333" s="314"/>
      <c r="AD333" s="329">
        <v>200000</v>
      </c>
      <c r="AE333" s="316" t="s">
        <v>56</v>
      </c>
      <c r="AF333" s="497"/>
      <c r="AG333" s="526">
        <f t="shared" si="17"/>
        <v>200000</v>
      </c>
    </row>
    <row r="334" spans="1:33" s="12" customFormat="1" ht="24" customHeight="1">
      <c r="A334" s="34"/>
      <c r="B334" s="34"/>
      <c r="C334" s="34"/>
      <c r="D334" s="114"/>
      <c r="E334" s="83"/>
      <c r="F334" s="83"/>
      <c r="G334" s="83"/>
      <c r="H334" s="83"/>
      <c r="I334" s="83"/>
      <c r="J334" s="83"/>
      <c r="K334" s="628"/>
      <c r="L334" s="83"/>
      <c r="M334" s="686"/>
      <c r="N334" s="675"/>
      <c r="O334" s="674" t="s">
        <v>287</v>
      </c>
      <c r="P334" s="674"/>
      <c r="Q334" s="674"/>
      <c r="R334" s="674"/>
      <c r="S334" s="673"/>
      <c r="T334" s="406"/>
      <c r="U334" s="406"/>
      <c r="V334" s="673"/>
      <c r="W334" s="674"/>
      <c r="X334" s="673"/>
      <c r="Y334" s="314"/>
      <c r="Z334" s="314"/>
      <c r="AA334" s="314"/>
      <c r="AB334" s="673" t="s">
        <v>220</v>
      </c>
      <c r="AC334" s="314"/>
      <c r="AD334" s="329">
        <v>1380000</v>
      </c>
      <c r="AE334" s="316" t="s">
        <v>56</v>
      </c>
      <c r="AF334" s="497"/>
      <c r="AG334" s="526">
        <f t="shared" si="17"/>
        <v>1380000</v>
      </c>
    </row>
    <row r="335" spans="1:33" s="12" customFormat="1" ht="24" customHeight="1">
      <c r="A335" s="34"/>
      <c r="B335" s="34"/>
      <c r="C335" s="34"/>
      <c r="D335" s="114"/>
      <c r="E335" s="83"/>
      <c r="F335" s="83"/>
      <c r="G335" s="83"/>
      <c r="H335" s="83"/>
      <c r="I335" s="83"/>
      <c r="J335" s="83"/>
      <c r="K335" s="628"/>
      <c r="L335" s="83"/>
      <c r="M335" s="686"/>
      <c r="N335" s="675"/>
      <c r="O335" s="674"/>
      <c r="P335" s="674"/>
      <c r="Q335" s="674"/>
      <c r="R335" s="674"/>
      <c r="S335" s="673"/>
      <c r="T335" s="406"/>
      <c r="U335" s="406"/>
      <c r="V335" s="673"/>
      <c r="W335" s="674"/>
      <c r="X335" s="673"/>
      <c r="Y335" s="314" t="s">
        <v>655</v>
      </c>
      <c r="Z335" s="314"/>
      <c r="AA335" s="314"/>
      <c r="AB335" s="673" t="s">
        <v>138</v>
      </c>
      <c r="AC335" s="314"/>
      <c r="AD335" s="329">
        <v>500000</v>
      </c>
      <c r="AE335" s="316" t="s">
        <v>677</v>
      </c>
      <c r="AF335" s="497"/>
      <c r="AG335" s="526">
        <f t="shared" si="17"/>
        <v>500000</v>
      </c>
    </row>
    <row r="336" spans="1:33" s="12" customFormat="1" ht="24" customHeight="1">
      <c r="A336" s="34"/>
      <c r="B336" s="34"/>
      <c r="C336" s="34"/>
      <c r="D336" s="114"/>
      <c r="E336" s="83"/>
      <c r="F336" s="83"/>
      <c r="G336" s="83"/>
      <c r="H336" s="83"/>
      <c r="I336" s="83"/>
      <c r="J336" s="83"/>
      <c r="K336" s="628"/>
      <c r="L336" s="83"/>
      <c r="M336" s="686"/>
      <c r="N336" s="675"/>
      <c r="O336" s="640" t="s">
        <v>309</v>
      </c>
      <c r="P336" s="674"/>
      <c r="Q336" s="674"/>
      <c r="R336" s="674"/>
      <c r="S336" s="673"/>
      <c r="T336" s="673"/>
      <c r="U336" s="674"/>
      <c r="V336" s="673"/>
      <c r="W336" s="673"/>
      <c r="X336" s="673"/>
      <c r="Y336" s="673"/>
      <c r="Z336" s="673"/>
      <c r="AA336" s="673"/>
      <c r="AB336" s="673" t="s">
        <v>138</v>
      </c>
      <c r="AC336" s="673"/>
      <c r="AD336" s="673">
        <v>6000000</v>
      </c>
      <c r="AE336" s="316" t="s">
        <v>56</v>
      </c>
      <c r="AF336" s="497"/>
      <c r="AG336" s="526">
        <f t="shared" si="17"/>
        <v>6000000</v>
      </c>
    </row>
    <row r="337" spans="1:33" s="12" customFormat="1" ht="24" customHeight="1">
      <c r="A337" s="34"/>
      <c r="B337" s="34"/>
      <c r="C337" s="44"/>
      <c r="D337" s="115"/>
      <c r="E337" s="85"/>
      <c r="F337" s="85"/>
      <c r="G337" s="85"/>
      <c r="H337" s="85"/>
      <c r="I337" s="85"/>
      <c r="J337" s="85"/>
      <c r="K337" s="629"/>
      <c r="L337" s="85"/>
      <c r="M337" s="687"/>
      <c r="N337" s="680"/>
      <c r="O337" s="641"/>
      <c r="P337" s="671"/>
      <c r="Q337" s="671"/>
      <c r="R337" s="671"/>
      <c r="S337" s="670"/>
      <c r="T337" s="670"/>
      <c r="U337" s="671"/>
      <c r="V337" s="670"/>
      <c r="W337" s="670"/>
      <c r="X337" s="670"/>
      <c r="Y337" s="670"/>
      <c r="Z337" s="670"/>
      <c r="AA337" s="670"/>
      <c r="AB337" s="670" t="s">
        <v>220</v>
      </c>
      <c r="AC337" s="670"/>
      <c r="AD337" s="670">
        <v>0</v>
      </c>
      <c r="AE337" s="316" t="s">
        <v>56</v>
      </c>
      <c r="AF337" s="497"/>
      <c r="AG337" s="526">
        <f t="shared" si="17"/>
        <v>0</v>
      </c>
    </row>
    <row r="338" spans="1:33" s="12" customFormat="1" ht="24" customHeight="1">
      <c r="A338" s="34"/>
      <c r="B338" s="34"/>
      <c r="C338" s="24" t="s">
        <v>198</v>
      </c>
      <c r="D338" s="116">
        <v>13600</v>
      </c>
      <c r="E338" s="83">
        <f>ROUND(AD338/1000,0)</f>
        <v>8078</v>
      </c>
      <c r="F338" s="88">
        <f>SUMIF($AB$339:$AB$350,"보조",$AD$339:$AD$350)/1000</f>
        <v>500</v>
      </c>
      <c r="G338" s="88">
        <f>SUMIF($AB$339:$AB$350,"7종",$AD$339:$AD$350)/1000</f>
        <v>0</v>
      </c>
      <c r="H338" s="88">
        <f>SUMIF($AB$339:$AB$350,"4종",$AD$339:$AD$350)/1000</f>
        <v>0</v>
      </c>
      <c r="I338" s="88">
        <f>SUMIF($AB$339:$AB$350,"후원",$AD$339:$AD$350)/1000</f>
        <v>2560</v>
      </c>
      <c r="J338" s="88">
        <f>SUMIF($AB$339:$AB$350,"입소",$AD$339:$AD$350)/1000</f>
        <v>5018</v>
      </c>
      <c r="K338" s="631">
        <f>SUMIF($AB$339:$AB$350,"법인",$AD$339:$AD$350)/1000</f>
        <v>0</v>
      </c>
      <c r="L338" s="88">
        <f>SUMIF($AB$339:$AB$350,"잡수",$AD$339:$AD$350)/1000</f>
        <v>0</v>
      </c>
      <c r="M338" s="686">
        <f>E338-D338</f>
        <v>-5522</v>
      </c>
      <c r="N338" s="675">
        <f>IF(D338=0,0,M338/D338)</f>
        <v>-0.40602941176470586</v>
      </c>
      <c r="O338" s="226"/>
      <c r="P338" s="236"/>
      <c r="Q338" s="236"/>
      <c r="R338" s="331"/>
      <c r="S338" s="331"/>
      <c r="T338" s="331"/>
      <c r="U338" s="331"/>
      <c r="V338" s="331"/>
      <c r="W338" s="332" t="s">
        <v>121</v>
      </c>
      <c r="X338" s="332"/>
      <c r="Y338" s="332"/>
      <c r="Z338" s="332"/>
      <c r="AA338" s="332"/>
      <c r="AB338" s="332"/>
      <c r="AC338" s="648"/>
      <c r="AD338" s="648">
        <f>SUM(AD339:AD350)</f>
        <v>8078000</v>
      </c>
      <c r="AE338" s="333" t="s">
        <v>25</v>
      </c>
      <c r="AF338" s="497"/>
      <c r="AG338" s="526">
        <f t="shared" si="17"/>
        <v>8078000</v>
      </c>
    </row>
    <row r="339" spans="1:33" s="12" customFormat="1" ht="24" customHeight="1">
      <c r="A339" s="34"/>
      <c r="B339" s="34"/>
      <c r="C339" s="34" t="s">
        <v>120</v>
      </c>
      <c r="D339" s="493"/>
      <c r="E339" s="491"/>
      <c r="F339" s="491"/>
      <c r="G339" s="491"/>
      <c r="H339" s="491"/>
      <c r="I339" s="491"/>
      <c r="J339" s="491"/>
      <c r="K339" s="661"/>
      <c r="L339" s="491"/>
      <c r="M339" s="686"/>
      <c r="N339" s="675"/>
      <c r="O339" s="674" t="s">
        <v>288</v>
      </c>
      <c r="P339" s="647"/>
      <c r="Q339" s="647"/>
      <c r="R339" s="306"/>
      <c r="S339" s="673"/>
      <c r="T339" s="406"/>
      <c r="U339" s="406"/>
      <c r="V339" s="673"/>
      <c r="W339" s="674"/>
      <c r="X339" s="673"/>
      <c r="Y339" s="315"/>
      <c r="Z339" s="315"/>
      <c r="AA339" s="315"/>
      <c r="AB339" s="673" t="s">
        <v>220</v>
      </c>
      <c r="AC339" s="315"/>
      <c r="AD339" s="504">
        <v>2500000</v>
      </c>
      <c r="AE339" s="316" t="s">
        <v>56</v>
      </c>
      <c r="AF339" s="497"/>
      <c r="AG339" s="526">
        <f t="shared" si="17"/>
        <v>2500000</v>
      </c>
    </row>
    <row r="340" spans="1:33" s="12" customFormat="1" ht="24" customHeight="1">
      <c r="A340" s="34"/>
      <c r="B340" s="34"/>
      <c r="C340" s="34"/>
      <c r="D340" s="494"/>
      <c r="E340" s="492"/>
      <c r="F340" s="492"/>
      <c r="G340" s="492"/>
      <c r="H340" s="492"/>
      <c r="I340" s="492"/>
      <c r="J340" s="492"/>
      <c r="K340" s="662"/>
      <c r="L340" s="492"/>
      <c r="M340" s="686"/>
      <c r="N340" s="675"/>
      <c r="O340" s="674"/>
      <c r="P340" s="647"/>
      <c r="Q340" s="647"/>
      <c r="R340" s="306"/>
      <c r="S340" s="673"/>
      <c r="T340" s="406"/>
      <c r="U340" s="406"/>
      <c r="V340" s="673"/>
      <c r="W340" s="674"/>
      <c r="X340" s="673"/>
      <c r="Y340" s="315"/>
      <c r="Z340" s="315"/>
      <c r="AA340" s="315"/>
      <c r="AB340" s="673" t="s">
        <v>138</v>
      </c>
      <c r="AC340" s="315"/>
      <c r="AD340" s="504">
        <v>0</v>
      </c>
      <c r="AE340" s="316" t="s">
        <v>56</v>
      </c>
      <c r="AF340" s="497"/>
      <c r="AG340" s="526">
        <f t="shared" si="17"/>
        <v>0</v>
      </c>
    </row>
    <row r="341" spans="1:33" s="12" customFormat="1" ht="24" customHeight="1">
      <c r="A341" s="34"/>
      <c r="B341" s="34"/>
      <c r="C341" s="34"/>
      <c r="D341" s="117"/>
      <c r="E341" s="83"/>
      <c r="F341" s="83"/>
      <c r="G341" s="83"/>
      <c r="H341" s="83"/>
      <c r="I341" s="83"/>
      <c r="J341" s="83"/>
      <c r="K341" s="628"/>
      <c r="L341" s="83"/>
      <c r="M341" s="686"/>
      <c r="N341" s="675"/>
      <c r="O341" s="674" t="s">
        <v>290</v>
      </c>
      <c r="P341" s="674"/>
      <c r="Q341" s="674"/>
      <c r="R341" s="674"/>
      <c r="S341" s="674"/>
      <c r="T341" s="673"/>
      <c r="U341" s="673"/>
      <c r="V341" s="673"/>
      <c r="W341" s="673"/>
      <c r="X341" s="673"/>
      <c r="Y341" s="673"/>
      <c r="Z341" s="673"/>
      <c r="AA341" s="673"/>
      <c r="AB341" s="673" t="s">
        <v>220</v>
      </c>
      <c r="AC341" s="659"/>
      <c r="AD341" s="659">
        <v>360000</v>
      </c>
      <c r="AE341" s="103" t="s">
        <v>56</v>
      </c>
      <c r="AF341" s="497"/>
      <c r="AG341" s="526">
        <f t="shared" si="17"/>
        <v>360000</v>
      </c>
    </row>
    <row r="342" spans="1:33" s="12" customFormat="1" ht="24" customHeight="1">
      <c r="A342" s="34"/>
      <c r="B342" s="34"/>
      <c r="C342" s="34"/>
      <c r="D342" s="117"/>
      <c r="E342" s="83"/>
      <c r="F342" s="83"/>
      <c r="G342" s="83"/>
      <c r="H342" s="83"/>
      <c r="I342" s="83"/>
      <c r="J342" s="83"/>
      <c r="K342" s="628"/>
      <c r="L342" s="83"/>
      <c r="M342" s="686"/>
      <c r="N342" s="675"/>
      <c r="O342" s="674"/>
      <c r="P342" s="674"/>
      <c r="Q342" s="674"/>
      <c r="R342" s="674"/>
      <c r="S342" s="674"/>
      <c r="T342" s="673"/>
      <c r="U342" s="673"/>
      <c r="V342" s="673"/>
      <c r="W342" s="673"/>
      <c r="X342" s="673"/>
      <c r="Y342" s="673"/>
      <c r="Z342" s="673"/>
      <c r="AA342" s="673"/>
      <c r="AB342" s="673" t="s">
        <v>138</v>
      </c>
      <c r="AC342" s="659"/>
      <c r="AD342" s="659"/>
      <c r="AE342" s="103" t="s">
        <v>56</v>
      </c>
      <c r="AF342" s="497"/>
      <c r="AG342" s="526">
        <f t="shared" si="17"/>
        <v>0</v>
      </c>
    </row>
    <row r="343" spans="1:33" s="12" customFormat="1" ht="24" customHeight="1">
      <c r="A343" s="34"/>
      <c r="B343" s="34"/>
      <c r="C343" s="34"/>
      <c r="D343" s="117"/>
      <c r="E343" s="83"/>
      <c r="F343" s="83"/>
      <c r="G343" s="83"/>
      <c r="H343" s="83"/>
      <c r="I343" s="83"/>
      <c r="J343" s="83"/>
      <c r="K343" s="628"/>
      <c r="L343" s="83"/>
      <c r="M343" s="686"/>
      <c r="N343" s="675"/>
      <c r="O343" s="674" t="s">
        <v>291</v>
      </c>
      <c r="P343" s="674"/>
      <c r="Q343" s="674"/>
      <c r="R343" s="674"/>
      <c r="S343" s="674"/>
      <c r="T343" s="673"/>
      <c r="U343" s="673"/>
      <c r="V343" s="673"/>
      <c r="W343" s="673"/>
      <c r="X343" s="673"/>
      <c r="Y343" s="673"/>
      <c r="Z343" s="673"/>
      <c r="AA343" s="673"/>
      <c r="AB343" s="673" t="s">
        <v>71</v>
      </c>
      <c r="AC343" s="659"/>
      <c r="AD343" s="659">
        <v>500000</v>
      </c>
      <c r="AE343" s="103" t="s">
        <v>56</v>
      </c>
      <c r="AF343" s="497">
        <v>800000</v>
      </c>
      <c r="AG343" s="526">
        <f t="shared" si="17"/>
        <v>-300000</v>
      </c>
    </row>
    <row r="344" spans="1:33" s="12" customFormat="1" ht="24" customHeight="1">
      <c r="A344" s="34"/>
      <c r="B344" s="34"/>
      <c r="C344" s="34"/>
      <c r="D344" s="117"/>
      <c r="E344" s="83"/>
      <c r="F344" s="83"/>
      <c r="G344" s="83"/>
      <c r="H344" s="83"/>
      <c r="I344" s="83"/>
      <c r="J344" s="83"/>
      <c r="K344" s="628"/>
      <c r="L344" s="83"/>
      <c r="M344" s="686"/>
      <c r="N344" s="675"/>
      <c r="O344" s="674"/>
      <c r="P344" s="674"/>
      <c r="Q344" s="674"/>
      <c r="R344" s="674"/>
      <c r="S344" s="674"/>
      <c r="T344" s="673"/>
      <c r="U344" s="673"/>
      <c r="V344" s="673"/>
      <c r="W344" s="673"/>
      <c r="X344" s="673"/>
      <c r="Y344" s="673"/>
      <c r="Z344" s="673"/>
      <c r="AA344" s="673"/>
      <c r="AB344" s="673" t="s">
        <v>138</v>
      </c>
      <c r="AC344" s="659"/>
      <c r="AD344" s="659">
        <v>300000</v>
      </c>
      <c r="AE344" s="103" t="s">
        <v>56</v>
      </c>
      <c r="AF344" s="497"/>
      <c r="AG344" s="526">
        <f t="shared" si="17"/>
        <v>300000</v>
      </c>
    </row>
    <row r="345" spans="1:33" s="12" customFormat="1" ht="24" customHeight="1">
      <c r="A345" s="34"/>
      <c r="B345" s="34"/>
      <c r="C345" s="34"/>
      <c r="D345" s="117"/>
      <c r="E345" s="83"/>
      <c r="F345" s="83"/>
      <c r="G345" s="83"/>
      <c r="H345" s="83"/>
      <c r="I345" s="83"/>
      <c r="J345" s="83"/>
      <c r="K345" s="628"/>
      <c r="L345" s="83"/>
      <c r="M345" s="686"/>
      <c r="N345" s="675"/>
      <c r="O345" s="674"/>
      <c r="P345" s="674"/>
      <c r="Q345" s="674"/>
      <c r="R345" s="674"/>
      <c r="S345" s="674"/>
      <c r="T345" s="673"/>
      <c r="U345" s="673"/>
      <c r="V345" s="673"/>
      <c r="W345" s="673"/>
      <c r="X345" s="673"/>
      <c r="Y345" s="673"/>
      <c r="Z345" s="673"/>
      <c r="AA345" s="673"/>
      <c r="AB345" s="673" t="s">
        <v>220</v>
      </c>
      <c r="AC345" s="659"/>
      <c r="AD345" s="659">
        <v>0</v>
      </c>
      <c r="AE345" s="103" t="s">
        <v>56</v>
      </c>
      <c r="AF345" s="497">
        <v>4620000</v>
      </c>
      <c r="AG345" s="526">
        <f t="shared" si="17"/>
        <v>-4620000</v>
      </c>
    </row>
    <row r="346" spans="1:33" s="12" customFormat="1" ht="24" customHeight="1">
      <c r="A346" s="34"/>
      <c r="B346" s="34"/>
      <c r="C346" s="34"/>
      <c r="D346" s="117"/>
      <c r="E346" s="83"/>
      <c r="F346" s="83"/>
      <c r="G346" s="83"/>
      <c r="H346" s="83"/>
      <c r="I346" s="83"/>
      <c r="J346" s="83"/>
      <c r="K346" s="628"/>
      <c r="L346" s="83"/>
      <c r="M346" s="686"/>
      <c r="N346" s="675"/>
      <c r="O346" s="674" t="s">
        <v>814</v>
      </c>
      <c r="P346" s="674"/>
      <c r="Q346" s="674"/>
      <c r="R346" s="674"/>
      <c r="S346" s="674"/>
      <c r="T346" s="673"/>
      <c r="U346" s="673"/>
      <c r="V346" s="673"/>
      <c r="W346" s="673"/>
      <c r="X346" s="673"/>
      <c r="Y346" s="673"/>
      <c r="Z346" s="673"/>
      <c r="AA346" s="673"/>
      <c r="AB346" s="673" t="s">
        <v>138</v>
      </c>
      <c r="AC346" s="659"/>
      <c r="AD346" s="659">
        <v>1000000</v>
      </c>
      <c r="AE346" s="103" t="s">
        <v>56</v>
      </c>
      <c r="AF346" s="497"/>
      <c r="AG346" s="526">
        <f t="shared" si="17"/>
        <v>1000000</v>
      </c>
    </row>
    <row r="347" spans="1:33" s="12" customFormat="1" ht="24" customHeight="1">
      <c r="A347" s="34"/>
      <c r="B347" s="34"/>
      <c r="C347" s="34"/>
      <c r="D347" s="117"/>
      <c r="E347" s="83"/>
      <c r="F347" s="83"/>
      <c r="G347" s="83"/>
      <c r="H347" s="83"/>
      <c r="I347" s="83"/>
      <c r="J347" s="83"/>
      <c r="K347" s="628"/>
      <c r="L347" s="83"/>
      <c r="M347" s="686"/>
      <c r="N347" s="675"/>
      <c r="O347" s="674" t="s">
        <v>292</v>
      </c>
      <c r="P347" s="674"/>
      <c r="Q347" s="674"/>
      <c r="R347" s="674"/>
      <c r="S347" s="674"/>
      <c r="T347" s="673"/>
      <c r="U347" s="673"/>
      <c r="V347" s="673"/>
      <c r="W347" s="673"/>
      <c r="X347" s="673"/>
      <c r="Y347" s="673"/>
      <c r="Z347" s="673"/>
      <c r="AA347" s="673"/>
      <c r="AB347" s="673" t="s">
        <v>220</v>
      </c>
      <c r="AC347" s="659"/>
      <c r="AD347" s="659">
        <v>1680000</v>
      </c>
      <c r="AE347" s="103" t="s">
        <v>56</v>
      </c>
      <c r="AF347" s="497">
        <v>1680000</v>
      </c>
      <c r="AG347" s="526">
        <f t="shared" si="17"/>
        <v>0</v>
      </c>
    </row>
    <row r="348" spans="1:33" s="12" customFormat="1" ht="24" customHeight="1">
      <c r="A348" s="34"/>
      <c r="B348" s="34"/>
      <c r="C348" s="34"/>
      <c r="D348" s="117"/>
      <c r="E348" s="83"/>
      <c r="F348" s="83"/>
      <c r="G348" s="83"/>
      <c r="H348" s="83"/>
      <c r="I348" s="83"/>
      <c r="J348" s="83"/>
      <c r="K348" s="628"/>
      <c r="L348" s="83"/>
      <c r="M348" s="686"/>
      <c r="N348" s="675"/>
      <c r="O348" s="674"/>
      <c r="P348" s="674"/>
      <c r="Q348" s="674"/>
      <c r="R348" s="674"/>
      <c r="S348" s="674"/>
      <c r="T348" s="673"/>
      <c r="U348" s="673"/>
      <c r="V348" s="673"/>
      <c r="W348" s="673"/>
      <c r="X348" s="673"/>
      <c r="Y348" s="673"/>
      <c r="Z348" s="673"/>
      <c r="AA348" s="673"/>
      <c r="AB348" s="673" t="s">
        <v>138</v>
      </c>
      <c r="AC348" s="659"/>
      <c r="AD348" s="659">
        <v>1260000</v>
      </c>
      <c r="AE348" s="103" t="s">
        <v>56</v>
      </c>
      <c r="AF348" s="497">
        <v>1200000</v>
      </c>
      <c r="AG348" s="526">
        <f t="shared" si="17"/>
        <v>60000</v>
      </c>
    </row>
    <row r="349" spans="1:33" s="12" customFormat="1" ht="24" customHeight="1">
      <c r="A349" s="34"/>
      <c r="B349" s="34"/>
      <c r="C349" s="34"/>
      <c r="D349" s="117"/>
      <c r="E349" s="83"/>
      <c r="F349" s="83"/>
      <c r="G349" s="83"/>
      <c r="H349" s="83"/>
      <c r="I349" s="83"/>
      <c r="J349" s="83"/>
      <c r="K349" s="628"/>
      <c r="L349" s="83"/>
      <c r="M349" s="686"/>
      <c r="N349" s="675"/>
      <c r="O349" s="640" t="s">
        <v>599</v>
      </c>
      <c r="P349" s="674"/>
      <c r="Q349" s="674"/>
      <c r="R349" s="674"/>
      <c r="S349" s="674"/>
      <c r="T349" s="673"/>
      <c r="U349" s="673"/>
      <c r="V349" s="673"/>
      <c r="W349" s="673"/>
      <c r="X349" s="673"/>
      <c r="Y349" s="673"/>
      <c r="Z349" s="673"/>
      <c r="AA349" s="673"/>
      <c r="AB349" s="673" t="s">
        <v>220</v>
      </c>
      <c r="AC349" s="659"/>
      <c r="AD349" s="659">
        <v>0</v>
      </c>
      <c r="AE349" s="103" t="s">
        <v>56</v>
      </c>
      <c r="AF349" s="497">
        <v>300000</v>
      </c>
      <c r="AG349" s="526">
        <f t="shared" si="17"/>
        <v>-300000</v>
      </c>
    </row>
    <row r="350" spans="1:33" s="12" customFormat="1" ht="24" customHeight="1">
      <c r="A350" s="34"/>
      <c r="B350" s="34"/>
      <c r="C350" s="44"/>
      <c r="D350" s="118"/>
      <c r="E350" s="85"/>
      <c r="F350" s="85"/>
      <c r="G350" s="85"/>
      <c r="H350" s="85"/>
      <c r="I350" s="85"/>
      <c r="J350" s="85"/>
      <c r="K350" s="629"/>
      <c r="L350" s="85"/>
      <c r="M350" s="687"/>
      <c r="N350" s="680"/>
      <c r="O350" s="640" t="s">
        <v>744</v>
      </c>
      <c r="P350" s="671"/>
      <c r="Q350" s="671"/>
      <c r="R350" s="671"/>
      <c r="S350" s="671"/>
      <c r="T350" s="670"/>
      <c r="U350" s="670"/>
      <c r="V350" s="670"/>
      <c r="W350" s="670"/>
      <c r="X350" s="670"/>
      <c r="Y350" s="670"/>
      <c r="Z350" s="670"/>
      <c r="AA350" s="670"/>
      <c r="AB350" s="670" t="s">
        <v>220</v>
      </c>
      <c r="AC350" s="317"/>
      <c r="AD350" s="317">
        <v>478000</v>
      </c>
      <c r="AE350" s="103" t="s">
        <v>56</v>
      </c>
      <c r="AF350" s="497">
        <v>840000</v>
      </c>
      <c r="AG350" s="526">
        <f t="shared" si="17"/>
        <v>-362000</v>
      </c>
    </row>
    <row r="351" spans="1:33" s="12" customFormat="1" ht="24" customHeight="1">
      <c r="A351" s="34"/>
      <c r="B351" s="34"/>
      <c r="C351" s="24" t="s">
        <v>265</v>
      </c>
      <c r="D351" s="334">
        <v>5337</v>
      </c>
      <c r="E351" s="87">
        <f>ROUND(AD351/1000,0)</f>
        <v>7430</v>
      </c>
      <c r="F351" s="88">
        <f>SUMIF($AB$352:$AB$360,"보조",$AD$352:$AD$360)/1000</f>
        <v>0</v>
      </c>
      <c r="G351" s="88">
        <f>SUMIF($AB$352:$AB$360,"7종",$AD$352:$AD$360)/1000</f>
        <v>0</v>
      </c>
      <c r="H351" s="88">
        <f>SUMIF($AB$352:$AB$360,"4종",$AD$352:$AD$360)/1000</f>
        <v>0</v>
      </c>
      <c r="I351" s="88">
        <f>SUMIF($AB$352:$AB$360,"후원",$AD$352:$AD$360)/1000</f>
        <v>3173</v>
      </c>
      <c r="J351" s="88">
        <f>SUMIF($AB$352:$AB$360,"입소",$AD$352:$AD$360)/1000</f>
        <v>2098</v>
      </c>
      <c r="K351" s="631">
        <f>SUMIF($AB$352:$AB$360,"법인",$AD$352:$AD$360)/1000</f>
        <v>0</v>
      </c>
      <c r="L351" s="88">
        <f>SUMIF($AB$352:$AB$360,"잡수",$AD$352:$AD$360)/1000</f>
        <v>2159</v>
      </c>
      <c r="M351" s="95">
        <f>E351-D351</f>
        <v>2093</v>
      </c>
      <c r="N351" s="676">
        <f>IF(D351=0,0,M351/D351)</f>
        <v>0.3921678845793517</v>
      </c>
      <c r="O351" s="226"/>
      <c r="P351" s="236"/>
      <c r="Q351" s="236"/>
      <c r="R351" s="331"/>
      <c r="S351" s="331"/>
      <c r="T351" s="331"/>
      <c r="U351" s="331"/>
      <c r="V351" s="331"/>
      <c r="W351" s="332" t="s">
        <v>121</v>
      </c>
      <c r="X351" s="332"/>
      <c r="Y351" s="332"/>
      <c r="Z351" s="332"/>
      <c r="AA351" s="332"/>
      <c r="AB351" s="332"/>
      <c r="AC351" s="648"/>
      <c r="AD351" s="648">
        <f>SUM(AD352:AD360)</f>
        <v>7430000</v>
      </c>
      <c r="AE351" s="333" t="s">
        <v>25</v>
      </c>
      <c r="AF351" s="497"/>
      <c r="AG351" s="526">
        <f t="shared" si="17"/>
        <v>7430000</v>
      </c>
    </row>
    <row r="352" spans="1:33" s="12" customFormat="1" ht="24" customHeight="1">
      <c r="A352" s="34"/>
      <c r="B352" s="34"/>
      <c r="C352" s="34" t="s">
        <v>120</v>
      </c>
      <c r="D352" s="493"/>
      <c r="E352" s="491"/>
      <c r="F352" s="491"/>
      <c r="G352" s="491"/>
      <c r="H352" s="491"/>
      <c r="I352" s="491"/>
      <c r="J352" s="491"/>
      <c r="K352" s="661"/>
      <c r="L352" s="491"/>
      <c r="M352" s="686"/>
      <c r="N352" s="675"/>
      <c r="O352" s="674" t="s">
        <v>293</v>
      </c>
      <c r="P352" s="647"/>
      <c r="Q352" s="647"/>
      <c r="R352" s="306"/>
      <c r="S352" s="306"/>
      <c r="T352" s="306"/>
      <c r="U352" s="306"/>
      <c r="V352" s="306"/>
      <c r="W352" s="673"/>
      <c r="X352" s="673"/>
      <c r="Y352" s="673"/>
      <c r="Z352" s="673"/>
      <c r="AA352" s="673"/>
      <c r="AB352" s="673" t="s">
        <v>220</v>
      </c>
      <c r="AC352" s="659"/>
      <c r="AD352" s="659">
        <v>1998000</v>
      </c>
      <c r="AE352" s="103" t="s">
        <v>56</v>
      </c>
      <c r="AF352" s="497">
        <v>2998000</v>
      </c>
      <c r="AG352" s="526">
        <f t="shared" si="17"/>
        <v>-1000000</v>
      </c>
    </row>
    <row r="353" spans="1:33" s="12" customFormat="1" ht="24" customHeight="1">
      <c r="A353" s="34"/>
      <c r="B353" s="34"/>
      <c r="C353" s="34"/>
      <c r="D353" s="494"/>
      <c r="E353" s="492"/>
      <c r="F353" s="492"/>
      <c r="G353" s="492"/>
      <c r="H353" s="492"/>
      <c r="I353" s="492"/>
      <c r="J353" s="492"/>
      <c r="K353" s="662"/>
      <c r="L353" s="492"/>
      <c r="M353" s="686"/>
      <c r="N353" s="675"/>
      <c r="O353" s="674"/>
      <c r="P353" s="647"/>
      <c r="Q353" s="647"/>
      <c r="R353" s="306"/>
      <c r="S353" s="306"/>
      <c r="T353" s="306"/>
      <c r="U353" s="306"/>
      <c r="V353" s="306"/>
      <c r="W353" s="673"/>
      <c r="X353" s="673"/>
      <c r="Y353" s="673"/>
      <c r="Z353" s="673"/>
      <c r="AA353" s="673"/>
      <c r="AB353" s="673" t="s">
        <v>138</v>
      </c>
      <c r="AC353" s="659"/>
      <c r="AD353" s="659">
        <v>0</v>
      </c>
      <c r="AE353" s="103" t="s">
        <v>56</v>
      </c>
      <c r="AF353" s="497"/>
      <c r="AG353" s="526">
        <f t="shared" si="17"/>
        <v>0</v>
      </c>
    </row>
    <row r="354" spans="1:33" s="12" customFormat="1" ht="24" customHeight="1">
      <c r="A354" s="34"/>
      <c r="B354" s="34"/>
      <c r="C354" s="34"/>
      <c r="D354" s="117"/>
      <c r="E354" s="83"/>
      <c r="F354" s="83"/>
      <c r="G354" s="83"/>
      <c r="H354" s="83"/>
      <c r="I354" s="83"/>
      <c r="J354" s="83"/>
      <c r="K354" s="628"/>
      <c r="L354" s="83"/>
      <c r="M354" s="686"/>
      <c r="N354" s="675"/>
      <c r="O354" s="674" t="s">
        <v>294</v>
      </c>
      <c r="P354" s="647"/>
      <c r="Q354" s="647"/>
      <c r="R354" s="306"/>
      <c r="S354" s="306"/>
      <c r="T354" s="306"/>
      <c r="U354" s="306"/>
      <c r="V354" s="306"/>
      <c r="W354" s="673"/>
      <c r="X354" s="673"/>
      <c r="Y354" s="673"/>
      <c r="Z354" s="673"/>
      <c r="AA354" s="673"/>
      <c r="AB354" s="673" t="s">
        <v>220</v>
      </c>
      <c r="AC354" s="659"/>
      <c r="AD354" s="659">
        <v>100000</v>
      </c>
      <c r="AE354" s="103" t="s">
        <v>56</v>
      </c>
      <c r="AF354" s="497"/>
      <c r="AG354" s="526">
        <f t="shared" si="17"/>
        <v>100000</v>
      </c>
    </row>
    <row r="355" spans="1:33" s="12" customFormat="1" ht="24" customHeight="1">
      <c r="A355" s="34"/>
      <c r="B355" s="34"/>
      <c r="C355" s="34"/>
      <c r="D355" s="117"/>
      <c r="E355" s="83"/>
      <c r="F355" s="83"/>
      <c r="G355" s="83"/>
      <c r="H355" s="83"/>
      <c r="I355" s="83"/>
      <c r="J355" s="83"/>
      <c r="K355" s="628"/>
      <c r="L355" s="83"/>
      <c r="M355" s="686"/>
      <c r="N355" s="675"/>
      <c r="O355" s="674"/>
      <c r="P355" s="647"/>
      <c r="Q355" s="647"/>
      <c r="R355" s="306"/>
      <c r="S355" s="306"/>
      <c r="T355" s="800" t="s">
        <v>316</v>
      </c>
      <c r="U355" s="800"/>
      <c r="V355" s="800"/>
      <c r="W355" s="800"/>
      <c r="X355" s="800"/>
      <c r="Y355" s="800"/>
      <c r="Z355" s="673"/>
      <c r="AA355" s="673"/>
      <c r="AB355" s="673" t="s">
        <v>86</v>
      </c>
      <c r="AC355" s="659"/>
      <c r="AD355" s="659">
        <v>331000</v>
      </c>
      <c r="AE355" s="103" t="s">
        <v>56</v>
      </c>
      <c r="AF355" s="476">
        <v>500000</v>
      </c>
      <c r="AG355" s="526">
        <f t="shared" si="17"/>
        <v>-169000</v>
      </c>
    </row>
    <row r="356" spans="1:33" s="12" customFormat="1" ht="24" customHeight="1">
      <c r="A356" s="34"/>
      <c r="B356" s="34"/>
      <c r="C356" s="34"/>
      <c r="D356" s="117"/>
      <c r="E356" s="83"/>
      <c r="F356" s="83"/>
      <c r="G356" s="83"/>
      <c r="H356" s="83"/>
      <c r="I356" s="83"/>
      <c r="J356" s="83"/>
      <c r="K356" s="628"/>
      <c r="L356" s="83"/>
      <c r="M356" s="686"/>
      <c r="N356" s="675"/>
      <c r="O356" s="674"/>
      <c r="P356" s="647"/>
      <c r="Q356" s="647"/>
      <c r="R356" s="306"/>
      <c r="S356" s="306"/>
      <c r="T356" s="800" t="s">
        <v>315</v>
      </c>
      <c r="U356" s="800"/>
      <c r="V356" s="800"/>
      <c r="W356" s="800"/>
      <c r="X356" s="800"/>
      <c r="Y356" s="800"/>
      <c r="Z356" s="673"/>
      <c r="AA356" s="673"/>
      <c r="AB356" s="673" t="s">
        <v>86</v>
      </c>
      <c r="AC356" s="659"/>
      <c r="AD356" s="659">
        <v>1828000</v>
      </c>
      <c r="AE356" s="103" t="s">
        <v>56</v>
      </c>
      <c r="AF356" s="476">
        <v>1739000</v>
      </c>
      <c r="AG356" s="526">
        <f t="shared" ref="AG356:AG385" si="18">AD356-AF356</f>
        <v>89000</v>
      </c>
    </row>
    <row r="357" spans="1:33" s="12" customFormat="1" ht="24" customHeight="1">
      <c r="A357" s="34"/>
      <c r="B357" s="34"/>
      <c r="C357" s="34"/>
      <c r="D357" s="117"/>
      <c r="E357" s="83"/>
      <c r="F357" s="83"/>
      <c r="G357" s="83"/>
      <c r="H357" s="83"/>
      <c r="I357" s="83"/>
      <c r="J357" s="83"/>
      <c r="K357" s="628"/>
      <c r="L357" s="83"/>
      <c r="M357" s="686"/>
      <c r="N357" s="675"/>
      <c r="O357" s="674" t="s">
        <v>313</v>
      </c>
      <c r="P357" s="647"/>
      <c r="Q357" s="647"/>
      <c r="R357" s="306"/>
      <c r="S357" s="306"/>
      <c r="T357" s="306"/>
      <c r="U357" s="306"/>
      <c r="V357" s="306"/>
      <c r="W357" s="673"/>
      <c r="X357" s="673"/>
      <c r="Y357" s="673"/>
      <c r="Z357" s="673"/>
      <c r="AA357" s="673"/>
      <c r="AB357" s="673" t="s">
        <v>86</v>
      </c>
      <c r="AC357" s="659"/>
      <c r="AD357" s="659"/>
      <c r="AE357" s="103" t="s">
        <v>56</v>
      </c>
      <c r="AF357" s="497"/>
      <c r="AG357" s="526">
        <f t="shared" si="18"/>
        <v>0</v>
      </c>
    </row>
    <row r="358" spans="1:33" s="12" customFormat="1" ht="24" customHeight="1">
      <c r="A358" s="34"/>
      <c r="B358" s="34"/>
      <c r="C358" s="34"/>
      <c r="D358" s="117"/>
      <c r="E358" s="83"/>
      <c r="F358" s="83"/>
      <c r="G358" s="83"/>
      <c r="H358" s="83"/>
      <c r="I358" s="83"/>
      <c r="J358" s="83"/>
      <c r="K358" s="628"/>
      <c r="L358" s="83"/>
      <c r="M358" s="686"/>
      <c r="N358" s="675"/>
      <c r="O358" s="674"/>
      <c r="P358" s="647"/>
      <c r="Q358" s="647"/>
      <c r="R358" s="306"/>
      <c r="S358" s="306"/>
      <c r="T358" s="673" t="s">
        <v>815</v>
      </c>
      <c r="U358" s="306"/>
      <c r="V358" s="306"/>
      <c r="W358" s="673"/>
      <c r="X358" s="673"/>
      <c r="Y358" s="673"/>
      <c r="Z358" s="673"/>
      <c r="AA358" s="673"/>
      <c r="AB358" s="673" t="s">
        <v>138</v>
      </c>
      <c r="AC358" s="659"/>
      <c r="AD358" s="659"/>
      <c r="AE358" s="103" t="s">
        <v>56</v>
      </c>
      <c r="AF358" s="497"/>
      <c r="AG358" s="526">
        <f t="shared" si="18"/>
        <v>0</v>
      </c>
    </row>
    <row r="359" spans="1:33" s="12" customFormat="1" ht="24" customHeight="1">
      <c r="A359" s="34"/>
      <c r="B359" s="34"/>
      <c r="C359" s="34"/>
      <c r="D359" s="117"/>
      <c r="E359" s="83"/>
      <c r="F359" s="83"/>
      <c r="G359" s="83"/>
      <c r="H359" s="83"/>
      <c r="I359" s="83"/>
      <c r="J359" s="83"/>
      <c r="K359" s="628"/>
      <c r="L359" s="83"/>
      <c r="M359" s="686"/>
      <c r="N359" s="675"/>
      <c r="O359" s="674"/>
      <c r="P359" s="647"/>
      <c r="Q359" s="647"/>
      <c r="R359" s="306"/>
      <c r="S359" s="306"/>
      <c r="T359" s="673" t="s">
        <v>318</v>
      </c>
      <c r="U359" s="306"/>
      <c r="V359" s="306"/>
      <c r="W359" s="673"/>
      <c r="X359" s="673"/>
      <c r="Y359" s="673"/>
      <c r="Z359" s="673"/>
      <c r="AA359" s="673"/>
      <c r="AB359" s="673" t="s">
        <v>138</v>
      </c>
      <c r="AC359" s="659"/>
      <c r="AD359" s="659">
        <v>2322000</v>
      </c>
      <c r="AE359" s="103" t="s">
        <v>56</v>
      </c>
      <c r="AF359" s="497"/>
      <c r="AG359" s="526">
        <f t="shared" si="18"/>
        <v>2322000</v>
      </c>
    </row>
    <row r="360" spans="1:33" s="12" customFormat="1" ht="24" customHeight="1">
      <c r="A360" s="34"/>
      <c r="B360" s="34"/>
      <c r="C360" s="44"/>
      <c r="D360" s="502"/>
      <c r="E360" s="85"/>
      <c r="F360" s="85"/>
      <c r="G360" s="85"/>
      <c r="H360" s="85"/>
      <c r="I360" s="85"/>
      <c r="J360" s="85"/>
      <c r="K360" s="629"/>
      <c r="L360" s="85"/>
      <c r="M360" s="687"/>
      <c r="N360" s="680"/>
      <c r="O360" s="671"/>
      <c r="P360" s="671"/>
      <c r="Q360" s="671"/>
      <c r="R360" s="671"/>
      <c r="S360" s="671"/>
      <c r="T360" s="673" t="s">
        <v>314</v>
      </c>
      <c r="U360" s="306"/>
      <c r="V360" s="306"/>
      <c r="W360" s="673"/>
      <c r="X360" s="673"/>
      <c r="Y360" s="673"/>
      <c r="Z360" s="673"/>
      <c r="AA360" s="673"/>
      <c r="AB360" s="673" t="s">
        <v>138</v>
      </c>
      <c r="AC360" s="659"/>
      <c r="AD360" s="659">
        <v>851000</v>
      </c>
      <c r="AE360" s="103" t="s">
        <v>56</v>
      </c>
      <c r="AF360" s="497"/>
      <c r="AG360" s="526">
        <f t="shared" si="18"/>
        <v>851000</v>
      </c>
    </row>
    <row r="361" spans="1:33" s="12" customFormat="1" ht="24" customHeight="1">
      <c r="A361" s="34"/>
      <c r="B361" s="34"/>
      <c r="C361" s="24" t="s">
        <v>199</v>
      </c>
      <c r="D361" s="116">
        <v>51335</v>
      </c>
      <c r="E361" s="87">
        <f>ROUND(AD361/1000,0)</f>
        <v>50014</v>
      </c>
      <c r="F361" s="88">
        <f>SUMIF($AB$362:$AB$366,"보조",$AD$362:$AD$366)/1000</f>
        <v>0</v>
      </c>
      <c r="G361" s="88">
        <f>SUMIF($AB$362:$AB$366,"7종",$AD$362:$AD$366)/1000</f>
        <v>0</v>
      </c>
      <c r="H361" s="88">
        <f>SUMIF($AB$362:$AB$366,"4종",$AD$362:$AD$366)/1000</f>
        <v>0</v>
      </c>
      <c r="I361" s="88">
        <f>SUMIF($AB$362:$AB$366,"후원",$AD$362:$AD$366)/1000</f>
        <v>49227</v>
      </c>
      <c r="J361" s="88">
        <f>SUMIF($AB$362:$AB$366,"입소",$AD$362:$AD$366)/1000</f>
        <v>787</v>
      </c>
      <c r="K361" s="631">
        <f>SUMIF($AB$362:$AB$366,"법인",$AD$362:$AD$366)/1000</f>
        <v>0</v>
      </c>
      <c r="L361" s="88">
        <f>SUMIF($AB$362:$AB$366,"잡수",$AD$362:$AD$366)/1000</f>
        <v>0</v>
      </c>
      <c r="M361" s="95">
        <f>E361-D361</f>
        <v>-1321</v>
      </c>
      <c r="N361" s="676">
        <f>IF(D361=0,0,M361/D361)</f>
        <v>-2.5732930749001657E-2</v>
      </c>
      <c r="O361" s="226"/>
      <c r="P361" s="236"/>
      <c r="Q361" s="236"/>
      <c r="R361" s="331"/>
      <c r="S361" s="331"/>
      <c r="T361" s="331"/>
      <c r="U361" s="331"/>
      <c r="V361" s="331"/>
      <c r="W361" s="332" t="s">
        <v>121</v>
      </c>
      <c r="X361" s="332"/>
      <c r="Y361" s="332"/>
      <c r="Z361" s="332"/>
      <c r="AA361" s="332"/>
      <c r="AB361" s="332"/>
      <c r="AC361" s="648"/>
      <c r="AD361" s="648">
        <f>SUM(AD362:AD366)</f>
        <v>50014000</v>
      </c>
      <c r="AE361" s="333" t="s">
        <v>25</v>
      </c>
      <c r="AF361" s="497"/>
      <c r="AG361" s="526">
        <f t="shared" si="18"/>
        <v>50014000</v>
      </c>
    </row>
    <row r="362" spans="1:33" s="12" customFormat="1" ht="24" customHeight="1">
      <c r="A362" s="34"/>
      <c r="B362" s="34"/>
      <c r="C362" s="34" t="s">
        <v>295</v>
      </c>
      <c r="D362" s="493"/>
      <c r="E362" s="491"/>
      <c r="F362" s="491"/>
      <c r="G362" s="491"/>
      <c r="H362" s="491"/>
      <c r="I362" s="491"/>
      <c r="J362" s="491"/>
      <c r="K362" s="661"/>
      <c r="L362" s="491"/>
      <c r="M362" s="686"/>
      <c r="N362" s="675"/>
      <c r="O362" s="314" t="s">
        <v>296</v>
      </c>
      <c r="P362" s="314"/>
      <c r="Q362" s="314"/>
      <c r="R362" s="314"/>
      <c r="S362" s="673"/>
      <c r="T362" s="406"/>
      <c r="U362" s="406"/>
      <c r="V362" s="673"/>
      <c r="W362" s="674"/>
      <c r="X362" s="673"/>
      <c r="Y362" s="314"/>
      <c r="Z362" s="314"/>
      <c r="AA362" s="314"/>
      <c r="AB362" s="314" t="s">
        <v>220</v>
      </c>
      <c r="AC362" s="314"/>
      <c r="AD362" s="329">
        <v>787000</v>
      </c>
      <c r="AE362" s="316" t="s">
        <v>56</v>
      </c>
      <c r="AF362" s="497">
        <v>2108000</v>
      </c>
      <c r="AG362" s="526">
        <f t="shared" si="18"/>
        <v>-1321000</v>
      </c>
    </row>
    <row r="363" spans="1:33" s="12" customFormat="1" ht="24" customHeight="1">
      <c r="A363" s="34"/>
      <c r="B363" s="34"/>
      <c r="C363" s="34"/>
      <c r="D363" s="494"/>
      <c r="E363" s="492"/>
      <c r="F363" s="492"/>
      <c r="G363" s="492"/>
      <c r="H363" s="492"/>
      <c r="I363" s="492"/>
      <c r="J363" s="492"/>
      <c r="K363" s="662"/>
      <c r="L363" s="492"/>
      <c r="M363" s="686"/>
      <c r="N363" s="675"/>
      <c r="O363" s="314" t="s">
        <v>297</v>
      </c>
      <c r="P363" s="314"/>
      <c r="Q363" s="314"/>
      <c r="R363" s="314"/>
      <c r="S363" s="673"/>
      <c r="T363" s="406"/>
      <c r="U363" s="406"/>
      <c r="V363" s="673"/>
      <c r="W363" s="674"/>
      <c r="X363" s="673"/>
      <c r="Y363" s="314"/>
      <c r="Z363" s="314"/>
      <c r="AA363" s="314"/>
      <c r="AB363" s="314" t="s">
        <v>138</v>
      </c>
      <c r="AC363" s="314"/>
      <c r="AD363" s="329">
        <v>480000</v>
      </c>
      <c r="AE363" s="316" t="s">
        <v>56</v>
      </c>
      <c r="AF363" s="497"/>
      <c r="AG363" s="526">
        <f t="shared" si="18"/>
        <v>480000</v>
      </c>
    </row>
    <row r="364" spans="1:33" s="12" customFormat="1" ht="24" customHeight="1">
      <c r="A364" s="34"/>
      <c r="B364" s="34"/>
      <c r="C364" s="34"/>
      <c r="D364" s="114"/>
      <c r="E364" s="83"/>
      <c r="F364" s="83"/>
      <c r="G364" s="83"/>
      <c r="H364" s="83"/>
      <c r="I364" s="83"/>
      <c r="J364" s="83"/>
      <c r="K364" s="628"/>
      <c r="L364" s="83"/>
      <c r="M364" s="686"/>
      <c r="N364" s="675"/>
      <c r="O364" s="314" t="s">
        <v>298</v>
      </c>
      <c r="P364" s="314"/>
      <c r="Q364" s="314"/>
      <c r="R364" s="314"/>
      <c r="S364" s="673"/>
      <c r="T364" s="406"/>
      <c r="U364" s="406"/>
      <c r="V364" s="673"/>
      <c r="W364" s="674"/>
      <c r="X364" s="673"/>
      <c r="Y364" s="314"/>
      <c r="Z364" s="314"/>
      <c r="AA364" s="314"/>
      <c r="AB364" s="314" t="s">
        <v>138</v>
      </c>
      <c r="AC364" s="314"/>
      <c r="AD364" s="329">
        <v>405000</v>
      </c>
      <c r="AE364" s="316" t="s">
        <v>56</v>
      </c>
      <c r="AF364" s="497"/>
      <c r="AG364" s="526">
        <f t="shared" si="18"/>
        <v>405000</v>
      </c>
    </row>
    <row r="365" spans="1:33" s="12" customFormat="1" ht="24" customHeight="1">
      <c r="A365" s="34"/>
      <c r="B365" s="34"/>
      <c r="C365" s="34"/>
      <c r="D365" s="114"/>
      <c r="E365" s="83"/>
      <c r="F365" s="83"/>
      <c r="G365" s="83"/>
      <c r="H365" s="83"/>
      <c r="I365" s="83"/>
      <c r="J365" s="83"/>
      <c r="K365" s="628"/>
      <c r="L365" s="83"/>
      <c r="M365" s="686"/>
      <c r="N365" s="675"/>
      <c r="O365" s="314" t="s">
        <v>299</v>
      </c>
      <c r="P365" s="314"/>
      <c r="Q365" s="314"/>
      <c r="R365" s="314"/>
      <c r="S365" s="673"/>
      <c r="T365" s="406"/>
      <c r="U365" s="674"/>
      <c r="V365" s="673"/>
      <c r="W365" s="674"/>
      <c r="X365" s="673"/>
      <c r="Y365" s="314" t="s">
        <v>655</v>
      </c>
      <c r="Z365" s="314"/>
      <c r="AA365" s="314"/>
      <c r="AB365" s="314" t="s">
        <v>138</v>
      </c>
      <c r="AC365" s="314"/>
      <c r="AD365" s="329">
        <v>45170000</v>
      </c>
      <c r="AE365" s="316" t="s">
        <v>56</v>
      </c>
      <c r="AF365" s="497"/>
      <c r="AG365" s="526">
        <f t="shared" si="18"/>
        <v>45170000</v>
      </c>
    </row>
    <row r="366" spans="1:33" s="12" customFormat="1" ht="24" customHeight="1">
      <c r="A366" s="34"/>
      <c r="B366" s="34"/>
      <c r="C366" s="34"/>
      <c r="D366" s="114"/>
      <c r="E366" s="83"/>
      <c r="F366" s="83"/>
      <c r="G366" s="83"/>
      <c r="H366" s="83"/>
      <c r="I366" s="83"/>
      <c r="J366" s="83"/>
      <c r="K366" s="628"/>
      <c r="L366" s="83"/>
      <c r="M366" s="686"/>
      <c r="N366" s="675"/>
      <c r="O366" s="314"/>
      <c r="P366" s="314"/>
      <c r="Q366" s="314"/>
      <c r="R366" s="314"/>
      <c r="S366" s="673"/>
      <c r="T366" s="406"/>
      <c r="U366" s="406"/>
      <c r="V366" s="673"/>
      <c r="W366" s="674"/>
      <c r="X366" s="673"/>
      <c r="Y366" s="314"/>
      <c r="Z366" s="314"/>
      <c r="AA366" s="314"/>
      <c r="AB366" s="314" t="s">
        <v>138</v>
      </c>
      <c r="AC366" s="314"/>
      <c r="AD366" s="329">
        <v>3172000</v>
      </c>
      <c r="AE366" s="316" t="s">
        <v>56</v>
      </c>
      <c r="AF366" s="497"/>
      <c r="AG366" s="526">
        <f t="shared" si="18"/>
        <v>3172000</v>
      </c>
    </row>
    <row r="367" spans="1:33" s="12" customFormat="1" ht="24" customHeight="1">
      <c r="A367" s="34"/>
      <c r="B367" s="34"/>
      <c r="C367" s="24" t="s">
        <v>305</v>
      </c>
      <c r="D367" s="116">
        <v>1161</v>
      </c>
      <c r="E367" s="87">
        <f>ROUND(AD367/1000,0)</f>
        <v>1061</v>
      </c>
      <c r="F367" s="88">
        <f>SUMIF($AB$368:$AB$370,"보조",$AD$368:$AD$370)/1000</f>
        <v>0</v>
      </c>
      <c r="G367" s="88">
        <f>SUMIF($AB$368:$AB$370,"7종",$AD$368:$AD$370)/1000</f>
        <v>0</v>
      </c>
      <c r="H367" s="88">
        <f>SUMIF($AB$368:$AB$370,"4종",$AD$368:$AD$370)/1000</f>
        <v>0</v>
      </c>
      <c r="I367" s="88">
        <f>SUMIF($AB$368:$AB$370,"후원",$AD$368:$AD$370)/1000</f>
        <v>1061</v>
      </c>
      <c r="J367" s="88">
        <f>SUMIF($AB$368:$AB$370,"입소",$AD$368:$AD$370)/1000</f>
        <v>0</v>
      </c>
      <c r="K367" s="631">
        <f>SUMIF($AB$368:$AB$370,"법인",$AD$368:$AD$370)/1000</f>
        <v>0</v>
      </c>
      <c r="L367" s="88">
        <f>SUMIF($AB$368:$AB$370,"잡수",$AD$368:$AD$370)/1000</f>
        <v>0</v>
      </c>
      <c r="M367" s="95">
        <f>E367-D367</f>
        <v>-100</v>
      </c>
      <c r="N367" s="676">
        <f>IF(D367=0,0,M367/D367)</f>
        <v>-8.6132644272179162E-2</v>
      </c>
      <c r="O367" s="226"/>
      <c r="P367" s="236"/>
      <c r="Q367" s="236"/>
      <c r="R367" s="331"/>
      <c r="S367" s="331"/>
      <c r="T367" s="331"/>
      <c r="U367" s="331"/>
      <c r="V367" s="331"/>
      <c r="W367" s="332" t="s">
        <v>121</v>
      </c>
      <c r="X367" s="332"/>
      <c r="Y367" s="332"/>
      <c r="Z367" s="332"/>
      <c r="AA367" s="332"/>
      <c r="AB367" s="332"/>
      <c r="AC367" s="648"/>
      <c r="AD367" s="648">
        <f>SUM(AD368:AD370)</f>
        <v>1061000</v>
      </c>
      <c r="AE367" s="333" t="s">
        <v>25</v>
      </c>
      <c r="AF367" s="497"/>
      <c r="AG367" s="526">
        <f t="shared" si="18"/>
        <v>1061000</v>
      </c>
    </row>
    <row r="368" spans="1:33" s="12" customFormat="1" ht="24" customHeight="1">
      <c r="A368" s="34"/>
      <c r="B368" s="34"/>
      <c r="C368" s="34" t="s">
        <v>306</v>
      </c>
      <c r="D368" s="114"/>
      <c r="E368" s="83"/>
      <c r="F368" s="83"/>
      <c r="G368" s="83"/>
      <c r="H368" s="83"/>
      <c r="I368" s="83"/>
      <c r="J368" s="83"/>
      <c r="K368" s="628"/>
      <c r="L368" s="83"/>
      <c r="M368" s="686"/>
      <c r="N368" s="675"/>
      <c r="O368" s="314" t="s">
        <v>307</v>
      </c>
      <c r="P368" s="314"/>
      <c r="Q368" s="314"/>
      <c r="R368" s="314"/>
      <c r="S368" s="673"/>
      <c r="T368" s="406"/>
      <c r="U368" s="406"/>
      <c r="V368" s="673"/>
      <c r="W368" s="674"/>
      <c r="X368" s="673"/>
      <c r="Y368" s="314"/>
      <c r="Z368" s="314"/>
      <c r="AA368" s="314"/>
      <c r="AB368" s="314" t="s">
        <v>138</v>
      </c>
      <c r="AC368" s="314"/>
      <c r="AD368" s="329">
        <v>1011000</v>
      </c>
      <c r="AE368" s="316" t="s">
        <v>56</v>
      </c>
      <c r="AF368" s="497"/>
      <c r="AG368" s="526">
        <f t="shared" si="18"/>
        <v>1011000</v>
      </c>
    </row>
    <row r="369" spans="1:33" s="12" customFormat="1" ht="24" customHeight="1">
      <c r="A369" s="34"/>
      <c r="B369" s="34"/>
      <c r="C369" s="501"/>
      <c r="D369" s="117"/>
      <c r="E369" s="83"/>
      <c r="F369" s="83"/>
      <c r="G369" s="83"/>
      <c r="H369" s="83"/>
      <c r="I369" s="83"/>
      <c r="J369" s="83"/>
      <c r="K369" s="628"/>
      <c r="L369" s="83"/>
      <c r="M369" s="686"/>
      <c r="N369" s="675"/>
      <c r="O369" s="674" t="s">
        <v>289</v>
      </c>
      <c r="P369" s="674"/>
      <c r="Q369" s="674"/>
      <c r="R369" s="674"/>
      <c r="S369" s="674"/>
      <c r="T369" s="673"/>
      <c r="U369" s="673"/>
      <c r="V369" s="673"/>
      <c r="W369" s="673"/>
      <c r="X369" s="673"/>
      <c r="Y369" s="673"/>
      <c r="Z369" s="673"/>
      <c r="AA369" s="673"/>
      <c r="AB369" s="673" t="s">
        <v>220</v>
      </c>
      <c r="AC369" s="659"/>
      <c r="AD369" s="659">
        <v>0</v>
      </c>
      <c r="AE369" s="103" t="s">
        <v>56</v>
      </c>
      <c r="AF369" s="497">
        <v>150000</v>
      </c>
      <c r="AG369" s="526">
        <f t="shared" si="18"/>
        <v>-150000</v>
      </c>
    </row>
    <row r="370" spans="1:33" s="12" customFormat="1" ht="24" customHeight="1">
      <c r="A370" s="34"/>
      <c r="B370" s="34"/>
      <c r="C370" s="44"/>
      <c r="D370" s="115"/>
      <c r="E370" s="85"/>
      <c r="F370" s="85"/>
      <c r="G370" s="85"/>
      <c r="H370" s="85"/>
      <c r="I370" s="85"/>
      <c r="J370" s="85"/>
      <c r="K370" s="629"/>
      <c r="L370" s="85"/>
      <c r="M370" s="687"/>
      <c r="N370" s="680"/>
      <c r="O370" s="330"/>
      <c r="P370" s="330"/>
      <c r="Q370" s="330"/>
      <c r="R370" s="330"/>
      <c r="S370" s="670"/>
      <c r="T370" s="308"/>
      <c r="U370" s="308"/>
      <c r="V370" s="670"/>
      <c r="W370" s="671"/>
      <c r="X370" s="670"/>
      <c r="Y370" s="330"/>
      <c r="Z370" s="330"/>
      <c r="AA370" s="330"/>
      <c r="AB370" s="330" t="s">
        <v>138</v>
      </c>
      <c r="AC370" s="330"/>
      <c r="AD370" s="697">
        <v>50000</v>
      </c>
      <c r="AE370" s="103" t="s">
        <v>56</v>
      </c>
      <c r="AF370" s="497">
        <v>0</v>
      </c>
      <c r="AG370" s="526">
        <f t="shared" si="18"/>
        <v>50000</v>
      </c>
    </row>
    <row r="371" spans="1:33" s="12" customFormat="1" ht="24" customHeight="1">
      <c r="A371" s="34"/>
      <c r="B371" s="34"/>
      <c r="C371" s="24" t="s">
        <v>200</v>
      </c>
      <c r="D371" s="116">
        <v>7340</v>
      </c>
      <c r="E371" s="87">
        <f>ROUND(AD371/1000,0)</f>
        <v>7190</v>
      </c>
      <c r="F371" s="88">
        <f>SUMIF($AB$372:$AB$376,"보조",$AD$372:$AD$376)/1000</f>
        <v>0</v>
      </c>
      <c r="G371" s="88">
        <f>SUMIF($AB$372:$AB$376,"7종",$AD$372:$AD$376)/1000</f>
        <v>0</v>
      </c>
      <c r="H371" s="88">
        <f>SUMIF($AB$372:$AB$376,"4종",$AD$372:$AD$376)/1000</f>
        <v>0</v>
      </c>
      <c r="I371" s="88">
        <f>SUMIF($AB$372:$AB$377,"후원",$AD$372:$AD$377)/1000</f>
        <v>7190</v>
      </c>
      <c r="J371" s="88">
        <f>SUMIF($AB$372:$AB$376,"입소",$AD$372:$AD$376)/1000</f>
        <v>0</v>
      </c>
      <c r="K371" s="631">
        <f>SUMIF($AB$372:$AB$376,"법인",$AD$372:$AD$376)/1000</f>
        <v>0</v>
      </c>
      <c r="L371" s="88">
        <f>SUMIF($AB$372:$AB$376,"잡수",$AD$372:$AD$376)/1000</f>
        <v>0</v>
      </c>
      <c r="M371" s="95">
        <f>E371-D371</f>
        <v>-150</v>
      </c>
      <c r="N371" s="676">
        <f>IF(D371=0,0,M371/D371)</f>
        <v>-2.0435967302452316E-2</v>
      </c>
      <c r="O371" s="226"/>
      <c r="P371" s="236"/>
      <c r="Q371" s="236"/>
      <c r="R371" s="331"/>
      <c r="S371" s="331"/>
      <c r="T371" s="331"/>
      <c r="U371" s="331"/>
      <c r="V371" s="331"/>
      <c r="W371" s="332" t="s">
        <v>121</v>
      </c>
      <c r="X371" s="332"/>
      <c r="Y371" s="332"/>
      <c r="Z371" s="332"/>
      <c r="AA371" s="332"/>
      <c r="AB371" s="332"/>
      <c r="AC371" s="648"/>
      <c r="AD371" s="648">
        <f>SUM(AD372:AD377)</f>
        <v>7190000</v>
      </c>
      <c r="AE371" s="333" t="s">
        <v>25</v>
      </c>
      <c r="AF371" s="497"/>
      <c r="AG371" s="526">
        <f t="shared" si="18"/>
        <v>7190000</v>
      </c>
    </row>
    <row r="372" spans="1:33" s="12" customFormat="1" ht="24" customHeight="1">
      <c r="A372" s="34"/>
      <c r="B372" s="34"/>
      <c r="C372" s="34" t="s">
        <v>120</v>
      </c>
      <c r="D372" s="493"/>
      <c r="E372" s="491"/>
      <c r="F372" s="491"/>
      <c r="G372" s="491"/>
      <c r="H372" s="491"/>
      <c r="I372" s="491"/>
      <c r="J372" s="491"/>
      <c r="K372" s="661"/>
      <c r="L372" s="491"/>
      <c r="M372" s="686"/>
      <c r="N372" s="675"/>
      <c r="O372" s="674" t="s">
        <v>300</v>
      </c>
      <c r="P372" s="314"/>
      <c r="Q372" s="314"/>
      <c r="R372" s="314"/>
      <c r="S372" s="314"/>
      <c r="T372" s="314"/>
      <c r="U372" s="314"/>
      <c r="V372" s="314"/>
      <c r="W372" s="314"/>
      <c r="X372" s="314"/>
      <c r="Y372" s="314"/>
      <c r="Z372" s="314"/>
      <c r="AA372" s="314"/>
      <c r="AB372" s="314" t="s">
        <v>138</v>
      </c>
      <c r="AC372" s="314"/>
      <c r="AD372" s="329">
        <v>4600000</v>
      </c>
      <c r="AE372" s="316" t="s">
        <v>56</v>
      </c>
      <c r="AF372" s="497"/>
      <c r="AG372" s="526">
        <f t="shared" si="18"/>
        <v>4600000</v>
      </c>
    </row>
    <row r="373" spans="1:33" s="12" customFormat="1" ht="24" customHeight="1">
      <c r="A373" s="34"/>
      <c r="B373" s="34"/>
      <c r="C373" s="34"/>
      <c r="D373" s="494"/>
      <c r="E373" s="492"/>
      <c r="F373" s="492"/>
      <c r="G373" s="492"/>
      <c r="H373" s="492"/>
      <c r="I373" s="492"/>
      <c r="J373" s="492"/>
      <c r="K373" s="662"/>
      <c r="L373" s="492"/>
      <c r="M373" s="686"/>
      <c r="N373" s="675"/>
      <c r="O373" s="674" t="s">
        <v>301</v>
      </c>
      <c r="P373" s="314"/>
      <c r="Q373" s="314"/>
      <c r="R373" s="314"/>
      <c r="S373" s="314"/>
      <c r="T373" s="314"/>
      <c r="U373" s="314"/>
      <c r="V373" s="314"/>
      <c r="W373" s="314"/>
      <c r="X373" s="314"/>
      <c r="Y373" s="314" t="s">
        <v>655</v>
      </c>
      <c r="Z373" s="314"/>
      <c r="AA373" s="314"/>
      <c r="AB373" s="314" t="s">
        <v>138</v>
      </c>
      <c r="AC373" s="314"/>
      <c r="AD373" s="329">
        <v>1290000</v>
      </c>
      <c r="AE373" s="316" t="s">
        <v>56</v>
      </c>
      <c r="AF373" s="497"/>
      <c r="AG373" s="526">
        <f t="shared" si="18"/>
        <v>1290000</v>
      </c>
    </row>
    <row r="374" spans="1:33" s="12" customFormat="1" ht="24" customHeight="1">
      <c r="A374" s="34"/>
      <c r="B374" s="34"/>
      <c r="C374" s="34"/>
      <c r="D374" s="114"/>
      <c r="E374" s="83"/>
      <c r="F374" s="83"/>
      <c r="G374" s="83"/>
      <c r="H374" s="83"/>
      <c r="I374" s="83"/>
      <c r="J374" s="83"/>
      <c r="K374" s="628"/>
      <c r="L374" s="83"/>
      <c r="M374" s="686"/>
      <c r="N374" s="675"/>
      <c r="O374" s="674" t="s">
        <v>302</v>
      </c>
      <c r="P374" s="314"/>
      <c r="Q374" s="314"/>
      <c r="R374" s="314"/>
      <c r="S374" s="314"/>
      <c r="T374" s="314"/>
      <c r="U374" s="314"/>
      <c r="V374" s="314"/>
      <c r="W374" s="314"/>
      <c r="X374" s="314"/>
      <c r="Y374" s="314"/>
      <c r="Z374" s="314"/>
      <c r="AA374" s="314"/>
      <c r="AB374" s="314" t="s">
        <v>138</v>
      </c>
      <c r="AC374" s="314"/>
      <c r="AD374" s="329">
        <v>300000</v>
      </c>
      <c r="AE374" s="316" t="s">
        <v>56</v>
      </c>
      <c r="AF374" s="497"/>
      <c r="AG374" s="526">
        <f t="shared" si="18"/>
        <v>300000</v>
      </c>
    </row>
    <row r="375" spans="1:33" s="12" customFormat="1" ht="24" customHeight="1">
      <c r="A375" s="34"/>
      <c r="B375" s="34"/>
      <c r="C375" s="34"/>
      <c r="D375" s="114"/>
      <c r="E375" s="83"/>
      <c r="F375" s="83"/>
      <c r="G375" s="83"/>
      <c r="H375" s="83"/>
      <c r="I375" s="83"/>
      <c r="J375" s="83"/>
      <c r="K375" s="628"/>
      <c r="L375" s="83"/>
      <c r="M375" s="686"/>
      <c r="N375" s="675"/>
      <c r="O375" s="674" t="s">
        <v>303</v>
      </c>
      <c r="P375" s="314"/>
      <c r="Q375" s="314"/>
      <c r="R375" s="314"/>
      <c r="S375" s="314"/>
      <c r="T375" s="314"/>
      <c r="U375" s="314"/>
      <c r="V375" s="314"/>
      <c r="W375" s="314"/>
      <c r="X375" s="314"/>
      <c r="Y375" s="314"/>
      <c r="Z375" s="314"/>
      <c r="AA375" s="314"/>
      <c r="AB375" s="314" t="s">
        <v>138</v>
      </c>
      <c r="AC375" s="314"/>
      <c r="AD375" s="329">
        <v>1000000</v>
      </c>
      <c r="AE375" s="316" t="s">
        <v>56</v>
      </c>
      <c r="AF375" s="497"/>
      <c r="AG375" s="526">
        <f t="shared" si="18"/>
        <v>1000000</v>
      </c>
    </row>
    <row r="376" spans="1:33" s="12" customFormat="1" ht="24" customHeight="1">
      <c r="A376" s="34"/>
      <c r="B376" s="34"/>
      <c r="C376" s="34"/>
      <c r="D376" s="114"/>
      <c r="E376" s="83"/>
      <c r="F376" s="83"/>
      <c r="G376" s="83"/>
      <c r="H376" s="83"/>
      <c r="I376" s="83"/>
      <c r="J376" s="83"/>
      <c r="K376" s="628"/>
      <c r="L376" s="83"/>
      <c r="M376" s="686"/>
      <c r="N376" s="675"/>
      <c r="O376" s="674" t="s">
        <v>304</v>
      </c>
      <c r="P376" s="674"/>
      <c r="Q376" s="674"/>
      <c r="R376" s="674"/>
      <c r="S376" s="674"/>
      <c r="T376" s="673"/>
      <c r="U376" s="673"/>
      <c r="V376" s="673"/>
      <c r="W376" s="673"/>
      <c r="X376" s="673"/>
      <c r="Y376" s="673"/>
      <c r="Z376" s="673"/>
      <c r="AA376" s="673"/>
      <c r="AB376" s="673" t="s">
        <v>138</v>
      </c>
      <c r="AC376" s="659"/>
      <c r="AD376" s="440">
        <v>0</v>
      </c>
      <c r="AE376" s="103" t="s">
        <v>56</v>
      </c>
      <c r="AF376" s="497"/>
      <c r="AG376" s="526">
        <f t="shared" si="18"/>
        <v>0</v>
      </c>
    </row>
    <row r="377" spans="1:33" s="12" customFormat="1" ht="24" customHeight="1">
      <c r="A377" s="34"/>
      <c r="B377" s="34"/>
      <c r="C377" s="44"/>
      <c r="D377" s="115"/>
      <c r="E377" s="85"/>
      <c r="F377" s="85"/>
      <c r="G377" s="85"/>
      <c r="H377" s="85"/>
      <c r="I377" s="85"/>
      <c r="J377" s="85"/>
      <c r="K377" s="629"/>
      <c r="L377" s="85"/>
      <c r="M377" s="687"/>
      <c r="N377" s="680"/>
      <c r="O377" s="641"/>
      <c r="P377" s="671"/>
      <c r="Q377" s="671"/>
      <c r="R377" s="671"/>
      <c r="S377" s="671"/>
      <c r="T377" s="670"/>
      <c r="U377" s="670"/>
      <c r="V377" s="670"/>
      <c r="W377" s="670"/>
      <c r="X377" s="670"/>
      <c r="Y377" s="670"/>
      <c r="Z377" s="670"/>
      <c r="AA377" s="670"/>
      <c r="AB377" s="670"/>
      <c r="AC377" s="317"/>
      <c r="AD377" s="503"/>
      <c r="AE377" s="309"/>
      <c r="AF377" s="497"/>
      <c r="AG377" s="526">
        <f t="shared" si="18"/>
        <v>0</v>
      </c>
    </row>
    <row r="378" spans="1:33" s="12" customFormat="1" ht="24" customHeight="1">
      <c r="A378" s="34"/>
      <c r="B378" s="34"/>
      <c r="C378" s="24" t="s">
        <v>201</v>
      </c>
      <c r="D378" s="116">
        <v>2986</v>
      </c>
      <c r="E378" s="87">
        <f>ROUND(AD378/1000,0)</f>
        <v>3191</v>
      </c>
      <c r="F378" s="88">
        <f>SUMIF($AB$379:$AB$385,"보조",$AD$379:$AD$385)/1000</f>
        <v>0</v>
      </c>
      <c r="G378" s="88">
        <f>SUMIF($AB$379:$AB$385,"7종",$AD$379:$AD$385)/1000</f>
        <v>0</v>
      </c>
      <c r="H378" s="88">
        <f>SUMIF($AB$379:$AB$385,"4종",$AD$379:$AD$385)/1000</f>
        <v>0</v>
      </c>
      <c r="I378" s="88">
        <f>SUMIF($AB$379:$AB$385,"후원",$AD$379:$AD$385)/1000</f>
        <v>3191</v>
      </c>
      <c r="J378" s="88">
        <f>SUMIF($AB$379:$AB$385,"입소",$AD$379:$AD$385)/1000</f>
        <v>0</v>
      </c>
      <c r="K378" s="631">
        <f>SUMIF($AB$379:$AB$385,"법인",$AD$379:$AD$385)/1000</f>
        <v>0</v>
      </c>
      <c r="L378" s="88">
        <f>SUMIF($AB$379:$AB$385,"잡수",$AD$379:$AD$385)/1000</f>
        <v>0</v>
      </c>
      <c r="M378" s="95">
        <f>E378-D378</f>
        <v>205</v>
      </c>
      <c r="N378" s="676">
        <f>IF(D378=0,0,M378/D378)</f>
        <v>6.865371734762224E-2</v>
      </c>
      <c r="O378" s="240"/>
      <c r="P378" s="236"/>
      <c r="Q378" s="236"/>
      <c r="R378" s="331"/>
      <c r="S378" s="331"/>
      <c r="T378" s="331"/>
      <c r="U378" s="331"/>
      <c r="V378" s="331"/>
      <c r="W378" s="332" t="s">
        <v>121</v>
      </c>
      <c r="X378" s="332"/>
      <c r="Y378" s="332"/>
      <c r="Z378" s="332"/>
      <c r="AA378" s="332"/>
      <c r="AB378" s="332"/>
      <c r="AC378" s="648"/>
      <c r="AD378" s="648">
        <f>SUM(AD379:AD385)</f>
        <v>3191000</v>
      </c>
      <c r="AE378" s="333" t="s">
        <v>25</v>
      </c>
      <c r="AF378" s="497"/>
      <c r="AG378" s="526">
        <f t="shared" si="18"/>
        <v>3191000</v>
      </c>
    </row>
    <row r="379" spans="1:33" s="12" customFormat="1" ht="24" customHeight="1">
      <c r="A379" s="34"/>
      <c r="B379" s="34"/>
      <c r="C379" s="34" t="s">
        <v>120</v>
      </c>
      <c r="D379" s="493"/>
      <c r="E379" s="491"/>
      <c r="F379" s="491"/>
      <c r="G379" s="491"/>
      <c r="H379" s="491"/>
      <c r="I379" s="491"/>
      <c r="J379" s="491"/>
      <c r="K379" s="661"/>
      <c r="L379" s="491"/>
      <c r="M379" s="686"/>
      <c r="N379" s="675"/>
      <c r="O379" s="674" t="s">
        <v>236</v>
      </c>
      <c r="P379" s="647"/>
      <c r="Q379" s="647"/>
      <c r="R379" s="306"/>
      <c r="S379" s="306"/>
      <c r="T379" s="306"/>
      <c r="U379" s="306"/>
      <c r="V379" s="306"/>
      <c r="W379" s="673"/>
      <c r="X379" s="673"/>
      <c r="Y379" s="673"/>
      <c r="Z379" s="673"/>
      <c r="AA379" s="673"/>
      <c r="AB379" s="673" t="s">
        <v>138</v>
      </c>
      <c r="AC379" s="659"/>
      <c r="AD379" s="659">
        <v>175000</v>
      </c>
      <c r="AE379" s="103" t="s">
        <v>56</v>
      </c>
      <c r="AF379" s="497"/>
      <c r="AG379" s="526">
        <f t="shared" si="18"/>
        <v>175000</v>
      </c>
    </row>
    <row r="380" spans="1:33" s="12" customFormat="1" ht="24" customHeight="1">
      <c r="A380" s="34"/>
      <c r="B380" s="34"/>
      <c r="C380" s="34"/>
      <c r="D380" s="494"/>
      <c r="E380" s="492"/>
      <c r="F380" s="492"/>
      <c r="G380" s="492"/>
      <c r="H380" s="492"/>
      <c r="I380" s="492"/>
      <c r="J380" s="492"/>
      <c r="K380" s="662"/>
      <c r="L380" s="492"/>
      <c r="M380" s="686"/>
      <c r="N380" s="675"/>
      <c r="O380" s="674" t="s">
        <v>202</v>
      </c>
      <c r="P380" s="647"/>
      <c r="Q380" s="647"/>
      <c r="R380" s="306"/>
      <c r="S380" s="306"/>
      <c r="T380" s="306"/>
      <c r="U380" s="306"/>
      <c r="V380" s="306"/>
      <c r="W380" s="673"/>
      <c r="X380" s="673"/>
      <c r="Y380" s="673"/>
      <c r="Z380" s="673"/>
      <c r="AA380" s="673"/>
      <c r="AB380" s="673" t="s">
        <v>138</v>
      </c>
      <c r="AC380" s="659"/>
      <c r="AD380" s="659">
        <v>300000</v>
      </c>
      <c r="AE380" s="103" t="s">
        <v>56</v>
      </c>
      <c r="AF380" s="497"/>
      <c r="AG380" s="526">
        <f t="shared" si="18"/>
        <v>300000</v>
      </c>
    </row>
    <row r="381" spans="1:33" s="12" customFormat="1" ht="24" customHeight="1">
      <c r="A381" s="34"/>
      <c r="B381" s="34"/>
      <c r="C381" s="34"/>
      <c r="D381" s="114"/>
      <c r="E381" s="83"/>
      <c r="F381" s="83"/>
      <c r="G381" s="83"/>
      <c r="H381" s="83"/>
      <c r="I381" s="83"/>
      <c r="J381" s="83"/>
      <c r="K381" s="628"/>
      <c r="L381" s="83"/>
      <c r="M381" s="686"/>
      <c r="N381" s="675"/>
      <c r="O381" s="674" t="s">
        <v>234</v>
      </c>
      <c r="P381" s="647"/>
      <c r="Q381" s="647"/>
      <c r="R381" s="306"/>
      <c r="S381" s="306"/>
      <c r="T381" s="306"/>
      <c r="U381" s="306"/>
      <c r="V381" s="306"/>
      <c r="W381" s="673"/>
      <c r="X381" s="673"/>
      <c r="Y381" s="673"/>
      <c r="Z381" s="673"/>
      <c r="AA381" s="673"/>
      <c r="AB381" s="673" t="s">
        <v>138</v>
      </c>
      <c r="AC381" s="659"/>
      <c r="AD381" s="659">
        <v>200000</v>
      </c>
      <c r="AE381" s="103" t="s">
        <v>56</v>
      </c>
      <c r="AF381" s="497"/>
      <c r="AG381" s="526">
        <f t="shared" si="18"/>
        <v>200000</v>
      </c>
    </row>
    <row r="382" spans="1:33" s="12" customFormat="1" ht="24" customHeight="1">
      <c r="A382" s="34"/>
      <c r="B382" s="34"/>
      <c r="C382" s="34"/>
      <c r="D382" s="114"/>
      <c r="E382" s="83"/>
      <c r="F382" s="83"/>
      <c r="G382" s="83"/>
      <c r="H382" s="83"/>
      <c r="I382" s="83"/>
      <c r="J382" s="83"/>
      <c r="K382" s="628"/>
      <c r="L382" s="83"/>
      <c r="M382" s="686"/>
      <c r="N382" s="675"/>
      <c r="O382" s="674" t="s">
        <v>235</v>
      </c>
      <c r="P382" s="647"/>
      <c r="Q382" s="647"/>
      <c r="R382" s="306"/>
      <c r="S382" s="306"/>
      <c r="T382" s="306"/>
      <c r="U382" s="306"/>
      <c r="V382" s="306"/>
      <c r="W382" s="673"/>
      <c r="X382" s="673"/>
      <c r="Y382" s="673"/>
      <c r="Z382" s="673"/>
      <c r="AA382" s="673"/>
      <c r="AB382" s="673" t="s">
        <v>138</v>
      </c>
      <c r="AC382" s="659"/>
      <c r="AD382" s="659">
        <v>906000</v>
      </c>
      <c r="AE382" s="103" t="s">
        <v>56</v>
      </c>
      <c r="AF382" s="497"/>
      <c r="AG382" s="526">
        <f t="shared" si="18"/>
        <v>906000</v>
      </c>
    </row>
    <row r="383" spans="1:33" s="12" customFormat="1" ht="21" customHeight="1">
      <c r="A383" s="34"/>
      <c r="B383" s="34"/>
      <c r="C383" s="34"/>
      <c r="D383" s="114"/>
      <c r="E383" s="83"/>
      <c r="F383" s="83"/>
      <c r="G383" s="83"/>
      <c r="H383" s="83"/>
      <c r="I383" s="83"/>
      <c r="J383" s="83"/>
      <c r="K383" s="628"/>
      <c r="L383" s="83"/>
      <c r="M383" s="686"/>
      <c r="N383" s="675"/>
      <c r="O383" s="674" t="s">
        <v>248</v>
      </c>
      <c r="P383" s="647"/>
      <c r="Q383" s="647"/>
      <c r="R383" s="306"/>
      <c r="S383" s="306"/>
      <c r="T383" s="306"/>
      <c r="U383" s="306"/>
      <c r="V383" s="306"/>
      <c r="W383" s="673"/>
      <c r="X383" s="673"/>
      <c r="Y383" s="673"/>
      <c r="Z383" s="673"/>
      <c r="AA383" s="673"/>
      <c r="AB383" s="673" t="s">
        <v>138</v>
      </c>
      <c r="AC383" s="659"/>
      <c r="AD383" s="659">
        <v>240000</v>
      </c>
      <c r="AE383" s="103" t="s">
        <v>56</v>
      </c>
      <c r="AF383" s="497"/>
      <c r="AG383" s="526">
        <f t="shared" si="18"/>
        <v>240000</v>
      </c>
    </row>
    <row r="384" spans="1:33" s="12" customFormat="1" ht="21" customHeight="1">
      <c r="A384" s="34"/>
      <c r="B384" s="34"/>
      <c r="C384" s="34"/>
      <c r="D384" s="114"/>
      <c r="E384" s="83"/>
      <c r="F384" s="83"/>
      <c r="G384" s="83"/>
      <c r="H384" s="83"/>
      <c r="I384" s="83"/>
      <c r="J384" s="83"/>
      <c r="K384" s="628"/>
      <c r="L384" s="83"/>
      <c r="M384" s="686"/>
      <c r="N384" s="675"/>
      <c r="O384" s="674" t="s">
        <v>250</v>
      </c>
      <c r="P384" s="647"/>
      <c r="Q384" s="647"/>
      <c r="R384" s="306"/>
      <c r="S384" s="306"/>
      <c r="T384" s="306"/>
      <c r="U384" s="306"/>
      <c r="V384" s="306"/>
      <c r="W384" s="673"/>
      <c r="X384" s="673"/>
      <c r="Y384" s="673"/>
      <c r="Z384" s="673"/>
      <c r="AA384" s="673"/>
      <c r="AB384" s="673" t="s">
        <v>138</v>
      </c>
      <c r="AC384" s="659"/>
      <c r="AD384" s="659">
        <v>1120000</v>
      </c>
      <c r="AE384" s="103" t="s">
        <v>56</v>
      </c>
      <c r="AF384" s="497">
        <v>915000</v>
      </c>
      <c r="AG384" s="526">
        <f t="shared" si="18"/>
        <v>205000</v>
      </c>
    </row>
    <row r="385" spans="1:33" s="12" customFormat="1" ht="21" customHeight="1" thickBot="1">
      <c r="A385" s="34"/>
      <c r="B385" s="34"/>
      <c r="C385" s="620"/>
      <c r="D385" s="114"/>
      <c r="E385" s="628"/>
      <c r="F385" s="628"/>
      <c r="G385" s="628"/>
      <c r="H385" s="628"/>
      <c r="I385" s="628"/>
      <c r="J385" s="628"/>
      <c r="K385" s="628"/>
      <c r="L385" s="628"/>
      <c r="M385" s="686"/>
      <c r="N385" s="675"/>
      <c r="O385" s="721" t="s">
        <v>249</v>
      </c>
      <c r="P385" s="647"/>
      <c r="Q385" s="647"/>
      <c r="R385" s="306"/>
      <c r="S385" s="306"/>
      <c r="T385" s="306"/>
      <c r="U385" s="306"/>
      <c r="V385" s="306"/>
      <c r="W385" s="720"/>
      <c r="X385" s="720"/>
      <c r="Y385" s="720"/>
      <c r="Z385" s="720"/>
      <c r="AA385" s="720"/>
      <c r="AB385" s="720" t="s">
        <v>138</v>
      </c>
      <c r="AC385" s="659"/>
      <c r="AD385" s="659">
        <v>250000</v>
      </c>
      <c r="AE385" s="103" t="s">
        <v>56</v>
      </c>
      <c r="AF385" s="497"/>
      <c r="AG385" s="526">
        <f t="shared" si="18"/>
        <v>250000</v>
      </c>
    </row>
    <row r="386" spans="1:33" s="9" customFormat="1" ht="21" customHeight="1">
      <c r="A386" s="713" t="s">
        <v>83</v>
      </c>
      <c r="B386" s="795" t="s">
        <v>20</v>
      </c>
      <c r="C386" s="796"/>
      <c r="D386" s="639">
        <f>D387</f>
        <v>0</v>
      </c>
      <c r="E386" s="639">
        <f>E387</f>
        <v>0</v>
      </c>
      <c r="F386" s="639">
        <f t="shared" ref="F386:L386" si="19">F387</f>
        <v>0</v>
      </c>
      <c r="G386" s="639">
        <f t="shared" si="19"/>
        <v>0</v>
      </c>
      <c r="H386" s="639">
        <f t="shared" si="19"/>
        <v>0</v>
      </c>
      <c r="I386" s="639">
        <f t="shared" si="19"/>
        <v>0</v>
      </c>
      <c r="J386" s="639">
        <f t="shared" si="19"/>
        <v>0</v>
      </c>
      <c r="K386" s="639">
        <f t="shared" si="19"/>
        <v>0</v>
      </c>
      <c r="L386" s="639">
        <f t="shared" si="19"/>
        <v>0</v>
      </c>
      <c r="M386" s="699">
        <f>E386-D386</f>
        <v>0</v>
      </c>
      <c r="N386" s="700">
        <f>IF(D386=0,0,M386/D386)</f>
        <v>0</v>
      </c>
      <c r="O386" s="702" t="s">
        <v>83</v>
      </c>
      <c r="P386" s="702"/>
      <c r="Q386" s="702"/>
      <c r="R386" s="702"/>
      <c r="S386" s="703"/>
      <c r="T386" s="703"/>
      <c r="U386" s="703"/>
      <c r="V386" s="703"/>
      <c r="W386" s="703"/>
      <c r="X386" s="703"/>
      <c r="Y386" s="703"/>
      <c r="Z386" s="703"/>
      <c r="AA386" s="703"/>
      <c r="AB386" s="703"/>
      <c r="AC386" s="703"/>
      <c r="AD386" s="703">
        <f>SUM(AD387)</f>
        <v>0</v>
      </c>
      <c r="AE386" s="122" t="s">
        <v>25</v>
      </c>
      <c r="AF386" s="495"/>
      <c r="AG386" s="526">
        <f t="shared" ref="AG386:AG396" si="20">AD386-AF386</f>
        <v>0</v>
      </c>
    </row>
    <row r="387" spans="1:33" s="9" customFormat="1" ht="21" customHeight="1">
      <c r="A387" s="619"/>
      <c r="B387" s="620" t="s">
        <v>83</v>
      </c>
      <c r="C387" s="620" t="s">
        <v>83</v>
      </c>
      <c r="D387" s="114">
        <v>0</v>
      </c>
      <c r="E387" s="628">
        <f>AD387/1000</f>
        <v>0</v>
      </c>
      <c r="F387" s="631">
        <f>SUMIF($AB$388:$AB$388,"보조",$AD$388:$AD$388)/1000</f>
        <v>0</v>
      </c>
      <c r="G387" s="631">
        <f>SUMIF($AB$388:$AB$388,"7종",$AD$388:$AD$388)/1000</f>
        <v>0</v>
      </c>
      <c r="H387" s="631">
        <f>SUMIF($AB$388:$AB$388,"4종",$AD$388:$AD$388)/1000</f>
        <v>0</v>
      </c>
      <c r="I387" s="631">
        <f>SUMIF($AB$388:$AB$388,"후원",$AD$388:$AD$388)/1000</f>
        <v>0</v>
      </c>
      <c r="J387" s="631">
        <f>SUMIF($AB$388:$AB$388,"입소",$AD$388:$AD$388)/1000</f>
        <v>0</v>
      </c>
      <c r="K387" s="631">
        <f>SUMIF($AB$388:$AB$388,"법인",$AD$388:$AD$388)/1000</f>
        <v>0</v>
      </c>
      <c r="L387" s="631">
        <f>SUMIF($AB$388:$AB$388,"잡수",$AD$388:$AD$388)/1000</f>
        <v>0</v>
      </c>
      <c r="M387" s="686">
        <f>E387-D387</f>
        <v>0</v>
      </c>
      <c r="N387" s="675">
        <f>IF(D387=0,0,M387/D387)</f>
        <v>0</v>
      </c>
      <c r="O387" s="227" t="s">
        <v>84</v>
      </c>
      <c r="P387" s="695"/>
      <c r="Q387" s="647"/>
      <c r="R387" s="647"/>
      <c r="S387" s="647"/>
      <c r="T387" s="688"/>
      <c r="U387" s="688"/>
      <c r="V387" s="688"/>
      <c r="W387" s="688"/>
      <c r="X387" s="688"/>
      <c r="Y387" s="238" t="s">
        <v>128</v>
      </c>
      <c r="Z387" s="698"/>
      <c r="AA387" s="698"/>
      <c r="AB387" s="698"/>
      <c r="AC387" s="454"/>
      <c r="AD387" s="454">
        <v>0</v>
      </c>
      <c r="AE387" s="92" t="s">
        <v>25</v>
      </c>
      <c r="AF387" s="495"/>
      <c r="AG387" s="526">
        <f t="shared" si="20"/>
        <v>0</v>
      </c>
    </row>
    <row r="388" spans="1:33" s="1" customFormat="1" ht="21" customHeight="1" thickBot="1">
      <c r="A388" s="104"/>
      <c r="B388" s="80"/>
      <c r="C388" s="80"/>
      <c r="D388" s="119"/>
      <c r="E388" s="633"/>
      <c r="F388" s="633"/>
      <c r="G388" s="633"/>
      <c r="H388" s="633"/>
      <c r="I388" s="633"/>
      <c r="J388" s="633"/>
      <c r="K388" s="633"/>
      <c r="L388" s="633"/>
      <c r="M388" s="715"/>
      <c r="N388" s="716"/>
      <c r="O388" s="318"/>
      <c r="P388" s="318"/>
      <c r="Q388" s="318"/>
      <c r="R388" s="318"/>
      <c r="S388" s="318"/>
      <c r="T388" s="318"/>
      <c r="U388" s="318"/>
      <c r="V388" s="318"/>
      <c r="W388" s="318"/>
      <c r="X388" s="318"/>
      <c r="Y388" s="318"/>
      <c r="Z388" s="318"/>
      <c r="AA388" s="318"/>
      <c r="AB388" s="318"/>
      <c r="AC388" s="318"/>
      <c r="AD388" s="318"/>
      <c r="AE388" s="105"/>
      <c r="AF388" s="495"/>
      <c r="AG388" s="526">
        <f t="shared" si="20"/>
        <v>0</v>
      </c>
    </row>
    <row r="389" spans="1:33" s="9" customFormat="1" ht="21" customHeight="1">
      <c r="A389" s="713" t="s">
        <v>21</v>
      </c>
      <c r="B389" s="795" t="s">
        <v>20</v>
      </c>
      <c r="C389" s="796"/>
      <c r="D389" s="639">
        <f>SUM(D390,D396)</f>
        <v>1055</v>
      </c>
      <c r="E389" s="639">
        <f t="shared" ref="E389:L389" si="21">SUM(E390,E396)</f>
        <v>1275</v>
      </c>
      <c r="F389" s="639">
        <f t="shared" si="21"/>
        <v>455</v>
      </c>
      <c r="G389" s="639">
        <f t="shared" si="21"/>
        <v>35</v>
      </c>
      <c r="H389" s="639">
        <f t="shared" si="21"/>
        <v>5</v>
      </c>
      <c r="I389" s="639">
        <f t="shared" si="21"/>
        <v>780</v>
      </c>
      <c r="J389" s="639">
        <f t="shared" si="21"/>
        <v>0</v>
      </c>
      <c r="K389" s="639">
        <f t="shared" si="21"/>
        <v>0</v>
      </c>
      <c r="L389" s="639">
        <f t="shared" si="21"/>
        <v>0</v>
      </c>
      <c r="M389" s="699">
        <f>E389-D389</f>
        <v>220</v>
      </c>
      <c r="N389" s="700">
        <f>IF(D389=0,0,M389/D389)</f>
        <v>0.20853080568720378</v>
      </c>
      <c r="O389" s="701" t="s">
        <v>21</v>
      </c>
      <c r="P389" s="702"/>
      <c r="Q389" s="702"/>
      <c r="R389" s="702"/>
      <c r="S389" s="703"/>
      <c r="T389" s="703"/>
      <c r="U389" s="703"/>
      <c r="V389" s="703"/>
      <c r="W389" s="703"/>
      <c r="X389" s="703"/>
      <c r="Y389" s="703"/>
      <c r="Z389" s="703"/>
      <c r="AA389" s="703"/>
      <c r="AB389" s="703"/>
      <c r="AC389" s="703"/>
      <c r="AD389" s="703">
        <f>SUM(AD390,AD396)</f>
        <v>1275000</v>
      </c>
      <c r="AE389" s="122" t="s">
        <v>25</v>
      </c>
      <c r="AF389" s="495"/>
      <c r="AG389" s="526">
        <f t="shared" si="20"/>
        <v>1275000</v>
      </c>
    </row>
    <row r="390" spans="1:33" s="9" customFormat="1" ht="21" customHeight="1">
      <c r="A390" s="619"/>
      <c r="B390" s="620" t="s">
        <v>21</v>
      </c>
      <c r="C390" s="620" t="s">
        <v>21</v>
      </c>
      <c r="D390" s="628">
        <v>0</v>
      </c>
      <c r="E390" s="628">
        <f>SUM(F390:L390)</f>
        <v>0</v>
      </c>
      <c r="F390" s="631">
        <f>SUMIF($AB$390:$AB$395,"보조",$AD$390:$AD$395)/1000</f>
        <v>0</v>
      </c>
      <c r="G390" s="631">
        <f>SUMIF($AB$390:$AB$395,"7종",$AD$390:$AD$395)/1000</f>
        <v>0</v>
      </c>
      <c r="H390" s="631">
        <f>SUMIF($AB$390:$AB$395,"4종",$AD$390:$AD$395)/1000</f>
        <v>0</v>
      </c>
      <c r="I390" s="631">
        <f>SUMIF($AB$390:$AB$395,"후원",$AD$390:$AD$395)/1000</f>
        <v>0</v>
      </c>
      <c r="J390" s="631">
        <f>SUMIF($AB$390:$AB$395,"입소",$AD$390:$AD$395)/1000</f>
        <v>0</v>
      </c>
      <c r="K390" s="631">
        <f>SUMIF($AB$390:$AB$395,"법인",$AD$390:$AD$395)/1000</f>
        <v>0</v>
      </c>
      <c r="L390" s="631">
        <f>SUMIF($AB$390:$AB$395,"잡수",$AD$390:$AD$395)/1000</f>
        <v>0</v>
      </c>
      <c r="M390" s="686">
        <f>E390-D390</f>
        <v>0</v>
      </c>
      <c r="N390" s="675">
        <f>IF(D390=0,0,M390/D390)</f>
        <v>0</v>
      </c>
      <c r="O390" s="729" t="s">
        <v>52</v>
      </c>
      <c r="P390" s="732"/>
      <c r="Q390" s="731"/>
      <c r="R390" s="731"/>
      <c r="S390" s="731"/>
      <c r="T390" s="730"/>
      <c r="U390" s="730"/>
      <c r="V390" s="730"/>
      <c r="W390" s="332" t="s">
        <v>121</v>
      </c>
      <c r="X390" s="332"/>
      <c r="Y390" s="332"/>
      <c r="Z390" s="332"/>
      <c r="AA390" s="332"/>
      <c r="AB390" s="332"/>
      <c r="AC390" s="648"/>
      <c r="AD390" s="317">
        <f>SUM(AD391:AD395)</f>
        <v>0</v>
      </c>
      <c r="AE390" s="56" t="s">
        <v>25</v>
      </c>
      <c r="AF390" s="495"/>
      <c r="AG390" s="526">
        <f t="shared" si="20"/>
        <v>0</v>
      </c>
    </row>
    <row r="391" spans="1:33" s="9" customFormat="1" ht="21" customHeight="1">
      <c r="A391" s="619"/>
      <c r="B391" s="620"/>
      <c r="C391" s="620"/>
      <c r="D391" s="114"/>
      <c r="E391" s="628"/>
      <c r="F391" s="628"/>
      <c r="G391" s="628"/>
      <c r="H391" s="628"/>
      <c r="I391" s="628"/>
      <c r="J391" s="628"/>
      <c r="K391" s="628"/>
      <c r="L391" s="628"/>
      <c r="M391" s="686"/>
      <c r="N391" s="675"/>
      <c r="O391" s="709" t="s">
        <v>818</v>
      </c>
      <c r="P391" s="709"/>
      <c r="Q391" s="709"/>
      <c r="R391" s="709"/>
      <c r="S391" s="709"/>
      <c r="T391" s="708"/>
      <c r="U391" s="708"/>
      <c r="V391" s="708"/>
      <c r="W391" s="708"/>
      <c r="X391" s="708"/>
      <c r="Y391" s="708"/>
      <c r="Z391" s="708"/>
      <c r="AA391" s="708"/>
      <c r="AB391" s="708" t="s">
        <v>819</v>
      </c>
      <c r="AC391" s="659"/>
      <c r="AD391" s="659">
        <v>0</v>
      </c>
      <c r="AE391" s="632" t="s">
        <v>56</v>
      </c>
      <c r="AF391" s="495"/>
      <c r="AG391" s="526">
        <f t="shared" si="20"/>
        <v>0</v>
      </c>
    </row>
    <row r="392" spans="1:33" s="9" customFormat="1" ht="21" customHeight="1">
      <c r="A392" s="619"/>
      <c r="B392" s="620"/>
      <c r="C392" s="620"/>
      <c r="D392" s="114"/>
      <c r="E392" s="628"/>
      <c r="F392" s="628"/>
      <c r="G392" s="628"/>
      <c r="H392" s="628"/>
      <c r="I392" s="628"/>
      <c r="J392" s="628"/>
      <c r="K392" s="628"/>
      <c r="L392" s="628"/>
      <c r="M392" s="628"/>
      <c r="N392" s="53"/>
      <c r="O392" s="709" t="s">
        <v>203</v>
      </c>
      <c r="P392" s="709"/>
      <c r="Q392" s="709"/>
      <c r="R392" s="709"/>
      <c r="S392" s="709"/>
      <c r="T392" s="708"/>
      <c r="U392" s="708"/>
      <c r="V392" s="708"/>
      <c r="W392" s="708"/>
      <c r="X392" s="708"/>
      <c r="Y392" s="708"/>
      <c r="Z392" s="708"/>
      <c r="AA392" s="708"/>
      <c r="AB392" s="708" t="s">
        <v>138</v>
      </c>
      <c r="AC392" s="659"/>
      <c r="AD392" s="659">
        <v>0</v>
      </c>
      <c r="AE392" s="632" t="s">
        <v>56</v>
      </c>
      <c r="AF392" s="495"/>
      <c r="AG392" s="526">
        <f t="shared" si="20"/>
        <v>0</v>
      </c>
    </row>
    <row r="393" spans="1:33" s="9" customFormat="1" ht="21" customHeight="1">
      <c r="A393" s="619"/>
      <c r="B393" s="620"/>
      <c r="C393" s="620"/>
      <c r="D393" s="114"/>
      <c r="E393" s="628"/>
      <c r="F393" s="628"/>
      <c r="G393" s="628"/>
      <c r="H393" s="628"/>
      <c r="I393" s="628"/>
      <c r="J393" s="628"/>
      <c r="K393" s="628"/>
      <c r="L393" s="628"/>
      <c r="M393" s="628"/>
      <c r="N393" s="53"/>
      <c r="O393" s="709" t="s">
        <v>204</v>
      </c>
      <c r="P393" s="709"/>
      <c r="Q393" s="709"/>
      <c r="R393" s="709"/>
      <c r="S393" s="709"/>
      <c r="T393" s="708"/>
      <c r="U393" s="708"/>
      <c r="V393" s="708"/>
      <c r="W393" s="708"/>
      <c r="X393" s="708"/>
      <c r="Y393" s="708"/>
      <c r="Z393" s="708"/>
      <c r="AA393" s="708"/>
      <c r="AB393" s="708" t="s">
        <v>153</v>
      </c>
      <c r="AC393" s="659"/>
      <c r="AD393" s="659">
        <v>0</v>
      </c>
      <c r="AE393" s="632" t="s">
        <v>56</v>
      </c>
      <c r="AF393" s="495"/>
      <c r="AG393" s="526">
        <f t="shared" si="20"/>
        <v>0</v>
      </c>
    </row>
    <row r="394" spans="1:33" s="9" customFormat="1" ht="21" customHeight="1">
      <c r="A394" s="619"/>
      <c r="B394" s="620"/>
      <c r="C394" s="620"/>
      <c r="D394" s="114"/>
      <c r="E394" s="628"/>
      <c r="F394" s="628"/>
      <c r="G394" s="628"/>
      <c r="H394" s="628"/>
      <c r="I394" s="628"/>
      <c r="J394" s="628"/>
      <c r="K394" s="628"/>
      <c r="L394" s="628"/>
      <c r="M394" s="628"/>
      <c r="N394" s="53"/>
      <c r="O394" s="709" t="s">
        <v>205</v>
      </c>
      <c r="P394" s="709"/>
      <c r="Q394" s="709"/>
      <c r="R394" s="709"/>
      <c r="S394" s="709"/>
      <c r="T394" s="708"/>
      <c r="U394" s="708"/>
      <c r="V394" s="708"/>
      <c r="W394" s="708"/>
      <c r="X394" s="708"/>
      <c r="Y394" s="708"/>
      <c r="Z394" s="708"/>
      <c r="AA394" s="708"/>
      <c r="AB394" s="708" t="s">
        <v>86</v>
      </c>
      <c r="AC394" s="659"/>
      <c r="AD394" s="659">
        <v>0</v>
      </c>
      <c r="AE394" s="632" t="s">
        <v>56</v>
      </c>
      <c r="AF394" s="495"/>
      <c r="AG394" s="526">
        <f t="shared" si="20"/>
        <v>0</v>
      </c>
    </row>
    <row r="395" spans="1:33" s="1" customFormat="1" ht="21" customHeight="1">
      <c r="A395" s="619"/>
      <c r="B395" s="620"/>
      <c r="C395" s="44"/>
      <c r="D395" s="115"/>
      <c r="E395" s="629"/>
      <c r="F395" s="629"/>
      <c r="G395" s="629"/>
      <c r="H395" s="629"/>
      <c r="I395" s="629"/>
      <c r="J395" s="629"/>
      <c r="K395" s="629"/>
      <c r="L395" s="629"/>
      <c r="M395" s="629"/>
      <c r="N395" s="65"/>
      <c r="O395" s="707"/>
      <c r="P395" s="707"/>
      <c r="Q395" s="707"/>
      <c r="R395" s="707"/>
      <c r="S395" s="706"/>
      <c r="T395" s="706"/>
      <c r="U395" s="706"/>
      <c r="V395" s="706"/>
      <c r="W395" s="706"/>
      <c r="X395" s="706"/>
      <c r="Y395" s="706"/>
      <c r="Z395" s="706"/>
      <c r="AA395" s="706"/>
      <c r="AB395" s="706"/>
      <c r="AC395" s="706"/>
      <c r="AD395" s="706"/>
      <c r="AE395" s="309"/>
      <c r="AF395" s="495"/>
      <c r="AG395" s="526">
        <f t="shared" si="20"/>
        <v>0</v>
      </c>
    </row>
    <row r="396" spans="1:33" s="616" customFormat="1" ht="21" customHeight="1">
      <c r="A396" s="619"/>
      <c r="B396" s="620"/>
      <c r="C396" s="620" t="s">
        <v>136</v>
      </c>
      <c r="D396" s="114">
        <v>1055</v>
      </c>
      <c r="E396" s="628">
        <f>AD396/1000</f>
        <v>1275</v>
      </c>
      <c r="F396" s="631">
        <f>SUMIF($AB$397:$AB$408,"보조",$AD$397:$AD$408)/1000</f>
        <v>455</v>
      </c>
      <c r="G396" s="631">
        <f>SUMIF($AB$397:$AB$408,"7종",$AD$397:$AD$408)/1000</f>
        <v>35</v>
      </c>
      <c r="H396" s="631">
        <f>SUMIF($AB$397:$AB$408,"4종",$AD$397:$AD$408)/1000</f>
        <v>5</v>
      </c>
      <c r="I396" s="631">
        <f>SUMIF($AB$397:$AB$408,"후원",$AD$397:$AD$408)/1000</f>
        <v>780</v>
      </c>
      <c r="J396" s="631">
        <f>SUMIF($AB$397:$AB$408,"입소",$AD$397:$AD$408)/1000</f>
        <v>0</v>
      </c>
      <c r="K396" s="631">
        <f>SUMIF($AB$397:$AB$408,"법인",$AD$397:$AD$408)/1000</f>
        <v>0</v>
      </c>
      <c r="L396" s="631">
        <f>SUMIF($AB$397:$AB$408,"잡수",$AD$397:$AD$408)/1000</f>
        <v>0</v>
      </c>
      <c r="M396" s="686">
        <f>E396-D396</f>
        <v>220</v>
      </c>
      <c r="N396" s="675">
        <f>IF(D396=0,0,M396/D396)</f>
        <v>0.20853080568720378</v>
      </c>
      <c r="O396" s="225" t="s">
        <v>823</v>
      </c>
      <c r="P396" s="732"/>
      <c r="Q396" s="731"/>
      <c r="R396" s="731"/>
      <c r="S396" s="731"/>
      <c r="T396" s="730"/>
      <c r="U396" s="730"/>
      <c r="V396" s="730"/>
      <c r="W396" s="332" t="s">
        <v>121</v>
      </c>
      <c r="X396" s="332"/>
      <c r="Y396" s="332"/>
      <c r="Z396" s="332"/>
      <c r="AA396" s="332"/>
      <c r="AB396" s="728"/>
      <c r="AC396" s="317"/>
      <c r="AD396" s="317">
        <f>ROUNDUP(SUM(AD397:AD408),-3)</f>
        <v>1275000</v>
      </c>
      <c r="AE396" s="56" t="s">
        <v>25</v>
      </c>
      <c r="AF396" s="663"/>
      <c r="AG396" s="526">
        <f t="shared" si="20"/>
        <v>1275000</v>
      </c>
    </row>
    <row r="397" spans="1:33" ht="21" customHeight="1">
      <c r="A397" s="619"/>
      <c r="B397" s="620"/>
      <c r="C397" s="620" t="s">
        <v>137</v>
      </c>
      <c r="D397" s="114"/>
      <c r="E397" s="628"/>
      <c r="F397" s="628"/>
      <c r="G397" s="628"/>
      <c r="H397" s="628"/>
      <c r="I397" s="628"/>
      <c r="J397" s="628"/>
      <c r="K397" s="628"/>
      <c r="L397" s="628"/>
      <c r="M397" s="686"/>
      <c r="N397" s="675"/>
      <c r="O397" s="709" t="s">
        <v>206</v>
      </c>
      <c r="P397" s="709"/>
      <c r="Q397" s="709"/>
      <c r="R397" s="709"/>
      <c r="S397" s="708"/>
      <c r="T397" s="708"/>
      <c r="U397" s="708"/>
      <c r="V397" s="708"/>
      <c r="W397" s="708"/>
      <c r="X397" s="708"/>
      <c r="Y397" s="708"/>
      <c r="Z397" s="708"/>
      <c r="AA397" s="708"/>
      <c r="AB397" s="708" t="s">
        <v>71</v>
      </c>
      <c r="AC397" s="708"/>
      <c r="AD397" s="659">
        <v>0</v>
      </c>
      <c r="AE397" s="632" t="s">
        <v>25</v>
      </c>
      <c r="AF397" s="663"/>
      <c r="AG397" s="526">
        <f t="shared" ref="AG397:AG408" si="22">AD397-AF397</f>
        <v>0</v>
      </c>
    </row>
    <row r="398" spans="1:33" ht="21" customHeight="1">
      <c r="A398" s="619"/>
      <c r="B398" s="620"/>
      <c r="C398" s="620"/>
      <c r="D398" s="114"/>
      <c r="E398" s="628"/>
      <c r="F398" s="628"/>
      <c r="G398" s="628"/>
      <c r="H398" s="628"/>
      <c r="I398" s="628"/>
      <c r="J398" s="628"/>
      <c r="K398" s="628"/>
      <c r="L398" s="628"/>
      <c r="M398" s="686"/>
      <c r="N398" s="675"/>
      <c r="O398" s="709" t="s">
        <v>187</v>
      </c>
      <c r="P398" s="709"/>
      <c r="Q398" s="709"/>
      <c r="R398" s="709"/>
      <c r="S398" s="708"/>
      <c r="T398" s="708"/>
      <c r="U398" s="708"/>
      <c r="V398" s="708"/>
      <c r="W398" s="708"/>
      <c r="X398" s="708"/>
      <c r="Y398" s="708"/>
      <c r="Z398" s="708"/>
      <c r="AA398" s="708"/>
      <c r="AB398" s="708" t="s">
        <v>71</v>
      </c>
      <c r="AC398" s="708"/>
      <c r="AD398" s="659">
        <v>250000</v>
      </c>
      <c r="AE398" s="632" t="s">
        <v>56</v>
      </c>
      <c r="AF398" s="663"/>
      <c r="AG398" s="526">
        <f t="shared" si="22"/>
        <v>250000</v>
      </c>
    </row>
    <row r="399" spans="1:33" ht="21" customHeight="1">
      <c r="A399" s="619"/>
      <c r="B399" s="620"/>
      <c r="C399" s="620"/>
      <c r="D399" s="114"/>
      <c r="E399" s="628"/>
      <c r="F399" s="628"/>
      <c r="G399" s="628"/>
      <c r="H399" s="628"/>
      <c r="I399" s="628"/>
      <c r="J399" s="628"/>
      <c r="K399" s="628"/>
      <c r="L399" s="628"/>
      <c r="M399" s="686"/>
      <c r="N399" s="675"/>
      <c r="O399" s="709" t="s">
        <v>207</v>
      </c>
      <c r="P399" s="709"/>
      <c r="Q399" s="709"/>
      <c r="R399" s="709"/>
      <c r="S399" s="708"/>
      <c r="T399" s="708"/>
      <c r="U399" s="708"/>
      <c r="V399" s="708"/>
      <c r="W399" s="708"/>
      <c r="X399" s="708"/>
      <c r="Y399" s="708"/>
      <c r="Z399" s="708"/>
      <c r="AA399" s="708"/>
      <c r="AB399" s="708" t="s">
        <v>71</v>
      </c>
      <c r="AC399" s="708"/>
      <c r="AD399" s="659">
        <v>0</v>
      </c>
      <c r="AE399" s="632" t="s">
        <v>56</v>
      </c>
      <c r="AF399" s="663"/>
      <c r="AG399" s="526">
        <f t="shared" si="22"/>
        <v>0</v>
      </c>
    </row>
    <row r="400" spans="1:33" ht="21" customHeight="1">
      <c r="A400" s="619"/>
      <c r="B400" s="620"/>
      <c r="C400" s="620"/>
      <c r="D400" s="114"/>
      <c r="E400" s="628"/>
      <c r="F400" s="628"/>
      <c r="G400" s="628"/>
      <c r="H400" s="628"/>
      <c r="I400" s="628"/>
      <c r="J400" s="628"/>
      <c r="K400" s="628"/>
      <c r="L400" s="628"/>
      <c r="M400" s="686"/>
      <c r="N400" s="675"/>
      <c r="O400" s="709" t="s">
        <v>188</v>
      </c>
      <c r="P400" s="709"/>
      <c r="Q400" s="709"/>
      <c r="R400" s="709"/>
      <c r="S400" s="708"/>
      <c r="T400" s="708"/>
      <c r="U400" s="708"/>
      <c r="V400" s="708"/>
      <c r="W400" s="708"/>
      <c r="X400" s="708"/>
      <c r="Y400" s="708"/>
      <c r="Z400" s="708"/>
      <c r="AA400" s="708"/>
      <c r="AB400" s="708" t="s">
        <v>71</v>
      </c>
      <c r="AC400" s="708"/>
      <c r="AD400" s="659">
        <v>5000</v>
      </c>
      <c r="AE400" s="632" t="s">
        <v>56</v>
      </c>
      <c r="AF400" s="663"/>
      <c r="AG400" s="526">
        <f t="shared" si="22"/>
        <v>5000</v>
      </c>
    </row>
    <row r="401" spans="1:33" ht="21" customHeight="1">
      <c r="A401" s="619"/>
      <c r="B401" s="620"/>
      <c r="C401" s="620"/>
      <c r="D401" s="114"/>
      <c r="E401" s="628"/>
      <c r="F401" s="628"/>
      <c r="G401" s="628"/>
      <c r="H401" s="628"/>
      <c r="I401" s="628"/>
      <c r="J401" s="628"/>
      <c r="K401" s="628"/>
      <c r="L401" s="628"/>
      <c r="M401" s="686"/>
      <c r="N401" s="675"/>
      <c r="O401" s="709" t="s">
        <v>208</v>
      </c>
      <c r="P401" s="709"/>
      <c r="Q401" s="709"/>
      <c r="R401" s="709"/>
      <c r="S401" s="708"/>
      <c r="T401" s="708"/>
      <c r="U401" s="708"/>
      <c r="V401" s="708"/>
      <c r="W401" s="708"/>
      <c r="X401" s="708"/>
      <c r="Y401" s="708"/>
      <c r="Z401" s="708"/>
      <c r="AA401" s="708"/>
      <c r="AB401" s="708" t="s">
        <v>159</v>
      </c>
      <c r="AC401" s="708"/>
      <c r="AD401" s="659">
        <v>0</v>
      </c>
      <c r="AE401" s="632" t="s">
        <v>25</v>
      </c>
      <c r="AF401" s="663"/>
      <c r="AG401" s="526">
        <f t="shared" si="22"/>
        <v>0</v>
      </c>
    </row>
    <row r="402" spans="1:33" ht="21" customHeight="1">
      <c r="A402" s="619"/>
      <c r="B402" s="620"/>
      <c r="C402" s="620"/>
      <c r="D402" s="114"/>
      <c r="E402" s="628"/>
      <c r="F402" s="628"/>
      <c r="G402" s="628"/>
      <c r="H402" s="628"/>
      <c r="I402" s="628"/>
      <c r="J402" s="628"/>
      <c r="K402" s="628"/>
      <c r="L402" s="628"/>
      <c r="M402" s="686"/>
      <c r="N402" s="675"/>
      <c r="O402" s="709" t="s">
        <v>189</v>
      </c>
      <c r="P402" s="709"/>
      <c r="Q402" s="709"/>
      <c r="R402" s="709"/>
      <c r="S402" s="708"/>
      <c r="T402" s="708"/>
      <c r="U402" s="708"/>
      <c r="V402" s="708"/>
      <c r="W402" s="708"/>
      <c r="X402" s="708"/>
      <c r="Y402" s="708"/>
      <c r="Z402" s="708"/>
      <c r="AA402" s="708"/>
      <c r="AB402" s="708" t="s">
        <v>159</v>
      </c>
      <c r="AC402" s="708"/>
      <c r="AD402" s="659">
        <v>5000</v>
      </c>
      <c r="AE402" s="632" t="s">
        <v>56</v>
      </c>
      <c r="AF402" s="663"/>
      <c r="AG402" s="526">
        <f t="shared" si="22"/>
        <v>5000</v>
      </c>
    </row>
    <row r="403" spans="1:33" ht="21" customHeight="1">
      <c r="A403" s="619"/>
      <c r="B403" s="620"/>
      <c r="C403" s="620"/>
      <c r="D403" s="114"/>
      <c r="E403" s="628"/>
      <c r="F403" s="628"/>
      <c r="G403" s="628"/>
      <c r="H403" s="628"/>
      <c r="I403" s="628"/>
      <c r="J403" s="628"/>
      <c r="K403" s="628"/>
      <c r="L403" s="628"/>
      <c r="M403" s="686"/>
      <c r="N403" s="675"/>
      <c r="O403" s="709" t="s">
        <v>209</v>
      </c>
      <c r="P403" s="709"/>
      <c r="Q403" s="709"/>
      <c r="R403" s="709"/>
      <c r="S403" s="708"/>
      <c r="T403" s="708"/>
      <c r="U403" s="708"/>
      <c r="V403" s="708"/>
      <c r="W403" s="708"/>
      <c r="X403" s="708"/>
      <c r="Y403" s="708"/>
      <c r="Z403" s="708"/>
      <c r="AA403" s="708"/>
      <c r="AB403" s="708" t="s">
        <v>219</v>
      </c>
      <c r="AC403" s="708"/>
      <c r="AD403" s="659">
        <v>0</v>
      </c>
      <c r="AE403" s="632" t="s">
        <v>25</v>
      </c>
      <c r="AF403" s="663"/>
      <c r="AG403" s="526">
        <f t="shared" si="22"/>
        <v>0</v>
      </c>
    </row>
    <row r="404" spans="1:33" ht="21" customHeight="1">
      <c r="A404" s="619"/>
      <c r="B404" s="620"/>
      <c r="C404" s="620"/>
      <c r="D404" s="114"/>
      <c r="E404" s="628"/>
      <c r="F404" s="628"/>
      <c r="G404" s="628"/>
      <c r="H404" s="628"/>
      <c r="I404" s="628"/>
      <c r="J404" s="628"/>
      <c r="K404" s="628"/>
      <c r="L404" s="628"/>
      <c r="M404" s="686"/>
      <c r="N404" s="675"/>
      <c r="O404" s="709" t="s">
        <v>190</v>
      </c>
      <c r="P404" s="709"/>
      <c r="Q404" s="709"/>
      <c r="R404" s="709"/>
      <c r="S404" s="708"/>
      <c r="T404" s="708"/>
      <c r="U404" s="708"/>
      <c r="V404" s="708"/>
      <c r="W404" s="708"/>
      <c r="X404" s="708"/>
      <c r="Y404" s="708"/>
      <c r="Z404" s="708"/>
      <c r="AA404" s="708"/>
      <c r="AB404" s="708" t="s">
        <v>219</v>
      </c>
      <c r="AC404" s="708"/>
      <c r="AD404" s="659">
        <v>25000</v>
      </c>
      <c r="AE404" s="632" t="s">
        <v>56</v>
      </c>
      <c r="AF404" s="663"/>
      <c r="AG404" s="526">
        <f t="shared" si="22"/>
        <v>25000</v>
      </c>
    </row>
    <row r="405" spans="1:33" ht="21" customHeight="1">
      <c r="A405" s="619"/>
      <c r="B405" s="620"/>
      <c r="C405" s="620"/>
      <c r="D405" s="114"/>
      <c r="E405" s="628"/>
      <c r="F405" s="628"/>
      <c r="G405" s="628"/>
      <c r="H405" s="628"/>
      <c r="I405" s="628"/>
      <c r="J405" s="628"/>
      <c r="K405" s="628"/>
      <c r="L405" s="628"/>
      <c r="M405" s="686"/>
      <c r="N405" s="675"/>
      <c r="O405" s="709" t="s">
        <v>223</v>
      </c>
      <c r="P405" s="709"/>
      <c r="Q405" s="709"/>
      <c r="R405" s="709"/>
      <c r="S405" s="708"/>
      <c r="T405" s="708"/>
      <c r="U405" s="708"/>
      <c r="V405" s="708"/>
      <c r="W405" s="708"/>
      <c r="X405" s="708"/>
      <c r="Y405" s="708"/>
      <c r="Z405" s="708"/>
      <c r="AA405" s="708"/>
      <c r="AB405" s="708" t="s">
        <v>219</v>
      </c>
      <c r="AC405" s="708"/>
      <c r="AD405" s="659">
        <v>5000</v>
      </c>
      <c r="AE405" s="632" t="s">
        <v>25</v>
      </c>
      <c r="AF405" s="663"/>
      <c r="AG405" s="526">
        <f t="shared" si="22"/>
        <v>5000</v>
      </c>
    </row>
    <row r="406" spans="1:33" ht="21" customHeight="1">
      <c r="A406" s="619"/>
      <c r="B406" s="620"/>
      <c r="C406" s="620"/>
      <c r="D406" s="114"/>
      <c r="E406" s="628"/>
      <c r="F406" s="628"/>
      <c r="G406" s="628"/>
      <c r="H406" s="628"/>
      <c r="I406" s="628"/>
      <c r="J406" s="628"/>
      <c r="K406" s="628"/>
      <c r="L406" s="628"/>
      <c r="M406" s="686"/>
      <c r="N406" s="675"/>
      <c r="O406" s="709" t="s">
        <v>676</v>
      </c>
      <c r="P406" s="709"/>
      <c r="Q406" s="709"/>
      <c r="R406" s="709"/>
      <c r="S406" s="708"/>
      <c r="T406" s="708"/>
      <c r="U406" s="708"/>
      <c r="V406" s="708"/>
      <c r="W406" s="708"/>
      <c r="X406" s="708"/>
      <c r="Y406" s="708"/>
      <c r="Z406" s="708"/>
      <c r="AA406" s="708"/>
      <c r="AB406" s="708" t="s">
        <v>71</v>
      </c>
      <c r="AC406" s="708"/>
      <c r="AD406" s="659">
        <v>200000</v>
      </c>
      <c r="AE406" s="632" t="s">
        <v>25</v>
      </c>
      <c r="AF406" s="663"/>
      <c r="AG406" s="526">
        <f t="shared" si="22"/>
        <v>200000</v>
      </c>
    </row>
    <row r="407" spans="1:33" ht="21" customHeight="1">
      <c r="A407" s="619"/>
      <c r="B407" s="620"/>
      <c r="C407" s="620"/>
      <c r="D407" s="114"/>
      <c r="E407" s="628"/>
      <c r="F407" s="628"/>
      <c r="G407" s="628"/>
      <c r="H407" s="628"/>
      <c r="I407" s="628"/>
      <c r="J407" s="628"/>
      <c r="K407" s="628"/>
      <c r="L407" s="628"/>
      <c r="M407" s="686"/>
      <c r="N407" s="675"/>
      <c r="O407" s="709" t="s">
        <v>816</v>
      </c>
      <c r="P407" s="709"/>
      <c r="Q407" s="709"/>
      <c r="R407" s="709"/>
      <c r="S407" s="708"/>
      <c r="T407" s="708"/>
      <c r="U407" s="708"/>
      <c r="V407" s="708"/>
      <c r="W407" s="708"/>
      <c r="X407" s="708"/>
      <c r="Y407" s="708"/>
      <c r="Z407" s="708"/>
      <c r="AA407" s="708"/>
      <c r="AB407" s="708" t="s">
        <v>219</v>
      </c>
      <c r="AC407" s="708"/>
      <c r="AD407" s="659">
        <v>5000</v>
      </c>
      <c r="AE407" s="632" t="s">
        <v>25</v>
      </c>
      <c r="AF407" s="663"/>
      <c r="AG407" s="526">
        <f t="shared" si="22"/>
        <v>5000</v>
      </c>
    </row>
    <row r="408" spans="1:33" s="11" customFormat="1" ht="21" customHeight="1" thickBot="1">
      <c r="A408" s="104"/>
      <c r="B408" s="80"/>
      <c r="C408" s="714"/>
      <c r="D408" s="119"/>
      <c r="E408" s="633"/>
      <c r="F408" s="633"/>
      <c r="G408" s="633"/>
      <c r="H408" s="633"/>
      <c r="I408" s="633"/>
      <c r="J408" s="633"/>
      <c r="K408" s="633"/>
      <c r="L408" s="633"/>
      <c r="M408" s="715"/>
      <c r="N408" s="716"/>
      <c r="O408" s="318" t="s">
        <v>654</v>
      </c>
      <c r="P408" s="318"/>
      <c r="Q408" s="318"/>
      <c r="R408" s="318"/>
      <c r="S408" s="318"/>
      <c r="T408" s="318"/>
      <c r="U408" s="318"/>
      <c r="V408" s="318"/>
      <c r="W408" s="318"/>
      <c r="X408" s="318" t="s">
        <v>817</v>
      </c>
      <c r="Y408" s="318"/>
      <c r="Z408" s="318"/>
      <c r="AA408" s="318"/>
      <c r="AB408" s="318" t="s">
        <v>138</v>
      </c>
      <c r="AC408" s="318"/>
      <c r="AD408" s="319">
        <v>780000</v>
      </c>
      <c r="AE408" s="320" t="s">
        <v>25</v>
      </c>
      <c r="AF408" s="663"/>
      <c r="AG408" s="526">
        <f t="shared" si="22"/>
        <v>780000</v>
      </c>
    </row>
  </sheetData>
  <mergeCells count="18">
    <mergeCell ref="V173:W173"/>
    <mergeCell ref="A1:D1"/>
    <mergeCell ref="A2:C2"/>
    <mergeCell ref="D2:D3"/>
    <mergeCell ref="E2:L2"/>
    <mergeCell ref="M2:N2"/>
    <mergeCell ref="O2:AE3"/>
    <mergeCell ref="A4:C4"/>
    <mergeCell ref="B5:C5"/>
    <mergeCell ref="V120:W120"/>
    <mergeCell ref="V134:W134"/>
    <mergeCell ref="O161:S161"/>
    <mergeCell ref="B389:C389"/>
    <mergeCell ref="B196:C196"/>
    <mergeCell ref="B242:C242"/>
    <mergeCell ref="T355:Y355"/>
    <mergeCell ref="T356:Y356"/>
    <mergeCell ref="B386:C386"/>
  </mergeCells>
  <phoneticPr fontId="14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2022-12-04T08:06:40Z</cp:lastPrinted>
  <dcterms:created xsi:type="dcterms:W3CDTF">2003-12-18T04:11:57Z</dcterms:created>
  <dcterms:modified xsi:type="dcterms:W3CDTF">2023-02-17T02:45:01Z</dcterms:modified>
</cp:coreProperties>
</file>