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3년 예산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E192" i="31" l="1"/>
  <c r="L191" i="31"/>
  <c r="K191" i="31"/>
  <c r="J191" i="31"/>
  <c r="I191" i="31"/>
  <c r="H191" i="31"/>
  <c r="G191" i="31"/>
  <c r="F191" i="31"/>
  <c r="I25" i="18"/>
  <c r="I23" i="18"/>
  <c r="I16" i="18"/>
  <c r="I12" i="18"/>
  <c r="I8" i="18"/>
  <c r="I7" i="18" s="1"/>
  <c r="D191" i="31" l="1"/>
  <c r="L198" i="31"/>
  <c r="K198" i="31"/>
  <c r="J198" i="31"/>
  <c r="I198" i="31"/>
  <c r="H198" i="31"/>
  <c r="G198" i="31"/>
  <c r="F198" i="31"/>
  <c r="L192" i="31"/>
  <c r="K192" i="31"/>
  <c r="J192" i="31"/>
  <c r="I192" i="31"/>
  <c r="H192" i="31"/>
  <c r="G192" i="31"/>
  <c r="F192" i="31"/>
  <c r="AD198" i="31"/>
  <c r="E198" i="31" s="1"/>
  <c r="M198" i="31" s="1"/>
  <c r="N198" i="31" s="1"/>
  <c r="AD192" i="31"/>
  <c r="D157" i="31"/>
  <c r="J25" i="18"/>
  <c r="K26" i="18"/>
  <c r="K25" i="18"/>
  <c r="J23" i="18"/>
  <c r="K24" i="18"/>
  <c r="K23" i="18" s="1"/>
  <c r="AD191" i="31" l="1"/>
  <c r="AD94" i="31"/>
  <c r="AD185" i="31" l="1"/>
  <c r="AD175" i="31"/>
  <c r="AD176" i="31"/>
  <c r="AD134" i="31" l="1"/>
  <c r="AD74" i="31"/>
  <c r="AD60" i="31" l="1"/>
  <c r="AD59" i="31"/>
  <c r="X102" i="4"/>
  <c r="X101" i="4" s="1"/>
  <c r="M105" i="4"/>
  <c r="M109" i="4" s="1"/>
  <c r="X109" i="4" s="1"/>
  <c r="X105" i="4" l="1"/>
  <c r="X104" i="4" s="1"/>
  <c r="M121" i="4"/>
  <c r="M118" i="4"/>
  <c r="X118" i="4" s="1"/>
  <c r="M112" i="4"/>
  <c r="X112" i="4" s="1"/>
  <c r="M44" i="4"/>
  <c r="X41" i="4"/>
  <c r="X40" i="4" s="1"/>
  <c r="E21" i="18" l="1"/>
  <c r="D21" i="18"/>
  <c r="E19" i="18"/>
  <c r="D19" i="18"/>
  <c r="J163" i="31"/>
  <c r="AD184" i="31" l="1"/>
  <c r="AD183" i="31" s="1"/>
  <c r="AD180" i="31"/>
  <c r="J179" i="31" s="1"/>
  <c r="AD177" i="31"/>
  <c r="AD174" i="31"/>
  <c r="AD171" i="31"/>
  <c r="AD170" i="31"/>
  <c r="AD169" i="31" s="1"/>
  <c r="F169" i="31"/>
  <c r="G169" i="31"/>
  <c r="H169" i="31"/>
  <c r="I169" i="31"/>
  <c r="K169" i="31"/>
  <c r="L169" i="31"/>
  <c r="AD167" i="31"/>
  <c r="AD163" i="31"/>
  <c r="E163" i="31" s="1"/>
  <c r="M163" i="31" s="1"/>
  <c r="N163" i="31" s="1"/>
  <c r="L163" i="31"/>
  <c r="K163" i="31"/>
  <c r="I163" i="31"/>
  <c r="H163" i="31"/>
  <c r="G163" i="31"/>
  <c r="F163" i="31"/>
  <c r="AD161" i="31"/>
  <c r="AD160" i="31"/>
  <c r="AD159" i="31"/>
  <c r="AD155" i="31"/>
  <c r="AD151" i="31"/>
  <c r="AD150" i="31"/>
  <c r="AD148" i="31"/>
  <c r="AD147" i="31"/>
  <c r="AD140" i="31"/>
  <c r="AD138" i="31"/>
  <c r="AD137" i="31"/>
  <c r="AD136" i="31"/>
  <c r="AD135" i="31"/>
  <c r="AD129" i="31"/>
  <c r="AD128" i="31"/>
  <c r="AD107" i="31"/>
  <c r="AD105" i="31"/>
  <c r="AD104" i="31" s="1"/>
  <c r="AD100" i="31"/>
  <c r="AD96" i="31"/>
  <c r="AD95" i="31"/>
  <c r="AD89" i="31"/>
  <c r="AD88" i="31"/>
  <c r="AD87" i="31"/>
  <c r="AD86" i="31"/>
  <c r="AD79" i="31"/>
  <c r="AD78" i="31"/>
  <c r="AD70" i="31"/>
  <c r="AD173" i="31" l="1"/>
  <c r="E169" i="31"/>
  <c r="M169" i="31" s="1"/>
  <c r="N169" i="31" s="1"/>
  <c r="AD85" i="31"/>
  <c r="J169" i="31"/>
  <c r="AD106" i="31"/>
  <c r="AD103" i="31" s="1"/>
  <c r="AD133" i="31"/>
  <c r="AD93" i="31"/>
  <c r="H189" i="31" l="1"/>
  <c r="G189" i="31"/>
  <c r="H183" i="31"/>
  <c r="G183" i="31"/>
  <c r="H179" i="31"/>
  <c r="G179" i="31"/>
  <c r="H173" i="31"/>
  <c r="G173" i="31"/>
  <c r="H166" i="31"/>
  <c r="G166" i="31"/>
  <c r="H158" i="31"/>
  <c r="G158" i="31"/>
  <c r="H154" i="31"/>
  <c r="G154" i="31"/>
  <c r="H149" i="31"/>
  <c r="H146" i="31"/>
  <c r="H142" i="31"/>
  <c r="G142" i="31"/>
  <c r="H133" i="31"/>
  <c r="H125" i="31"/>
  <c r="G125" i="31"/>
  <c r="H113" i="31"/>
  <c r="G113" i="31"/>
  <c r="H111" i="31"/>
  <c r="G111" i="31"/>
  <c r="H103" i="31"/>
  <c r="G103" i="31"/>
  <c r="H99" i="31"/>
  <c r="G99" i="31"/>
  <c r="H93" i="31"/>
  <c r="G93" i="31"/>
  <c r="H85" i="31"/>
  <c r="G85" i="31"/>
  <c r="G66" i="31"/>
  <c r="H66" i="31"/>
  <c r="H64" i="31"/>
  <c r="G64" i="31"/>
  <c r="H68" i="31"/>
  <c r="G68" i="31"/>
  <c r="H76" i="31"/>
  <c r="G76" i="31"/>
  <c r="AD69" i="31"/>
  <c r="H13" i="31"/>
  <c r="G13" i="31"/>
  <c r="H30" i="31"/>
  <c r="G30" i="31"/>
  <c r="H38" i="31"/>
  <c r="G38" i="31"/>
  <c r="H57" i="31"/>
  <c r="G57" i="31"/>
  <c r="H157" i="31" l="1"/>
  <c r="G157" i="31"/>
  <c r="AD23" i="31"/>
  <c r="S32" i="31" s="1"/>
  <c r="AD7" i="31"/>
  <c r="H10" i="31"/>
  <c r="G10" i="31"/>
  <c r="H7" i="31"/>
  <c r="G7" i="31"/>
  <c r="N189" i="31"/>
  <c r="L189" i="31"/>
  <c r="L188" i="31" s="1"/>
  <c r="K189" i="31"/>
  <c r="K188" i="31" s="1"/>
  <c r="J189" i="31"/>
  <c r="J188" i="31" s="1"/>
  <c r="I189" i="31"/>
  <c r="I188" i="31" s="1"/>
  <c r="H188" i="31"/>
  <c r="G188" i="31"/>
  <c r="F189" i="31"/>
  <c r="F188" i="31" s="1"/>
  <c r="E189" i="31"/>
  <c r="E188" i="31" s="1"/>
  <c r="AD188" i="31"/>
  <c r="D188" i="31"/>
  <c r="N188" i="31" s="1"/>
  <c r="E183" i="31"/>
  <c r="M183" i="31" s="1"/>
  <c r="K183" i="31"/>
  <c r="J183" i="31"/>
  <c r="I183" i="31"/>
  <c r="F183" i="31"/>
  <c r="AD179" i="31"/>
  <c r="E179" i="31" s="1"/>
  <c r="L179" i="31"/>
  <c r="K179" i="31"/>
  <c r="I179" i="31"/>
  <c r="F179" i="31"/>
  <c r="E173" i="31"/>
  <c r="L173" i="31"/>
  <c r="K173" i="31"/>
  <c r="J173" i="31"/>
  <c r="I173" i="31"/>
  <c r="F173" i="31"/>
  <c r="AD166" i="31"/>
  <c r="E166" i="31" s="1"/>
  <c r="L166" i="31"/>
  <c r="K166" i="31"/>
  <c r="J166" i="31"/>
  <c r="I166" i="31"/>
  <c r="F166" i="31"/>
  <c r="AD158" i="31"/>
  <c r="L158" i="31"/>
  <c r="K158" i="31"/>
  <c r="J158" i="31"/>
  <c r="I158" i="31"/>
  <c r="F158" i="31"/>
  <c r="L154" i="31"/>
  <c r="K154" i="31"/>
  <c r="J154" i="31"/>
  <c r="I154" i="31"/>
  <c r="F149" i="31"/>
  <c r="L149" i="31"/>
  <c r="K149" i="31"/>
  <c r="J149" i="31"/>
  <c r="G146" i="31"/>
  <c r="L146" i="31"/>
  <c r="K146" i="31"/>
  <c r="J146" i="31"/>
  <c r="I146" i="31"/>
  <c r="F146" i="31"/>
  <c r="AD142" i="31"/>
  <c r="E142" i="31" s="1"/>
  <c r="L142" i="31"/>
  <c r="K142" i="31"/>
  <c r="J142" i="31"/>
  <c r="I142" i="31"/>
  <c r="F142" i="31"/>
  <c r="K133" i="31"/>
  <c r="I133" i="31"/>
  <c r="D132" i="31"/>
  <c r="L125" i="31"/>
  <c r="K125" i="31"/>
  <c r="J125" i="31"/>
  <c r="I125" i="31"/>
  <c r="AD113" i="31"/>
  <c r="E113" i="31" s="1"/>
  <c r="L113" i="31"/>
  <c r="K113" i="31"/>
  <c r="J113" i="31"/>
  <c r="I113" i="31"/>
  <c r="F113" i="31"/>
  <c r="L111" i="31"/>
  <c r="K111" i="31"/>
  <c r="J111" i="31"/>
  <c r="F111" i="31"/>
  <c r="D110" i="31"/>
  <c r="D109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6" i="31"/>
  <c r="K76" i="31"/>
  <c r="AD73" i="31"/>
  <c r="E73" i="31" s="1"/>
  <c r="L73" i="31"/>
  <c r="K73" i="31"/>
  <c r="J73" i="31"/>
  <c r="I73" i="31"/>
  <c r="H73" i="31"/>
  <c r="G73" i="31"/>
  <c r="F73" i="31"/>
  <c r="D72" i="31"/>
  <c r="AD68" i="31"/>
  <c r="E68" i="31" s="1"/>
  <c r="M68" i="31" s="1"/>
  <c r="N68" i="31" s="1"/>
  <c r="L68" i="31"/>
  <c r="J68" i="31"/>
  <c r="I68" i="31"/>
  <c r="F68" i="31"/>
  <c r="N66" i="31"/>
  <c r="L66" i="31"/>
  <c r="K66" i="31"/>
  <c r="J66" i="31"/>
  <c r="I66" i="31"/>
  <c r="F66" i="31"/>
  <c r="E66" i="31"/>
  <c r="M66" i="31" s="1"/>
  <c r="AD64" i="31"/>
  <c r="E64" i="31" s="1"/>
  <c r="L64" i="31"/>
  <c r="K64" i="31"/>
  <c r="J64" i="31"/>
  <c r="I64" i="31"/>
  <c r="F64" i="31"/>
  <c r="D63" i="31"/>
  <c r="K57" i="31"/>
  <c r="L57" i="31"/>
  <c r="J57" i="31"/>
  <c r="I57" i="31"/>
  <c r="F57" i="31"/>
  <c r="L38" i="31"/>
  <c r="J38" i="31"/>
  <c r="I38" i="31"/>
  <c r="AD35" i="31"/>
  <c r="AD32" i="31"/>
  <c r="L30" i="31"/>
  <c r="J30" i="31"/>
  <c r="I30" i="31"/>
  <c r="AD27" i="31"/>
  <c r="AD26" i="31" s="1"/>
  <c r="AD20" i="31"/>
  <c r="AD17" i="31"/>
  <c r="AD14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3" i="31" l="1"/>
  <c r="L157" i="31"/>
  <c r="K157" i="31"/>
  <c r="I157" i="31"/>
  <c r="J157" i="31"/>
  <c r="F157" i="31"/>
  <c r="J76" i="31"/>
  <c r="J72" i="31" s="1"/>
  <c r="AD76" i="31"/>
  <c r="E76" i="31" s="1"/>
  <c r="E158" i="31"/>
  <c r="E157" i="31" s="1"/>
  <c r="AD157" i="31"/>
  <c r="G133" i="31"/>
  <c r="G149" i="31"/>
  <c r="AD31" i="31"/>
  <c r="AD13" i="31"/>
  <c r="E13" i="31" s="1"/>
  <c r="D131" i="31"/>
  <c r="D5" i="31"/>
  <c r="L133" i="31"/>
  <c r="L132" i="31" s="1"/>
  <c r="AD125" i="31"/>
  <c r="E125" i="31" s="1"/>
  <c r="AD154" i="31"/>
  <c r="E154" i="31" s="1"/>
  <c r="M154" i="31" s="1"/>
  <c r="N154" i="31" s="1"/>
  <c r="F85" i="31"/>
  <c r="I63" i="31"/>
  <c r="L103" i="31"/>
  <c r="I76" i="31"/>
  <c r="H110" i="31"/>
  <c r="H109" i="31" s="1"/>
  <c r="I6" i="31"/>
  <c r="M188" i="31"/>
  <c r="F76" i="31"/>
  <c r="E93" i="31"/>
  <c r="M93" i="31" s="1"/>
  <c r="N93" i="31" s="1"/>
  <c r="J63" i="31"/>
  <c r="L110" i="31"/>
  <c r="L109" i="31" s="1"/>
  <c r="K103" i="31"/>
  <c r="M189" i="31"/>
  <c r="M179" i="31"/>
  <c r="N179" i="31" s="1"/>
  <c r="M142" i="31"/>
  <c r="N142" i="31" s="1"/>
  <c r="M166" i="31"/>
  <c r="N166" i="31" s="1"/>
  <c r="K13" i="31"/>
  <c r="L6" i="31"/>
  <c r="F133" i="31"/>
  <c r="M173" i="31"/>
  <c r="N173" i="31" s="1"/>
  <c r="L63" i="31"/>
  <c r="G110" i="31"/>
  <c r="G109" i="31" s="1"/>
  <c r="E133" i="31"/>
  <c r="AD146" i="31"/>
  <c r="E146" i="31" s="1"/>
  <c r="M146" i="31" s="1"/>
  <c r="N146" i="31" s="1"/>
  <c r="K110" i="31"/>
  <c r="K109" i="31" s="1"/>
  <c r="I149" i="31"/>
  <c r="H72" i="31"/>
  <c r="G63" i="31"/>
  <c r="K132" i="31"/>
  <c r="J6" i="31"/>
  <c r="AD149" i="31"/>
  <c r="E149" i="31" s="1"/>
  <c r="M149" i="31" s="1"/>
  <c r="N149" i="31" s="1"/>
  <c r="H63" i="31"/>
  <c r="F63" i="31"/>
  <c r="H6" i="31"/>
  <c r="M73" i="31"/>
  <c r="N73" i="31" s="1"/>
  <c r="M64" i="31"/>
  <c r="N64" i="31" s="1"/>
  <c r="E63" i="31"/>
  <c r="M63" i="31" s="1"/>
  <c r="N63" i="31" s="1"/>
  <c r="M113" i="31"/>
  <c r="N113" i="31" s="1"/>
  <c r="E7" i="31"/>
  <c r="AD57" i="31"/>
  <c r="E57" i="31" s="1"/>
  <c r="AD63" i="31"/>
  <c r="I110" i="31"/>
  <c r="I109" i="31" s="1"/>
  <c r="S41" i="31"/>
  <c r="AD41" i="31" s="1"/>
  <c r="J110" i="31"/>
  <c r="J109" i="31" s="1"/>
  <c r="F125" i="31"/>
  <c r="E85" i="31"/>
  <c r="F93" i="31"/>
  <c r="AD99" i="31"/>
  <c r="E99" i="31" s="1"/>
  <c r="G72" i="31"/>
  <c r="J133" i="31"/>
  <c r="F154" i="31"/>
  <c r="K68" i="31"/>
  <c r="K63" i="31" s="1"/>
  <c r="D4" i="31" l="1"/>
  <c r="M192" i="31"/>
  <c r="N192" i="31" s="1"/>
  <c r="E191" i="31"/>
  <c r="M191" i="31" s="1"/>
  <c r="N191" i="31" s="1"/>
  <c r="M158" i="31"/>
  <c r="M157" i="31" s="1"/>
  <c r="N157" i="31" s="1"/>
  <c r="M125" i="31"/>
  <c r="N125" i="31" s="1"/>
  <c r="F30" i="31"/>
  <c r="AD110" i="31"/>
  <c r="AD109" i="31" s="1"/>
  <c r="E111" i="31"/>
  <c r="E110" i="31" s="1"/>
  <c r="E103" i="31"/>
  <c r="L131" i="31"/>
  <c r="I132" i="31"/>
  <c r="I131" i="31" s="1"/>
  <c r="H132" i="31"/>
  <c r="H131" i="31" s="1"/>
  <c r="L72" i="31"/>
  <c r="L5" i="31" s="1"/>
  <c r="K131" i="31"/>
  <c r="I72" i="31"/>
  <c r="I5" i="31" s="1"/>
  <c r="I4" i="31" s="1"/>
  <c r="S36" i="31"/>
  <c r="AD36" i="31" s="1"/>
  <c r="K72" i="31"/>
  <c r="H5" i="31"/>
  <c r="AD132" i="31"/>
  <c r="AD131" i="31" s="1"/>
  <c r="J5" i="31"/>
  <c r="M76" i="31"/>
  <c r="N76" i="31" s="1"/>
  <c r="M133" i="31"/>
  <c r="N133" i="31" s="1"/>
  <c r="E132" i="31"/>
  <c r="J132" i="31"/>
  <c r="J131" i="31" s="1"/>
  <c r="M57" i="31"/>
  <c r="N57" i="31" s="1"/>
  <c r="M13" i="31"/>
  <c r="N13" i="31" s="1"/>
  <c r="S44" i="31"/>
  <c r="AD44" i="31" s="1"/>
  <c r="F72" i="31"/>
  <c r="F110" i="31"/>
  <c r="F109" i="31" s="1"/>
  <c r="M85" i="31"/>
  <c r="N85" i="31" s="1"/>
  <c r="M7" i="31"/>
  <c r="N7" i="31" s="1"/>
  <c r="M99" i="31"/>
  <c r="N99" i="31" s="1"/>
  <c r="G132" i="31"/>
  <c r="G131" i="31" s="1"/>
  <c r="F132" i="31"/>
  <c r="F131" i="31" s="1"/>
  <c r="N158" i="31" l="1"/>
  <c r="H4" i="31"/>
  <c r="J4" i="31"/>
  <c r="L4" i="31"/>
  <c r="AD72" i="31"/>
  <c r="AD34" i="31"/>
  <c r="AD30" i="31" s="1"/>
  <c r="E30" i="31" s="1"/>
  <c r="M30" i="31" s="1"/>
  <c r="N30" i="31" s="1"/>
  <c r="M111" i="31"/>
  <c r="N111" i="31" s="1"/>
  <c r="E72" i="31"/>
  <c r="M72" i="31" s="1"/>
  <c r="N72" i="31" s="1"/>
  <c r="M103" i="31"/>
  <c r="N103" i="31" s="1"/>
  <c r="K30" i="31"/>
  <c r="M132" i="31"/>
  <c r="E131" i="31"/>
  <c r="M110" i="31"/>
  <c r="N110" i="31" s="1"/>
  <c r="E109" i="31"/>
  <c r="M109" i="31" s="1"/>
  <c r="N109" i="31" s="1"/>
  <c r="AD40" i="31"/>
  <c r="S50" i="31"/>
  <c r="AD50" i="31" s="1"/>
  <c r="K38" i="31" l="1"/>
  <c r="G6" i="31"/>
  <c r="G5" i="31" s="1"/>
  <c r="G4" i="31" s="1"/>
  <c r="S47" i="31"/>
  <c r="AD47" i="31" s="1"/>
  <c r="AD43" i="31"/>
  <c r="M131" i="31"/>
  <c r="N131" i="31" s="1"/>
  <c r="N132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1" i="4" s="1"/>
  <c r="X95" i="4"/>
  <c r="X92" i="4"/>
  <c r="X88" i="4"/>
  <c r="X121" i="4"/>
  <c r="X120" i="4" s="1"/>
  <c r="M48" i="4"/>
  <c r="X48" i="4" s="1"/>
  <c r="X38" i="4"/>
  <c r="X35" i="4"/>
  <c r="X32" i="4"/>
  <c r="X28" i="4"/>
  <c r="X34" i="4" l="1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54" i="4" s="1"/>
  <c r="X53" i="4" s="1"/>
  <c r="X111" i="4"/>
  <c r="X114" i="4"/>
  <c r="X56" i="4"/>
  <c r="X59" i="4"/>
  <c r="X6" i="4"/>
  <c r="X107" i="4" l="1"/>
  <c r="X87" i="4" s="1"/>
  <c r="X50" i="4"/>
  <c r="X46" i="4" s="1"/>
  <c r="X152" i="4" l="1"/>
  <c r="X151" i="4" s="1"/>
  <c r="X15" i="4"/>
  <c r="D14" i="18"/>
  <c r="D10" i="18"/>
  <c r="D8" i="18"/>
  <c r="D7" i="18" l="1"/>
  <c r="X211" i="4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K10" i="18"/>
  <c r="E14" i="18"/>
  <c r="E10" i="18"/>
  <c r="E8" i="18"/>
  <c r="K16" i="18" l="1"/>
  <c r="J7" i="18"/>
  <c r="E7" i="18"/>
  <c r="X136" i="4" l="1"/>
  <c r="X135" i="4" s="1"/>
  <c r="X125" i="4"/>
  <c r="X64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E12" i="4" l="1"/>
  <c r="X209" i="4"/>
  <c r="F209" i="4" s="1"/>
  <c r="F208" i="4" s="1"/>
  <c r="G208" i="4" s="1"/>
  <c r="H208" i="4" s="1"/>
  <c r="G209" i="4" l="1"/>
  <c r="H209" i="4" s="1"/>
  <c r="X201" i="4" l="1"/>
  <c r="F201" i="4" s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4" i="4"/>
  <c r="X43" i="4" s="1"/>
  <c r="X30" i="4" s="1"/>
  <c r="F157" i="4" l="1"/>
  <c r="G157" i="4" s="1"/>
  <c r="F168" i="4"/>
  <c r="X63" i="4"/>
  <c r="F63" i="4" s="1"/>
  <c r="G63" i="4" s="1"/>
  <c r="H63" i="4" s="1"/>
  <c r="F159" i="4"/>
  <c r="G159" i="4" s="1"/>
  <c r="G160" i="4"/>
  <c r="F200" i="4"/>
  <c r="G200" i="4" s="1"/>
  <c r="H200" i="4" s="1"/>
  <c r="G201" i="4"/>
  <c r="H201" i="4" s="1"/>
  <c r="F156" i="4"/>
  <c r="G156" i="4" s="1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167" i="4" l="1"/>
  <c r="G167" i="4" s="1"/>
  <c r="H167" i="4" s="1"/>
  <c r="G168" i="4"/>
  <c r="H168" i="4" s="1"/>
  <c r="F155" i="4"/>
  <c r="G155" i="4" s="1"/>
  <c r="E4" i="4"/>
  <c r="H155" i="4"/>
  <c r="F188" i="4"/>
  <c r="G188" i="4" s="1"/>
  <c r="H188" i="4" s="1"/>
  <c r="G189" i="4"/>
  <c r="H189" i="4" s="1"/>
  <c r="F87" i="4" l="1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200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<sst xmlns="http://schemas.openxmlformats.org/spreadsheetml/2006/main" count="1548" uniqueCount="531">
  <si>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</si>
  <si>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</si>
  <si>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</si>
  <si>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</si>
  <si>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</si>
  <si>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</si>
  <si>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</si>
  <si>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</si>
  <si>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</si>
  <si>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</si>
  <si>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</si>
  <si>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</si>
  <si>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</si>
  <si>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</si>
  <si>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</si>
  <si>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</si>
  <si>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</si>
  <si>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</si>
  <si>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</si>
  <si>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</si>
  <si>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</si>
  <si>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</si>
  <si>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</si>
  <si>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</si>
  <si>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</si>
  <si>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</si>
  <si>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</si>
  <si>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</si>
  <si>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</si>
  <si>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</si>
  <si>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</si>
  <si>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</si>
  <si>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</si>
  <si>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</si>
  <si>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</si>
  <si>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</si>
  <si>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</si>
  <si>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</si>
  <si>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</si>
  <si>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</si>
  <si>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</si>
  <si>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</si>
  <si>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</si>
  <si>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</si>
  <si>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</si>
  <si>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</si>
  <si>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</si>
  <si>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</si>
  <si>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</si>
  <si>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</si>
  <si>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</si>
  <si>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</si>
  <si>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</si>
  <si>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</si>
  <si>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</si>
  <si>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</si>
  <si>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</si>
  <si>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</si>
  <si>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</si>
  <si>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</si>
  <si>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</si>
  <si>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</si>
  <si>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</si>
  <si>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</si>
  <si>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</si>
  <si>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</si>
  <si>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</si>
  <si>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</si>
  <si>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</si>
  <si>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</si>
  <si>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</si>
  <si>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</si>
  <si>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</si>
  <si>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</si>
  <si>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</si>
  <si>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</si>
  <si>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</si>
  <si>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</si>
  <si>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</si>
  <si>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</si>
  <si>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</si>
  <si>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</si>
  <si>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</si>
  <si>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</si>
  <si>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</si>
  <si>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</si>
  <si>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</si>
  <si>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</si>
  <si>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</si>
  <si>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</si>
  <si>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</si>
  <si>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</si>
  <si>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</si>
  <si>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</si>
  <si>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</si>
  <si>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</si>
  <si>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</si>
  <si>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</si>
  <si>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</si>
  <si>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</si>
  <si>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</si>
  <si>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 xml:space="preserve">  *직원후생복지 및 직원교육</t>
    <phoneticPr fontId="6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</si>
  <si>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</si>
  <si>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</si>
  <si>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</si>
  <si>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</si>
  <si>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</si>
  <si>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</si>
  <si>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</si>
  <si>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</si>
  <si>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</si>
  <si>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</si>
  <si>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</si>
  <si>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</si>
  <si>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</si>
  <si>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</si>
  <si>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</si>
  <si>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</si>
  <si>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</si>
  <si>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</si>
  <si>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</si>
  <si>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</si>
  <si>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</si>
  <si>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</si>
  <si>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</si>
  <si>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</si>
  <si>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</si>
  <si>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</si>
  <si>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</si>
  <si>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</si>
  <si>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</si>
  <si>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</si>
  <si>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</si>
  <si>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</si>
  <si>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</si>
  <si>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</si>
  <si>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</si>
  <si>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</si>
  <si>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</si>
  <si>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</si>
  <si>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</si>
  <si>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</si>
  <si>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</si>
  <si>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</si>
  <si>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</si>
  <si>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</si>
  <si>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</si>
  <si>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</si>
  <si>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</si>
  <si>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</si>
  <si>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</si>
  <si>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</si>
  <si>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</si>
  <si>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</si>
  <si>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</si>
  <si>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</si>
  <si>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</si>
  <si>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</si>
  <si>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</si>
  <si>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</si>
  <si>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</si>
  <si>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</si>
  <si>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</si>
  <si>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</si>
  <si>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</si>
  <si>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</si>
  <si>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</si>
  <si>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</si>
  <si>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</si>
  <si>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</si>
  <si>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</si>
  <si>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</si>
  <si>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</si>
  <si>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</si>
  <si>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</si>
  <si>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</si>
  <si>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</si>
  <si>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</si>
  <si>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</si>
  <si>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</si>
  <si>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</si>
  <si>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</si>
  <si>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</si>
  <si>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</si>
  <si>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</si>
  <si>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</si>
  <si>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</si>
  <si>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</si>
  <si>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</si>
  <si>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</si>
  <si>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</si>
  <si>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</si>
  <si>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</si>
  <si>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</si>
  <si>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</si>
  <si>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</si>
  <si>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</si>
  <si>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</si>
  <si>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</si>
  <si>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</si>
  <si>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</si>
  <si>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</si>
  <si>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</si>
  <si>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</si>
  <si>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</si>
  <si>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</si>
  <si>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</si>
  <si>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</si>
  <si>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</si>
  <si>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</si>
  <si>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</si>
  <si>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</si>
  <si>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</si>
  <si>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</si>
  <si>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</si>
  <si>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</si>
  <si>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</si>
  <si>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</si>
  <si>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</si>
  <si>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</si>
  <si>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</si>
  <si>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</si>
  <si>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</si>
  <si>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</si>
  <si>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</si>
  <si>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</si>
  <si>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</si>
  <si>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</si>
  <si>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</si>
  <si>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</si>
  <si>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</si>
  <si>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</si>
  <si>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</si>
  <si>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</si>
  <si>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</si>
  <si>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</si>
  <si>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</si>
  <si>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</si>
  <si>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</si>
  <si>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</si>
  <si>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</si>
  <si>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</si>
  <si>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</si>
  <si>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</si>
  <si>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</si>
  <si>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</si>
  <si>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</si>
  <si>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</si>
  <si>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</si>
  <si>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</si>
  <si>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</si>
  <si>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</si>
  <si>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</si>
  <si>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</si>
  <si>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</si>
  <si>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</si>
  <si>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</si>
  <si>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</si>
  <si>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</si>
  <si>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</si>
  <si>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</si>
  <si>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</si>
  <si>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</si>
  <si>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</si>
  <si>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</si>
  <si>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</si>
  <si>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</si>
  <si>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</si>
  <si>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</si>
  <si>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</si>
  <si>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</si>
  <si>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</si>
  <si>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</si>
  <si>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</si>
  <si>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</si>
  <si>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</si>
  <si>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</si>
  <si>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</si>
  <si>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</si>
  <si>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</si>
  <si>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</si>
  <si>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</si>
  <si>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</si>
  <si>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</si>
  <si>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</si>
  <si>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</si>
  <si>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</si>
  <si>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</si>
  <si>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</si>
  <si>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</si>
  <si>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</si>
  <si>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</si>
  <si>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</si>
  <si>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</si>
  <si>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</si>
  <si>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</si>
  <si>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</si>
  <si>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</si>
  <si>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</si>
  <si>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</si>
  <si>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</si>
  <si>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</si>
  <si>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</si>
  <si>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</si>
  <si>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</si>
  <si>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</si>
  <si>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</si>
  <si>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</si>
  <si>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</si>
  <si>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</si>
  <si>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</si>
  <si>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</si>
  <si>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2022년
1차 추경예산</t>
    <phoneticPr fontId="25" type="noConversion"/>
  </si>
  <si>
    <t>6종</t>
    <phoneticPr fontId="6" type="noConversion"/>
  </si>
  <si>
    <t>원</t>
    <phoneticPr fontId="6" type="noConversion"/>
  </si>
  <si>
    <t xml:space="preserve">           (사회재활교사)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</si>
  <si>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</si>
  <si>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</si>
  <si>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</si>
  <si>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</si>
  <si>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</si>
  <si>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</si>
  <si>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</si>
  <si>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</si>
  <si>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</si>
  <si>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</si>
  <si>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</si>
  <si>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</si>
  <si>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</si>
  <si>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</si>
  <si>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</si>
  <si>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</si>
  <si>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</si>
  <si>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</si>
  <si>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</si>
  <si>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</si>
  <si>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</si>
  <si>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</si>
  <si>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</si>
  <si>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</si>
  <si>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</si>
  <si>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</si>
  <si>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</si>
  <si>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</si>
  <si>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</si>
  <si>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</si>
  <si>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</si>
  <si>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</si>
  <si>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</si>
  <si>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</si>
  <si>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</si>
  <si>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</si>
  <si>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</si>
  <si>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</si>
  <si>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</si>
  <si>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 xml:space="preserve"> A.직책보조비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</si>
  <si>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</si>
  <si>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</si>
  <si>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</si>
  <si>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</si>
  <si>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</si>
  <si>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</si>
  <si>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</si>
  <si>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</si>
  <si>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</si>
  <si>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</si>
  <si>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</si>
  <si>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</si>
  <si>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</si>
  <si>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</si>
  <si>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</si>
  <si>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</si>
  <si>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* 야간근로자 특수건강검진(18명)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</si>
  <si>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</si>
  <si>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</si>
  <si>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</si>
  <si>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</si>
  <si>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</si>
  <si>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</si>
  <si>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</si>
  <si>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</si>
  <si>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</si>
  <si>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</si>
  <si>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</si>
  <si>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</si>
  <si>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</si>
  <si>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</si>
  <si>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</si>
  <si>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</si>
  <si>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</si>
  <si>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</si>
  <si>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</si>
  <si>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</si>
  <si>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</si>
  <si>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</si>
  <si>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</si>
  <si>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</si>
  <si>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</si>
  <si>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</si>
  <si>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</si>
  <si>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</si>
  <si>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</si>
  <si>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</si>
  <si>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</si>
  <si>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</si>
  <si>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</si>
  <si>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</si>
  <si>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</si>
  <si>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</si>
  <si>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</si>
  <si>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</si>
  <si>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</si>
  <si>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</si>
  <si>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</si>
  <si>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</si>
  <si>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</si>
  <si>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</si>
  <si>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</si>
  <si>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</si>
  <si>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</si>
  <si>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</si>
  <si>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</si>
  <si>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</si>
  <si>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</si>
  <si>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</si>
  <si>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</si>
  <si>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</si>
  <si>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</si>
  <si>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</si>
  <si>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</si>
  <si>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</si>
  <si>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</si>
  <si>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</si>
  <si>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</si>
  <si>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</si>
  <si>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</si>
  <si>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</si>
  <si>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</si>
  <si>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</si>
  <si>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</si>
  <si>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* 직원독감 예방접종</t>
    <phoneticPr fontId="6" type="noConversion"/>
  </si>
  <si>
    <t>* 직원연수 경비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</si>
  <si>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</si>
  <si>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</si>
  <si>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</si>
  <si>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</si>
  <si>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</si>
  <si>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</si>
  <si>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</si>
  <si>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</si>
  <si>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</si>
  <si>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</si>
  <si>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</si>
  <si>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</si>
  <si>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</si>
  <si>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</si>
  <si>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</si>
  <si>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</si>
  <si>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</si>
  <si>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</si>
  <si>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</si>
  <si>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</si>
  <si>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</si>
  <si>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</si>
  <si>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</si>
  <si>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</si>
  <si>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</si>
  <si>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</si>
  <si>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</si>
  <si>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 xml:space="preserve"> * 국립재활원, 한장협, 경장협 등 </t>
  </si>
  <si>
    <t>2. 직원 식대</t>
    <phoneticPr fontId="6" type="noConversion"/>
  </si>
  <si>
    <t xml:space="preserve"> * 주부식비</t>
    <phoneticPr fontId="6" type="noConversion"/>
  </si>
  <si>
    <t>* 기타 시설물 관리유지비</t>
  </si>
  <si>
    <t>* 전기안전점검비</t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</si>
  <si>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</si>
  <si>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</si>
  <si>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</si>
  <si>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</si>
  <si>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</si>
  <si>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</si>
  <si>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</si>
  <si>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</si>
  <si>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</si>
  <si>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</si>
  <si>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</si>
  <si>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</si>
  <si>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</si>
  <si>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</si>
  <si>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</si>
  <si>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</si>
  <si>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</si>
  <si>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</si>
  <si>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</si>
  <si>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</si>
  <si>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</si>
  <si>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</si>
  <si>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</si>
  <si>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</si>
  <si>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</si>
  <si>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* 스포츠관람</t>
    <phoneticPr fontId="6" type="noConversion"/>
  </si>
  <si>
    <t>문화생활</t>
    <phoneticPr fontId="6" type="noConversion"/>
  </si>
  <si>
    <t>* 등산프로그램</t>
    <phoneticPr fontId="6" type="noConversion"/>
  </si>
  <si>
    <t>* 운동기구 및 물품구입</t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</si>
  <si>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</si>
  <si>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</si>
  <si>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</si>
  <si>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</si>
  <si>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</si>
  <si>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</si>
  <si>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&lt;2023년도 본예산 세입내역&gt;</t>
    <phoneticPr fontId="6" type="noConversion"/>
  </si>
  <si>
    <t>2023년
본예산
(B)
(단위:천원)</t>
    <phoneticPr fontId="6" type="noConversion"/>
  </si>
  <si>
    <t>2022년
1차 추경예산
(A)
(단위:천원)</t>
    <phoneticPr fontId="6" type="noConversion"/>
  </si>
  <si>
    <t>2022년 1차추경예산액
(A)
(단위:천원)</t>
    <phoneticPr fontId="6" type="noConversion"/>
  </si>
  <si>
    <t>2023년 본예산액(B)         (단위:천원)</t>
    <phoneticPr fontId="6" type="noConversion"/>
  </si>
  <si>
    <t>&lt;2023년도 본 예산 세출내역&gt;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</si>
  <si>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</si>
  <si>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</si>
  <si>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</si>
  <si>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>□ 2023년도 본 예산 세 입 · 세 출 총  괄  표</t>
    <phoneticPr fontId="25" type="noConversion"/>
  </si>
  <si>
    <t>2023년
 본예산</t>
    <phoneticPr fontId="25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</si>
  <si>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</si>
  <si>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</si>
  <si>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</si>
  <si>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여름나들이</t>
    <phoneticPr fontId="6" type="noConversion"/>
  </si>
  <si>
    <t>* 가을나들이(기차여행)</t>
    <phoneticPr fontId="6" type="noConversion"/>
  </si>
  <si>
    <t>* 겨울여행</t>
    <phoneticPr fontId="6" type="noConversion"/>
  </si>
  <si>
    <t>* 부활나눔</t>
    <phoneticPr fontId="6" type="noConversion"/>
  </si>
  <si>
    <t>* 선풍기 구입</t>
    <phoneticPr fontId="6" type="noConversion"/>
  </si>
  <si>
    <t>* 환경개선사업(6종), 에어컨</t>
    <phoneticPr fontId="6" type="noConversion"/>
  </si>
  <si>
    <t>잡수</t>
    <phoneticPr fontId="6" type="noConversion"/>
  </si>
  <si>
    <t>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</si>
</sst>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2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190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5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30" fillId="0" borderId="37" xfId="3" applyNumberFormat="1" applyFont="1" applyFill="1" applyBorder="1" applyAlignment="1">
      <alignment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189" fontId="21" fillId="0" borderId="0" xfId="1" applyNumberFormat="1" applyFont="1" applyFill="1" applyBorder="1" applyAlignment="1">
      <alignment horizontal="center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8" fontId="44" fillId="0" borderId="0" xfId="3" applyNumberFormat="1" applyFont="1" applyFill="1" applyBorder="1" applyAlignment="1">
      <alignment vertical="center"/>
    </xf>
    <xf numFmtId="196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0" fontId="44" fillId="2" borderId="58" xfId="0" applyNumberFormat="1" applyFont="1" applyFill="1" applyBorder="1">
      <alignment vertical="center"/>
    </xf>
    <xf numFmtId="0" fontId="44" fillId="2" borderId="59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41" fontId="0" fillId="0" borderId="3" xfId="8" applyFont="1" applyBorder="1">
      <alignment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176" fontId="10" fillId="0" borderId="53" xfId="3" applyNumberFormat="1" applyFont="1" applyFill="1" applyBorder="1" applyAlignment="1">
      <alignment horizontal="center" vertical="center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F16" sqref="F16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518</v>
      </c>
      <c r="K2" s="165" t="s">
        <v>310</v>
      </c>
    </row>
    <row r="3" spans="2:11" ht="9.9499999999999993" customHeight="1" thickBot="1"/>
    <row r="4" spans="2:11" ht="30" customHeight="1">
      <c r="B4" s="546" t="s">
        <v>116</v>
      </c>
      <c r="C4" s="547"/>
      <c r="D4" s="547"/>
      <c r="E4" s="547"/>
      <c r="F4" s="548"/>
      <c r="G4" s="546" t="s">
        <v>117</v>
      </c>
      <c r="H4" s="547"/>
      <c r="I4" s="547"/>
      <c r="J4" s="547"/>
      <c r="K4" s="549"/>
    </row>
    <row r="5" spans="2:11" ht="16.5" customHeight="1">
      <c r="B5" s="550" t="s">
        <v>118</v>
      </c>
      <c r="C5" s="551"/>
      <c r="D5" s="554" t="s">
        <v>312</v>
      </c>
      <c r="E5" s="554" t="s">
        <v>519</v>
      </c>
      <c r="F5" s="556" t="s">
        <v>119</v>
      </c>
      <c r="G5" s="550" t="s">
        <v>118</v>
      </c>
      <c r="H5" s="551"/>
      <c r="I5" s="554" t="s">
        <v>312</v>
      </c>
      <c r="J5" s="554" t="s">
        <v>519</v>
      </c>
      <c r="K5" s="558" t="s">
        <v>119</v>
      </c>
    </row>
    <row r="6" spans="2:11" ht="22.5" customHeight="1" thickBot="1">
      <c r="B6" s="552"/>
      <c r="C6" s="553"/>
      <c r="D6" s="555"/>
      <c r="E6" s="555"/>
      <c r="F6" s="557"/>
      <c r="G6" s="552"/>
      <c r="H6" s="553"/>
      <c r="I6" s="555"/>
      <c r="J6" s="555"/>
      <c r="K6" s="559"/>
    </row>
    <row r="7" spans="2:11" ht="24.95" customHeight="1" thickTop="1">
      <c r="B7" s="540" t="s">
        <v>120</v>
      </c>
      <c r="C7" s="541"/>
      <c r="D7" s="410">
        <f>SUM(D8:D22)/2</f>
        <v>97073000</v>
      </c>
      <c r="E7" s="410">
        <f>SUM(E8:E22)/2</f>
        <v>131588000</v>
      </c>
      <c r="F7" s="411">
        <f>SUM(F8:F22)/2</f>
        <v>34515000</v>
      </c>
      <c r="G7" s="540" t="s">
        <v>120</v>
      </c>
      <c r="H7" s="541"/>
      <c r="I7" s="410">
        <f>SUM(I8:I26)/2</f>
        <v>97073000</v>
      </c>
      <c r="J7" s="410">
        <f>SUM(J8:J26)/2</f>
        <v>131588000</v>
      </c>
      <c r="K7" s="412">
        <f>SUM(K8:K26)/2</f>
        <v>34515000</v>
      </c>
    </row>
    <row r="8" spans="2:11" ht="24.95" customHeight="1">
      <c r="B8" s="542" t="s">
        <v>121</v>
      </c>
      <c r="C8" s="413" t="s">
        <v>308</v>
      </c>
      <c r="D8" s="414">
        <f>D9</f>
        <v>9250000</v>
      </c>
      <c r="E8" s="414">
        <f>E9</f>
        <v>12000000</v>
      </c>
      <c r="F8" s="415">
        <f>F9</f>
        <v>2750000</v>
      </c>
      <c r="G8" s="542" t="s">
        <v>123</v>
      </c>
      <c r="H8" s="413" t="s">
        <v>308</v>
      </c>
      <c r="I8" s="414">
        <f>SUM(I9:I11)</f>
        <v>78417000</v>
      </c>
      <c r="J8" s="414">
        <f>SUM(J9:J11)</f>
        <v>108834000</v>
      </c>
      <c r="K8" s="419">
        <f>SUM(K9:K11)</f>
        <v>30417000</v>
      </c>
    </row>
    <row r="9" spans="2:11" ht="24.95" customHeight="1">
      <c r="B9" s="543"/>
      <c r="C9" s="166" t="s">
        <v>122</v>
      </c>
      <c r="D9" s="167">
        <v>9250000</v>
      </c>
      <c r="E9" s="167">
        <v>12000000</v>
      </c>
      <c r="F9" s="168">
        <f>E9-D9</f>
        <v>2750000</v>
      </c>
      <c r="G9" s="544"/>
      <c r="H9" s="166" t="s">
        <v>124</v>
      </c>
      <c r="I9" s="167">
        <v>69337000</v>
      </c>
      <c r="J9" s="167">
        <v>99917000</v>
      </c>
      <c r="K9" s="169">
        <f>J9-I9</f>
        <v>30580000</v>
      </c>
    </row>
    <row r="10" spans="2:11" ht="24.95" customHeight="1">
      <c r="B10" s="542" t="s">
        <v>125</v>
      </c>
      <c r="C10" s="416" t="s">
        <v>308</v>
      </c>
      <c r="D10" s="417">
        <f>SUM(D11:D13)</f>
        <v>80436000</v>
      </c>
      <c r="E10" s="417">
        <f>SUM(E11:E13)</f>
        <v>112909000</v>
      </c>
      <c r="F10" s="418">
        <f>SUM(F11:F13)</f>
        <v>32473000</v>
      </c>
      <c r="G10" s="544"/>
      <c r="H10" s="166" t="s">
        <v>126</v>
      </c>
      <c r="I10" s="167">
        <v>160000</v>
      </c>
      <c r="J10" s="167">
        <v>230000</v>
      </c>
      <c r="K10" s="169">
        <f t="shared" ref="K10:K11" si="0">J10-I10</f>
        <v>70000</v>
      </c>
    </row>
    <row r="11" spans="2:11" ht="24.95" customHeight="1">
      <c r="B11" s="544"/>
      <c r="C11" s="270" t="s">
        <v>268</v>
      </c>
      <c r="D11" s="167">
        <v>0</v>
      </c>
      <c r="E11" s="167">
        <v>0</v>
      </c>
      <c r="F11" s="168">
        <f t="shared" ref="F11:F22" si="1">E11-D11</f>
        <v>0</v>
      </c>
      <c r="G11" s="543"/>
      <c r="H11" s="166" t="s">
        <v>76</v>
      </c>
      <c r="I11" s="167">
        <v>8920000</v>
      </c>
      <c r="J11" s="167">
        <v>8687000</v>
      </c>
      <c r="K11" s="169">
        <f t="shared" si="0"/>
        <v>-233000</v>
      </c>
    </row>
    <row r="12" spans="2:11" ht="24.95" customHeight="1">
      <c r="B12" s="544"/>
      <c r="C12" s="270" t="s">
        <v>269</v>
      </c>
      <c r="D12" s="167">
        <v>8343000</v>
      </c>
      <c r="E12" s="167">
        <v>11621000</v>
      </c>
      <c r="F12" s="168">
        <f t="shared" si="1"/>
        <v>3278000</v>
      </c>
      <c r="G12" s="542" t="s">
        <v>77</v>
      </c>
      <c r="H12" s="416" t="s">
        <v>308</v>
      </c>
      <c r="I12" s="417">
        <f>SUM(I13:I15)</f>
        <v>700000</v>
      </c>
      <c r="J12" s="417">
        <f>SUM(J13:J15)</f>
        <v>2700000</v>
      </c>
      <c r="K12" s="420">
        <f>SUM(K13:K15)</f>
        <v>2000000</v>
      </c>
    </row>
    <row r="13" spans="2:11" ht="24.95" customHeight="1">
      <c r="B13" s="543"/>
      <c r="C13" s="270" t="s">
        <v>270</v>
      </c>
      <c r="D13" s="167">
        <v>72093000</v>
      </c>
      <c r="E13" s="167">
        <v>101288000</v>
      </c>
      <c r="F13" s="168">
        <f t="shared" si="1"/>
        <v>29195000</v>
      </c>
      <c r="G13" s="544"/>
      <c r="H13" s="166" t="s">
        <v>78</v>
      </c>
      <c r="I13" s="167">
        <v>0</v>
      </c>
      <c r="J13" s="167">
        <v>0</v>
      </c>
      <c r="K13" s="169">
        <f t="shared" ref="K13" si="2">J13-I13</f>
        <v>0</v>
      </c>
    </row>
    <row r="14" spans="2:11" ht="24.95" customHeight="1">
      <c r="B14" s="542" t="s">
        <v>79</v>
      </c>
      <c r="C14" s="416" t="s">
        <v>308</v>
      </c>
      <c r="D14" s="417">
        <f>SUM(D15:D16)</f>
        <v>500000</v>
      </c>
      <c r="E14" s="417">
        <f>SUM(E15:E16)</f>
        <v>500000</v>
      </c>
      <c r="F14" s="418">
        <f>SUM(F15:F16)</f>
        <v>0</v>
      </c>
      <c r="G14" s="544"/>
      <c r="H14" s="166" t="s">
        <v>81</v>
      </c>
      <c r="I14" s="167">
        <v>500000</v>
      </c>
      <c r="J14" s="167">
        <v>2500000</v>
      </c>
      <c r="K14" s="169">
        <f t="shared" ref="K14:K15" si="3">J14-I14</f>
        <v>2000000</v>
      </c>
    </row>
    <row r="15" spans="2:11" ht="24.95" customHeight="1">
      <c r="B15" s="544"/>
      <c r="C15" s="166" t="s">
        <v>80</v>
      </c>
      <c r="D15" s="167">
        <v>0</v>
      </c>
      <c r="E15" s="167">
        <v>0</v>
      </c>
      <c r="F15" s="168">
        <f t="shared" si="1"/>
        <v>0</v>
      </c>
      <c r="G15" s="543"/>
      <c r="H15" s="166" t="s">
        <v>83</v>
      </c>
      <c r="I15" s="167">
        <v>200000</v>
      </c>
      <c r="J15" s="167">
        <v>200000</v>
      </c>
      <c r="K15" s="169">
        <f t="shared" si="3"/>
        <v>0</v>
      </c>
    </row>
    <row r="16" spans="2:11" ht="24.95" customHeight="1">
      <c r="B16" s="543"/>
      <c r="C16" s="166" t="s">
        <v>82</v>
      </c>
      <c r="D16" s="167">
        <v>500000</v>
      </c>
      <c r="E16" s="167">
        <v>500000</v>
      </c>
      <c r="F16" s="168">
        <f t="shared" si="1"/>
        <v>0</v>
      </c>
      <c r="G16" s="542" t="s">
        <v>86</v>
      </c>
      <c r="H16" s="416" t="s">
        <v>308</v>
      </c>
      <c r="I16" s="417">
        <f>SUM(I17:I22)</f>
        <v>16142000</v>
      </c>
      <c r="J16" s="417">
        <f>SUM(J17:J22)</f>
        <v>20034000</v>
      </c>
      <c r="K16" s="420">
        <f>SUM(K17:K22)</f>
        <v>3892000</v>
      </c>
    </row>
    <row r="17" spans="2:11" ht="24.95" customHeight="1">
      <c r="B17" s="542" t="s">
        <v>84</v>
      </c>
      <c r="C17" s="416" t="s">
        <v>308</v>
      </c>
      <c r="D17" s="417">
        <v>0</v>
      </c>
      <c r="E17" s="417">
        <v>0</v>
      </c>
      <c r="F17" s="418">
        <f>F18</f>
        <v>0</v>
      </c>
      <c r="G17" s="544"/>
      <c r="H17" s="166" t="s">
        <v>87</v>
      </c>
      <c r="I17" s="167">
        <v>10210000</v>
      </c>
      <c r="J17" s="167">
        <v>11382000</v>
      </c>
      <c r="K17" s="169">
        <f t="shared" ref="K17:K22" si="4">J17-I17</f>
        <v>1172000</v>
      </c>
    </row>
    <row r="18" spans="2:11" ht="24.95" customHeight="1">
      <c r="B18" s="543"/>
      <c r="C18" s="166" t="s">
        <v>85</v>
      </c>
      <c r="D18" s="167">
        <v>0</v>
      </c>
      <c r="E18" s="167">
        <v>0</v>
      </c>
      <c r="F18" s="168">
        <f t="shared" si="1"/>
        <v>0</v>
      </c>
      <c r="G18" s="544"/>
      <c r="H18" s="166" t="s">
        <v>90</v>
      </c>
      <c r="I18" s="167">
        <v>567000</v>
      </c>
      <c r="J18" s="167">
        <v>651000</v>
      </c>
      <c r="K18" s="169">
        <f t="shared" si="4"/>
        <v>84000</v>
      </c>
    </row>
    <row r="19" spans="2:11" ht="24.95" customHeight="1">
      <c r="B19" s="542" t="s">
        <v>88</v>
      </c>
      <c r="C19" s="416" t="s">
        <v>308</v>
      </c>
      <c r="D19" s="526">
        <f>D20</f>
        <v>5555000</v>
      </c>
      <c r="E19" s="526">
        <f>E20</f>
        <v>4410000</v>
      </c>
      <c r="F19" s="418">
        <f>F20</f>
        <v>-1145000</v>
      </c>
      <c r="G19" s="544"/>
      <c r="H19" s="166" t="s">
        <v>93</v>
      </c>
      <c r="I19" s="167">
        <v>1280000</v>
      </c>
      <c r="J19" s="167">
        <v>1320000</v>
      </c>
      <c r="K19" s="169">
        <f t="shared" si="4"/>
        <v>40000</v>
      </c>
    </row>
    <row r="20" spans="2:11" ht="24.95" customHeight="1">
      <c r="B20" s="543"/>
      <c r="C20" s="166" t="s">
        <v>89</v>
      </c>
      <c r="D20" s="525">
        <v>5555000</v>
      </c>
      <c r="E20" s="525">
        <v>4410000</v>
      </c>
      <c r="F20" s="168">
        <f t="shared" si="1"/>
        <v>-1145000</v>
      </c>
      <c r="G20" s="544"/>
      <c r="H20" s="166" t="s">
        <v>94</v>
      </c>
      <c r="I20" s="167">
        <v>580000</v>
      </c>
      <c r="J20" s="167">
        <v>620000</v>
      </c>
      <c r="K20" s="169">
        <f t="shared" si="4"/>
        <v>40000</v>
      </c>
    </row>
    <row r="21" spans="2:11" ht="24.95" customHeight="1">
      <c r="B21" s="542" t="s">
        <v>91</v>
      </c>
      <c r="C21" s="416" t="s">
        <v>308</v>
      </c>
      <c r="D21" s="526">
        <f>D22</f>
        <v>1332000</v>
      </c>
      <c r="E21" s="526">
        <f>E22</f>
        <v>1769000</v>
      </c>
      <c r="F21" s="418">
        <f>F22</f>
        <v>437000</v>
      </c>
      <c r="G21" s="544"/>
      <c r="H21" s="166" t="s">
        <v>95</v>
      </c>
      <c r="I21" s="167">
        <v>60000</v>
      </c>
      <c r="J21" s="167">
        <v>60000</v>
      </c>
      <c r="K21" s="169">
        <f t="shared" si="4"/>
        <v>0</v>
      </c>
    </row>
    <row r="22" spans="2:11" ht="24.95" customHeight="1">
      <c r="B22" s="543"/>
      <c r="C22" s="166" t="s">
        <v>92</v>
      </c>
      <c r="D22" s="525">
        <v>1332000</v>
      </c>
      <c r="E22" s="525">
        <v>1769000</v>
      </c>
      <c r="F22" s="168">
        <f t="shared" si="1"/>
        <v>437000</v>
      </c>
      <c r="G22" s="543"/>
      <c r="H22" s="166" t="s">
        <v>96</v>
      </c>
      <c r="I22" s="167">
        <v>3445000</v>
      </c>
      <c r="J22" s="167">
        <v>6001000</v>
      </c>
      <c r="K22" s="169">
        <f t="shared" si="4"/>
        <v>2556000</v>
      </c>
    </row>
    <row r="23" spans="2:11" ht="24.95" customHeight="1">
      <c r="B23" s="536"/>
      <c r="C23" s="537"/>
      <c r="D23" s="537"/>
      <c r="E23" s="537"/>
      <c r="F23" s="537"/>
      <c r="G23" s="542" t="s">
        <v>98</v>
      </c>
      <c r="H23" s="416" t="s">
        <v>308</v>
      </c>
      <c r="I23" s="417">
        <f>I24</f>
        <v>0</v>
      </c>
      <c r="J23" s="417">
        <f>J24</f>
        <v>0</v>
      </c>
      <c r="K23" s="420">
        <f>K24</f>
        <v>0</v>
      </c>
    </row>
    <row r="24" spans="2:11" ht="24.95" customHeight="1">
      <c r="B24" s="536"/>
      <c r="C24" s="537"/>
      <c r="D24" s="537"/>
      <c r="E24" s="537"/>
      <c r="F24" s="537"/>
      <c r="G24" s="543"/>
      <c r="H24" s="166" t="s">
        <v>99</v>
      </c>
      <c r="I24" s="167">
        <v>0</v>
      </c>
      <c r="J24" s="167">
        <v>0</v>
      </c>
      <c r="K24" s="169">
        <f t="shared" ref="K24" si="5">J24-I24</f>
        <v>0</v>
      </c>
    </row>
    <row r="25" spans="2:11" ht="24.95" customHeight="1">
      <c r="B25" s="536"/>
      <c r="C25" s="537"/>
      <c r="D25" s="537"/>
      <c r="E25" s="537"/>
      <c r="F25" s="537"/>
      <c r="G25" s="542" t="s">
        <v>100</v>
      </c>
      <c r="H25" s="416" t="s">
        <v>308</v>
      </c>
      <c r="I25" s="417">
        <f>SUM(I26:I26)</f>
        <v>1814000</v>
      </c>
      <c r="J25" s="526">
        <f>SUM(J26:J26)</f>
        <v>20000</v>
      </c>
      <c r="K25" s="420">
        <f>SUM(K26:K30)</f>
        <v>-1794000</v>
      </c>
    </row>
    <row r="26" spans="2:11" ht="24.95" customHeight="1" thickBot="1">
      <c r="B26" s="538"/>
      <c r="C26" s="539"/>
      <c r="D26" s="539"/>
      <c r="E26" s="539"/>
      <c r="F26" s="539"/>
      <c r="G26" s="545"/>
      <c r="H26" s="529" t="s">
        <v>97</v>
      </c>
      <c r="I26" s="535">
        <v>1814000</v>
      </c>
      <c r="J26" s="530">
        <v>20000</v>
      </c>
      <c r="K26" s="531">
        <f t="shared" ref="K26" si="6">J26-I26</f>
        <v>-1794000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workbookViewId="0">
      <selection sqref="A1:D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0" t="s">
        <v>509</v>
      </c>
      <c r="B1" s="570"/>
      <c r="C1" s="570"/>
      <c r="D1" s="570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1" t="s">
        <v>62</v>
      </c>
      <c r="B2" s="572"/>
      <c r="C2" s="572"/>
      <c r="D2" s="572"/>
      <c r="E2" s="563" t="s">
        <v>511</v>
      </c>
      <c r="F2" s="563" t="s">
        <v>510</v>
      </c>
      <c r="G2" s="565" t="s">
        <v>23</v>
      </c>
      <c r="H2" s="565"/>
      <c r="I2" s="565" t="s">
        <v>54</v>
      </c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6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127</v>
      </c>
      <c r="D3" s="20" t="s">
        <v>128</v>
      </c>
      <c r="E3" s="564"/>
      <c r="F3" s="564"/>
      <c r="G3" s="132" t="s">
        <v>104</v>
      </c>
      <c r="H3" s="21" t="s">
        <v>4</v>
      </c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8"/>
      <c r="Z3" s="8"/>
    </row>
    <row r="4" spans="1:26" s="3" customFormat="1" ht="19.5" customHeight="1">
      <c r="A4" s="573" t="s">
        <v>24</v>
      </c>
      <c r="B4" s="574"/>
      <c r="C4" s="574"/>
      <c r="D4" s="575"/>
      <c r="E4" s="193">
        <f>SUM(E5,E8,E10,E12,E144,E155,E162,E171,E196)</f>
        <v>97073</v>
      </c>
      <c r="F4" s="193">
        <f>SUM(F5,F8,F10,F12,F144,F155,F162,F171,F196)</f>
        <v>131588</v>
      </c>
      <c r="G4" s="289">
        <f>SUM(G5,G8,G10,G12,G144,G155,G162,G171,G196)</f>
        <v>34515</v>
      </c>
      <c r="H4" s="194">
        <f t="shared" ref="H4" si="0">IF(E4=0,0,G4/E4)</f>
        <v>0.35555715801510202</v>
      </c>
      <c r="I4" s="22" t="s">
        <v>113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9">
        <f>SUM(X5,X8,X10,X12,X144,X155,X162,X171,X196)</f>
        <v>131588000</v>
      </c>
      <c r="Y4" s="24" t="s">
        <v>114</v>
      </c>
      <c r="Z4" s="8"/>
    </row>
    <row r="5" spans="1:26" ht="21" customHeight="1" thickBot="1">
      <c r="A5" s="27" t="s">
        <v>58</v>
      </c>
      <c r="B5" s="28" t="s">
        <v>58</v>
      </c>
      <c r="C5" s="171" t="s">
        <v>103</v>
      </c>
      <c r="D5" s="171" t="s">
        <v>103</v>
      </c>
      <c r="E5" s="523">
        <v>9250</v>
      </c>
      <c r="F5" s="187">
        <f>ROUND(X5/1000,0)</f>
        <v>12000</v>
      </c>
      <c r="G5" s="188">
        <f>F5-E5</f>
        <v>2750</v>
      </c>
      <c r="H5" s="189">
        <f>IF(E5=0,0,G5/E5)</f>
        <v>0.29729729729729731</v>
      </c>
      <c r="I5" s="32" t="s">
        <v>112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12000000</v>
      </c>
      <c r="Y5" s="36" t="s">
        <v>25</v>
      </c>
    </row>
    <row r="6" spans="1:26" ht="21" customHeight="1">
      <c r="A6" s="37" t="s">
        <v>59</v>
      </c>
      <c r="B6" s="38" t="s">
        <v>102</v>
      </c>
      <c r="C6" s="39" t="s">
        <v>102</v>
      </c>
      <c r="D6" s="39"/>
      <c r="E6" s="434"/>
      <c r="F6" s="434"/>
      <c r="G6" s="435"/>
      <c r="H6" s="436"/>
      <c r="I6" s="284" t="s">
        <v>272</v>
      </c>
      <c r="J6" s="44"/>
      <c r="K6" s="45"/>
      <c r="L6" s="45"/>
      <c r="M6" s="293">
        <v>250000</v>
      </c>
      <c r="N6" s="293" t="s">
        <v>56</v>
      </c>
      <c r="O6" s="294" t="s">
        <v>57</v>
      </c>
      <c r="P6" s="432">
        <v>4</v>
      </c>
      <c r="Q6" s="293" t="s">
        <v>55</v>
      </c>
      <c r="R6" s="294" t="s">
        <v>57</v>
      </c>
      <c r="S6" s="46">
        <v>12</v>
      </c>
      <c r="T6" s="425" t="s">
        <v>0</v>
      </c>
      <c r="U6" s="425" t="s">
        <v>53</v>
      </c>
      <c r="V6" s="425"/>
      <c r="W6" s="293"/>
      <c r="X6" s="293">
        <f>M6*P6*S6</f>
        <v>12000000</v>
      </c>
      <c r="Y6" s="47" t="s">
        <v>56</v>
      </c>
    </row>
    <row r="7" spans="1:26" ht="21" customHeight="1">
      <c r="A7" s="37"/>
      <c r="B7" s="38"/>
      <c r="C7" s="39"/>
      <c r="D7" s="39" t="s">
        <v>102</v>
      </c>
      <c r="E7" s="40"/>
      <c r="F7" s="40"/>
      <c r="G7" s="41"/>
      <c r="H7" s="25"/>
      <c r="I7" s="284"/>
      <c r="J7" s="44"/>
      <c r="K7" s="45"/>
      <c r="L7" s="45"/>
      <c r="M7" s="197"/>
      <c r="N7" s="197"/>
      <c r="O7" s="198"/>
      <c r="P7" s="120"/>
      <c r="Q7" s="197"/>
      <c r="R7" s="198"/>
      <c r="S7" s="46"/>
      <c r="T7" s="230"/>
      <c r="U7" s="230"/>
      <c r="V7" s="230"/>
      <c r="W7" s="197"/>
      <c r="X7" s="197"/>
      <c r="Y7" s="47"/>
    </row>
    <row r="8" spans="1:26" s="11" customFormat="1" ht="19.5" customHeight="1" thickBot="1">
      <c r="A8" s="27" t="s">
        <v>129</v>
      </c>
      <c r="B8" s="28" t="s">
        <v>131</v>
      </c>
      <c r="C8" s="28" t="s">
        <v>129</v>
      </c>
      <c r="D8" s="28" t="s">
        <v>129</v>
      </c>
      <c r="E8" s="187">
        <v>0</v>
      </c>
      <c r="F8" s="187">
        <f>ROUND(X8/1000,0)</f>
        <v>0</v>
      </c>
      <c r="G8" s="188">
        <f>F8-E8</f>
        <v>0</v>
      </c>
      <c r="H8" s="189">
        <f>IF(E8=0,0,G8/E8)</f>
        <v>0</v>
      </c>
      <c r="I8" s="32" t="s">
        <v>133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130</v>
      </c>
      <c r="B9" s="49" t="s">
        <v>132</v>
      </c>
      <c r="C9" s="49" t="s">
        <v>130</v>
      </c>
      <c r="D9" s="49" t="s">
        <v>130</v>
      </c>
      <c r="E9" s="40"/>
      <c r="F9" s="40"/>
      <c r="G9" s="41"/>
      <c r="H9" s="25"/>
      <c r="I9" s="43" t="s">
        <v>271</v>
      </c>
      <c r="J9" s="44"/>
      <c r="K9" s="45"/>
      <c r="L9" s="45"/>
      <c r="M9" s="197"/>
      <c r="N9" s="197"/>
      <c r="O9" s="198"/>
      <c r="P9" s="197"/>
      <c r="Q9" s="197"/>
      <c r="R9" s="198"/>
      <c r="S9" s="46"/>
      <c r="T9" s="230"/>
      <c r="U9" s="230"/>
      <c r="V9" s="230"/>
      <c r="W9" s="197"/>
      <c r="X9" s="197">
        <v>0</v>
      </c>
      <c r="Y9" s="47" t="s">
        <v>56</v>
      </c>
    </row>
    <row r="10" spans="1:26" ht="21" customHeight="1" thickBot="1">
      <c r="A10" s="27" t="s">
        <v>135</v>
      </c>
      <c r="B10" s="28" t="s">
        <v>137</v>
      </c>
      <c r="C10" s="28" t="s">
        <v>135</v>
      </c>
      <c r="D10" s="28" t="s">
        <v>135</v>
      </c>
      <c r="E10" s="187">
        <v>0</v>
      </c>
      <c r="F10" s="187">
        <f>ROUND(X10/1000,0)</f>
        <v>0</v>
      </c>
      <c r="G10" s="188">
        <f>F10-E10</f>
        <v>0</v>
      </c>
      <c r="H10" s="189">
        <f>IF(E10=0,0,G10/E10)</f>
        <v>0</v>
      </c>
      <c r="I10" s="32" t="s">
        <v>200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197</v>
      </c>
      <c r="B11" s="49" t="s">
        <v>198</v>
      </c>
      <c r="C11" s="49" t="s">
        <v>198</v>
      </c>
      <c r="D11" s="99" t="s">
        <v>198</v>
      </c>
      <c r="E11" s="202"/>
      <c r="F11" s="203">
        <v>0</v>
      </c>
      <c r="G11" s="204"/>
      <c r="H11" s="205"/>
      <c r="I11" s="206"/>
      <c r="J11" s="207"/>
      <c r="K11" s="208"/>
      <c r="L11" s="208"/>
      <c r="M11" s="208"/>
      <c r="N11" s="208"/>
      <c r="O11" s="208"/>
      <c r="P11" s="209"/>
      <c r="Q11" s="209"/>
      <c r="R11" s="209"/>
      <c r="S11" s="209"/>
      <c r="T11" s="209"/>
      <c r="U11" s="209"/>
      <c r="V11" s="209"/>
      <c r="W11" s="210"/>
      <c r="X11" s="210">
        <v>0</v>
      </c>
      <c r="Y11" s="258" t="s">
        <v>199</v>
      </c>
    </row>
    <row r="12" spans="1:26" s="11" customFormat="1" ht="19.5" customHeight="1">
      <c r="A12" s="27" t="s">
        <v>134</v>
      </c>
      <c r="B12" s="28" t="s">
        <v>134</v>
      </c>
      <c r="C12" s="561" t="s">
        <v>255</v>
      </c>
      <c r="D12" s="562"/>
      <c r="E12" s="240">
        <f>SUM(E13,E22,E83,E141)</f>
        <v>80436</v>
      </c>
      <c r="F12" s="240">
        <f>SUM(F13,F22,F83,F141)</f>
        <v>112909</v>
      </c>
      <c r="G12" s="241">
        <f t="shared" ref="G12:G14" si="1">F12-E12</f>
        <v>32473</v>
      </c>
      <c r="H12" s="242">
        <f t="shared" ref="H12:H14" si="2">IF(E12=0,0,G12/E12)</f>
        <v>0.40371226813864441</v>
      </c>
      <c r="I12" s="243" t="s">
        <v>256</v>
      </c>
      <c r="J12" s="244"/>
      <c r="K12" s="245"/>
      <c r="L12" s="245"/>
      <c r="M12" s="244"/>
      <c r="N12" s="244"/>
      <c r="O12" s="244"/>
      <c r="P12" s="244"/>
      <c r="Q12" s="244"/>
      <c r="R12" s="246"/>
      <c r="S12" s="246"/>
      <c r="T12" s="246"/>
      <c r="U12" s="246"/>
      <c r="V12" s="246"/>
      <c r="W12" s="246"/>
      <c r="X12" s="247">
        <f>SUM(X13,X22,X83,X141)</f>
        <v>112909000</v>
      </c>
      <c r="Y12" s="259" t="s">
        <v>25</v>
      </c>
      <c r="Z12" s="6"/>
    </row>
    <row r="13" spans="1:26" s="11" customFormat="1" ht="19.5" customHeight="1">
      <c r="A13" s="37" t="s">
        <v>136</v>
      </c>
      <c r="B13" s="38" t="s">
        <v>132</v>
      </c>
      <c r="C13" s="28" t="s">
        <v>138</v>
      </c>
      <c r="D13" s="257" t="s">
        <v>139</v>
      </c>
      <c r="E13" s="190">
        <f>SUM(E14:E20)</f>
        <v>0</v>
      </c>
      <c r="F13" s="190">
        <f>SUM(F14:F20)</f>
        <v>0</v>
      </c>
      <c r="G13" s="191">
        <f t="shared" si="1"/>
        <v>0</v>
      </c>
      <c r="H13" s="192">
        <f t="shared" si="2"/>
        <v>0</v>
      </c>
      <c r="I13" s="174" t="s">
        <v>140</v>
      </c>
      <c r="J13" s="175"/>
      <c r="K13" s="176"/>
      <c r="L13" s="176"/>
      <c r="M13" s="176"/>
      <c r="N13" s="176"/>
      <c r="O13" s="176"/>
      <c r="P13" s="177"/>
      <c r="Q13" s="177"/>
      <c r="R13" s="177"/>
      <c r="S13" s="177"/>
      <c r="T13" s="177"/>
      <c r="U13" s="177"/>
      <c r="V13" s="211" t="s">
        <v>201</v>
      </c>
      <c r="W13" s="212"/>
      <c r="X13" s="213">
        <f>SUM(X14,X17,X20)</f>
        <v>0</v>
      </c>
      <c r="Y13" s="260" t="s">
        <v>202</v>
      </c>
      <c r="Z13" s="6"/>
    </row>
    <row r="14" spans="1:26" s="11" customFormat="1" ht="19.5" customHeight="1">
      <c r="A14" s="37"/>
      <c r="B14" s="38"/>
      <c r="C14" s="38" t="s">
        <v>196</v>
      </c>
      <c r="D14" s="38" t="s">
        <v>195</v>
      </c>
      <c r="E14" s="201">
        <v>0</v>
      </c>
      <c r="F14" s="201">
        <f>ROUND(X14/1000,0)</f>
        <v>0</v>
      </c>
      <c r="G14" s="265">
        <f t="shared" si="1"/>
        <v>0</v>
      </c>
      <c r="H14" s="266">
        <f t="shared" si="2"/>
        <v>0</v>
      </c>
      <c r="I14" s="127" t="s">
        <v>193</v>
      </c>
      <c r="J14" s="198"/>
      <c r="K14" s="197"/>
      <c r="L14" s="197"/>
      <c r="M14" s="197"/>
      <c r="N14" s="230"/>
      <c r="O14" s="178"/>
      <c r="P14" s="197"/>
      <c r="Q14" s="44"/>
      <c r="R14" s="179"/>
      <c r="S14" s="182"/>
      <c r="T14" s="182"/>
      <c r="U14" s="230"/>
      <c r="V14" s="196" t="s">
        <v>194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5"/>
      <c r="G15" s="41"/>
      <c r="H15" s="60"/>
      <c r="I15" s="285" t="s">
        <v>273</v>
      </c>
      <c r="J15" s="198"/>
      <c r="K15" s="197"/>
      <c r="L15" s="197"/>
      <c r="M15" s="197">
        <v>0</v>
      </c>
      <c r="N15" s="230" t="s">
        <v>25</v>
      </c>
      <c r="O15" s="178" t="s">
        <v>26</v>
      </c>
      <c r="P15" s="120">
        <v>0</v>
      </c>
      <c r="Q15" s="44" t="s">
        <v>110</v>
      </c>
      <c r="R15" s="179" t="s">
        <v>26</v>
      </c>
      <c r="S15" s="182">
        <v>0</v>
      </c>
      <c r="T15" s="182" t="s">
        <v>29</v>
      </c>
      <c r="U15" s="230" t="s">
        <v>26</v>
      </c>
      <c r="V15" s="234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5"/>
      <c r="J16" s="58"/>
      <c r="K16" s="181"/>
      <c r="L16" s="181"/>
      <c r="M16" s="293"/>
      <c r="N16" s="293"/>
      <c r="O16" s="178"/>
      <c r="P16" s="352"/>
      <c r="Q16" s="44"/>
      <c r="R16" s="180"/>
      <c r="S16" s="46"/>
      <c r="T16" s="351"/>
      <c r="U16" s="351"/>
      <c r="V16" s="234"/>
      <c r="W16" s="294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109</v>
      </c>
      <c r="E17" s="29">
        <v>0</v>
      </c>
      <c r="F17" s="214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6" t="s">
        <v>448</v>
      </c>
      <c r="J17" s="225"/>
      <c r="K17" s="233"/>
      <c r="L17" s="233"/>
      <c r="M17" s="79"/>
      <c r="N17" s="79"/>
      <c r="O17" s="215"/>
      <c r="P17" s="79"/>
      <c r="Q17" s="216"/>
      <c r="R17" s="223"/>
      <c r="S17" s="224"/>
      <c r="T17" s="350"/>
      <c r="U17" s="350"/>
      <c r="V17" s="227" t="s">
        <v>194</v>
      </c>
      <c r="W17" s="228"/>
      <c r="X17" s="228">
        <v>0</v>
      </c>
      <c r="Y17" s="261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6" t="s">
        <v>274</v>
      </c>
      <c r="J18" s="294"/>
      <c r="K18" s="293"/>
      <c r="L18" s="293"/>
      <c r="M18" s="293">
        <v>0</v>
      </c>
      <c r="N18" s="293" t="s">
        <v>56</v>
      </c>
      <c r="O18" s="64" t="s">
        <v>57</v>
      </c>
      <c r="P18" s="272">
        <v>0.7</v>
      </c>
      <c r="Q18" s="293"/>
      <c r="R18" s="293"/>
      <c r="S18" s="293"/>
      <c r="T18" s="293"/>
      <c r="U18" s="293" t="s">
        <v>53</v>
      </c>
      <c r="V18" s="353" t="s">
        <v>69</v>
      </c>
      <c r="W18" s="62"/>
      <c r="X18" s="353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4"/>
      <c r="J19" s="62"/>
      <c r="K19" s="219"/>
      <c r="L19" s="219"/>
      <c r="M19" s="353"/>
      <c r="N19" s="353"/>
      <c r="O19" s="220"/>
      <c r="P19" s="353"/>
      <c r="Q19" s="117"/>
      <c r="R19" s="221"/>
      <c r="S19" s="72"/>
      <c r="T19" s="170"/>
      <c r="U19" s="170"/>
      <c r="V19" s="222"/>
      <c r="W19" s="354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297</v>
      </c>
      <c r="E20" s="214">
        <v>0</v>
      </c>
      <c r="F20" s="214">
        <f>ROUND(X20/1000,0)</f>
        <v>0</v>
      </c>
      <c r="G20" s="267">
        <f t="shared" ref="G20" si="5">F20-E20</f>
        <v>0</v>
      </c>
      <c r="H20" s="109">
        <f t="shared" ref="H20" si="6">IF(E20=0,0,G20/E20)</f>
        <v>0</v>
      </c>
      <c r="I20" s="355" t="s">
        <v>300</v>
      </c>
      <c r="J20" s="356"/>
      <c r="K20" s="357"/>
      <c r="L20" s="357"/>
      <c r="M20" s="358"/>
      <c r="N20" s="358"/>
      <c r="O20" s="359"/>
      <c r="P20" s="358"/>
      <c r="Q20" s="360"/>
      <c r="R20" s="361"/>
      <c r="S20" s="362"/>
      <c r="T20" s="363"/>
      <c r="U20" s="363"/>
      <c r="V20" s="364" t="s">
        <v>301</v>
      </c>
      <c r="W20" s="365"/>
      <c r="X20" s="365">
        <v>0</v>
      </c>
      <c r="Y20" s="366" t="s">
        <v>302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6"/>
      <c r="J21" s="348"/>
      <c r="K21" s="376"/>
      <c r="L21" s="376"/>
      <c r="M21" s="347"/>
      <c r="N21" s="347"/>
      <c r="O21" s="377"/>
      <c r="P21" s="347"/>
      <c r="Q21" s="378"/>
      <c r="R21" s="379"/>
      <c r="S21" s="380"/>
      <c r="T21" s="381"/>
      <c r="U21" s="381"/>
      <c r="V21" s="382"/>
      <c r="W21" s="383"/>
      <c r="X21" s="348"/>
      <c r="Y21" s="349"/>
      <c r="Z21" s="6"/>
    </row>
    <row r="22" spans="1:26" s="11" customFormat="1" ht="19.5" customHeight="1">
      <c r="A22" s="50"/>
      <c r="B22" s="38"/>
      <c r="C22" s="28" t="s">
        <v>142</v>
      </c>
      <c r="D22" s="257" t="s">
        <v>111</v>
      </c>
      <c r="E22" s="190">
        <f>SUM(E23:E82)</f>
        <v>8343</v>
      </c>
      <c r="F22" s="190">
        <f>SUM(F23:F82)</f>
        <v>11621</v>
      </c>
      <c r="G22" s="191">
        <f t="shared" ref="G22:G23" si="7">F22-E22</f>
        <v>3278</v>
      </c>
      <c r="H22" s="192">
        <f t="shared" ref="H22:H23" si="8">IF(E22=0,0,G22/E22)</f>
        <v>0.39290423109193334</v>
      </c>
      <c r="I22" s="174" t="s">
        <v>203</v>
      </c>
      <c r="J22" s="175"/>
      <c r="K22" s="176"/>
      <c r="L22" s="176"/>
      <c r="M22" s="176"/>
      <c r="N22" s="176"/>
      <c r="O22" s="176"/>
      <c r="P22" s="177"/>
      <c r="Q22" s="177"/>
      <c r="R22" s="177"/>
      <c r="S22" s="177"/>
      <c r="T22" s="177"/>
      <c r="U22" s="177"/>
      <c r="V22" s="211" t="s">
        <v>69</v>
      </c>
      <c r="W22" s="212"/>
      <c r="X22" s="212">
        <f>SUM(X23,X26,X63,X69,X77,X80)</f>
        <v>11621000</v>
      </c>
      <c r="Y22" s="260" t="s">
        <v>56</v>
      </c>
      <c r="Z22" s="6"/>
    </row>
    <row r="23" spans="1:26" s="11" customFormat="1" ht="19.5" customHeight="1">
      <c r="A23" s="50"/>
      <c r="B23" s="38"/>
      <c r="C23" s="38" t="s">
        <v>143</v>
      </c>
      <c r="D23" s="28" t="s">
        <v>195</v>
      </c>
      <c r="E23" s="29">
        <v>0</v>
      </c>
      <c r="F23" s="214">
        <f>ROUND(X23/1000,0)</f>
        <v>0</v>
      </c>
      <c r="G23" s="30">
        <f t="shared" si="7"/>
        <v>0</v>
      </c>
      <c r="H23" s="109">
        <f t="shared" si="8"/>
        <v>0</v>
      </c>
      <c r="I23" s="127" t="s">
        <v>193</v>
      </c>
      <c r="J23" s="139"/>
      <c r="K23" s="79"/>
      <c r="L23" s="79"/>
      <c r="M23" s="79"/>
      <c r="N23" s="229"/>
      <c r="O23" s="215"/>
      <c r="P23" s="79"/>
      <c r="Q23" s="216"/>
      <c r="R23" s="217"/>
      <c r="S23" s="218"/>
      <c r="T23" s="218"/>
      <c r="U23" s="229"/>
      <c r="V23" s="196" t="s">
        <v>194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5" t="s">
        <v>273</v>
      </c>
      <c r="J24" s="294"/>
      <c r="K24" s="293"/>
      <c r="L24" s="293"/>
      <c r="M24" s="293">
        <v>0</v>
      </c>
      <c r="N24" s="422" t="s">
        <v>25</v>
      </c>
      <c r="O24" s="178" t="s">
        <v>26</v>
      </c>
      <c r="P24" s="423">
        <v>0</v>
      </c>
      <c r="Q24" s="44" t="s">
        <v>110</v>
      </c>
      <c r="R24" s="179" t="s">
        <v>26</v>
      </c>
      <c r="S24" s="182">
        <v>0</v>
      </c>
      <c r="T24" s="182" t="s">
        <v>29</v>
      </c>
      <c r="U24" s="422" t="s">
        <v>26</v>
      </c>
      <c r="V24" s="234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0"/>
      <c r="J25" s="62"/>
      <c r="K25" s="219"/>
      <c r="L25" s="219"/>
      <c r="M25" s="199"/>
      <c r="N25" s="199"/>
      <c r="O25" s="220"/>
      <c r="P25" s="199"/>
      <c r="Q25" s="117"/>
      <c r="R25" s="221"/>
      <c r="S25" s="72"/>
      <c r="T25" s="170"/>
      <c r="U25" s="170"/>
      <c r="V25" s="222"/>
      <c r="W25" s="200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204</v>
      </c>
      <c r="E26" s="524">
        <v>6880</v>
      </c>
      <c r="F26" s="214">
        <f>ROUND(X26/1000,0)</f>
        <v>9958</v>
      </c>
      <c r="G26" s="30">
        <f t="shared" ref="G26" si="9">F26-E26</f>
        <v>3078</v>
      </c>
      <c r="H26" s="109">
        <f t="shared" ref="H26" si="10">IF(E26=0,0,G26/E26)</f>
        <v>0.44738372093023254</v>
      </c>
      <c r="I26" s="226" t="s">
        <v>318</v>
      </c>
      <c r="J26" s="225"/>
      <c r="K26" s="233"/>
      <c r="L26" s="233"/>
      <c r="M26" s="79"/>
      <c r="N26" s="79"/>
      <c r="O26" s="215"/>
      <c r="P26" s="79"/>
      <c r="Q26" s="216"/>
      <c r="R26" s="223"/>
      <c r="S26" s="224"/>
      <c r="T26" s="229"/>
      <c r="U26" s="229"/>
      <c r="V26" s="227" t="s">
        <v>194</v>
      </c>
      <c r="W26" s="228"/>
      <c r="X26" s="228">
        <f>SUM(X27,X30,X43,X46,)</f>
        <v>9958000</v>
      </c>
      <c r="Y26" s="261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1"/>
      <c r="G27" s="41"/>
      <c r="H27" s="60"/>
      <c r="I27" s="286" t="s">
        <v>274</v>
      </c>
      <c r="J27" s="294"/>
      <c r="K27" s="293"/>
      <c r="L27" s="293"/>
      <c r="M27" s="293"/>
      <c r="N27" s="293"/>
      <c r="O27" s="64"/>
      <c r="P27" s="272"/>
      <c r="Q27" s="293"/>
      <c r="R27" s="293"/>
      <c r="S27" s="293"/>
      <c r="T27" s="293"/>
      <c r="U27" s="293"/>
      <c r="V27" s="353" t="s">
        <v>69</v>
      </c>
      <c r="W27" s="62"/>
      <c r="X27" s="437">
        <f>SUM(X28:X29)</f>
        <v>6017000</v>
      </c>
      <c r="Y27" s="438" t="s">
        <v>314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1"/>
      <c r="G28" s="41"/>
      <c r="H28" s="60"/>
      <c r="I28" s="285" t="s">
        <v>508</v>
      </c>
      <c r="J28" s="294"/>
      <c r="K28" s="293"/>
      <c r="L28" s="293"/>
      <c r="M28" s="293">
        <v>60166000</v>
      </c>
      <c r="N28" s="293" t="s">
        <v>56</v>
      </c>
      <c r="O28" s="64" t="s">
        <v>57</v>
      </c>
      <c r="P28" s="272">
        <v>0.1</v>
      </c>
      <c r="Q28" s="293"/>
      <c r="R28" s="293"/>
      <c r="S28" s="293"/>
      <c r="T28" s="293"/>
      <c r="U28" s="293" t="s">
        <v>316</v>
      </c>
      <c r="V28" s="293"/>
      <c r="W28" s="58"/>
      <c r="X28" s="293">
        <f>ROUND(M28*P28,-3)</f>
        <v>6017000</v>
      </c>
      <c r="Y28" s="47" t="s">
        <v>314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5"/>
      <c r="J29" s="198"/>
      <c r="K29" s="197"/>
      <c r="L29" s="197"/>
      <c r="M29" s="293"/>
      <c r="N29" s="197"/>
      <c r="O29" s="64"/>
      <c r="P29" s="272"/>
      <c r="Q29" s="197"/>
      <c r="R29" s="197"/>
      <c r="S29" s="197"/>
      <c r="T29" s="197"/>
      <c r="U29" s="197"/>
      <c r="V29" s="293"/>
      <c r="W29" s="58"/>
      <c r="X29" s="293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6" t="s">
        <v>275</v>
      </c>
      <c r="J30" s="198"/>
      <c r="K30" s="197"/>
      <c r="L30" s="197"/>
      <c r="M30" s="293"/>
      <c r="N30" s="197"/>
      <c r="O30" s="197"/>
      <c r="P30" s="197"/>
      <c r="Q30" s="197"/>
      <c r="R30" s="197"/>
      <c r="S30" s="197"/>
      <c r="T30" s="197"/>
      <c r="U30" s="197"/>
      <c r="V30" s="55"/>
      <c r="W30" s="439"/>
      <c r="X30" s="55">
        <f>SUM(X31,X34,X37,X40)</f>
        <v>2374000</v>
      </c>
      <c r="Y30" s="261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5" t="s">
        <v>276</v>
      </c>
      <c r="J31" s="198"/>
      <c r="K31" s="197"/>
      <c r="L31" s="197"/>
      <c r="M31" s="293"/>
      <c r="N31" s="197"/>
      <c r="O31" s="64"/>
      <c r="P31" s="272"/>
      <c r="Q31" s="197"/>
      <c r="R31" s="197"/>
      <c r="S31" s="197"/>
      <c r="T31" s="197"/>
      <c r="U31" s="197"/>
      <c r="V31" s="353" t="s">
        <v>69</v>
      </c>
      <c r="W31" s="62"/>
      <c r="X31" s="353">
        <f>SUM(X32:X33)</f>
        <v>599000</v>
      </c>
      <c r="Y31" s="63" t="s">
        <v>314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5" t="s">
        <v>508</v>
      </c>
      <c r="J32" s="294"/>
      <c r="K32" s="293"/>
      <c r="L32" s="293"/>
      <c r="M32" s="293">
        <v>5991000</v>
      </c>
      <c r="N32" s="293" t="s">
        <v>56</v>
      </c>
      <c r="O32" s="64" t="s">
        <v>57</v>
      </c>
      <c r="P32" s="272">
        <v>0.1</v>
      </c>
      <c r="Q32" s="293"/>
      <c r="R32" s="293"/>
      <c r="S32" s="293"/>
      <c r="T32" s="293"/>
      <c r="U32" s="293" t="s">
        <v>210</v>
      </c>
      <c r="V32" s="425"/>
      <c r="W32" s="425"/>
      <c r="X32" s="293">
        <f>ROUND(M32*P32,-3)</f>
        <v>599000</v>
      </c>
      <c r="Y32" s="47" t="s">
        <v>317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5"/>
      <c r="J33" s="294"/>
      <c r="K33" s="293"/>
      <c r="L33" s="293"/>
      <c r="M33" s="293"/>
      <c r="N33" s="293"/>
      <c r="O33" s="64"/>
      <c r="P33" s="272"/>
      <c r="Q33" s="293"/>
      <c r="R33" s="293"/>
      <c r="S33" s="293"/>
      <c r="T33" s="293"/>
      <c r="U33" s="293"/>
      <c r="V33" s="425"/>
      <c r="W33" s="425"/>
      <c r="X33" s="293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5" t="s">
        <v>277</v>
      </c>
      <c r="J34" s="198"/>
      <c r="K34" s="197"/>
      <c r="L34" s="197"/>
      <c r="M34" s="293"/>
      <c r="N34" s="197"/>
      <c r="O34" s="64"/>
      <c r="P34" s="272"/>
      <c r="Q34" s="197"/>
      <c r="R34" s="197"/>
      <c r="S34" s="197"/>
      <c r="T34" s="197"/>
      <c r="U34" s="197"/>
      <c r="V34" s="353" t="s">
        <v>69</v>
      </c>
      <c r="W34" s="62"/>
      <c r="X34" s="353">
        <f>SUM(X35:X36)</f>
        <v>48000</v>
      </c>
      <c r="Y34" s="63" t="s">
        <v>314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5" t="s">
        <v>315</v>
      </c>
      <c r="J35" s="294"/>
      <c r="K35" s="293"/>
      <c r="L35" s="293"/>
      <c r="M35" s="293">
        <v>480000</v>
      </c>
      <c r="N35" s="293" t="s">
        <v>56</v>
      </c>
      <c r="O35" s="64" t="s">
        <v>57</v>
      </c>
      <c r="P35" s="272">
        <v>0.1</v>
      </c>
      <c r="Q35" s="293"/>
      <c r="R35" s="293"/>
      <c r="S35" s="293"/>
      <c r="T35" s="293"/>
      <c r="U35" s="293" t="s">
        <v>210</v>
      </c>
      <c r="V35" s="425"/>
      <c r="W35" s="425"/>
      <c r="X35" s="293">
        <f t="shared" ref="X35:X38" si="11">ROUND(M35*P35,-3)</f>
        <v>48000</v>
      </c>
      <c r="Y35" s="47" t="s">
        <v>317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5"/>
      <c r="J36" s="294"/>
      <c r="K36" s="293"/>
      <c r="L36" s="293"/>
      <c r="M36" s="293"/>
      <c r="N36" s="293"/>
      <c r="O36" s="64"/>
      <c r="P36" s="272"/>
      <c r="Q36" s="293"/>
      <c r="R36" s="293"/>
      <c r="S36" s="293"/>
      <c r="T36" s="293"/>
      <c r="U36" s="293"/>
      <c r="V36" s="425"/>
      <c r="W36" s="425"/>
      <c r="X36" s="293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5" t="s">
        <v>278</v>
      </c>
      <c r="J37" s="198"/>
      <c r="K37" s="197"/>
      <c r="L37" s="197"/>
      <c r="M37" s="293"/>
      <c r="N37" s="197"/>
      <c r="O37" s="64"/>
      <c r="P37" s="272"/>
      <c r="Q37" s="197"/>
      <c r="R37" s="197"/>
      <c r="S37" s="197"/>
      <c r="T37" s="197"/>
      <c r="U37" s="197"/>
      <c r="V37" s="353" t="s">
        <v>69</v>
      </c>
      <c r="W37" s="62"/>
      <c r="X37" s="353">
        <f>SUM(X38:X39)</f>
        <v>1502000</v>
      </c>
      <c r="Y37" s="63" t="s">
        <v>314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5" t="s">
        <v>508</v>
      </c>
      <c r="J38" s="294"/>
      <c r="K38" s="293"/>
      <c r="L38" s="293"/>
      <c r="M38" s="293">
        <v>15021000</v>
      </c>
      <c r="N38" s="293" t="s">
        <v>56</v>
      </c>
      <c r="O38" s="64" t="s">
        <v>57</v>
      </c>
      <c r="P38" s="272">
        <v>0.1</v>
      </c>
      <c r="Q38" s="293"/>
      <c r="R38" s="293"/>
      <c r="S38" s="293"/>
      <c r="T38" s="293"/>
      <c r="U38" s="293" t="s">
        <v>210</v>
      </c>
      <c r="V38" s="425"/>
      <c r="W38" s="425"/>
      <c r="X38" s="293">
        <f t="shared" si="11"/>
        <v>1502000</v>
      </c>
      <c r="Y38" s="47" t="s">
        <v>317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5"/>
      <c r="J39" s="294"/>
      <c r="K39" s="293"/>
      <c r="L39" s="293"/>
      <c r="M39" s="293"/>
      <c r="N39" s="293"/>
      <c r="O39" s="64"/>
      <c r="P39" s="272"/>
      <c r="Q39" s="293"/>
      <c r="R39" s="293"/>
      <c r="S39" s="293"/>
      <c r="T39" s="293"/>
      <c r="U39" s="293"/>
      <c r="V39" s="425"/>
      <c r="W39" s="425"/>
      <c r="X39" s="293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5" t="s">
        <v>520</v>
      </c>
      <c r="J40" s="294"/>
      <c r="K40" s="293"/>
      <c r="L40" s="293"/>
      <c r="M40" s="293"/>
      <c r="N40" s="293"/>
      <c r="O40" s="64"/>
      <c r="P40" s="272"/>
      <c r="Q40" s="293"/>
      <c r="R40" s="293"/>
      <c r="S40" s="293"/>
      <c r="T40" s="293"/>
      <c r="U40" s="293"/>
      <c r="V40" s="353" t="s">
        <v>69</v>
      </c>
      <c r="W40" s="62"/>
      <c r="X40" s="353">
        <f>SUM(X41:X42)</f>
        <v>225000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5" t="s">
        <v>508</v>
      </c>
      <c r="J41" s="294"/>
      <c r="K41" s="293"/>
      <c r="L41" s="293"/>
      <c r="M41" s="293">
        <v>2245000</v>
      </c>
      <c r="N41" s="293" t="s">
        <v>56</v>
      </c>
      <c r="O41" s="64" t="s">
        <v>57</v>
      </c>
      <c r="P41" s="272">
        <v>0.1</v>
      </c>
      <c r="Q41" s="293"/>
      <c r="R41" s="293"/>
      <c r="S41" s="293"/>
      <c r="T41" s="293"/>
      <c r="U41" s="293" t="s">
        <v>53</v>
      </c>
      <c r="V41" s="527"/>
      <c r="W41" s="527"/>
      <c r="X41" s="293">
        <f t="shared" ref="X41" si="12">ROUND(M41*P41,-3)</f>
        <v>225000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5"/>
      <c r="J42" s="294"/>
      <c r="K42" s="293"/>
      <c r="L42" s="293"/>
      <c r="M42" s="293"/>
      <c r="N42" s="293"/>
      <c r="O42" s="64"/>
      <c r="P42" s="272"/>
      <c r="Q42" s="293"/>
      <c r="R42" s="293"/>
      <c r="S42" s="293"/>
      <c r="T42" s="293"/>
      <c r="U42" s="293"/>
      <c r="V42" s="527"/>
      <c r="W42" s="527"/>
      <c r="X42" s="293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6" t="s">
        <v>279</v>
      </c>
      <c r="J43" s="198"/>
      <c r="K43" s="197"/>
      <c r="L43" s="197"/>
      <c r="M43" s="293"/>
      <c r="N43" s="197"/>
      <c r="O43" s="197"/>
      <c r="P43" s="197"/>
      <c r="Q43" s="197"/>
      <c r="R43" s="197"/>
      <c r="S43" s="197"/>
      <c r="T43" s="197"/>
      <c r="U43" s="197"/>
      <c r="V43" s="199" t="s">
        <v>211</v>
      </c>
      <c r="W43" s="62"/>
      <c r="X43" s="199">
        <f>SUM(X44:X45)</f>
        <v>699000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5" t="s">
        <v>508</v>
      </c>
      <c r="J44" s="198"/>
      <c r="K44" s="197"/>
      <c r="L44" s="197"/>
      <c r="M44" s="293">
        <f>SUM(M28,M32,M35,M38,M41)</f>
        <v>83903000</v>
      </c>
      <c r="N44" s="44" t="s">
        <v>205</v>
      </c>
      <c r="O44" s="230" t="s">
        <v>206</v>
      </c>
      <c r="P44" s="66">
        <v>12</v>
      </c>
      <c r="Q44" s="178" t="s">
        <v>207</v>
      </c>
      <c r="R44" s="64" t="s">
        <v>209</v>
      </c>
      <c r="S44" s="272">
        <v>0.1</v>
      </c>
      <c r="T44" s="197"/>
      <c r="U44" s="197" t="s">
        <v>208</v>
      </c>
      <c r="V44" s="79"/>
      <c r="W44" s="79"/>
      <c r="X44" s="225">
        <f>ROUND(M44/P44*S44,-3)</f>
        <v>699000</v>
      </c>
      <c r="Y44" s="262" t="s">
        <v>199</v>
      </c>
      <c r="Z44" s="172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5"/>
      <c r="J45" s="294"/>
      <c r="K45" s="293"/>
      <c r="L45" s="293"/>
      <c r="M45" s="293"/>
      <c r="N45" s="44"/>
      <c r="O45" s="425"/>
      <c r="P45" s="66"/>
      <c r="Q45" s="178"/>
      <c r="R45" s="64"/>
      <c r="S45" s="272"/>
      <c r="T45" s="293"/>
      <c r="U45" s="293"/>
      <c r="V45" s="293"/>
      <c r="W45" s="293"/>
      <c r="X45" s="58"/>
      <c r="Y45" s="262"/>
      <c r="Z45" s="293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6" t="s">
        <v>280</v>
      </c>
      <c r="J46" s="198"/>
      <c r="K46" s="197"/>
      <c r="L46" s="197"/>
      <c r="M46" s="293"/>
      <c r="N46" s="44"/>
      <c r="O46" s="197"/>
      <c r="P46" s="197"/>
      <c r="Q46" s="197"/>
      <c r="R46" s="197"/>
      <c r="S46" s="197"/>
      <c r="T46" s="197"/>
      <c r="U46" s="197"/>
      <c r="V46" s="199" t="s">
        <v>211</v>
      </c>
      <c r="W46" s="62"/>
      <c r="X46" s="199">
        <f>SUM(X47,X50,X53,X56,X59)</f>
        <v>868000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5" t="s">
        <v>281</v>
      </c>
      <c r="J47" s="198"/>
      <c r="K47" s="197"/>
      <c r="L47" s="197"/>
      <c r="M47" s="293"/>
      <c r="N47" s="44"/>
      <c r="O47" s="64"/>
      <c r="P47" s="231"/>
      <c r="Q47" s="230"/>
      <c r="R47" s="64"/>
      <c r="S47" s="272"/>
      <c r="T47" s="65"/>
      <c r="U47" s="230"/>
      <c r="V47" s="128"/>
      <c r="W47" s="129"/>
      <c r="X47" s="129">
        <f>SUM(X48:X49)</f>
        <v>378000</v>
      </c>
      <c r="Y47" s="130" t="s">
        <v>205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5" t="s">
        <v>508</v>
      </c>
      <c r="J48" s="294"/>
      <c r="K48" s="293"/>
      <c r="L48" s="293"/>
      <c r="M48" s="293">
        <f>M44</f>
        <v>83903000</v>
      </c>
      <c r="N48" s="44" t="s">
        <v>56</v>
      </c>
      <c r="O48" s="64" t="s">
        <v>57</v>
      </c>
      <c r="P48" s="231">
        <v>0.09</v>
      </c>
      <c r="Q48" s="425">
        <v>2</v>
      </c>
      <c r="R48" s="64" t="s">
        <v>57</v>
      </c>
      <c r="S48" s="272">
        <v>0.1</v>
      </c>
      <c r="T48" s="65"/>
      <c r="U48" s="425" t="s">
        <v>208</v>
      </c>
      <c r="V48" s="293"/>
      <c r="W48" s="58"/>
      <c r="X48" s="58">
        <f>ROUNDUP(M48*P48/Q48*S48,-3)</f>
        <v>378000</v>
      </c>
      <c r="Y48" s="47" t="s">
        <v>317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5"/>
      <c r="J49" s="294"/>
      <c r="K49" s="293"/>
      <c r="L49" s="293"/>
      <c r="M49" s="293"/>
      <c r="N49" s="44"/>
      <c r="O49" s="64"/>
      <c r="P49" s="231"/>
      <c r="Q49" s="425"/>
      <c r="R49" s="64"/>
      <c r="S49" s="272"/>
      <c r="T49" s="65"/>
      <c r="U49" s="425"/>
      <c r="V49" s="293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5" t="s">
        <v>282</v>
      </c>
      <c r="J50" s="198"/>
      <c r="K50" s="197"/>
      <c r="L50" s="197"/>
      <c r="M50" s="293"/>
      <c r="N50" s="44"/>
      <c r="O50" s="64"/>
      <c r="P50" s="232"/>
      <c r="Q50" s="230"/>
      <c r="R50" s="64"/>
      <c r="S50" s="272"/>
      <c r="T50" s="65"/>
      <c r="U50" s="230"/>
      <c r="V50" s="353"/>
      <c r="W50" s="62"/>
      <c r="X50" s="62">
        <f>SUM(X51:X52)</f>
        <v>293000</v>
      </c>
      <c r="Y50" s="63" t="s">
        <v>205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5" t="s">
        <v>508</v>
      </c>
      <c r="J51" s="294"/>
      <c r="K51" s="293"/>
      <c r="L51" s="293"/>
      <c r="M51" s="293">
        <f>M44</f>
        <v>83903000</v>
      </c>
      <c r="N51" s="44" t="s">
        <v>56</v>
      </c>
      <c r="O51" s="64" t="s">
        <v>57</v>
      </c>
      <c r="P51" s="232">
        <v>6.9900000000000004E-2</v>
      </c>
      <c r="Q51" s="425">
        <v>2</v>
      </c>
      <c r="R51" s="64" t="s">
        <v>57</v>
      </c>
      <c r="S51" s="272">
        <v>0.1</v>
      </c>
      <c r="T51" s="65"/>
      <c r="U51" s="425"/>
      <c r="V51" s="293"/>
      <c r="W51" s="58"/>
      <c r="X51" s="58">
        <f>ROUND(M51*P51/Q51*S51,-3)</f>
        <v>293000</v>
      </c>
      <c r="Y51" s="47" t="s">
        <v>317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5"/>
      <c r="J52" s="294"/>
      <c r="K52" s="293"/>
      <c r="L52" s="293"/>
      <c r="M52" s="293"/>
      <c r="N52" s="44"/>
      <c r="O52" s="64"/>
      <c r="P52" s="232"/>
      <c r="Q52" s="425"/>
      <c r="R52" s="64"/>
      <c r="S52" s="272"/>
      <c r="T52" s="65"/>
      <c r="U52" s="425"/>
      <c r="V52" s="293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5" t="s">
        <v>283</v>
      </c>
      <c r="J53" s="198"/>
      <c r="K53" s="197"/>
      <c r="L53" s="197"/>
      <c r="M53" s="293"/>
      <c r="N53" s="44"/>
      <c r="O53" s="64"/>
      <c r="P53" s="68"/>
      <c r="Q53" s="69"/>
      <c r="R53" s="64"/>
      <c r="S53" s="67"/>
      <c r="T53" s="70"/>
      <c r="U53" s="230"/>
      <c r="V53" s="353"/>
      <c r="W53" s="62"/>
      <c r="X53" s="62">
        <f>SUM(X54:X55)</f>
        <v>36000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5" t="s">
        <v>508</v>
      </c>
      <c r="J54" s="294"/>
      <c r="K54" s="293"/>
      <c r="L54" s="293"/>
      <c r="M54" s="293">
        <f t="shared" ref="M54" si="13">X51</f>
        <v>293000</v>
      </c>
      <c r="N54" s="44" t="s">
        <v>56</v>
      </c>
      <c r="O54" s="64" t="s">
        <v>57</v>
      </c>
      <c r="P54" s="68">
        <v>0.1227</v>
      </c>
      <c r="Q54" s="69"/>
      <c r="R54" s="64"/>
      <c r="S54" s="67"/>
      <c r="T54" s="70"/>
      <c r="U54" s="425"/>
      <c r="V54" s="293"/>
      <c r="W54" s="58"/>
      <c r="X54" s="58">
        <f>ROUND(M54*P54,-3)</f>
        <v>36000</v>
      </c>
      <c r="Y54" s="47" t="s">
        <v>317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5"/>
      <c r="J55" s="294"/>
      <c r="K55" s="293"/>
      <c r="L55" s="293"/>
      <c r="M55" s="293"/>
      <c r="N55" s="44"/>
      <c r="O55" s="64"/>
      <c r="P55" s="68"/>
      <c r="Q55" s="69"/>
      <c r="R55" s="64"/>
      <c r="S55" s="67"/>
      <c r="T55" s="70"/>
      <c r="U55" s="425"/>
      <c r="V55" s="293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5" t="s">
        <v>284</v>
      </c>
      <c r="J56" s="198"/>
      <c r="K56" s="197"/>
      <c r="L56" s="197"/>
      <c r="M56" s="293"/>
      <c r="N56" s="44"/>
      <c r="O56" s="64"/>
      <c r="P56" s="68"/>
      <c r="Q56" s="64"/>
      <c r="R56" s="64"/>
      <c r="S56" s="272"/>
      <c r="T56" s="65"/>
      <c r="U56" s="230"/>
      <c r="V56" s="353"/>
      <c r="W56" s="62"/>
      <c r="X56" s="62">
        <f>SUM(X57:X58)</f>
        <v>97000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5" t="s">
        <v>508</v>
      </c>
      <c r="J57" s="294"/>
      <c r="K57" s="293"/>
      <c r="L57" s="293"/>
      <c r="M57" s="293">
        <f>M44</f>
        <v>83903000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2">
        <v>0.1</v>
      </c>
      <c r="T57" s="65"/>
      <c r="U57" s="425" t="s">
        <v>208</v>
      </c>
      <c r="V57" s="293"/>
      <c r="W57" s="58"/>
      <c r="X57" s="58">
        <f>ROUNDUP(M57*P57*S57,-3)</f>
        <v>97000</v>
      </c>
      <c r="Y57" s="47" t="s">
        <v>317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5"/>
      <c r="J58" s="294"/>
      <c r="K58" s="293"/>
      <c r="L58" s="293"/>
      <c r="M58" s="293"/>
      <c r="N58" s="44"/>
      <c r="O58" s="64"/>
      <c r="P58" s="68"/>
      <c r="Q58" s="64"/>
      <c r="R58" s="64"/>
      <c r="S58" s="272"/>
      <c r="T58" s="65"/>
      <c r="U58" s="425"/>
      <c r="V58" s="293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5" t="s">
        <v>285</v>
      </c>
      <c r="J59" s="198"/>
      <c r="K59" s="197"/>
      <c r="L59" s="197"/>
      <c r="M59" s="293"/>
      <c r="N59" s="44"/>
      <c r="O59" s="64"/>
      <c r="P59" s="268"/>
      <c r="Q59" s="64"/>
      <c r="R59" s="64"/>
      <c r="S59" s="272"/>
      <c r="T59" s="65"/>
      <c r="U59" s="230"/>
      <c r="V59" s="353"/>
      <c r="W59" s="62"/>
      <c r="X59" s="62">
        <f>SUM(X60:X61)</f>
        <v>64000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5" t="s">
        <v>508</v>
      </c>
      <c r="J60" s="294"/>
      <c r="K60" s="293"/>
      <c r="L60" s="293"/>
      <c r="M60" s="293">
        <f>M44</f>
        <v>83903000</v>
      </c>
      <c r="N60" s="44" t="s">
        <v>56</v>
      </c>
      <c r="O60" s="64" t="s">
        <v>57</v>
      </c>
      <c r="P60" s="268">
        <v>7.6E-3</v>
      </c>
      <c r="Q60" s="64"/>
      <c r="R60" s="64" t="s">
        <v>57</v>
      </c>
      <c r="S60" s="272">
        <v>0.1</v>
      </c>
      <c r="T60" s="65"/>
      <c r="U60" s="425" t="s">
        <v>208</v>
      </c>
      <c r="V60" s="293"/>
      <c r="W60" s="58"/>
      <c r="X60" s="58">
        <f>ROUND(M60*P60*S60,-3)</f>
        <v>64000</v>
      </c>
      <c r="Y60" s="47" t="s">
        <v>317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5"/>
      <c r="J61" s="294"/>
      <c r="K61" s="293"/>
      <c r="L61" s="293"/>
      <c r="M61" s="293"/>
      <c r="N61" s="44"/>
      <c r="O61" s="64"/>
      <c r="P61" s="268"/>
      <c r="Q61" s="64"/>
      <c r="R61" s="64"/>
      <c r="S61" s="272"/>
      <c r="T61" s="65"/>
      <c r="U61" s="425"/>
      <c r="V61" s="293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0"/>
      <c r="J62" s="62"/>
      <c r="K62" s="219"/>
      <c r="L62" s="219"/>
      <c r="M62" s="199"/>
      <c r="N62" s="199"/>
      <c r="O62" s="220"/>
      <c r="P62" s="199"/>
      <c r="Q62" s="117"/>
      <c r="R62" s="221"/>
      <c r="S62" s="72"/>
      <c r="T62" s="170"/>
      <c r="U62" s="170"/>
      <c r="V62" s="222"/>
      <c r="W62" s="200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212</v>
      </c>
      <c r="E63" s="29">
        <v>970</v>
      </c>
      <c r="F63" s="214">
        <f>ROUND(X63/1000,0)</f>
        <v>970</v>
      </c>
      <c r="G63" s="30">
        <f t="shared" ref="G63" si="14">F63-E63</f>
        <v>0</v>
      </c>
      <c r="H63" s="109">
        <f t="shared" ref="H63" si="15">IF(E63=0,0,G63/E63)</f>
        <v>0</v>
      </c>
      <c r="I63" s="226" t="s">
        <v>213</v>
      </c>
      <c r="J63" s="225"/>
      <c r="K63" s="233"/>
      <c r="L63" s="233"/>
      <c r="M63" s="79"/>
      <c r="N63" s="79"/>
      <c r="O63" s="215"/>
      <c r="P63" s="79"/>
      <c r="Q63" s="216"/>
      <c r="R63" s="223"/>
      <c r="S63" s="224"/>
      <c r="T63" s="229"/>
      <c r="U63" s="229"/>
      <c r="V63" s="227" t="s">
        <v>194</v>
      </c>
      <c r="W63" s="228"/>
      <c r="X63" s="228">
        <f>SUM(X64:X67)</f>
        <v>970000</v>
      </c>
      <c r="Y63" s="261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8" t="s">
        <v>214</v>
      </c>
      <c r="J64" s="58"/>
      <c r="K64" s="181"/>
      <c r="L64" s="181"/>
      <c r="M64" s="271">
        <v>2425000</v>
      </c>
      <c r="N64" s="271" t="s">
        <v>25</v>
      </c>
      <c r="O64" s="368" t="s">
        <v>26</v>
      </c>
      <c r="P64" s="369">
        <v>4</v>
      </c>
      <c r="Q64" s="370" t="s">
        <v>55</v>
      </c>
      <c r="R64" s="331" t="s">
        <v>303</v>
      </c>
      <c r="S64" s="371">
        <v>0.1</v>
      </c>
      <c r="T64" s="334"/>
      <c r="U64" s="332" t="s">
        <v>304</v>
      </c>
      <c r="V64" s="569"/>
      <c r="W64" s="569"/>
      <c r="X64" s="58">
        <f>ROUNDDOWN(M64*P64*S64,-3)</f>
        <v>970000</v>
      </c>
      <c r="Y64" s="47" t="s">
        <v>205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2"/>
      <c r="J65" s="58"/>
      <c r="K65" s="181"/>
      <c r="L65" s="181"/>
      <c r="M65" s="281"/>
      <c r="N65" s="281"/>
      <c r="O65" s="45"/>
      <c r="P65" s="280"/>
      <c r="Q65" s="281"/>
      <c r="R65" s="64"/>
      <c r="S65" s="272"/>
      <c r="T65" s="281"/>
      <c r="U65" s="281"/>
      <c r="V65" s="280"/>
      <c r="W65" s="280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6" t="s">
        <v>305</v>
      </c>
      <c r="J66" s="276"/>
      <c r="K66" s="367"/>
      <c r="L66" s="367"/>
      <c r="M66" s="271"/>
      <c r="N66" s="271"/>
      <c r="O66" s="368"/>
      <c r="P66" s="271"/>
      <c r="Q66" s="370"/>
      <c r="R66" s="374"/>
      <c r="S66" s="375"/>
      <c r="T66" s="332"/>
      <c r="U66" s="332"/>
      <c r="V66" s="372"/>
      <c r="W66" s="275"/>
      <c r="X66" s="276"/>
      <c r="Y66" s="301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8" t="s">
        <v>307</v>
      </c>
      <c r="J67" s="276"/>
      <c r="K67" s="367"/>
      <c r="L67" s="367"/>
      <c r="M67" s="271">
        <v>0</v>
      </c>
      <c r="N67" s="271" t="s">
        <v>25</v>
      </c>
      <c r="O67" s="368" t="s">
        <v>26</v>
      </c>
      <c r="P67" s="373">
        <v>0.5</v>
      </c>
      <c r="Q67" s="370"/>
      <c r="R67" s="374"/>
      <c r="S67" s="375"/>
      <c r="T67" s="332"/>
      <c r="U67" s="332"/>
      <c r="V67" s="372"/>
      <c r="W67" s="275" t="s">
        <v>27</v>
      </c>
      <c r="X67" s="276">
        <f>M67*P67</f>
        <v>0</v>
      </c>
      <c r="Y67" s="301" t="s">
        <v>302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0"/>
      <c r="J68" s="62"/>
      <c r="K68" s="219"/>
      <c r="L68" s="219"/>
      <c r="M68" s="199"/>
      <c r="N68" s="199"/>
      <c r="O68" s="220"/>
      <c r="P68" s="199"/>
      <c r="Q68" s="117"/>
      <c r="R68" s="221"/>
      <c r="S68" s="72"/>
      <c r="T68" s="170"/>
      <c r="U68" s="170"/>
      <c r="V68" s="222"/>
      <c r="W68" s="200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215</v>
      </c>
      <c r="E69" s="29">
        <v>493</v>
      </c>
      <c r="F69" s="214">
        <f>ROUND(X69/1000,0)</f>
        <v>493</v>
      </c>
      <c r="G69" s="30">
        <f t="shared" ref="G69" si="16">F69-E69</f>
        <v>0</v>
      </c>
      <c r="H69" s="109">
        <f t="shared" ref="H69" si="17">IF(E69=0,0,G69/E69)</f>
        <v>0</v>
      </c>
      <c r="I69" s="226" t="s">
        <v>217</v>
      </c>
      <c r="J69" s="225"/>
      <c r="K69" s="233"/>
      <c r="L69" s="233"/>
      <c r="M69" s="79"/>
      <c r="N69" s="79"/>
      <c r="O69" s="215"/>
      <c r="P69" s="79"/>
      <c r="Q69" s="216"/>
      <c r="R69" s="223"/>
      <c r="S69" s="224"/>
      <c r="T69" s="229"/>
      <c r="U69" s="229"/>
      <c r="V69" s="227" t="s">
        <v>194</v>
      </c>
      <c r="W69" s="228"/>
      <c r="X69" s="228">
        <f>SUM(X70:X75)</f>
        <v>493000</v>
      </c>
      <c r="Y69" s="261" t="s">
        <v>56</v>
      </c>
      <c r="Z69" s="6"/>
    </row>
    <row r="70" spans="1:26" s="11" customFormat="1" ht="19.5" customHeight="1">
      <c r="A70" s="50"/>
      <c r="B70" s="38"/>
      <c r="C70" s="38"/>
      <c r="D70" s="38" t="s">
        <v>216</v>
      </c>
      <c r="E70" s="40"/>
      <c r="F70" s="40"/>
      <c r="G70" s="41"/>
      <c r="H70" s="60"/>
      <c r="I70" s="57" t="s">
        <v>218</v>
      </c>
      <c r="J70" s="198"/>
      <c r="K70" s="197"/>
      <c r="L70" s="197"/>
      <c r="M70" s="197">
        <v>500</v>
      </c>
      <c r="N70" s="197" t="s">
        <v>205</v>
      </c>
      <c r="O70" s="198" t="s">
        <v>209</v>
      </c>
      <c r="P70" s="235">
        <v>4</v>
      </c>
      <c r="Q70" s="236">
        <v>365</v>
      </c>
      <c r="R70" s="197" t="s">
        <v>219</v>
      </c>
      <c r="S70" s="273">
        <v>0.3</v>
      </c>
      <c r="T70" s="197"/>
      <c r="U70" s="197" t="s">
        <v>208</v>
      </c>
      <c r="V70" s="197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220</v>
      </c>
      <c r="J71" s="198"/>
      <c r="K71" s="197"/>
      <c r="L71" s="197"/>
      <c r="M71" s="197">
        <v>5000</v>
      </c>
      <c r="N71" s="197" t="s">
        <v>205</v>
      </c>
      <c r="O71" s="198" t="s">
        <v>209</v>
      </c>
      <c r="P71" s="235">
        <v>4</v>
      </c>
      <c r="Q71" s="236">
        <v>12</v>
      </c>
      <c r="R71" s="197" t="s">
        <v>207</v>
      </c>
      <c r="S71" s="273">
        <v>0.3</v>
      </c>
      <c r="T71" s="197"/>
      <c r="U71" s="197" t="s">
        <v>208</v>
      </c>
      <c r="V71" s="197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221</v>
      </c>
      <c r="J72" s="198"/>
      <c r="K72" s="197"/>
      <c r="L72" s="197"/>
      <c r="M72" s="197">
        <v>20000</v>
      </c>
      <c r="N72" s="197" t="s">
        <v>205</v>
      </c>
      <c r="O72" s="198" t="s">
        <v>209</v>
      </c>
      <c r="P72" s="235">
        <v>4</v>
      </c>
      <c r="Q72" s="236">
        <v>4</v>
      </c>
      <c r="R72" s="197" t="s">
        <v>222</v>
      </c>
      <c r="S72" s="273">
        <v>0.3</v>
      </c>
      <c r="T72" s="197"/>
      <c r="U72" s="197" t="s">
        <v>208</v>
      </c>
      <c r="V72" s="197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449</v>
      </c>
      <c r="J73" s="198"/>
      <c r="K73" s="197"/>
      <c r="L73" s="197"/>
      <c r="M73" s="197">
        <v>12000</v>
      </c>
      <c r="N73" s="197" t="s">
        <v>205</v>
      </c>
      <c r="O73" s="198" t="s">
        <v>209</v>
      </c>
      <c r="P73" s="235">
        <v>4</v>
      </c>
      <c r="Q73" s="236">
        <v>4</v>
      </c>
      <c r="R73" s="197" t="s">
        <v>222</v>
      </c>
      <c r="S73" s="273">
        <v>0.3</v>
      </c>
      <c r="T73" s="197"/>
      <c r="U73" s="197" t="s">
        <v>208</v>
      </c>
      <c r="V73" s="197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223</v>
      </c>
      <c r="J74" s="198"/>
      <c r="K74" s="197"/>
      <c r="L74" s="197"/>
      <c r="M74" s="197"/>
      <c r="N74" s="197"/>
      <c r="O74" s="198"/>
      <c r="P74" s="235"/>
      <c r="Q74" s="236"/>
      <c r="R74" s="197"/>
      <c r="S74" s="197">
        <v>0.3</v>
      </c>
      <c r="T74" s="197"/>
      <c r="U74" s="197"/>
      <c r="V74" s="197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224</v>
      </c>
      <c r="J75" s="198"/>
      <c r="K75" s="197"/>
      <c r="L75" s="197"/>
      <c r="M75" s="197">
        <v>40000</v>
      </c>
      <c r="N75" s="197" t="s">
        <v>205</v>
      </c>
      <c r="O75" s="198" t="s">
        <v>209</v>
      </c>
      <c r="P75" s="235">
        <v>4</v>
      </c>
      <c r="Q75" s="236">
        <v>1</v>
      </c>
      <c r="R75" s="197" t="s">
        <v>222</v>
      </c>
      <c r="S75" s="273">
        <v>0.3</v>
      </c>
      <c r="T75" s="197"/>
      <c r="U75" s="197" t="s">
        <v>208</v>
      </c>
      <c r="V75" s="197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0"/>
      <c r="J76" s="62"/>
      <c r="K76" s="219"/>
      <c r="L76" s="219"/>
      <c r="M76" s="199"/>
      <c r="N76" s="199"/>
      <c r="O76" s="220"/>
      <c r="P76" s="199"/>
      <c r="Q76" s="117"/>
      <c r="R76" s="221"/>
      <c r="S76" s="72"/>
      <c r="T76" s="170"/>
      <c r="U76" s="170"/>
      <c r="V76" s="222"/>
      <c r="W76" s="200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225</v>
      </c>
      <c r="E77" s="29">
        <v>0</v>
      </c>
      <c r="F77" s="214">
        <f>ROUND(X77/1000,0)</f>
        <v>200</v>
      </c>
      <c r="G77" s="30">
        <f t="shared" ref="G77" si="18">F77-E77</f>
        <v>200</v>
      </c>
      <c r="H77" s="109">
        <f t="shared" ref="H77" si="19">IF(E77=0,0,G77/E77)</f>
        <v>0</v>
      </c>
      <c r="I77" s="226" t="s">
        <v>319</v>
      </c>
      <c r="J77" s="225"/>
      <c r="K77" s="233"/>
      <c r="L77" s="233"/>
      <c r="M77" s="79"/>
      <c r="N77" s="79"/>
      <c r="O77" s="215"/>
      <c r="P77" s="79"/>
      <c r="Q77" s="216"/>
      <c r="R77" s="223"/>
      <c r="S77" s="224"/>
      <c r="T77" s="229"/>
      <c r="U77" s="229"/>
      <c r="V77" s="227" t="s">
        <v>194</v>
      </c>
      <c r="W77" s="228"/>
      <c r="X77" s="228">
        <f>X78</f>
        <v>200000</v>
      </c>
      <c r="Y77" s="261" t="s">
        <v>56</v>
      </c>
      <c r="Z77" s="6"/>
    </row>
    <row r="78" spans="1:26" s="11" customFormat="1" ht="19.5" customHeight="1">
      <c r="A78" s="50"/>
      <c r="B78" s="38"/>
      <c r="C78" s="38"/>
      <c r="D78" s="38" t="s">
        <v>320</v>
      </c>
      <c r="E78" s="40"/>
      <c r="F78" s="40"/>
      <c r="G78" s="41"/>
      <c r="H78" s="60"/>
      <c r="I78" s="285" t="s">
        <v>286</v>
      </c>
      <c r="J78" s="198"/>
      <c r="K78" s="197"/>
      <c r="L78" s="197"/>
      <c r="M78" s="238">
        <v>2000000</v>
      </c>
      <c r="N78" s="59" t="s">
        <v>205</v>
      </c>
      <c r="O78" s="59" t="s">
        <v>209</v>
      </c>
      <c r="P78" s="67">
        <v>0.1</v>
      </c>
      <c r="Q78" s="236"/>
      <c r="R78" s="59"/>
      <c r="S78" s="237"/>
      <c r="T78" s="59"/>
      <c r="U78" s="59" t="s">
        <v>210</v>
      </c>
      <c r="V78" s="197"/>
      <c r="W78" s="58"/>
      <c r="X78" s="197">
        <f>M78*P78</f>
        <v>200000</v>
      </c>
      <c r="Y78" s="47" t="s">
        <v>205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0"/>
      <c r="J79" s="62"/>
      <c r="K79" s="219"/>
      <c r="L79" s="219"/>
      <c r="M79" s="199"/>
      <c r="N79" s="199"/>
      <c r="O79" s="220"/>
      <c r="P79" s="199"/>
      <c r="Q79" s="117"/>
      <c r="R79" s="221"/>
      <c r="S79" s="199"/>
      <c r="T79" s="170"/>
      <c r="U79" s="170"/>
      <c r="V79" s="222"/>
      <c r="W79" s="200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226</v>
      </c>
      <c r="E80" s="40">
        <v>0</v>
      </c>
      <c r="F80" s="214">
        <f>ROUND(X80/1000,0)</f>
        <v>0</v>
      </c>
      <c r="G80" s="41">
        <f t="shared" ref="G80" si="20">F80-E80</f>
        <v>0</v>
      </c>
      <c r="H80" s="60">
        <f t="shared" ref="H80" si="21">IF(E80=0,0,G80/E80)</f>
        <v>0</v>
      </c>
      <c r="I80" s="61" t="s">
        <v>229</v>
      </c>
      <c r="J80" s="58"/>
      <c r="K80" s="181"/>
      <c r="L80" s="181"/>
      <c r="M80" s="197"/>
      <c r="N80" s="197"/>
      <c r="O80" s="178"/>
      <c r="P80" s="197"/>
      <c r="Q80" s="44"/>
      <c r="R80" s="180"/>
      <c r="S80" s="46"/>
      <c r="T80" s="230"/>
      <c r="U80" s="230"/>
      <c r="V80" s="199" t="s">
        <v>228</v>
      </c>
      <c r="W80" s="62"/>
      <c r="X80" s="199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227</v>
      </c>
      <c r="E81" s="40"/>
      <c r="F81" s="40"/>
      <c r="G81" s="41"/>
      <c r="H81" s="60"/>
      <c r="I81" s="275" t="s">
        <v>306</v>
      </c>
      <c r="J81" s="58"/>
      <c r="K81" s="181"/>
      <c r="L81" s="181"/>
      <c r="M81" s="238">
        <v>0</v>
      </c>
      <c r="N81" s="59" t="s">
        <v>205</v>
      </c>
      <c r="O81" s="59" t="s">
        <v>209</v>
      </c>
      <c r="P81" s="67">
        <v>0.2</v>
      </c>
      <c r="Q81" s="236"/>
      <c r="R81" s="59"/>
      <c r="S81" s="237"/>
      <c r="T81" s="59"/>
      <c r="U81" s="59" t="s">
        <v>210</v>
      </c>
      <c r="V81" s="197"/>
      <c r="W81" s="58"/>
      <c r="X81" s="197">
        <f>ROUND(M81*P81,-3)</f>
        <v>0</v>
      </c>
      <c r="Y81" s="47" t="s">
        <v>205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0"/>
      <c r="J82" s="199"/>
      <c r="K82" s="76"/>
      <c r="L82" s="76"/>
      <c r="M82" s="199"/>
      <c r="N82" s="199"/>
      <c r="O82" s="200"/>
      <c r="P82" s="199"/>
      <c r="Q82" s="199"/>
      <c r="R82" s="200"/>
      <c r="S82" s="200"/>
      <c r="T82" s="200"/>
      <c r="U82" s="200"/>
      <c r="V82" s="200"/>
      <c r="W82" s="200"/>
      <c r="X82" s="199"/>
      <c r="Y82" s="63"/>
      <c r="Z82" s="6"/>
    </row>
    <row r="83" spans="1:26" ht="21" customHeight="1">
      <c r="A83" s="37"/>
      <c r="B83" s="38"/>
      <c r="C83" s="38" t="s">
        <v>145</v>
      </c>
      <c r="D83" s="257" t="s">
        <v>111</v>
      </c>
      <c r="E83" s="190">
        <f>SUM(E84:E140)</f>
        <v>72093</v>
      </c>
      <c r="F83" s="190">
        <f>SUM(F84:F140)</f>
        <v>101288</v>
      </c>
      <c r="G83" s="191">
        <f t="shared" ref="G83:G84" si="22">F83-E83</f>
        <v>29195</v>
      </c>
      <c r="H83" s="192">
        <f t="shared" ref="H83:H84" si="23">IF(E83=0,0,G83/E83)</f>
        <v>0.4049630338590432</v>
      </c>
      <c r="I83" s="174" t="s">
        <v>146</v>
      </c>
      <c r="J83" s="175"/>
      <c r="K83" s="176"/>
      <c r="L83" s="176"/>
      <c r="M83" s="176"/>
      <c r="N83" s="176"/>
      <c r="O83" s="176"/>
      <c r="P83" s="177"/>
      <c r="Q83" s="177"/>
      <c r="R83" s="177"/>
      <c r="S83" s="177"/>
      <c r="T83" s="177"/>
      <c r="U83" s="177"/>
      <c r="V83" s="211" t="s">
        <v>69</v>
      </c>
      <c r="W83" s="212"/>
      <c r="X83" s="213">
        <f>SUM(X84,X87,X124,X127,X135,X138)</f>
        <v>101288000</v>
      </c>
      <c r="Y83" s="260" t="s">
        <v>56</v>
      </c>
    </row>
    <row r="84" spans="1:26" ht="21" customHeight="1">
      <c r="A84" s="37"/>
      <c r="B84" s="38"/>
      <c r="C84" s="38" t="s">
        <v>196</v>
      </c>
      <c r="D84" s="28" t="s">
        <v>195</v>
      </c>
      <c r="E84" s="214">
        <v>0</v>
      </c>
      <c r="F84" s="214">
        <f>ROUND(X84/1000,0)</f>
        <v>0</v>
      </c>
      <c r="G84" s="267">
        <f t="shared" si="22"/>
        <v>0</v>
      </c>
      <c r="H84" s="157">
        <f t="shared" si="23"/>
        <v>0</v>
      </c>
      <c r="I84" s="127" t="s">
        <v>193</v>
      </c>
      <c r="J84" s="139"/>
      <c r="K84" s="79"/>
      <c r="L84" s="79"/>
      <c r="M84" s="79"/>
      <c r="N84" s="229"/>
      <c r="O84" s="215"/>
      <c r="P84" s="79"/>
      <c r="Q84" s="216"/>
      <c r="R84" s="217"/>
      <c r="S84" s="218"/>
      <c r="T84" s="218"/>
      <c r="U84" s="229"/>
      <c r="V84" s="196" t="s">
        <v>194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5" t="s">
        <v>273</v>
      </c>
      <c r="J85" s="294"/>
      <c r="K85" s="293"/>
      <c r="L85" s="293"/>
      <c r="M85" s="293">
        <v>0</v>
      </c>
      <c r="N85" s="422" t="s">
        <v>25</v>
      </c>
      <c r="O85" s="178" t="s">
        <v>26</v>
      </c>
      <c r="P85" s="423">
        <v>0</v>
      </c>
      <c r="Q85" s="44" t="s">
        <v>110</v>
      </c>
      <c r="R85" s="179" t="s">
        <v>26</v>
      </c>
      <c r="S85" s="182">
        <v>0</v>
      </c>
      <c r="T85" s="182" t="s">
        <v>29</v>
      </c>
      <c r="U85" s="422" t="s">
        <v>26</v>
      </c>
      <c r="V85" s="234">
        <v>0.03</v>
      </c>
      <c r="W85" s="58" t="s">
        <v>27</v>
      </c>
      <c r="X85" s="58">
        <f>ROUND(M85*P85*S85*V85,-3)</f>
        <v>0</v>
      </c>
      <c r="Y85" s="47" t="s">
        <v>141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9"/>
      <c r="L86" s="219"/>
      <c r="M86" s="199"/>
      <c r="N86" s="199"/>
      <c r="O86" s="220"/>
      <c r="P86" s="199"/>
      <c r="Q86" s="117"/>
      <c r="R86" s="221"/>
      <c r="S86" s="72"/>
      <c r="T86" s="170"/>
      <c r="U86" s="170"/>
      <c r="V86" s="222"/>
      <c r="W86" s="200"/>
      <c r="X86" s="62"/>
      <c r="Y86" s="63"/>
    </row>
    <row r="87" spans="1:26" ht="21" customHeight="1" thickBot="1">
      <c r="A87" s="37"/>
      <c r="B87" s="38"/>
      <c r="C87" s="38"/>
      <c r="D87" s="28" t="s">
        <v>204</v>
      </c>
      <c r="E87" s="29">
        <v>61914</v>
      </c>
      <c r="F87" s="214">
        <f>ROUND(X87/1000,0)</f>
        <v>89609</v>
      </c>
      <c r="G87" s="30">
        <f t="shared" ref="G87" si="24">F87-E87</f>
        <v>27695</v>
      </c>
      <c r="H87" s="109">
        <f t="shared" ref="H87" si="25">IF(E87=0,0,G87/E87)</f>
        <v>0.44731401621604161</v>
      </c>
      <c r="I87" s="226" t="s">
        <v>318</v>
      </c>
      <c r="J87" s="225"/>
      <c r="K87" s="233"/>
      <c r="L87" s="233"/>
      <c r="M87" s="79"/>
      <c r="N87" s="79"/>
      <c r="O87" s="215"/>
      <c r="P87" s="79"/>
      <c r="Q87" s="216"/>
      <c r="R87" s="223"/>
      <c r="S87" s="224"/>
      <c r="T87" s="426"/>
      <c r="U87" s="426"/>
      <c r="V87" s="227" t="s">
        <v>194</v>
      </c>
      <c r="W87" s="228"/>
      <c r="X87" s="228">
        <f>SUM(X88,X91,X107,X104)</f>
        <v>89609000</v>
      </c>
      <c r="Y87" s="261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6" t="s">
        <v>274</v>
      </c>
      <c r="J88" s="294"/>
      <c r="K88" s="293"/>
      <c r="L88" s="293"/>
      <c r="M88" s="293"/>
      <c r="N88" s="293"/>
      <c r="O88" s="64"/>
      <c r="P88" s="272"/>
      <c r="Q88" s="293"/>
      <c r="R88" s="293"/>
      <c r="S88" s="293"/>
      <c r="T88" s="293"/>
      <c r="U88" s="293"/>
      <c r="V88" s="353" t="s">
        <v>69</v>
      </c>
      <c r="W88" s="62"/>
      <c r="X88" s="437">
        <f>SUM(X89:X90)</f>
        <v>54149000</v>
      </c>
      <c r="Y88" s="438" t="s">
        <v>314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5" t="s">
        <v>508</v>
      </c>
      <c r="J89" s="294"/>
      <c r="K89" s="293"/>
      <c r="L89" s="293"/>
      <c r="M89" s="293">
        <v>60166000</v>
      </c>
      <c r="N89" s="293" t="s">
        <v>56</v>
      </c>
      <c r="O89" s="64" t="s">
        <v>57</v>
      </c>
      <c r="P89" s="272">
        <v>0.9</v>
      </c>
      <c r="Q89" s="293"/>
      <c r="R89" s="293"/>
      <c r="S89" s="293"/>
      <c r="T89" s="293"/>
      <c r="U89" s="293" t="s">
        <v>316</v>
      </c>
      <c r="V89" s="293"/>
      <c r="W89" s="58"/>
      <c r="X89" s="293">
        <f>ROUND(M89*P89,-3)</f>
        <v>54149000</v>
      </c>
      <c r="Y89" s="47" t="s">
        <v>314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5"/>
      <c r="J90" s="294"/>
      <c r="K90" s="293"/>
      <c r="L90" s="293"/>
      <c r="M90" s="293"/>
      <c r="N90" s="293"/>
      <c r="O90" s="64"/>
      <c r="P90" s="272"/>
      <c r="Q90" s="293"/>
      <c r="R90" s="293"/>
      <c r="S90" s="293"/>
      <c r="T90" s="293"/>
      <c r="U90" s="293"/>
      <c r="V90" s="293"/>
      <c r="W90" s="58"/>
      <c r="X90" s="293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6" t="s">
        <v>275</v>
      </c>
      <c r="J91" s="294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55"/>
      <c r="W91" s="439"/>
      <c r="X91" s="55">
        <f>SUM(X92,X95,X98,X101)</f>
        <v>21363000</v>
      </c>
      <c r="Y91" s="261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5" t="s">
        <v>276</v>
      </c>
      <c r="J92" s="294"/>
      <c r="K92" s="293"/>
      <c r="L92" s="293"/>
      <c r="M92" s="293"/>
      <c r="N92" s="293"/>
      <c r="O92" s="64"/>
      <c r="P92" s="272"/>
      <c r="Q92" s="293"/>
      <c r="R92" s="293"/>
      <c r="S92" s="293"/>
      <c r="T92" s="293"/>
      <c r="U92" s="293"/>
      <c r="V92" s="353" t="s">
        <v>69</v>
      </c>
      <c r="W92" s="62"/>
      <c r="X92" s="353">
        <f>SUM(X93:X94)</f>
        <v>5392000</v>
      </c>
      <c r="Y92" s="63" t="s">
        <v>314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5" t="s">
        <v>508</v>
      </c>
      <c r="J93" s="294"/>
      <c r="K93" s="293"/>
      <c r="L93" s="293"/>
      <c r="M93" s="293">
        <v>5991000</v>
      </c>
      <c r="N93" s="293" t="s">
        <v>56</v>
      </c>
      <c r="O93" s="64" t="s">
        <v>57</v>
      </c>
      <c r="P93" s="272">
        <v>0.9</v>
      </c>
      <c r="Q93" s="293"/>
      <c r="R93" s="293"/>
      <c r="S93" s="293"/>
      <c r="T93" s="293"/>
      <c r="U93" s="293" t="s">
        <v>210</v>
      </c>
      <c r="V93" s="425"/>
      <c r="W93" s="425"/>
      <c r="X93" s="293">
        <f>ROUND(M93*P93,-3)</f>
        <v>5392000</v>
      </c>
      <c r="Y93" s="47" t="s">
        <v>317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5"/>
      <c r="J94" s="294"/>
      <c r="K94" s="293"/>
      <c r="L94" s="293"/>
      <c r="M94" s="293"/>
      <c r="N94" s="293"/>
      <c r="O94" s="64"/>
      <c r="P94" s="272"/>
      <c r="Q94" s="293"/>
      <c r="R94" s="293"/>
      <c r="S94" s="293"/>
      <c r="T94" s="293"/>
      <c r="U94" s="293"/>
      <c r="V94" s="425"/>
      <c r="W94" s="425"/>
      <c r="X94" s="293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5" t="s">
        <v>277</v>
      </c>
      <c r="J95" s="294"/>
      <c r="K95" s="293"/>
      <c r="L95" s="293"/>
      <c r="M95" s="293"/>
      <c r="N95" s="293"/>
      <c r="O95" s="64"/>
      <c r="P95" s="272"/>
      <c r="Q95" s="293"/>
      <c r="R95" s="293"/>
      <c r="S95" s="293"/>
      <c r="T95" s="293"/>
      <c r="U95" s="293"/>
      <c r="V95" s="353" t="s">
        <v>69</v>
      </c>
      <c r="W95" s="62"/>
      <c r="X95" s="353">
        <f>SUM(X96:X97)</f>
        <v>432000</v>
      </c>
      <c r="Y95" s="63" t="s">
        <v>314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5" t="s">
        <v>315</v>
      </c>
      <c r="J96" s="294"/>
      <c r="K96" s="293"/>
      <c r="L96" s="293"/>
      <c r="M96" s="293">
        <v>480000</v>
      </c>
      <c r="N96" s="293" t="s">
        <v>56</v>
      </c>
      <c r="O96" s="64" t="s">
        <v>57</v>
      </c>
      <c r="P96" s="272">
        <v>0.9</v>
      </c>
      <c r="Q96" s="293"/>
      <c r="R96" s="293"/>
      <c r="S96" s="293"/>
      <c r="T96" s="293"/>
      <c r="U96" s="293" t="s">
        <v>210</v>
      </c>
      <c r="V96" s="425"/>
      <c r="W96" s="425"/>
      <c r="X96" s="293">
        <f>ROUND(M96*P96,-3)</f>
        <v>432000</v>
      </c>
      <c r="Y96" s="47" t="s">
        <v>317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5"/>
      <c r="J97" s="294"/>
      <c r="K97" s="293"/>
      <c r="L97" s="293"/>
      <c r="M97" s="293"/>
      <c r="N97" s="293"/>
      <c r="O97" s="64"/>
      <c r="P97" s="272"/>
      <c r="Q97" s="293"/>
      <c r="R97" s="293"/>
      <c r="S97" s="293"/>
      <c r="T97" s="293"/>
      <c r="U97" s="293"/>
      <c r="V97" s="425"/>
      <c r="W97" s="425"/>
      <c r="X97" s="293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5" t="s">
        <v>278</v>
      </c>
      <c r="J98" s="294"/>
      <c r="K98" s="293"/>
      <c r="L98" s="293"/>
      <c r="M98" s="293"/>
      <c r="N98" s="293"/>
      <c r="O98" s="64"/>
      <c r="P98" s="272"/>
      <c r="Q98" s="293"/>
      <c r="R98" s="293"/>
      <c r="S98" s="293"/>
      <c r="T98" s="293"/>
      <c r="U98" s="293"/>
      <c r="V98" s="353" t="s">
        <v>69</v>
      </c>
      <c r="W98" s="62"/>
      <c r="X98" s="353">
        <f>SUM(X99:X100)</f>
        <v>13519000</v>
      </c>
      <c r="Y98" s="63" t="s">
        <v>314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5" t="s">
        <v>508</v>
      </c>
      <c r="J99" s="294"/>
      <c r="K99" s="293"/>
      <c r="L99" s="293"/>
      <c r="M99" s="293">
        <v>15021000</v>
      </c>
      <c r="N99" s="293" t="s">
        <v>56</v>
      </c>
      <c r="O99" s="64" t="s">
        <v>57</v>
      </c>
      <c r="P99" s="272">
        <v>0.9</v>
      </c>
      <c r="Q99" s="293"/>
      <c r="R99" s="293"/>
      <c r="S99" s="293"/>
      <c r="T99" s="293"/>
      <c r="U99" s="293" t="s">
        <v>210</v>
      </c>
      <c r="V99" s="425"/>
      <c r="W99" s="425"/>
      <c r="X99" s="432">
        <f>ROUND(M99*P99,-3)</f>
        <v>13519000</v>
      </c>
      <c r="Y99" s="47" t="s">
        <v>317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5"/>
      <c r="J100" s="294"/>
      <c r="K100" s="293"/>
      <c r="L100" s="293"/>
      <c r="M100" s="293"/>
      <c r="N100" s="293"/>
      <c r="O100" s="64"/>
      <c r="P100" s="272"/>
      <c r="Q100" s="293"/>
      <c r="R100" s="293"/>
      <c r="S100" s="293"/>
      <c r="T100" s="293"/>
      <c r="U100" s="293"/>
      <c r="V100" s="425"/>
      <c r="W100" s="425"/>
      <c r="X100" s="293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5" t="s">
        <v>520</v>
      </c>
      <c r="J101" s="294"/>
      <c r="K101" s="293"/>
      <c r="L101" s="293"/>
      <c r="M101" s="293"/>
      <c r="N101" s="293"/>
      <c r="O101" s="64"/>
      <c r="P101" s="272"/>
      <c r="Q101" s="293"/>
      <c r="R101" s="293"/>
      <c r="S101" s="293"/>
      <c r="T101" s="293"/>
      <c r="U101" s="293"/>
      <c r="V101" s="353" t="s">
        <v>69</v>
      </c>
      <c r="W101" s="62"/>
      <c r="X101" s="353">
        <f>SUM(X102:X103)</f>
        <v>2020000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5" t="s">
        <v>508</v>
      </c>
      <c r="J102" s="294"/>
      <c r="K102" s="293"/>
      <c r="L102" s="293"/>
      <c r="M102" s="293">
        <v>2245000</v>
      </c>
      <c r="N102" s="293" t="s">
        <v>56</v>
      </c>
      <c r="O102" s="64" t="s">
        <v>57</v>
      </c>
      <c r="P102" s="272">
        <v>0.9</v>
      </c>
      <c r="Q102" s="293"/>
      <c r="R102" s="293"/>
      <c r="S102" s="293"/>
      <c r="T102" s="293"/>
      <c r="U102" s="293" t="s">
        <v>53</v>
      </c>
      <c r="V102" s="527"/>
      <c r="W102" s="527"/>
      <c r="X102" s="293">
        <f>ROUNDDOWN(M102*P102,-3)</f>
        <v>2020000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5"/>
      <c r="J103" s="294"/>
      <c r="K103" s="293"/>
      <c r="L103" s="293"/>
      <c r="M103" s="293"/>
      <c r="N103" s="293"/>
      <c r="O103" s="64"/>
      <c r="P103" s="272"/>
      <c r="Q103" s="293"/>
      <c r="R103" s="293"/>
      <c r="S103" s="293"/>
      <c r="T103" s="293"/>
      <c r="U103" s="293"/>
      <c r="V103" s="527"/>
      <c r="W103" s="527"/>
      <c r="X103" s="293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6" t="s">
        <v>279</v>
      </c>
      <c r="J104" s="294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353" t="s">
        <v>69</v>
      </c>
      <c r="W104" s="62"/>
      <c r="X104" s="353">
        <f>SUM(X105:X106)</f>
        <v>6293000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5" t="s">
        <v>508</v>
      </c>
      <c r="J105" s="294"/>
      <c r="K105" s="293"/>
      <c r="L105" s="293"/>
      <c r="M105" s="293">
        <f>SUM(M89+M93+M96+M99+M102)</f>
        <v>83903000</v>
      </c>
      <c r="N105" s="44" t="s">
        <v>56</v>
      </c>
      <c r="O105" s="527" t="s">
        <v>70</v>
      </c>
      <c r="P105" s="66">
        <v>12</v>
      </c>
      <c r="Q105" s="178" t="s">
        <v>0</v>
      </c>
      <c r="R105" s="64" t="s">
        <v>57</v>
      </c>
      <c r="S105" s="272">
        <v>0.9</v>
      </c>
      <c r="T105" s="293"/>
      <c r="U105" s="293" t="s">
        <v>53</v>
      </c>
      <c r="V105" s="79"/>
      <c r="W105" s="79"/>
      <c r="X105" s="225">
        <f>ROUNDUP(M105/P105*S105,-3)</f>
        <v>6293000</v>
      </c>
      <c r="Y105" s="262" t="s">
        <v>56</v>
      </c>
      <c r="Z105" s="293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5"/>
      <c r="J106" s="294"/>
      <c r="K106" s="293"/>
      <c r="L106" s="293"/>
      <c r="M106" s="293"/>
      <c r="N106" s="44"/>
      <c r="O106" s="425"/>
      <c r="P106" s="66"/>
      <c r="Q106" s="178"/>
      <c r="R106" s="64"/>
      <c r="S106" s="272"/>
      <c r="T106" s="293"/>
      <c r="U106" s="293"/>
      <c r="V106" s="293"/>
      <c r="W106" s="293"/>
      <c r="X106" s="58"/>
      <c r="Y106" s="262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6" t="s">
        <v>280</v>
      </c>
      <c r="J107" s="294"/>
      <c r="K107" s="293"/>
      <c r="L107" s="293"/>
      <c r="M107" s="293"/>
      <c r="N107" s="44"/>
      <c r="O107" s="293"/>
      <c r="P107" s="293"/>
      <c r="Q107" s="293"/>
      <c r="R107" s="293"/>
      <c r="S107" s="293"/>
      <c r="T107" s="293"/>
      <c r="U107" s="293"/>
      <c r="V107" s="353" t="s">
        <v>69</v>
      </c>
      <c r="W107" s="62"/>
      <c r="X107" s="353">
        <f>SUM(X108,X111,X114,X117,X120)</f>
        <v>7804000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5" t="s">
        <v>281</v>
      </c>
      <c r="J108" s="294"/>
      <c r="K108" s="293"/>
      <c r="L108" s="293"/>
      <c r="M108" s="293"/>
      <c r="N108" s="44"/>
      <c r="O108" s="64"/>
      <c r="P108" s="231"/>
      <c r="Q108" s="425"/>
      <c r="R108" s="64"/>
      <c r="S108" s="272"/>
      <c r="T108" s="65"/>
      <c r="U108" s="425"/>
      <c r="V108" s="128"/>
      <c r="W108" s="129"/>
      <c r="X108" s="129">
        <f>SUM(X109:X110)</f>
        <v>3398000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5" t="s">
        <v>508</v>
      </c>
      <c r="J109" s="294"/>
      <c r="K109" s="293"/>
      <c r="L109" s="293"/>
      <c r="M109" s="293">
        <f>M105</f>
        <v>83903000</v>
      </c>
      <c r="N109" s="44" t="s">
        <v>56</v>
      </c>
      <c r="O109" s="64" t="s">
        <v>57</v>
      </c>
      <c r="P109" s="231">
        <v>0.09</v>
      </c>
      <c r="Q109" s="425">
        <v>2</v>
      </c>
      <c r="R109" s="64" t="s">
        <v>57</v>
      </c>
      <c r="S109" s="272">
        <v>0.9</v>
      </c>
      <c r="T109" s="65"/>
      <c r="U109" s="425" t="s">
        <v>208</v>
      </c>
      <c r="V109" s="293"/>
      <c r="W109" s="58"/>
      <c r="X109" s="58">
        <f>ROUND(M109*P109/Q109*S109,-3)</f>
        <v>3398000</v>
      </c>
      <c r="Y109" s="47" t="s">
        <v>317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5"/>
      <c r="J110" s="294"/>
      <c r="K110" s="293"/>
      <c r="L110" s="293"/>
      <c r="M110" s="293"/>
      <c r="N110" s="44"/>
      <c r="O110" s="64"/>
      <c r="P110" s="231"/>
      <c r="Q110" s="425"/>
      <c r="R110" s="64"/>
      <c r="S110" s="272"/>
      <c r="T110" s="65"/>
      <c r="U110" s="425"/>
      <c r="V110" s="293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5" t="s">
        <v>282</v>
      </c>
      <c r="J111" s="294"/>
      <c r="K111" s="293"/>
      <c r="L111" s="293"/>
      <c r="M111" s="293"/>
      <c r="N111" s="44"/>
      <c r="O111" s="64"/>
      <c r="P111" s="232"/>
      <c r="Q111" s="425"/>
      <c r="R111" s="64"/>
      <c r="S111" s="272"/>
      <c r="T111" s="65"/>
      <c r="U111" s="425"/>
      <c r="V111" s="353"/>
      <c r="W111" s="62"/>
      <c r="X111" s="62">
        <f>SUM(X112:X113)</f>
        <v>2640000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5" t="s">
        <v>508</v>
      </c>
      <c r="J112" s="294"/>
      <c r="K112" s="293"/>
      <c r="L112" s="293"/>
      <c r="M112" s="293">
        <f>M109</f>
        <v>83903000</v>
      </c>
      <c r="N112" s="44" t="s">
        <v>56</v>
      </c>
      <c r="O112" s="64" t="s">
        <v>57</v>
      </c>
      <c r="P112" s="232">
        <v>6.9900000000000004E-2</v>
      </c>
      <c r="Q112" s="425">
        <v>2</v>
      </c>
      <c r="R112" s="64" t="s">
        <v>57</v>
      </c>
      <c r="S112" s="272">
        <v>0.9</v>
      </c>
      <c r="T112" s="65"/>
      <c r="U112" s="425"/>
      <c r="V112" s="293"/>
      <c r="W112" s="58"/>
      <c r="X112" s="276">
        <f>ROUNDUP(M112*P112/Q112*S112,-3)</f>
        <v>2640000</v>
      </c>
      <c r="Y112" s="47" t="s">
        <v>317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5"/>
      <c r="J113" s="294"/>
      <c r="K113" s="293"/>
      <c r="L113" s="293"/>
      <c r="M113" s="293"/>
      <c r="N113" s="44"/>
      <c r="O113" s="64"/>
      <c r="P113" s="232"/>
      <c r="Q113" s="425"/>
      <c r="R113" s="64"/>
      <c r="S113" s="272"/>
      <c r="T113" s="65"/>
      <c r="U113" s="425"/>
      <c r="V113" s="293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5" t="s">
        <v>283</v>
      </c>
      <c r="J114" s="294"/>
      <c r="K114" s="293"/>
      <c r="L114" s="293"/>
      <c r="M114" s="293"/>
      <c r="N114" s="44"/>
      <c r="O114" s="64"/>
      <c r="P114" s="68"/>
      <c r="Q114" s="69"/>
      <c r="R114" s="64"/>
      <c r="S114" s="67"/>
      <c r="T114" s="70"/>
      <c r="U114" s="425"/>
      <c r="V114" s="353"/>
      <c r="W114" s="62"/>
      <c r="X114" s="62">
        <f>SUM(X115:X116)</f>
        <v>324000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5" t="s">
        <v>508</v>
      </c>
      <c r="J115" s="294"/>
      <c r="K115" s="293"/>
      <c r="L115" s="293"/>
      <c r="M115" s="293">
        <f t="shared" ref="M115" si="26">X112</f>
        <v>2640000</v>
      </c>
      <c r="N115" s="44" t="s">
        <v>56</v>
      </c>
      <c r="O115" s="64" t="s">
        <v>57</v>
      </c>
      <c r="P115" s="68">
        <v>0.1227</v>
      </c>
      <c r="Q115" s="69"/>
      <c r="R115" s="64"/>
      <c r="S115" s="67"/>
      <c r="T115" s="70"/>
      <c r="U115" s="425"/>
      <c r="V115" s="293"/>
      <c r="W115" s="58"/>
      <c r="X115" s="58">
        <f>ROUND(M115*P115,-3)</f>
        <v>324000</v>
      </c>
      <c r="Y115" s="47" t="s">
        <v>317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5"/>
      <c r="J116" s="294"/>
      <c r="K116" s="293"/>
      <c r="L116" s="293"/>
      <c r="M116" s="293"/>
      <c r="N116" s="44"/>
      <c r="O116" s="64"/>
      <c r="P116" s="68"/>
      <c r="Q116" s="69"/>
      <c r="R116" s="64"/>
      <c r="S116" s="67"/>
      <c r="T116" s="70"/>
      <c r="U116" s="425"/>
      <c r="V116" s="293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5" t="s">
        <v>284</v>
      </c>
      <c r="J117" s="294"/>
      <c r="K117" s="293"/>
      <c r="L117" s="293"/>
      <c r="M117" s="293"/>
      <c r="N117" s="44"/>
      <c r="O117" s="64"/>
      <c r="P117" s="68"/>
      <c r="Q117" s="64"/>
      <c r="R117" s="64"/>
      <c r="S117" s="272"/>
      <c r="T117" s="65"/>
      <c r="U117" s="425"/>
      <c r="V117" s="353"/>
      <c r="W117" s="62"/>
      <c r="X117" s="62">
        <f>SUM(X118:X119)</f>
        <v>868000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5" t="s">
        <v>508</v>
      </c>
      <c r="J118" s="294"/>
      <c r="K118" s="293"/>
      <c r="L118" s="293"/>
      <c r="M118" s="293">
        <f>M109</f>
        <v>83903000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2">
        <v>0.9</v>
      </c>
      <c r="T118" s="65"/>
      <c r="U118" s="425" t="s">
        <v>208</v>
      </c>
      <c r="V118" s="293"/>
      <c r="W118" s="58"/>
      <c r="X118" s="58">
        <f>ROUND(M118*P118*S118,-3)</f>
        <v>868000</v>
      </c>
      <c r="Y118" s="47" t="s">
        <v>317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5"/>
      <c r="J119" s="294"/>
      <c r="K119" s="293"/>
      <c r="L119" s="293"/>
      <c r="M119" s="293"/>
      <c r="N119" s="44"/>
      <c r="O119" s="64"/>
      <c r="P119" s="68"/>
      <c r="Q119" s="64"/>
      <c r="R119" s="64"/>
      <c r="S119" s="272"/>
      <c r="T119" s="65"/>
      <c r="U119" s="425"/>
      <c r="V119" s="293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5" t="s">
        <v>285</v>
      </c>
      <c r="J120" s="294"/>
      <c r="K120" s="293"/>
      <c r="L120" s="293"/>
      <c r="M120" s="293"/>
      <c r="N120" s="44"/>
      <c r="O120" s="64"/>
      <c r="P120" s="268"/>
      <c r="Q120" s="64"/>
      <c r="R120" s="64"/>
      <c r="S120" s="272"/>
      <c r="T120" s="65"/>
      <c r="U120" s="425"/>
      <c r="V120" s="353"/>
      <c r="W120" s="62"/>
      <c r="X120" s="62">
        <f>SUM(X121:X122)</f>
        <v>574000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5" t="s">
        <v>508</v>
      </c>
      <c r="J121" s="294"/>
      <c r="K121" s="293"/>
      <c r="L121" s="293"/>
      <c r="M121" s="293">
        <f>M109</f>
        <v>83903000</v>
      </c>
      <c r="N121" s="44" t="s">
        <v>56</v>
      </c>
      <c r="O121" s="64" t="s">
        <v>57</v>
      </c>
      <c r="P121" s="268">
        <v>7.6E-3</v>
      </c>
      <c r="Q121" s="64"/>
      <c r="R121" s="64" t="s">
        <v>57</v>
      </c>
      <c r="S121" s="272">
        <v>0.9</v>
      </c>
      <c r="T121" s="65"/>
      <c r="U121" s="425" t="s">
        <v>208</v>
      </c>
      <c r="V121" s="293"/>
      <c r="W121" s="58"/>
      <c r="X121" s="58">
        <f>ROUND(M121*P121*S121,-3)</f>
        <v>574000</v>
      </c>
      <c r="Y121" s="47" t="s">
        <v>317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5"/>
      <c r="J122" s="294"/>
      <c r="K122" s="293"/>
      <c r="L122" s="293"/>
      <c r="M122" s="293"/>
      <c r="N122" s="44"/>
      <c r="O122" s="64"/>
      <c r="P122" s="268"/>
      <c r="Q122" s="64"/>
      <c r="R122" s="64"/>
      <c r="S122" s="272"/>
      <c r="T122" s="65"/>
      <c r="U122" s="425"/>
      <c r="V122" s="293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9"/>
      <c r="L123" s="219"/>
      <c r="M123" s="199"/>
      <c r="N123" s="199"/>
      <c r="O123" s="220"/>
      <c r="P123" s="199"/>
      <c r="Q123" s="117"/>
      <c r="R123" s="221"/>
      <c r="S123" s="72"/>
      <c r="T123" s="170"/>
      <c r="U123" s="170"/>
      <c r="V123" s="222"/>
      <c r="W123" s="200"/>
      <c r="X123" s="62"/>
      <c r="Y123" s="63"/>
    </row>
    <row r="124" spans="1:25" ht="21" customHeight="1" thickBot="1">
      <c r="A124" s="37"/>
      <c r="B124" s="38"/>
      <c r="C124" s="38"/>
      <c r="D124" s="28" t="s">
        <v>212</v>
      </c>
      <c r="E124" s="29">
        <v>8730</v>
      </c>
      <c r="F124" s="214">
        <f>ROUND(X124/1000,0)</f>
        <v>8730</v>
      </c>
      <c r="G124" s="30">
        <f t="shared" ref="G124" si="27">F124-E124</f>
        <v>0</v>
      </c>
      <c r="H124" s="109">
        <f t="shared" ref="H124" si="28">IF(E124=0,0,G124/E124)</f>
        <v>0</v>
      </c>
      <c r="I124" s="226" t="s">
        <v>213</v>
      </c>
      <c r="J124" s="225"/>
      <c r="K124" s="233"/>
      <c r="L124" s="233"/>
      <c r="M124" s="79"/>
      <c r="N124" s="79"/>
      <c r="O124" s="215"/>
      <c r="P124" s="79"/>
      <c r="Q124" s="216"/>
      <c r="R124" s="223"/>
      <c r="S124" s="224"/>
      <c r="T124" s="229"/>
      <c r="U124" s="229"/>
      <c r="V124" s="227" t="s">
        <v>194</v>
      </c>
      <c r="W124" s="228"/>
      <c r="X124" s="228">
        <f>SUM(X125:X125)</f>
        <v>8730000</v>
      </c>
      <c r="Y124" s="261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4" t="s">
        <v>214</v>
      </c>
      <c r="J125" s="58"/>
      <c r="K125" s="181"/>
      <c r="L125" s="181"/>
      <c r="M125" s="271">
        <v>2425000</v>
      </c>
      <c r="N125" s="271" t="s">
        <v>25</v>
      </c>
      <c r="O125" s="368" t="s">
        <v>26</v>
      </c>
      <c r="P125" s="369">
        <v>4</v>
      </c>
      <c r="Q125" s="370" t="s">
        <v>55</v>
      </c>
      <c r="R125" s="331" t="s">
        <v>303</v>
      </c>
      <c r="S125" s="371">
        <v>0.9</v>
      </c>
      <c r="T125" s="334"/>
      <c r="U125" s="332" t="s">
        <v>304</v>
      </c>
      <c r="V125" s="569"/>
      <c r="W125" s="569"/>
      <c r="X125" s="58">
        <f>ROUND(M125*P125*S125,-3)</f>
        <v>8730000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9"/>
      <c r="L126" s="219"/>
      <c r="M126" s="199"/>
      <c r="N126" s="199"/>
      <c r="O126" s="220"/>
      <c r="P126" s="199"/>
      <c r="Q126" s="117"/>
      <c r="R126" s="221"/>
      <c r="S126" s="72"/>
      <c r="T126" s="170"/>
      <c r="U126" s="170"/>
      <c r="V126" s="222"/>
      <c r="W126" s="200"/>
      <c r="X126" s="62"/>
      <c r="Y126" s="63"/>
    </row>
    <row r="127" spans="1:25" ht="21" customHeight="1" thickBot="1">
      <c r="A127" s="37"/>
      <c r="B127" s="38"/>
      <c r="C127" s="38"/>
      <c r="D127" s="28" t="s">
        <v>215</v>
      </c>
      <c r="E127" s="29">
        <v>1149</v>
      </c>
      <c r="F127" s="214">
        <f>ROUND(X127/1000,0)</f>
        <v>1149</v>
      </c>
      <c r="G127" s="30">
        <f t="shared" ref="G127" si="29">F127-E127</f>
        <v>0</v>
      </c>
      <c r="H127" s="109">
        <f t="shared" ref="H127" si="30">IF(E127=0,0,G127/E127)</f>
        <v>0</v>
      </c>
      <c r="I127" s="226" t="s">
        <v>217</v>
      </c>
      <c r="J127" s="225"/>
      <c r="K127" s="233"/>
      <c r="L127" s="233"/>
      <c r="M127" s="79"/>
      <c r="N127" s="79"/>
      <c r="O127" s="215"/>
      <c r="P127" s="79"/>
      <c r="Q127" s="216"/>
      <c r="R127" s="223"/>
      <c r="S127" s="224"/>
      <c r="T127" s="229"/>
      <c r="U127" s="229"/>
      <c r="V127" s="227" t="s">
        <v>194</v>
      </c>
      <c r="W127" s="228"/>
      <c r="X127" s="228">
        <f>SUM(X128:X133)</f>
        <v>1149000</v>
      </c>
      <c r="Y127" s="261" t="s">
        <v>56</v>
      </c>
    </row>
    <row r="128" spans="1:25" ht="21" customHeight="1">
      <c r="A128" s="37"/>
      <c r="B128" s="38"/>
      <c r="C128" s="38"/>
      <c r="D128" s="38" t="s">
        <v>216</v>
      </c>
      <c r="E128" s="40"/>
      <c r="F128" s="40"/>
      <c r="G128" s="41"/>
      <c r="H128" s="60"/>
      <c r="I128" s="57" t="s">
        <v>218</v>
      </c>
      <c r="J128" s="198"/>
      <c r="K128" s="197"/>
      <c r="L128" s="197"/>
      <c r="M128" s="197">
        <v>500</v>
      </c>
      <c r="N128" s="197" t="s">
        <v>205</v>
      </c>
      <c r="O128" s="198" t="s">
        <v>209</v>
      </c>
      <c r="P128" s="235">
        <v>4</v>
      </c>
      <c r="Q128" s="236">
        <v>365</v>
      </c>
      <c r="R128" s="197" t="s">
        <v>219</v>
      </c>
      <c r="S128" s="273">
        <v>0.7</v>
      </c>
      <c r="T128" s="197"/>
      <c r="U128" s="197" t="s">
        <v>208</v>
      </c>
      <c r="V128" s="197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220</v>
      </c>
      <c r="J129" s="198"/>
      <c r="K129" s="197"/>
      <c r="L129" s="197"/>
      <c r="M129" s="197">
        <v>5000</v>
      </c>
      <c r="N129" s="197" t="s">
        <v>205</v>
      </c>
      <c r="O129" s="198" t="s">
        <v>209</v>
      </c>
      <c r="P129" s="235">
        <v>4</v>
      </c>
      <c r="Q129" s="236">
        <v>12</v>
      </c>
      <c r="R129" s="197" t="s">
        <v>207</v>
      </c>
      <c r="S129" s="273">
        <v>0.7</v>
      </c>
      <c r="T129" s="197"/>
      <c r="U129" s="197" t="s">
        <v>208</v>
      </c>
      <c r="V129" s="197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221</v>
      </c>
      <c r="J130" s="198"/>
      <c r="K130" s="197"/>
      <c r="L130" s="197"/>
      <c r="M130" s="197">
        <v>20000</v>
      </c>
      <c r="N130" s="197" t="s">
        <v>205</v>
      </c>
      <c r="O130" s="198" t="s">
        <v>209</v>
      </c>
      <c r="P130" s="235">
        <v>4</v>
      </c>
      <c r="Q130" s="236">
        <v>4</v>
      </c>
      <c r="R130" s="197" t="s">
        <v>222</v>
      </c>
      <c r="S130" s="273">
        <v>0.7</v>
      </c>
      <c r="T130" s="197"/>
      <c r="U130" s="197" t="s">
        <v>208</v>
      </c>
      <c r="V130" s="197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449</v>
      </c>
      <c r="J131" s="198"/>
      <c r="K131" s="197"/>
      <c r="L131" s="197"/>
      <c r="M131" s="197">
        <v>12000</v>
      </c>
      <c r="N131" s="197" t="s">
        <v>205</v>
      </c>
      <c r="O131" s="198" t="s">
        <v>209</v>
      </c>
      <c r="P131" s="235">
        <v>4</v>
      </c>
      <c r="Q131" s="236">
        <v>4</v>
      </c>
      <c r="R131" s="197" t="s">
        <v>222</v>
      </c>
      <c r="S131" s="273">
        <v>0.7</v>
      </c>
      <c r="T131" s="197"/>
      <c r="U131" s="197" t="s">
        <v>208</v>
      </c>
      <c r="V131" s="197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223</v>
      </c>
      <c r="J132" s="198"/>
      <c r="K132" s="197"/>
      <c r="L132" s="197"/>
      <c r="M132" s="197"/>
      <c r="N132" s="197"/>
      <c r="O132" s="198"/>
      <c r="P132" s="235"/>
      <c r="Q132" s="236"/>
      <c r="R132" s="197"/>
      <c r="S132" s="197"/>
      <c r="T132" s="197"/>
      <c r="U132" s="197"/>
      <c r="V132" s="197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224</v>
      </c>
      <c r="J133" s="198"/>
      <c r="K133" s="197"/>
      <c r="L133" s="197"/>
      <c r="M133" s="197">
        <v>40000</v>
      </c>
      <c r="N133" s="197" t="s">
        <v>205</v>
      </c>
      <c r="O133" s="198" t="s">
        <v>209</v>
      </c>
      <c r="P133" s="235">
        <v>4</v>
      </c>
      <c r="Q133" s="236">
        <v>1</v>
      </c>
      <c r="R133" s="197" t="s">
        <v>222</v>
      </c>
      <c r="S133" s="273">
        <v>0.7</v>
      </c>
      <c r="T133" s="197"/>
      <c r="U133" s="197" t="s">
        <v>208</v>
      </c>
      <c r="V133" s="197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9"/>
      <c r="L134" s="219"/>
      <c r="M134" s="199"/>
      <c r="N134" s="199"/>
      <c r="O134" s="220"/>
      <c r="P134" s="199"/>
      <c r="Q134" s="117"/>
      <c r="R134" s="221"/>
      <c r="S134" s="72"/>
      <c r="T134" s="170"/>
      <c r="U134" s="170"/>
      <c r="V134" s="222"/>
      <c r="W134" s="200"/>
      <c r="X134" s="62"/>
      <c r="Y134" s="63"/>
    </row>
    <row r="135" spans="1:26" ht="21" customHeight="1" thickBot="1">
      <c r="A135" s="37"/>
      <c r="B135" s="38"/>
      <c r="C135" s="38"/>
      <c r="D135" s="28" t="s">
        <v>225</v>
      </c>
      <c r="E135" s="29">
        <v>0</v>
      </c>
      <c r="F135" s="214">
        <f>ROUND(X135/1000,0)</f>
        <v>1800</v>
      </c>
      <c r="G135" s="30">
        <f t="shared" ref="G135" si="31">F135-E135</f>
        <v>1800</v>
      </c>
      <c r="H135" s="109">
        <f t="shared" ref="H135" si="32">IF(E135=0,0,G135/E135)</f>
        <v>0</v>
      </c>
      <c r="I135" s="226" t="s">
        <v>319</v>
      </c>
      <c r="J135" s="225"/>
      <c r="K135" s="233"/>
      <c r="L135" s="233"/>
      <c r="M135" s="79"/>
      <c r="N135" s="79"/>
      <c r="O135" s="215"/>
      <c r="P135" s="79"/>
      <c r="Q135" s="216"/>
      <c r="R135" s="223"/>
      <c r="S135" s="224"/>
      <c r="T135" s="350"/>
      <c r="U135" s="350"/>
      <c r="V135" s="227" t="s">
        <v>194</v>
      </c>
      <c r="W135" s="228"/>
      <c r="X135" s="228">
        <f>X136</f>
        <v>1800000</v>
      </c>
      <c r="Y135" s="261" t="s">
        <v>56</v>
      </c>
    </row>
    <row r="136" spans="1:26" ht="21" customHeight="1">
      <c r="A136" s="37"/>
      <c r="B136" s="38"/>
      <c r="C136" s="38"/>
      <c r="D136" s="38" t="s">
        <v>320</v>
      </c>
      <c r="E136" s="40"/>
      <c r="F136" s="40"/>
      <c r="G136" s="41"/>
      <c r="H136" s="60"/>
      <c r="I136" s="285" t="s">
        <v>286</v>
      </c>
      <c r="J136" s="294"/>
      <c r="K136" s="293"/>
      <c r="L136" s="293"/>
      <c r="M136" s="238">
        <v>2000000</v>
      </c>
      <c r="N136" s="59" t="s">
        <v>56</v>
      </c>
      <c r="O136" s="59" t="s">
        <v>57</v>
      </c>
      <c r="P136" s="67">
        <v>0.9</v>
      </c>
      <c r="Q136" s="236"/>
      <c r="R136" s="59"/>
      <c r="S136" s="237"/>
      <c r="T136" s="59"/>
      <c r="U136" s="59" t="s">
        <v>53</v>
      </c>
      <c r="V136" s="293"/>
      <c r="W136" s="58"/>
      <c r="X136" s="293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4"/>
      <c r="J137" s="62"/>
      <c r="K137" s="219"/>
      <c r="L137" s="219"/>
      <c r="M137" s="353"/>
      <c r="N137" s="353"/>
      <c r="O137" s="220"/>
      <c r="P137" s="353"/>
      <c r="Q137" s="117"/>
      <c r="R137" s="221"/>
      <c r="S137" s="353"/>
      <c r="T137" s="170"/>
      <c r="U137" s="170"/>
      <c r="V137" s="222"/>
      <c r="W137" s="354"/>
      <c r="X137" s="62"/>
      <c r="Y137" s="63"/>
    </row>
    <row r="138" spans="1:26" ht="21" customHeight="1">
      <c r="A138" s="37"/>
      <c r="B138" s="38"/>
      <c r="C138" s="38"/>
      <c r="D138" s="38" t="s">
        <v>324</v>
      </c>
      <c r="E138" s="40">
        <v>300</v>
      </c>
      <c r="F138" s="214">
        <f>ROUND(X138/1000,0)</f>
        <v>0</v>
      </c>
      <c r="G138" s="41">
        <f t="shared" ref="G138" si="33">F138-E138</f>
        <v>-300</v>
      </c>
      <c r="H138" s="60">
        <f t="shared" ref="H138" si="34">IF(E138=0,0,G138/E138)</f>
        <v>-1</v>
      </c>
      <c r="I138" s="61" t="s">
        <v>323</v>
      </c>
      <c r="J138" s="58"/>
      <c r="K138" s="181"/>
      <c r="L138" s="181"/>
      <c r="M138" s="197"/>
      <c r="N138" s="197"/>
      <c r="O138" s="178"/>
      <c r="P138" s="197"/>
      <c r="Q138" s="44"/>
      <c r="R138" s="180"/>
      <c r="S138" s="46"/>
      <c r="T138" s="230"/>
      <c r="U138" s="230"/>
      <c r="V138" s="199" t="s">
        <v>228</v>
      </c>
      <c r="W138" s="62"/>
      <c r="X138" s="199">
        <f>SUM(X139:X139)</f>
        <v>0</v>
      </c>
      <c r="Y138" s="63" t="s">
        <v>25</v>
      </c>
    </row>
    <row r="139" spans="1:26" ht="21" customHeight="1">
      <c r="A139" s="37"/>
      <c r="B139" s="38"/>
      <c r="C139" s="38"/>
      <c r="D139" s="38" t="s">
        <v>227</v>
      </c>
      <c r="E139" s="40"/>
      <c r="F139" s="40"/>
      <c r="G139" s="41"/>
      <c r="H139" s="60"/>
      <c r="I139" s="285" t="s">
        <v>287</v>
      </c>
      <c r="J139" s="294"/>
      <c r="K139" s="293"/>
      <c r="L139" s="293"/>
      <c r="M139" s="238">
        <v>0</v>
      </c>
      <c r="N139" s="59" t="s">
        <v>56</v>
      </c>
      <c r="O139" s="59" t="s">
        <v>57</v>
      </c>
      <c r="P139" s="239">
        <v>1</v>
      </c>
      <c r="Q139" s="236"/>
      <c r="R139" s="59"/>
      <c r="S139" s="237"/>
      <c r="T139" s="59"/>
      <c r="U139" s="59" t="s">
        <v>210</v>
      </c>
      <c r="V139" s="293"/>
      <c r="W139" s="58"/>
      <c r="X139" s="293">
        <f>ROUND(M139*P139,-3)</f>
        <v>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8"/>
      <c r="K140" s="197"/>
      <c r="L140" s="197"/>
      <c r="M140" s="197"/>
      <c r="N140" s="44"/>
      <c r="O140" s="64"/>
      <c r="P140" s="68"/>
      <c r="Q140" s="64"/>
      <c r="R140" s="64"/>
      <c r="S140" s="67"/>
      <c r="T140" s="65"/>
      <c r="U140" s="230"/>
      <c r="V140" s="197"/>
      <c r="W140" s="58"/>
      <c r="X140" s="58"/>
      <c r="Y140" s="47"/>
    </row>
    <row r="141" spans="1:26" ht="21" customHeight="1">
      <c r="A141" s="37"/>
      <c r="B141" s="38"/>
      <c r="C141" s="28" t="s">
        <v>147</v>
      </c>
      <c r="D141" s="257" t="s">
        <v>111</v>
      </c>
      <c r="E141" s="190">
        <f>E142</f>
        <v>0</v>
      </c>
      <c r="F141" s="190">
        <f>F142</f>
        <v>0</v>
      </c>
      <c r="G141" s="191">
        <f t="shared" ref="G141:G142" si="35">F141-E141</f>
        <v>0</v>
      </c>
      <c r="H141" s="192">
        <f t="shared" ref="H141:H142" si="36">IF(E141=0,0,G141/E141)</f>
        <v>0</v>
      </c>
      <c r="I141" s="174" t="s">
        <v>146</v>
      </c>
      <c r="J141" s="175"/>
      <c r="K141" s="176"/>
      <c r="L141" s="176"/>
      <c r="M141" s="176"/>
      <c r="N141" s="176"/>
      <c r="O141" s="176"/>
      <c r="P141" s="177"/>
      <c r="Q141" s="177"/>
      <c r="R141" s="177"/>
      <c r="S141" s="177"/>
      <c r="T141" s="177"/>
      <c r="U141" s="177"/>
      <c r="V141" s="211" t="s">
        <v>69</v>
      </c>
      <c r="W141" s="212"/>
      <c r="X141" s="212">
        <f>SUM(X142:X142)</f>
        <v>0</v>
      </c>
      <c r="Y141" s="260" t="s">
        <v>56</v>
      </c>
    </row>
    <row r="142" spans="1:26" ht="21" customHeight="1">
      <c r="A142" s="37"/>
      <c r="B142" s="38"/>
      <c r="C142" s="38" t="s">
        <v>143</v>
      </c>
      <c r="D142" s="38" t="s">
        <v>148</v>
      </c>
      <c r="E142" s="40">
        <v>0</v>
      </c>
      <c r="F142" s="40">
        <f>ROUND(X142/1000,0)</f>
        <v>0</v>
      </c>
      <c r="G142" s="267">
        <f t="shared" si="35"/>
        <v>0</v>
      </c>
      <c r="H142" s="157">
        <f t="shared" si="36"/>
        <v>0</v>
      </c>
      <c r="I142" s="57"/>
      <c r="J142" s="198"/>
      <c r="K142" s="197"/>
      <c r="L142" s="197"/>
      <c r="M142" s="197"/>
      <c r="N142" s="230"/>
      <c r="O142" s="178"/>
      <c r="P142" s="197"/>
      <c r="Q142" s="44"/>
      <c r="R142" s="179"/>
      <c r="S142" s="182"/>
      <c r="T142" s="182"/>
      <c r="U142" s="230"/>
      <c r="V142" s="110"/>
      <c r="W142" s="58"/>
      <c r="X142" s="58">
        <v>0</v>
      </c>
      <c r="Y142" s="47" t="s">
        <v>144</v>
      </c>
    </row>
    <row r="143" spans="1:26" s="11" customFormat="1" ht="19.5" customHeight="1">
      <c r="A143" s="263"/>
      <c r="B143" s="74"/>
      <c r="C143" s="74"/>
      <c r="D143" s="49"/>
      <c r="E143" s="51"/>
      <c r="F143" s="51"/>
      <c r="G143" s="52"/>
      <c r="H143" s="75"/>
      <c r="I143" s="61"/>
      <c r="J143" s="199"/>
      <c r="K143" s="76"/>
      <c r="L143" s="76"/>
      <c r="M143" s="77"/>
      <c r="N143" s="199"/>
      <c r="O143" s="76"/>
      <c r="P143" s="199"/>
      <c r="Q143" s="199"/>
      <c r="R143" s="199"/>
      <c r="S143" s="199"/>
      <c r="T143" s="199"/>
      <c r="U143" s="199"/>
      <c r="V143" s="199"/>
      <c r="W143" s="199"/>
      <c r="X143" s="199"/>
      <c r="Y143" s="63"/>
      <c r="Z143" s="6"/>
    </row>
    <row r="144" spans="1:26" ht="21" customHeight="1">
      <c r="A144" s="27" t="s">
        <v>72</v>
      </c>
      <c r="B144" s="28" t="s">
        <v>30</v>
      </c>
      <c r="C144" s="561" t="s">
        <v>257</v>
      </c>
      <c r="D144" s="562"/>
      <c r="E144" s="240">
        <f>SUM(E145,E151)</f>
        <v>500</v>
      </c>
      <c r="F144" s="240">
        <f>SUM(F145,F151)</f>
        <v>500</v>
      </c>
      <c r="G144" s="241">
        <f t="shared" ref="G144" si="37">F144-E144</f>
        <v>0</v>
      </c>
      <c r="H144" s="242">
        <f t="shared" ref="H144" si="38">IF(E144=0,0,G144/E144)</f>
        <v>0</v>
      </c>
      <c r="I144" s="243" t="s">
        <v>258</v>
      </c>
      <c r="J144" s="244"/>
      <c r="K144" s="245"/>
      <c r="L144" s="245"/>
      <c r="M144" s="244"/>
      <c r="N144" s="244"/>
      <c r="O144" s="244"/>
      <c r="P144" s="244"/>
      <c r="Q144" s="244" t="s">
        <v>65</v>
      </c>
      <c r="R144" s="246"/>
      <c r="S144" s="246"/>
      <c r="T144" s="246"/>
      <c r="U144" s="246"/>
      <c r="V144" s="246"/>
      <c r="W144" s="246"/>
      <c r="X144" s="247">
        <f>X145+X151</f>
        <v>500000</v>
      </c>
      <c r="Y144" s="259" t="s">
        <v>25</v>
      </c>
    </row>
    <row r="145" spans="1:25" ht="21" customHeight="1">
      <c r="A145" s="37" t="s">
        <v>132</v>
      </c>
      <c r="B145" s="38" t="s">
        <v>132</v>
      </c>
      <c r="C145" s="28" t="s">
        <v>149</v>
      </c>
      <c r="D145" s="257" t="s">
        <v>263</v>
      </c>
      <c r="E145" s="190">
        <f>E146+E149</f>
        <v>0</v>
      </c>
      <c r="F145" s="190">
        <f>F146+F149</f>
        <v>0</v>
      </c>
      <c r="G145" s="191">
        <f t="shared" ref="G145:G146" si="39">F145-E145</f>
        <v>0</v>
      </c>
      <c r="H145" s="192">
        <f t="shared" ref="H145:H146" si="40">IF(E145=0,0,G145/E145)</f>
        <v>0</v>
      </c>
      <c r="I145" s="174" t="s">
        <v>264</v>
      </c>
      <c r="J145" s="175"/>
      <c r="K145" s="176"/>
      <c r="L145" s="176"/>
      <c r="M145" s="176"/>
      <c r="N145" s="176"/>
      <c r="O145" s="176"/>
      <c r="P145" s="177"/>
      <c r="Q145" s="177"/>
      <c r="R145" s="177"/>
      <c r="S145" s="177"/>
      <c r="T145" s="177"/>
      <c r="U145" s="177"/>
      <c r="V145" s="211" t="s">
        <v>252</v>
      </c>
      <c r="W145" s="212"/>
      <c r="X145" s="213">
        <f>SUM(X146,X149)</f>
        <v>0</v>
      </c>
      <c r="Y145" s="260" t="s">
        <v>247</v>
      </c>
    </row>
    <row r="146" spans="1:25" ht="21.75" customHeight="1">
      <c r="A146" s="37"/>
      <c r="B146" s="38"/>
      <c r="C146" s="38" t="s">
        <v>150</v>
      </c>
      <c r="D146" s="28" t="s">
        <v>151</v>
      </c>
      <c r="E146" s="29">
        <v>0</v>
      </c>
      <c r="F146" s="40">
        <f>ROUND(X146/1000,0)</f>
        <v>0</v>
      </c>
      <c r="G146" s="267">
        <f t="shared" si="39"/>
        <v>0</v>
      </c>
      <c r="H146" s="157">
        <f t="shared" si="40"/>
        <v>0</v>
      </c>
      <c r="I146" s="127" t="s">
        <v>152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0" t="s">
        <v>69</v>
      </c>
      <c r="W146" s="560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101</v>
      </c>
      <c r="J147" s="198"/>
      <c r="K147" s="197"/>
      <c r="L147" s="197"/>
      <c r="M147" s="197">
        <v>0</v>
      </c>
      <c r="N147" s="230" t="s">
        <v>66</v>
      </c>
      <c r="O147" s="64" t="s">
        <v>67</v>
      </c>
      <c r="P147" s="59">
        <v>12</v>
      </c>
      <c r="Q147" s="64" t="s">
        <v>115</v>
      </c>
      <c r="R147" s="71"/>
      <c r="S147" s="65"/>
      <c r="T147" s="65"/>
      <c r="U147" s="230" t="s">
        <v>68</v>
      </c>
      <c r="V147" s="197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3"/>
      <c r="I148" s="61"/>
      <c r="J148" s="200"/>
      <c r="K148" s="199"/>
      <c r="L148" s="199"/>
      <c r="M148" s="199"/>
      <c r="N148" s="170"/>
      <c r="O148" s="183"/>
      <c r="P148" s="184"/>
      <c r="Q148" s="183"/>
      <c r="R148" s="185"/>
      <c r="S148" s="186"/>
      <c r="T148" s="186"/>
      <c r="U148" s="170"/>
      <c r="V148" s="199"/>
      <c r="W148" s="62"/>
      <c r="X148" s="62"/>
      <c r="Y148" s="63"/>
    </row>
    <row r="149" spans="1:25" ht="18" customHeight="1">
      <c r="A149" s="37"/>
      <c r="B149" s="38"/>
      <c r="C149" s="38"/>
      <c r="D149" s="28" t="s">
        <v>253</v>
      </c>
      <c r="E149" s="29">
        <v>0</v>
      </c>
      <c r="F149" s="40">
        <f>ROUND(X149/1000,0)</f>
        <v>0</v>
      </c>
      <c r="G149" s="30">
        <f t="shared" ref="G149" si="41">F149-E149</f>
        <v>0</v>
      </c>
      <c r="H149" s="31">
        <f t="shared" ref="H149" si="42">IF(E149=0,0,G149/E149)</f>
        <v>0</v>
      </c>
      <c r="I149" s="127" t="s">
        <v>152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0" t="s">
        <v>69</v>
      </c>
      <c r="W149" s="560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3"/>
      <c r="I150" s="57" t="s">
        <v>254</v>
      </c>
      <c r="J150" s="198"/>
      <c r="K150" s="197"/>
      <c r="L150" s="197"/>
      <c r="M150" s="197">
        <v>0</v>
      </c>
      <c r="N150" s="230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0" t="s">
        <v>53</v>
      </c>
      <c r="V150" s="197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153</v>
      </c>
      <c r="D151" s="257" t="s">
        <v>111</v>
      </c>
      <c r="E151" s="190">
        <f>E152</f>
        <v>500</v>
      </c>
      <c r="F151" s="190">
        <f>F152</f>
        <v>500</v>
      </c>
      <c r="G151" s="191">
        <f t="shared" ref="G151:G152" si="43">F151-E151</f>
        <v>0</v>
      </c>
      <c r="H151" s="192">
        <f t="shared" ref="H151:H152" si="44">IF(E151=0,0,G151/E151)</f>
        <v>0</v>
      </c>
      <c r="I151" s="174" t="s">
        <v>155</v>
      </c>
      <c r="J151" s="175"/>
      <c r="K151" s="176"/>
      <c r="L151" s="176"/>
      <c r="M151" s="176"/>
      <c r="N151" s="176"/>
      <c r="O151" s="176"/>
      <c r="P151" s="177"/>
      <c r="Q151" s="177"/>
      <c r="R151" s="177"/>
      <c r="S151" s="177"/>
      <c r="T151" s="177"/>
      <c r="U151" s="177"/>
      <c r="V151" s="211" t="s">
        <v>69</v>
      </c>
      <c r="W151" s="212"/>
      <c r="X151" s="212">
        <f>X152</f>
        <v>500000</v>
      </c>
      <c r="Y151" s="260" t="s">
        <v>56</v>
      </c>
    </row>
    <row r="152" spans="1:25" ht="21" customHeight="1">
      <c r="A152" s="37"/>
      <c r="B152" s="38"/>
      <c r="C152" s="38" t="s">
        <v>150</v>
      </c>
      <c r="D152" s="38" t="s">
        <v>154</v>
      </c>
      <c r="E152" s="40">
        <v>500</v>
      </c>
      <c r="F152" s="40">
        <f>ROUND(X152/1000,0)</f>
        <v>500</v>
      </c>
      <c r="G152" s="267">
        <f t="shared" si="43"/>
        <v>0</v>
      </c>
      <c r="H152" s="157">
        <f t="shared" si="44"/>
        <v>0</v>
      </c>
      <c r="I152" s="127" t="s">
        <v>311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0" t="s">
        <v>69</v>
      </c>
      <c r="W152" s="560"/>
      <c r="X152" s="129">
        <f>SUM(X153:X153)</f>
        <v>500000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5"/>
      <c r="H153" s="266"/>
      <c r="I153" s="57" t="s">
        <v>73</v>
      </c>
      <c r="J153" s="294"/>
      <c r="K153" s="293"/>
      <c r="L153" s="293"/>
      <c r="M153" s="293"/>
      <c r="N153" s="422"/>
      <c r="O153" s="64"/>
      <c r="P153" s="59"/>
      <c r="Q153" s="64"/>
      <c r="R153" s="71"/>
      <c r="S153" s="65"/>
      <c r="T153" s="65"/>
      <c r="U153" s="422" t="s">
        <v>53</v>
      </c>
      <c r="V153" s="293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3"/>
      <c r="I154" s="61"/>
      <c r="J154" s="200"/>
      <c r="K154" s="199"/>
      <c r="L154" s="199"/>
      <c r="M154" s="199"/>
      <c r="N154" s="170"/>
      <c r="O154" s="183"/>
      <c r="P154" s="184"/>
      <c r="Q154" s="183"/>
      <c r="R154" s="185"/>
      <c r="S154" s="186"/>
      <c r="T154" s="186"/>
      <c r="U154" s="170"/>
      <c r="V154" s="199"/>
      <c r="W154" s="62"/>
      <c r="X154" s="62"/>
      <c r="Y154" s="63"/>
    </row>
    <row r="155" spans="1:25" ht="21" customHeight="1">
      <c r="A155" s="27" t="s">
        <v>156</v>
      </c>
      <c r="B155" s="28" t="s">
        <v>156</v>
      </c>
      <c r="C155" s="561" t="s">
        <v>257</v>
      </c>
      <c r="D155" s="562"/>
      <c r="E155" s="240">
        <f>E156+E159</f>
        <v>0</v>
      </c>
      <c r="F155" s="240">
        <f>F156+F159</f>
        <v>0</v>
      </c>
      <c r="G155" s="241">
        <f t="shared" ref="G155:G157" si="45">F155-E155</f>
        <v>0</v>
      </c>
      <c r="H155" s="242">
        <f t="shared" ref="H155:H157" si="46">IF(E155=0,0,G155/E155)</f>
        <v>0</v>
      </c>
      <c r="I155" s="243" t="s">
        <v>259</v>
      </c>
      <c r="J155" s="244"/>
      <c r="K155" s="245"/>
      <c r="L155" s="245"/>
      <c r="M155" s="244"/>
      <c r="N155" s="244"/>
      <c r="O155" s="244"/>
      <c r="P155" s="244"/>
      <c r="Q155" s="244" t="s">
        <v>64</v>
      </c>
      <c r="R155" s="246"/>
      <c r="S155" s="246"/>
      <c r="T155" s="246"/>
      <c r="U155" s="246"/>
      <c r="V155" s="246"/>
      <c r="W155" s="246"/>
      <c r="X155" s="247">
        <f>X156+X159</f>
        <v>0</v>
      </c>
      <c r="Y155" s="259" t="s">
        <v>25</v>
      </c>
    </row>
    <row r="156" spans="1:25" ht="21" customHeight="1">
      <c r="A156" s="37"/>
      <c r="B156" s="38"/>
      <c r="C156" s="28" t="s">
        <v>157</v>
      </c>
      <c r="D156" s="257" t="s">
        <v>111</v>
      </c>
      <c r="E156" s="190">
        <f>E157</f>
        <v>0</v>
      </c>
      <c r="F156" s="190">
        <f>F157</f>
        <v>0</v>
      </c>
      <c r="G156" s="191">
        <f t="shared" si="45"/>
        <v>0</v>
      </c>
      <c r="H156" s="192">
        <f t="shared" si="46"/>
        <v>0</v>
      </c>
      <c r="I156" s="174" t="s">
        <v>160</v>
      </c>
      <c r="J156" s="175"/>
      <c r="K156" s="176"/>
      <c r="L156" s="176"/>
      <c r="M156" s="176"/>
      <c r="N156" s="176"/>
      <c r="O156" s="176"/>
      <c r="P156" s="177"/>
      <c r="Q156" s="177"/>
      <c r="R156" s="177"/>
      <c r="S156" s="177"/>
      <c r="T156" s="177"/>
      <c r="U156" s="177"/>
      <c r="V156" s="211" t="s">
        <v>69</v>
      </c>
      <c r="W156" s="212"/>
      <c r="X156" s="213">
        <f>X157</f>
        <v>0</v>
      </c>
      <c r="Y156" s="260" t="s">
        <v>56</v>
      </c>
    </row>
    <row r="157" spans="1:25" ht="21" customHeight="1">
      <c r="A157" s="37"/>
      <c r="B157" s="38"/>
      <c r="C157" s="38" t="s">
        <v>158</v>
      </c>
      <c r="D157" s="28" t="s">
        <v>162</v>
      </c>
      <c r="E157" s="29">
        <v>0</v>
      </c>
      <c r="F157" s="40">
        <f>ROUND(X157/1000,0)</f>
        <v>0</v>
      </c>
      <c r="G157" s="30">
        <f t="shared" si="45"/>
        <v>0</v>
      </c>
      <c r="H157" s="31">
        <f t="shared" si="46"/>
        <v>0</v>
      </c>
      <c r="I157" s="127" t="s">
        <v>160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0" t="s">
        <v>69</v>
      </c>
      <c r="W157" s="560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156</v>
      </c>
      <c r="D158" s="38" t="s">
        <v>156</v>
      </c>
      <c r="E158" s="40"/>
      <c r="F158" s="40"/>
      <c r="G158" s="41"/>
      <c r="H158" s="25"/>
      <c r="I158" s="57" t="s">
        <v>161</v>
      </c>
      <c r="J158" s="198"/>
      <c r="K158" s="197"/>
      <c r="L158" s="197"/>
      <c r="M158" s="197"/>
      <c r="N158" s="230"/>
      <c r="O158" s="64"/>
      <c r="P158" s="59"/>
      <c r="Q158" s="64"/>
      <c r="R158" s="71"/>
      <c r="S158" s="65"/>
      <c r="T158" s="65"/>
      <c r="U158" s="230"/>
      <c r="V158" s="197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147</v>
      </c>
      <c r="D159" s="257" t="s">
        <v>111</v>
      </c>
      <c r="E159" s="190">
        <f>E160</f>
        <v>0</v>
      </c>
      <c r="F159" s="190">
        <f>F160</f>
        <v>0</v>
      </c>
      <c r="G159" s="191">
        <f t="shared" ref="G159:G160" si="47">F159-E159</f>
        <v>0</v>
      </c>
      <c r="H159" s="192">
        <f t="shared" ref="H159:H160" si="48">IF(E159=0,0,G159/E159)</f>
        <v>0</v>
      </c>
      <c r="I159" s="174" t="s">
        <v>163</v>
      </c>
      <c r="J159" s="175"/>
      <c r="K159" s="176"/>
      <c r="L159" s="176"/>
      <c r="M159" s="176"/>
      <c r="N159" s="176"/>
      <c r="O159" s="176"/>
      <c r="P159" s="177"/>
      <c r="Q159" s="177"/>
      <c r="R159" s="177"/>
      <c r="S159" s="177"/>
      <c r="T159" s="177"/>
      <c r="U159" s="177"/>
      <c r="V159" s="211" t="s">
        <v>69</v>
      </c>
      <c r="W159" s="212"/>
      <c r="X159" s="212">
        <f>X160</f>
        <v>0</v>
      </c>
      <c r="Y159" s="260" t="s">
        <v>56</v>
      </c>
    </row>
    <row r="160" spans="1:25" ht="21" customHeight="1">
      <c r="A160" s="37"/>
      <c r="B160" s="38"/>
      <c r="C160" s="38" t="s">
        <v>156</v>
      </c>
      <c r="D160" s="38" t="s">
        <v>159</v>
      </c>
      <c r="E160" s="40">
        <v>0</v>
      </c>
      <c r="F160" s="40">
        <f>ROUND(X160/1000,0)</f>
        <v>0</v>
      </c>
      <c r="G160" s="30">
        <f t="shared" si="47"/>
        <v>0</v>
      </c>
      <c r="H160" s="31">
        <f t="shared" si="48"/>
        <v>0</v>
      </c>
      <c r="I160" s="57" t="s">
        <v>164</v>
      </c>
      <c r="J160" s="198"/>
      <c r="K160" s="197"/>
      <c r="L160" s="197"/>
      <c r="M160" s="197"/>
      <c r="N160" s="230"/>
      <c r="O160" s="64"/>
      <c r="P160" s="59"/>
      <c r="Q160" s="64"/>
      <c r="R160" s="71"/>
      <c r="S160" s="65"/>
      <c r="T160" s="65"/>
      <c r="U160" s="230"/>
      <c r="V160" s="197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3"/>
      <c r="I161" s="61"/>
      <c r="J161" s="200"/>
      <c r="K161" s="199"/>
      <c r="L161" s="199"/>
      <c r="M161" s="199"/>
      <c r="N161" s="170"/>
      <c r="O161" s="183"/>
      <c r="P161" s="184"/>
      <c r="Q161" s="183"/>
      <c r="R161" s="185"/>
      <c r="S161" s="186"/>
      <c r="T161" s="186"/>
      <c r="U161" s="170"/>
      <c r="V161" s="199"/>
      <c r="W161" s="62"/>
      <c r="X161" s="62"/>
      <c r="Y161" s="63"/>
    </row>
    <row r="162" spans="1:27" ht="21" customHeight="1">
      <c r="A162" s="27" t="s">
        <v>74</v>
      </c>
      <c r="B162" s="28" t="s">
        <v>13</v>
      </c>
      <c r="C162" s="561" t="s">
        <v>257</v>
      </c>
      <c r="D162" s="562"/>
      <c r="E162" s="240">
        <f>SUM(E163,E167)</f>
        <v>0</v>
      </c>
      <c r="F162" s="240">
        <f>SUM(F163,F167)</f>
        <v>0</v>
      </c>
      <c r="G162" s="241">
        <f t="shared" ref="G162:G164" si="49">F162-E162</f>
        <v>0</v>
      </c>
      <c r="H162" s="242">
        <f t="shared" ref="H162:H164" si="50">IF(E162=0,0,G162/E162)</f>
        <v>0</v>
      </c>
      <c r="I162" s="243" t="s">
        <v>260</v>
      </c>
      <c r="J162" s="244"/>
      <c r="K162" s="245"/>
      <c r="L162" s="245"/>
      <c r="M162" s="244"/>
      <c r="N162" s="244"/>
      <c r="O162" s="244"/>
      <c r="P162" s="244"/>
      <c r="Q162" s="244" t="s">
        <v>64</v>
      </c>
      <c r="R162" s="246"/>
      <c r="S162" s="246"/>
      <c r="T162" s="246"/>
      <c r="U162" s="246"/>
      <c r="V162" s="246"/>
      <c r="W162" s="246"/>
      <c r="X162" s="247">
        <f>X164+X167</f>
        <v>0</v>
      </c>
      <c r="Y162" s="259" t="s">
        <v>25</v>
      </c>
      <c r="Z162" s="17"/>
      <c r="AA162" s="18"/>
    </row>
    <row r="163" spans="1:27" ht="21" customHeight="1">
      <c r="A163" s="37"/>
      <c r="B163" s="38"/>
      <c r="C163" s="28" t="s">
        <v>165</v>
      </c>
      <c r="D163" s="257" t="s">
        <v>263</v>
      </c>
      <c r="E163" s="190">
        <f>E164</f>
        <v>0</v>
      </c>
      <c r="F163" s="190">
        <f>F164</f>
        <v>0</v>
      </c>
      <c r="G163" s="191">
        <f t="shared" si="49"/>
        <v>0</v>
      </c>
      <c r="H163" s="192">
        <f t="shared" si="50"/>
        <v>0</v>
      </c>
      <c r="I163" s="174" t="s">
        <v>265</v>
      </c>
      <c r="J163" s="175"/>
      <c r="K163" s="176"/>
      <c r="L163" s="176"/>
      <c r="M163" s="176"/>
      <c r="N163" s="176"/>
      <c r="O163" s="176"/>
      <c r="P163" s="177"/>
      <c r="Q163" s="177"/>
      <c r="R163" s="177"/>
      <c r="S163" s="177"/>
      <c r="T163" s="177"/>
      <c r="U163" s="177"/>
      <c r="V163" s="211" t="s">
        <v>252</v>
      </c>
      <c r="W163" s="212"/>
      <c r="X163" s="213">
        <f>SUM(X164:X164)</f>
        <v>0</v>
      </c>
      <c r="Y163" s="260" t="s">
        <v>247</v>
      </c>
      <c r="Z163" s="17"/>
      <c r="AA163" s="18"/>
    </row>
    <row r="164" spans="1:27" ht="21" customHeight="1">
      <c r="A164" s="37"/>
      <c r="B164" s="38"/>
      <c r="C164" s="38" t="s">
        <v>166</v>
      </c>
      <c r="D164" s="28" t="s">
        <v>167</v>
      </c>
      <c r="E164" s="29">
        <v>0</v>
      </c>
      <c r="F164" s="40">
        <f>ROUND(X164/1000,0)</f>
        <v>0</v>
      </c>
      <c r="G164" s="30">
        <f t="shared" si="49"/>
        <v>0</v>
      </c>
      <c r="H164" s="31">
        <f t="shared" si="50"/>
        <v>0</v>
      </c>
      <c r="I164" s="127" t="s">
        <v>171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0" t="s">
        <v>69</v>
      </c>
      <c r="W164" s="560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232</v>
      </c>
      <c r="J165" s="198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230"/>
      <c r="W165" s="230"/>
      <c r="X165" s="58"/>
      <c r="Y165" s="47" t="s">
        <v>233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8"/>
      <c r="K166" s="197"/>
      <c r="L166" s="197"/>
      <c r="M166" s="197"/>
      <c r="N166" s="230"/>
      <c r="O166" s="64"/>
      <c r="P166" s="59"/>
      <c r="Q166" s="64"/>
      <c r="R166" s="71"/>
      <c r="S166" s="65"/>
      <c r="T166" s="65"/>
      <c r="U166" s="230"/>
      <c r="V166" s="197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168</v>
      </c>
      <c r="D167" s="257" t="s">
        <v>263</v>
      </c>
      <c r="E167" s="190">
        <f>E168</f>
        <v>0</v>
      </c>
      <c r="F167" s="190">
        <f>F168</f>
        <v>0</v>
      </c>
      <c r="G167" s="191">
        <f t="shared" ref="G167:G168" si="51">F167-E167</f>
        <v>0</v>
      </c>
      <c r="H167" s="192">
        <f t="shared" ref="H167:H168" si="52">IF(E167=0,0,G167/E167)</f>
        <v>0</v>
      </c>
      <c r="I167" s="174" t="s">
        <v>266</v>
      </c>
      <c r="J167" s="175"/>
      <c r="K167" s="176"/>
      <c r="L167" s="176"/>
      <c r="M167" s="176"/>
      <c r="N167" s="176"/>
      <c r="O167" s="176"/>
      <c r="P167" s="177"/>
      <c r="Q167" s="177"/>
      <c r="R167" s="177"/>
      <c r="S167" s="177"/>
      <c r="T167" s="177"/>
      <c r="U167" s="177"/>
      <c r="V167" s="211" t="s">
        <v>252</v>
      </c>
      <c r="W167" s="212"/>
      <c r="X167" s="212">
        <f>SUM(X168:X168)</f>
        <v>0</v>
      </c>
      <c r="Y167" s="260" t="s">
        <v>247</v>
      </c>
      <c r="Z167" s="17"/>
      <c r="AA167" s="18"/>
    </row>
    <row r="168" spans="1:27" ht="21" customHeight="1">
      <c r="A168" s="37"/>
      <c r="B168" s="38"/>
      <c r="C168" s="38" t="s">
        <v>166</v>
      </c>
      <c r="D168" s="38" t="s">
        <v>167</v>
      </c>
      <c r="E168" s="40">
        <v>0</v>
      </c>
      <c r="F168" s="40">
        <f>ROUND(X168/1000,0)</f>
        <v>0</v>
      </c>
      <c r="G168" s="30">
        <f t="shared" si="51"/>
        <v>0</v>
      </c>
      <c r="H168" s="31">
        <f t="shared" si="52"/>
        <v>0</v>
      </c>
      <c r="I168" s="127" t="s">
        <v>172</v>
      </c>
      <c r="J168" s="131"/>
      <c r="K168" s="197"/>
      <c r="L168" s="197"/>
      <c r="M168" s="197"/>
      <c r="N168" s="230"/>
      <c r="O168" s="64"/>
      <c r="P168" s="59"/>
      <c r="Q168" s="64"/>
      <c r="R168" s="71"/>
      <c r="S168" s="65"/>
      <c r="T168" s="65"/>
      <c r="U168" s="230"/>
      <c r="V168" s="560" t="s">
        <v>69</v>
      </c>
      <c r="W168" s="560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230</v>
      </c>
      <c r="D169" s="38" t="s">
        <v>231</v>
      </c>
      <c r="E169" s="40"/>
      <c r="F169" s="40"/>
      <c r="G169" s="41"/>
      <c r="H169" s="25"/>
      <c r="I169" s="57"/>
      <c r="J169" s="294"/>
      <c r="K169" s="293"/>
      <c r="L169" s="293"/>
      <c r="M169" s="293"/>
      <c r="N169" s="293"/>
      <c r="O169" s="293"/>
      <c r="P169" s="293"/>
      <c r="Q169" s="44"/>
      <c r="R169" s="44"/>
      <c r="S169" s="44"/>
      <c r="T169" s="293"/>
      <c r="U169" s="293"/>
      <c r="V169" s="293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3"/>
      <c r="I170" s="61"/>
      <c r="J170" s="200"/>
      <c r="K170" s="199"/>
      <c r="L170" s="199"/>
      <c r="M170" s="199"/>
      <c r="N170" s="170"/>
      <c r="O170" s="183"/>
      <c r="P170" s="184"/>
      <c r="Q170" s="183"/>
      <c r="R170" s="185"/>
      <c r="S170" s="186"/>
      <c r="T170" s="186"/>
      <c r="U170" s="170"/>
      <c r="V170" s="199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1" t="s">
        <v>257</v>
      </c>
      <c r="D171" s="562"/>
      <c r="E171" s="240">
        <f>SUM(E172,E188,E193)</f>
        <v>5555</v>
      </c>
      <c r="F171" s="240">
        <f>SUM(F172,F188,F193)</f>
        <v>4410</v>
      </c>
      <c r="G171" s="241">
        <f t="shared" ref="G171:G173" si="53">F171-E171</f>
        <v>-1145</v>
      </c>
      <c r="H171" s="242">
        <f t="shared" ref="H171:H173" si="54">IF(E171=0,0,G171/E171)</f>
        <v>-0.20612061206120613</v>
      </c>
      <c r="I171" s="243" t="s">
        <v>261</v>
      </c>
      <c r="J171" s="244"/>
      <c r="K171" s="245"/>
      <c r="L171" s="245"/>
      <c r="M171" s="244"/>
      <c r="N171" s="244"/>
      <c r="O171" s="244"/>
      <c r="P171" s="244"/>
      <c r="Q171" s="244" t="s">
        <v>64</v>
      </c>
      <c r="R171" s="246"/>
      <c r="S171" s="246"/>
      <c r="T171" s="246"/>
      <c r="U171" s="246"/>
      <c r="V171" s="246"/>
      <c r="W171" s="246"/>
      <c r="X171" s="247">
        <f>SUM(X172,X188,X193)</f>
        <v>4410000</v>
      </c>
      <c r="Y171" s="259" t="s">
        <v>25</v>
      </c>
    </row>
    <row r="172" spans="1:27" ht="21" customHeight="1">
      <c r="A172" s="37"/>
      <c r="B172" s="38"/>
      <c r="C172" s="28" t="s">
        <v>173</v>
      </c>
      <c r="D172" s="257" t="s">
        <v>263</v>
      </c>
      <c r="E172" s="190">
        <f>SUM(E173,E176,E180,E184)</f>
        <v>5228</v>
      </c>
      <c r="F172" s="190">
        <f>SUM(F173,F176,F180,F184)</f>
        <v>3910</v>
      </c>
      <c r="G172" s="191">
        <f t="shared" si="53"/>
        <v>-1318</v>
      </c>
      <c r="H172" s="192">
        <f t="shared" si="54"/>
        <v>-0.25210405508798778</v>
      </c>
      <c r="I172" s="174" t="s">
        <v>267</v>
      </c>
      <c r="J172" s="175"/>
      <c r="K172" s="176"/>
      <c r="L172" s="176"/>
      <c r="M172" s="176"/>
      <c r="N172" s="176"/>
      <c r="O172" s="176"/>
      <c r="P172" s="177"/>
      <c r="Q172" s="177"/>
      <c r="R172" s="177"/>
      <c r="S172" s="177"/>
      <c r="T172" s="177"/>
      <c r="U172" s="177"/>
      <c r="V172" s="211" t="s">
        <v>252</v>
      </c>
      <c r="W172" s="212"/>
      <c r="X172" s="213">
        <f>SUM(X173,X176,X180,X184)</f>
        <v>3910000</v>
      </c>
      <c r="Y172" s="260" t="s">
        <v>247</v>
      </c>
    </row>
    <row r="173" spans="1:27" ht="21" customHeight="1">
      <c r="A173" s="37"/>
      <c r="B173" s="38"/>
      <c r="C173" s="38" t="s">
        <v>174</v>
      </c>
      <c r="D173" s="28" t="s">
        <v>236</v>
      </c>
      <c r="E173" s="29">
        <v>4307</v>
      </c>
      <c r="F173" s="40">
        <f>ROUND(X173/1000,0)</f>
        <v>3000</v>
      </c>
      <c r="G173" s="30">
        <f t="shared" si="53"/>
        <v>-1307</v>
      </c>
      <c r="H173" s="31">
        <f t="shared" si="54"/>
        <v>-0.30345948456001859</v>
      </c>
      <c r="I173" s="127" t="s">
        <v>235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0" t="s">
        <v>69</v>
      </c>
      <c r="W173" s="560"/>
      <c r="X173" s="129">
        <f>ROUND(SUM(W174:X175),-3)</f>
        <v>3000000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5" t="s">
        <v>288</v>
      </c>
      <c r="J174" s="198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230"/>
      <c r="W174" s="230"/>
      <c r="X174" s="441">
        <v>3000000</v>
      </c>
      <c r="Y174" s="47" t="s">
        <v>233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3"/>
      <c r="I175" s="286" t="s">
        <v>289</v>
      </c>
      <c r="J175" s="200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70"/>
      <c r="W175" s="170"/>
      <c r="X175" s="62">
        <v>0</v>
      </c>
      <c r="Y175" s="63" t="s">
        <v>233</v>
      </c>
    </row>
    <row r="176" spans="1:27" ht="21" customHeight="1">
      <c r="A176" s="37"/>
      <c r="B176" s="38"/>
      <c r="C176" s="38"/>
      <c r="D176" s="28" t="s">
        <v>175</v>
      </c>
      <c r="E176" s="29">
        <v>0</v>
      </c>
      <c r="F176" s="40">
        <f>ROUND(X176/1000,0)</f>
        <v>0</v>
      </c>
      <c r="G176" s="30">
        <f t="shared" ref="G176" si="55">F176-E176</f>
        <v>0</v>
      </c>
      <c r="H176" s="31">
        <f t="shared" ref="H176" si="56">IF(E176=0,0,G176/E176)</f>
        <v>0</v>
      </c>
      <c r="I176" s="127" t="s">
        <v>237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0" t="s">
        <v>69</v>
      </c>
      <c r="W176" s="560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5" t="s">
        <v>290</v>
      </c>
      <c r="J177" s="198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230"/>
      <c r="W177" s="230"/>
      <c r="X177" s="58">
        <v>0</v>
      </c>
      <c r="Y177" s="47" t="s">
        <v>233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5" t="s">
        <v>291</v>
      </c>
      <c r="J178" s="198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230"/>
      <c r="W178" s="230"/>
      <c r="X178" s="58">
        <v>0</v>
      </c>
      <c r="Y178" s="47" t="s">
        <v>233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3"/>
      <c r="I179" s="61"/>
      <c r="J179" s="200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70"/>
      <c r="W179" s="170"/>
      <c r="X179" s="62"/>
      <c r="Y179" s="63"/>
    </row>
    <row r="180" spans="1:25" ht="21" customHeight="1">
      <c r="A180" s="37"/>
      <c r="B180" s="38"/>
      <c r="C180" s="38"/>
      <c r="D180" s="28" t="s">
        <v>239</v>
      </c>
      <c r="E180" s="29">
        <v>111</v>
      </c>
      <c r="F180" s="29">
        <f>ROUND(X180/1000,0)</f>
        <v>10</v>
      </c>
      <c r="G180" s="30">
        <f t="shared" ref="G180" si="57">F180-E180</f>
        <v>-101</v>
      </c>
      <c r="H180" s="31">
        <f t="shared" ref="H180" si="58">IF(E180=0,0,G180/E180)</f>
        <v>-0.90990990990990994</v>
      </c>
      <c r="I180" s="127" t="s">
        <v>240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0" t="s">
        <v>69</v>
      </c>
      <c r="W180" s="560"/>
      <c r="X180" s="129">
        <f>ROUND(SUM(W181:X182),-3)</f>
        <v>10000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5" t="s">
        <v>292</v>
      </c>
      <c r="J181" s="198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230"/>
      <c r="W181" s="230"/>
      <c r="X181" s="441">
        <v>10000</v>
      </c>
      <c r="Y181" s="47" t="s">
        <v>233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5" t="s">
        <v>293</v>
      </c>
      <c r="J182" s="198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230"/>
      <c r="W182" s="230"/>
      <c r="X182" s="58">
        <v>0</v>
      </c>
      <c r="Y182" s="47" t="s">
        <v>233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3"/>
      <c r="I183" s="61"/>
      <c r="J183" s="200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70"/>
      <c r="W183" s="170"/>
      <c r="X183" s="62"/>
      <c r="Y183" s="63"/>
    </row>
    <row r="184" spans="1:25" ht="21" customHeight="1">
      <c r="A184" s="37"/>
      <c r="B184" s="38"/>
      <c r="C184" s="38"/>
      <c r="D184" s="38" t="s">
        <v>238</v>
      </c>
      <c r="E184" s="40">
        <v>810</v>
      </c>
      <c r="F184" s="29">
        <f>ROUND(X184/1000,0)</f>
        <v>900</v>
      </c>
      <c r="G184" s="30">
        <f t="shared" ref="G184" si="59">F184-E184</f>
        <v>90</v>
      </c>
      <c r="H184" s="31">
        <f t="shared" ref="H184" si="60">IF(E184=0,0,G184/E184)</f>
        <v>0.1111111111111111</v>
      </c>
      <c r="I184" s="127" t="s">
        <v>242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0" t="s">
        <v>69</v>
      </c>
      <c r="W184" s="560"/>
      <c r="X184" s="129">
        <f>ROUNDUP(SUM(W185:X186),-3)</f>
        <v>900000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5" t="s">
        <v>294</v>
      </c>
      <c r="J185" s="198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230"/>
      <c r="W185" s="230"/>
      <c r="X185" s="442">
        <v>900000</v>
      </c>
      <c r="Y185" s="47" t="s">
        <v>233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5" t="s">
        <v>295</v>
      </c>
      <c r="J186" s="198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230"/>
      <c r="W186" s="230"/>
      <c r="X186" s="58">
        <v>0</v>
      </c>
      <c r="Y186" s="47" t="s">
        <v>233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8"/>
      <c r="K187" s="197"/>
      <c r="L187" s="197"/>
      <c r="M187" s="197"/>
      <c r="N187" s="230"/>
      <c r="O187" s="64"/>
      <c r="P187" s="59"/>
      <c r="Q187" s="64"/>
      <c r="R187" s="71"/>
      <c r="S187" s="65"/>
      <c r="T187" s="65"/>
      <c r="U187" s="230"/>
      <c r="V187" s="197"/>
      <c r="W187" s="58"/>
      <c r="X187" s="58"/>
      <c r="Y187" s="47"/>
    </row>
    <row r="188" spans="1:25" ht="21" customHeight="1">
      <c r="A188" s="37"/>
      <c r="B188" s="38"/>
      <c r="C188" s="28" t="s">
        <v>173</v>
      </c>
      <c r="D188" s="257" t="s">
        <v>111</v>
      </c>
      <c r="E188" s="190">
        <f>E189</f>
        <v>327</v>
      </c>
      <c r="F188" s="190">
        <f>F189</f>
        <v>500</v>
      </c>
      <c r="G188" s="191">
        <f t="shared" ref="G188:G189" si="61">F188-E188</f>
        <v>173</v>
      </c>
      <c r="H188" s="192">
        <f t="shared" ref="H188:H189" si="62">IF(E188=0,0,G188/E188)</f>
        <v>0.52905198776758411</v>
      </c>
      <c r="I188" s="174" t="s">
        <v>177</v>
      </c>
      <c r="J188" s="175"/>
      <c r="K188" s="176"/>
      <c r="L188" s="176"/>
      <c r="M188" s="176"/>
      <c r="N188" s="176"/>
      <c r="O188" s="176"/>
      <c r="P188" s="177"/>
      <c r="Q188" s="177"/>
      <c r="R188" s="177"/>
      <c r="S188" s="177"/>
      <c r="T188" s="177"/>
      <c r="U188" s="177"/>
      <c r="V188" s="211" t="s">
        <v>69</v>
      </c>
      <c r="W188" s="212"/>
      <c r="X188" s="212">
        <f>X189</f>
        <v>500000</v>
      </c>
      <c r="Y188" s="260" t="s">
        <v>56</v>
      </c>
    </row>
    <row r="189" spans="1:25" ht="21" customHeight="1">
      <c r="A189" s="37"/>
      <c r="B189" s="38"/>
      <c r="C189" s="38" t="s">
        <v>174</v>
      </c>
      <c r="D189" s="38" t="s">
        <v>176</v>
      </c>
      <c r="E189" s="40">
        <v>327</v>
      </c>
      <c r="F189" s="40">
        <f>ROUND(X189/1000,0)</f>
        <v>500</v>
      </c>
      <c r="G189" s="30">
        <f t="shared" si="61"/>
        <v>173</v>
      </c>
      <c r="H189" s="31">
        <f t="shared" si="62"/>
        <v>0.52905198776758411</v>
      </c>
      <c r="I189" s="287" t="s">
        <v>296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60"/>
      <c r="W189" s="560"/>
      <c r="X189" s="129">
        <f>ROUNDUP(SUM(W190:X191),-3)</f>
        <v>500000</v>
      </c>
      <c r="Y189" s="130" t="s">
        <v>56</v>
      </c>
    </row>
    <row r="190" spans="1:25" ht="21" customHeight="1">
      <c r="A190" s="37"/>
      <c r="B190" s="38"/>
      <c r="C190" s="38" t="s">
        <v>169</v>
      </c>
      <c r="D190" s="38" t="s">
        <v>170</v>
      </c>
      <c r="E190" s="40"/>
      <c r="F190" s="40"/>
      <c r="G190" s="41"/>
      <c r="H190" s="60"/>
      <c r="I190" s="285" t="s">
        <v>321</v>
      </c>
      <c r="J190" s="198"/>
      <c r="K190" s="197"/>
      <c r="L190" s="197"/>
      <c r="M190" s="197"/>
      <c r="N190" s="197"/>
      <c r="O190" s="197"/>
      <c r="P190" s="197"/>
      <c r="Q190" s="44"/>
      <c r="R190" s="44"/>
      <c r="S190" s="44"/>
      <c r="T190" s="197"/>
      <c r="U190" s="197"/>
      <c r="V190" s="197"/>
      <c r="W190" s="58"/>
      <c r="X190" s="441">
        <v>500000</v>
      </c>
      <c r="Y190" s="47" t="s">
        <v>106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5" t="s">
        <v>322</v>
      </c>
      <c r="J191" s="294"/>
      <c r="K191" s="293"/>
      <c r="L191" s="293"/>
      <c r="M191" s="293"/>
      <c r="N191" s="293"/>
      <c r="O191" s="293"/>
      <c r="P191" s="293"/>
      <c r="Q191" s="44"/>
      <c r="R191" s="44"/>
      <c r="S191" s="44"/>
      <c r="T191" s="293"/>
      <c r="U191" s="293"/>
      <c r="V191" s="293"/>
      <c r="W191" s="58"/>
      <c r="X191" s="58">
        <v>0</v>
      </c>
      <c r="Y191" s="47" t="s">
        <v>106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8"/>
      <c r="K192" s="197"/>
      <c r="L192" s="197"/>
      <c r="M192" s="197"/>
      <c r="N192" s="197"/>
      <c r="O192" s="197"/>
      <c r="P192" s="197"/>
      <c r="Q192" s="44"/>
      <c r="R192" s="44"/>
      <c r="S192" s="44"/>
      <c r="T192" s="197"/>
      <c r="U192" s="197"/>
      <c r="V192" s="197"/>
      <c r="W192" s="58"/>
      <c r="X192" s="58"/>
      <c r="Y192" s="47"/>
    </row>
    <row r="193" spans="1:47" ht="21" customHeight="1">
      <c r="A193" s="37"/>
      <c r="B193" s="38"/>
      <c r="C193" s="28" t="s">
        <v>178</v>
      </c>
      <c r="D193" s="257" t="s">
        <v>111</v>
      </c>
      <c r="E193" s="190">
        <f>E194</f>
        <v>0</v>
      </c>
      <c r="F193" s="190">
        <f>F194</f>
        <v>0</v>
      </c>
      <c r="G193" s="191">
        <f t="shared" ref="G193:G194" si="63">F193-E193</f>
        <v>0</v>
      </c>
      <c r="H193" s="192">
        <f t="shared" ref="H193:H194" si="64">IF(E193=0,0,G193/E193)</f>
        <v>0</v>
      </c>
      <c r="I193" s="174" t="s">
        <v>181</v>
      </c>
      <c r="J193" s="175"/>
      <c r="K193" s="176"/>
      <c r="L193" s="176"/>
      <c r="M193" s="176"/>
      <c r="N193" s="176"/>
      <c r="O193" s="176"/>
      <c r="P193" s="177"/>
      <c r="Q193" s="177"/>
      <c r="R193" s="177"/>
      <c r="S193" s="177"/>
      <c r="T193" s="177"/>
      <c r="U193" s="177"/>
      <c r="V193" s="211" t="s">
        <v>69</v>
      </c>
      <c r="W193" s="212"/>
      <c r="X193" s="212">
        <f>ROUND(SUM(W194:X195),-3)</f>
        <v>0</v>
      </c>
      <c r="Y193" s="260" t="s">
        <v>56</v>
      </c>
    </row>
    <row r="194" spans="1:47" ht="21" customHeight="1">
      <c r="A194" s="37"/>
      <c r="B194" s="38"/>
      <c r="C194" s="38" t="s">
        <v>179</v>
      </c>
      <c r="D194" s="38" t="s">
        <v>180</v>
      </c>
      <c r="E194" s="40">
        <v>0</v>
      </c>
      <c r="F194" s="40">
        <f>ROUND(X194/1000,0)</f>
        <v>0</v>
      </c>
      <c r="G194" s="30">
        <f t="shared" si="63"/>
        <v>0</v>
      </c>
      <c r="H194" s="31">
        <f t="shared" si="64"/>
        <v>0</v>
      </c>
      <c r="I194" s="57"/>
      <c r="J194" s="198"/>
      <c r="K194" s="197"/>
      <c r="L194" s="197"/>
      <c r="M194" s="197"/>
      <c r="N194" s="230"/>
      <c r="O194" s="64"/>
      <c r="P194" s="59"/>
      <c r="Q194" s="64"/>
      <c r="R194" s="71"/>
      <c r="S194" s="65"/>
      <c r="T194" s="65"/>
      <c r="U194" s="230"/>
      <c r="V194" s="197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200"/>
      <c r="K195" s="199"/>
      <c r="L195" s="199"/>
      <c r="M195" s="199"/>
      <c r="N195" s="199"/>
      <c r="O195" s="199"/>
      <c r="P195" s="199"/>
      <c r="Q195" s="117"/>
      <c r="R195" s="117"/>
      <c r="S195" s="117"/>
      <c r="T195" s="199"/>
      <c r="U195" s="199"/>
      <c r="V195" s="199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75</v>
      </c>
      <c r="B196" s="78" t="s">
        <v>16</v>
      </c>
      <c r="C196" s="561" t="s">
        <v>257</v>
      </c>
      <c r="D196" s="562"/>
      <c r="E196" s="240">
        <f>SUM(E197,E200,E208)</f>
        <v>1332</v>
      </c>
      <c r="F196" s="240">
        <f>SUM(F197,F200,F208)</f>
        <v>1769</v>
      </c>
      <c r="G196" s="241">
        <f t="shared" ref="G196:G198" si="65">F196-E196</f>
        <v>437</v>
      </c>
      <c r="H196" s="242">
        <f t="shared" ref="H196:H198" si="66">IF(E196=0,0,G196/E196)</f>
        <v>0.32807807807807809</v>
      </c>
      <c r="I196" s="243" t="s">
        <v>262</v>
      </c>
      <c r="J196" s="244"/>
      <c r="K196" s="245"/>
      <c r="L196" s="245"/>
      <c r="M196" s="244"/>
      <c r="N196" s="244"/>
      <c r="O196" s="244"/>
      <c r="P196" s="244"/>
      <c r="Q196" s="244" t="s">
        <v>64</v>
      </c>
      <c r="R196" s="246"/>
      <c r="S196" s="246"/>
      <c r="T196" s="246"/>
      <c r="U196" s="246"/>
      <c r="V196" s="246"/>
      <c r="W196" s="246"/>
      <c r="X196" s="256">
        <f>SUM(X197,X200,X208)</f>
        <v>1769000</v>
      </c>
      <c r="Y196" s="264" t="s">
        <v>247</v>
      </c>
      <c r="Z196" s="248"/>
      <c r="AA196" s="249"/>
      <c r="AB196" s="249"/>
      <c r="AC196" s="250"/>
      <c r="AD196" s="251"/>
      <c r="AE196" s="252"/>
      <c r="AF196" s="253"/>
      <c r="AG196" s="254"/>
      <c r="AH196" s="254"/>
      <c r="AI196" s="253"/>
      <c r="AJ196" s="253"/>
      <c r="AK196" s="253"/>
      <c r="AL196" s="253"/>
      <c r="AM196" s="253"/>
      <c r="AN196" s="252"/>
      <c r="AO196" s="252"/>
      <c r="AP196" s="252"/>
      <c r="AQ196" s="252"/>
      <c r="AR196" s="252"/>
      <c r="AS196" s="252"/>
      <c r="AT196" s="255"/>
      <c r="AU196" s="253"/>
    </row>
    <row r="197" spans="1:47" ht="21" customHeight="1">
      <c r="A197" s="37"/>
      <c r="B197" s="84"/>
      <c r="C197" s="28" t="s">
        <v>182</v>
      </c>
      <c r="D197" s="257" t="s">
        <v>111</v>
      </c>
      <c r="E197" s="190">
        <f>E198</f>
        <v>0</v>
      </c>
      <c r="F197" s="190">
        <f>F198</f>
        <v>0</v>
      </c>
      <c r="G197" s="191">
        <f t="shared" si="65"/>
        <v>0</v>
      </c>
      <c r="H197" s="192">
        <f t="shared" si="66"/>
        <v>0</v>
      </c>
      <c r="I197" s="174" t="s">
        <v>191</v>
      </c>
      <c r="J197" s="175"/>
      <c r="K197" s="176"/>
      <c r="L197" s="176"/>
      <c r="M197" s="176"/>
      <c r="N197" s="176"/>
      <c r="O197" s="176"/>
      <c r="P197" s="177"/>
      <c r="Q197" s="177"/>
      <c r="R197" s="177"/>
      <c r="S197" s="177"/>
      <c r="T197" s="177"/>
      <c r="U197" s="177"/>
      <c r="V197" s="211" t="s">
        <v>69</v>
      </c>
      <c r="W197" s="212"/>
      <c r="X197" s="213">
        <f>SUM(X198:X198)</f>
        <v>0</v>
      </c>
      <c r="Y197" s="260" t="s">
        <v>56</v>
      </c>
    </row>
    <row r="198" spans="1:47" s="11" customFormat="1" ht="19.5" customHeight="1">
      <c r="A198" s="50"/>
      <c r="B198" s="86"/>
      <c r="C198" s="38" t="s">
        <v>183</v>
      </c>
      <c r="D198" s="28" t="s">
        <v>184</v>
      </c>
      <c r="E198" s="29">
        <v>0</v>
      </c>
      <c r="F198" s="40">
        <f>ROUND(X198/1000,0)</f>
        <v>0</v>
      </c>
      <c r="G198" s="30">
        <f t="shared" si="65"/>
        <v>0</v>
      </c>
      <c r="H198" s="31">
        <f t="shared" si="66"/>
        <v>0</v>
      </c>
      <c r="I198" s="127" t="s">
        <v>191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60" t="s">
        <v>69</v>
      </c>
      <c r="W198" s="560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8"/>
      <c r="K199" s="197"/>
      <c r="L199" s="197"/>
      <c r="M199" s="197"/>
      <c r="N199" s="230"/>
      <c r="O199" s="64"/>
      <c r="P199" s="59"/>
      <c r="Q199" s="64"/>
      <c r="R199" s="71"/>
      <c r="S199" s="65"/>
      <c r="T199" s="65"/>
      <c r="U199" s="230"/>
      <c r="V199" s="197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185</v>
      </c>
      <c r="D200" s="257" t="s">
        <v>111</v>
      </c>
      <c r="E200" s="190">
        <f>E201</f>
        <v>24</v>
      </c>
      <c r="F200" s="190">
        <f>F201</f>
        <v>29</v>
      </c>
      <c r="G200" s="191">
        <f t="shared" ref="G200:G201" si="67">F200-E200</f>
        <v>5</v>
      </c>
      <c r="H200" s="192">
        <f t="shared" ref="H200:H201" si="68">IF(E200=0,0,G200/E200)</f>
        <v>0.20833333333333334</v>
      </c>
      <c r="I200" s="174" t="s">
        <v>192</v>
      </c>
      <c r="J200" s="175"/>
      <c r="K200" s="176"/>
      <c r="L200" s="176"/>
      <c r="M200" s="176"/>
      <c r="N200" s="176"/>
      <c r="O200" s="176"/>
      <c r="P200" s="177"/>
      <c r="Q200" s="177"/>
      <c r="R200" s="177"/>
      <c r="S200" s="177"/>
      <c r="T200" s="177"/>
      <c r="U200" s="177"/>
      <c r="V200" s="211" t="s">
        <v>69</v>
      </c>
      <c r="W200" s="212"/>
      <c r="X200" s="212">
        <f>SUM(X201:X201)</f>
        <v>29000</v>
      </c>
      <c r="Y200" s="260" t="s">
        <v>56</v>
      </c>
      <c r="Z200" s="6"/>
    </row>
    <row r="201" spans="1:47" s="11" customFormat="1" ht="19.5" customHeight="1">
      <c r="A201" s="50"/>
      <c r="B201" s="80"/>
      <c r="C201" s="38" t="s">
        <v>186</v>
      </c>
      <c r="D201" s="38" t="s">
        <v>187</v>
      </c>
      <c r="E201" s="40">
        <v>24</v>
      </c>
      <c r="F201" s="40">
        <f>ROUND(X201/1000,0)</f>
        <v>29</v>
      </c>
      <c r="G201" s="30">
        <f t="shared" si="67"/>
        <v>5</v>
      </c>
      <c r="H201" s="31">
        <f t="shared" si="68"/>
        <v>0.20833333333333334</v>
      </c>
      <c r="I201" s="127" t="s">
        <v>244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0"/>
      <c r="W201" s="560"/>
      <c r="X201" s="129">
        <f>ROUND(SUM(W202:X206),-3)</f>
        <v>29000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132</v>
      </c>
      <c r="D202" s="38" t="s">
        <v>188</v>
      </c>
      <c r="E202" s="40"/>
      <c r="F202" s="40"/>
      <c r="G202" s="41"/>
      <c r="H202" s="60"/>
      <c r="I202" s="57" t="s">
        <v>325</v>
      </c>
      <c r="J202" s="198"/>
      <c r="K202" s="197"/>
      <c r="L202" s="197"/>
      <c r="M202" s="197"/>
      <c r="N202" s="197"/>
      <c r="O202" s="197"/>
      <c r="P202" s="197"/>
      <c r="Q202" s="44"/>
      <c r="R202" s="44"/>
      <c r="S202" s="44"/>
      <c r="T202" s="197"/>
      <c r="U202" s="197"/>
      <c r="V202" s="197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234</v>
      </c>
      <c r="J203" s="198"/>
      <c r="K203" s="197"/>
      <c r="L203" s="197"/>
      <c r="M203" s="197"/>
      <c r="N203" s="197"/>
      <c r="O203" s="197"/>
      <c r="P203" s="197"/>
      <c r="Q203" s="44"/>
      <c r="R203" s="44"/>
      <c r="S203" s="44"/>
      <c r="T203" s="197"/>
      <c r="U203" s="197"/>
      <c r="V203" s="197"/>
      <c r="W203" s="58"/>
      <c r="X203" s="58">
        <v>5000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245</v>
      </c>
      <c r="J204" s="198"/>
      <c r="K204" s="197"/>
      <c r="L204" s="197"/>
      <c r="M204" s="197"/>
      <c r="N204" s="197"/>
      <c r="O204" s="197"/>
      <c r="P204" s="197"/>
      <c r="Q204" s="44"/>
      <c r="R204" s="44"/>
      <c r="S204" s="44"/>
      <c r="T204" s="197"/>
      <c r="U204" s="197"/>
      <c r="V204" s="197"/>
      <c r="W204" s="58"/>
      <c r="X204" s="58">
        <v>1000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241</v>
      </c>
      <c r="J205" s="198"/>
      <c r="K205" s="197"/>
      <c r="L205" s="197"/>
      <c r="M205" s="197"/>
      <c r="N205" s="197"/>
      <c r="O205" s="197"/>
      <c r="P205" s="197"/>
      <c r="Q205" s="44"/>
      <c r="R205" s="44"/>
      <c r="S205" s="44"/>
      <c r="T205" s="197"/>
      <c r="U205" s="197"/>
      <c r="V205" s="197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243</v>
      </c>
      <c r="J206" s="198"/>
      <c r="K206" s="197"/>
      <c r="L206" s="197"/>
      <c r="M206" s="197"/>
      <c r="N206" s="197"/>
      <c r="O206" s="197"/>
      <c r="P206" s="197"/>
      <c r="Q206" s="44"/>
      <c r="R206" s="44"/>
      <c r="S206" s="44"/>
      <c r="T206" s="197"/>
      <c r="U206" s="197"/>
      <c r="V206" s="197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8"/>
      <c r="K207" s="197"/>
      <c r="L207" s="197"/>
      <c r="M207" s="197"/>
      <c r="N207" s="197"/>
      <c r="O207" s="197"/>
      <c r="P207" s="197"/>
      <c r="Q207" s="44"/>
      <c r="R207" s="44"/>
      <c r="S207" s="44"/>
      <c r="T207" s="197"/>
      <c r="U207" s="197"/>
      <c r="V207" s="197"/>
      <c r="W207" s="58"/>
      <c r="X207" s="58" t="s">
        <v>327</v>
      </c>
      <c r="Y207" s="47"/>
      <c r="Z207" s="6"/>
    </row>
    <row r="208" spans="1:47" s="11" customFormat="1" ht="19.5" customHeight="1">
      <c r="A208" s="50"/>
      <c r="B208" s="80"/>
      <c r="C208" s="28" t="s">
        <v>147</v>
      </c>
      <c r="D208" s="257" t="s">
        <v>263</v>
      </c>
      <c r="E208" s="190">
        <f>E209</f>
        <v>1308</v>
      </c>
      <c r="F208" s="190">
        <f>F209</f>
        <v>1740</v>
      </c>
      <c r="G208" s="191">
        <f t="shared" ref="G208:G209" si="69">F208-E208</f>
        <v>432</v>
      </c>
      <c r="H208" s="192">
        <f t="shared" ref="H208:H209" si="70">IF(E208=0,0,G208/E208)</f>
        <v>0.33027522935779818</v>
      </c>
      <c r="I208" s="174" t="s">
        <v>246</v>
      </c>
      <c r="J208" s="175"/>
      <c r="K208" s="176"/>
      <c r="L208" s="176"/>
      <c r="M208" s="176"/>
      <c r="N208" s="176"/>
      <c r="O208" s="176"/>
      <c r="P208" s="177"/>
      <c r="Q208" s="177"/>
      <c r="R208" s="177"/>
      <c r="S208" s="177"/>
      <c r="T208" s="177"/>
      <c r="U208" s="177"/>
      <c r="V208" s="211" t="s">
        <v>252</v>
      </c>
      <c r="W208" s="212"/>
      <c r="X208" s="212">
        <f>SUM(X209:X209)</f>
        <v>1740000</v>
      </c>
      <c r="Y208" s="260" t="s">
        <v>247</v>
      </c>
      <c r="Z208" s="6"/>
    </row>
    <row r="209" spans="1:26" s="11" customFormat="1" ht="19.5" customHeight="1">
      <c r="A209" s="50"/>
      <c r="B209" s="80"/>
      <c r="C209" s="38" t="s">
        <v>189</v>
      </c>
      <c r="D209" s="38" t="s">
        <v>190</v>
      </c>
      <c r="E209" s="40">
        <v>1308</v>
      </c>
      <c r="F209" s="40">
        <f>ROUND(X209/1000,0)</f>
        <v>1740</v>
      </c>
      <c r="G209" s="30">
        <f t="shared" si="69"/>
        <v>432</v>
      </c>
      <c r="H209" s="31">
        <f t="shared" si="70"/>
        <v>0.33027522935779818</v>
      </c>
      <c r="I209" s="127" t="s">
        <v>246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60"/>
      <c r="W209" s="560"/>
      <c r="X209" s="129">
        <f>ROUND(SUM(W210:X211),-3)</f>
        <v>1740000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326</v>
      </c>
      <c r="J210" s="197"/>
      <c r="K210" s="197"/>
      <c r="L210" s="197"/>
      <c r="M210" s="197">
        <v>60000</v>
      </c>
      <c r="N210" s="197" t="s">
        <v>247</v>
      </c>
      <c r="O210" s="198" t="s">
        <v>248</v>
      </c>
      <c r="P210" s="197">
        <v>2</v>
      </c>
      <c r="Q210" s="198" t="s">
        <v>249</v>
      </c>
      <c r="R210" s="198" t="s">
        <v>248</v>
      </c>
      <c r="S210" s="197">
        <v>12</v>
      </c>
      <c r="T210" s="197" t="s">
        <v>250</v>
      </c>
      <c r="U210" s="230" t="s">
        <v>251</v>
      </c>
      <c r="V210" s="230"/>
      <c r="W210" s="198"/>
      <c r="X210" s="197">
        <f>ROUND(M210*P210*S210,-3)</f>
        <v>1440000</v>
      </c>
      <c r="Y210" s="47" t="s">
        <v>247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328</v>
      </c>
      <c r="J211" s="197"/>
      <c r="K211" s="197"/>
      <c r="L211" s="197"/>
      <c r="M211" s="197">
        <v>50000</v>
      </c>
      <c r="N211" s="197" t="s">
        <v>247</v>
      </c>
      <c r="O211" s="198" t="s">
        <v>248</v>
      </c>
      <c r="P211" s="293">
        <v>6</v>
      </c>
      <c r="Q211" s="293" t="s">
        <v>250</v>
      </c>
      <c r="R211" s="198"/>
      <c r="S211" s="197"/>
      <c r="T211" s="197"/>
      <c r="U211" s="230" t="s">
        <v>251</v>
      </c>
      <c r="V211" s="230"/>
      <c r="W211" s="198"/>
      <c r="X211" s="197">
        <f>ROUND(M211*P211,-3)</f>
        <v>300000</v>
      </c>
      <c r="Y211" s="47" t="s">
        <v>247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/>
      <c r="N212" s="55"/>
      <c r="O212" s="54"/>
      <c r="P212" s="55"/>
      <c r="Q212" s="54"/>
      <c r="R212" s="54"/>
      <c r="S212" s="55"/>
      <c r="T212" s="55"/>
      <c r="U212" s="94"/>
      <c r="V212" s="94"/>
      <c r="W212" s="54"/>
      <c r="X212" s="55"/>
      <c r="Y212" s="56"/>
      <c r="Z212" s="6"/>
    </row>
    <row r="223" spans="1:26" ht="19.5" customHeight="1">
      <c r="Z223" s="6" t="s">
        <v>61</v>
      </c>
    </row>
  </sheetData>
  <mergeCells count="29">
    <mergeCell ref="A1:D1"/>
    <mergeCell ref="A2:D2"/>
    <mergeCell ref="E2:E3"/>
    <mergeCell ref="A4:D4"/>
    <mergeCell ref="C171:D171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2"/>
  <sheetViews>
    <sheetView workbookViewId="0">
      <selection activeCell="F4" sqref="F4:H4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0" t="s">
        <v>514</v>
      </c>
      <c r="B1" s="570"/>
      <c r="C1" s="570"/>
      <c r="D1" s="570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1" t="s">
        <v>22</v>
      </c>
      <c r="B2" s="572"/>
      <c r="C2" s="572"/>
      <c r="D2" s="563" t="s">
        <v>512</v>
      </c>
      <c r="E2" s="578" t="s">
        <v>513</v>
      </c>
      <c r="F2" s="579"/>
      <c r="G2" s="579"/>
      <c r="H2" s="579"/>
      <c r="I2" s="579"/>
      <c r="J2" s="579"/>
      <c r="K2" s="579"/>
      <c r="L2" s="580"/>
      <c r="M2" s="565" t="s">
        <v>23</v>
      </c>
      <c r="N2" s="565"/>
      <c r="O2" s="581" t="s">
        <v>331</v>
      </c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3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4"/>
      <c r="E3" s="149" t="s">
        <v>332</v>
      </c>
      <c r="F3" s="149" t="s">
        <v>329</v>
      </c>
      <c r="G3" s="149" t="s">
        <v>330</v>
      </c>
      <c r="H3" s="149" t="s">
        <v>445</v>
      </c>
      <c r="I3" s="149" t="s">
        <v>333</v>
      </c>
      <c r="J3" s="149" t="s">
        <v>334</v>
      </c>
      <c r="K3" s="149" t="s">
        <v>335</v>
      </c>
      <c r="L3" s="149" t="s">
        <v>336</v>
      </c>
      <c r="M3" s="132" t="s">
        <v>337</v>
      </c>
      <c r="N3" s="96" t="s">
        <v>4</v>
      </c>
      <c r="O3" s="584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6"/>
    </row>
    <row r="4" spans="1:31" s="11" customFormat="1" ht="21" customHeight="1">
      <c r="A4" s="587" t="s">
        <v>31</v>
      </c>
      <c r="B4" s="588"/>
      <c r="C4" s="588"/>
      <c r="D4" s="311">
        <f>SUM(D5,D109,D131,D188,D191)</f>
        <v>97073</v>
      </c>
      <c r="E4" s="311">
        <f>SUM(E5,E109,E131,E188+E191)</f>
        <v>131588</v>
      </c>
      <c r="F4" s="311">
        <f t="shared" ref="F4:L4" ca="1" si="0">SUM(F5,F109,F131,F188,F191)</f>
        <v>109287</v>
      </c>
      <c r="G4" s="311">
        <f t="shared" si="0"/>
        <v>1642</v>
      </c>
      <c r="H4" s="311">
        <f t="shared" si="0"/>
        <v>2000</v>
      </c>
      <c r="I4" s="311">
        <f t="shared" si="0"/>
        <v>1001</v>
      </c>
      <c r="J4" s="311">
        <f t="shared" si="0"/>
        <v>15005</v>
      </c>
      <c r="K4" s="311">
        <f t="shared" si="0"/>
        <v>11</v>
      </c>
      <c r="L4" s="311">
        <f t="shared" si="0"/>
        <v>2642</v>
      </c>
      <c r="M4" s="312">
        <f>E4-D4</f>
        <v>34515</v>
      </c>
      <c r="N4" s="313">
        <f>IF(D4=0,0,M4/D4)</f>
        <v>0.35555715801510202</v>
      </c>
      <c r="O4" s="314" t="s">
        <v>338</v>
      </c>
      <c r="P4" s="315"/>
      <c r="Q4" s="315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>
        <f>SUM(AD5,AD109,AD131,AD188,AD191)</f>
        <v>131588000</v>
      </c>
      <c r="AE4" s="317" t="s">
        <v>25</v>
      </c>
    </row>
    <row r="5" spans="1:31" s="11" customFormat="1" ht="21" customHeight="1">
      <c r="A5" s="101" t="s">
        <v>6</v>
      </c>
      <c r="B5" s="589" t="s">
        <v>7</v>
      </c>
      <c r="C5" s="590"/>
      <c r="D5" s="318">
        <f t="shared" ref="D5:L5" si="1">SUM(D6,D63,D72)</f>
        <v>78417</v>
      </c>
      <c r="E5" s="318">
        <f t="shared" si="1"/>
        <v>108834</v>
      </c>
      <c r="F5" s="318">
        <f t="shared" si="1"/>
        <v>103757</v>
      </c>
      <c r="G5" s="318">
        <f t="shared" si="1"/>
        <v>0</v>
      </c>
      <c r="H5" s="318">
        <f t="shared" si="1"/>
        <v>0</v>
      </c>
      <c r="I5" s="318">
        <f t="shared" si="1"/>
        <v>200</v>
      </c>
      <c r="J5" s="318">
        <f t="shared" si="1"/>
        <v>2576</v>
      </c>
      <c r="K5" s="318">
        <f t="shared" si="1"/>
        <v>11</v>
      </c>
      <c r="L5" s="318">
        <f t="shared" si="1"/>
        <v>2290</v>
      </c>
      <c r="M5" s="319">
        <f>E5-D5</f>
        <v>30417</v>
      </c>
      <c r="N5" s="320">
        <f>IF(D5=0,0,M5/D5)</f>
        <v>0.38788783044492903</v>
      </c>
      <c r="O5" s="321" t="s">
        <v>299</v>
      </c>
      <c r="P5" s="321"/>
      <c r="Q5" s="321"/>
      <c r="R5" s="321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>
        <f>SUM(AD6,AD63,AD72)</f>
        <v>108834000</v>
      </c>
      <c r="AE5" s="323" t="s">
        <v>25</v>
      </c>
    </row>
    <row r="6" spans="1:31" s="11" customFormat="1" ht="21" customHeight="1">
      <c r="A6" s="37"/>
      <c r="B6" s="28" t="s">
        <v>8</v>
      </c>
      <c r="C6" s="324" t="s">
        <v>5</v>
      </c>
      <c r="D6" s="424">
        <f t="shared" ref="D6:L6" si="2">SUM(D7,D10,D13,D30,D38,D57)</f>
        <v>69337</v>
      </c>
      <c r="E6" s="325">
        <f t="shared" si="2"/>
        <v>99917</v>
      </c>
      <c r="F6" s="325">
        <f t="shared" si="2"/>
        <v>99567</v>
      </c>
      <c r="G6" s="325">
        <f t="shared" si="2"/>
        <v>0</v>
      </c>
      <c r="H6" s="325">
        <f t="shared" si="2"/>
        <v>0</v>
      </c>
      <c r="I6" s="325">
        <f t="shared" si="2"/>
        <v>200</v>
      </c>
      <c r="J6" s="325">
        <f t="shared" si="2"/>
        <v>150</v>
      </c>
      <c r="K6" s="325">
        <f t="shared" si="2"/>
        <v>0</v>
      </c>
      <c r="L6" s="325">
        <f t="shared" si="2"/>
        <v>0</v>
      </c>
      <c r="M6" s="326">
        <f>E6-D6</f>
        <v>30580</v>
      </c>
      <c r="N6" s="327">
        <f>IF(D6=0,0,M6/D6)</f>
        <v>0.44103436837474941</v>
      </c>
      <c r="O6" s="328" t="s">
        <v>309</v>
      </c>
      <c r="P6" s="328"/>
      <c r="Q6" s="328"/>
      <c r="R6" s="328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>
        <f>SUM(AD7,AD10,AD13,AD30,AD38,AD57)</f>
        <v>99917000</v>
      </c>
      <c r="AE6" s="330" t="s">
        <v>25</v>
      </c>
    </row>
    <row r="7" spans="1:31" s="11" customFormat="1" ht="21" customHeight="1">
      <c r="A7" s="37"/>
      <c r="B7" s="38"/>
      <c r="C7" s="28" t="s">
        <v>32</v>
      </c>
      <c r="D7" s="135">
        <v>45964</v>
      </c>
      <c r="E7" s="103">
        <f>ROUND(AD7/1000,0)</f>
        <v>60166</v>
      </c>
      <c r="F7" s="103">
        <f>SUMIF($AB$8:$AB$9,"보조",$AD$8:$AD$9)/1000</f>
        <v>60166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14202</v>
      </c>
      <c r="N7" s="279">
        <f>IF(D7=0,0,M7/D7)</f>
        <v>0.30898094160647466</v>
      </c>
      <c r="O7" s="105" t="s">
        <v>339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60166000</v>
      </c>
      <c r="AE7" s="108" t="s">
        <v>340</v>
      </c>
    </row>
    <row r="8" spans="1:31" s="11" customFormat="1" ht="21" customHeight="1">
      <c r="A8" s="37"/>
      <c r="B8" s="38"/>
      <c r="C8" s="38"/>
      <c r="D8" s="445"/>
      <c r="E8" s="446"/>
      <c r="F8" s="446"/>
      <c r="G8" s="446"/>
      <c r="H8" s="446"/>
      <c r="I8" s="446"/>
      <c r="J8" s="446"/>
      <c r="K8" s="446"/>
      <c r="L8" s="446"/>
      <c r="M8" s="97"/>
      <c r="N8" s="60"/>
      <c r="O8" s="383" t="s">
        <v>515</v>
      </c>
      <c r="P8" s="383"/>
      <c r="Q8" s="383"/>
      <c r="R8" s="383"/>
      <c r="S8" s="275"/>
      <c r="T8" s="271"/>
      <c r="U8" s="271"/>
      <c r="V8" s="271"/>
      <c r="W8" s="271"/>
      <c r="X8" s="271"/>
      <c r="Y8" s="271"/>
      <c r="Z8" s="271"/>
      <c r="AA8" s="347"/>
      <c r="AB8" s="347" t="s">
        <v>341</v>
      </c>
      <c r="AC8" s="348"/>
      <c r="AD8" s="405">
        <v>60166000</v>
      </c>
      <c r="AE8" s="349" t="s">
        <v>340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3"/>
      <c r="P9" s="383"/>
      <c r="Q9" s="383"/>
      <c r="R9" s="383"/>
      <c r="S9" s="275"/>
      <c r="T9" s="271"/>
      <c r="U9" s="271"/>
      <c r="V9" s="271"/>
      <c r="W9" s="271"/>
      <c r="X9" s="271"/>
      <c r="Y9" s="271"/>
      <c r="Z9" s="271"/>
      <c r="AA9" s="347"/>
      <c r="AB9" s="347"/>
      <c r="AC9" s="348"/>
      <c r="AD9" s="405"/>
      <c r="AE9" s="349"/>
    </row>
    <row r="10" spans="1:31" s="11" customFormat="1" ht="21" customHeight="1">
      <c r="A10" s="37"/>
      <c r="B10" s="38"/>
      <c r="C10" s="28" t="s">
        <v>346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347</v>
      </c>
      <c r="P10" s="430"/>
      <c r="Q10" s="154"/>
      <c r="R10" s="154"/>
      <c r="S10" s="154"/>
      <c r="T10" s="153"/>
      <c r="U10" s="153"/>
      <c r="V10" s="151"/>
      <c r="W10" s="87" t="s">
        <v>348</v>
      </c>
      <c r="X10" s="87"/>
      <c r="Y10" s="87"/>
      <c r="Z10" s="87"/>
      <c r="AA10" s="87"/>
      <c r="AB10" s="87"/>
      <c r="AC10" s="107"/>
      <c r="AD10" s="107">
        <v>0</v>
      </c>
      <c r="AE10" s="108" t="s">
        <v>349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2"/>
      <c r="P11" s="152"/>
      <c r="Q11" s="152"/>
      <c r="R11" s="152"/>
      <c r="S11" s="152"/>
      <c r="T11" s="151"/>
      <c r="U11" s="151"/>
      <c r="V11" s="151"/>
      <c r="W11" s="151"/>
      <c r="X11" s="151"/>
      <c r="Y11" s="151"/>
      <c r="Z11" s="151"/>
      <c r="AA11" s="151"/>
      <c r="AB11" s="151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4"/>
      <c r="P12" s="294"/>
      <c r="Q12" s="294"/>
      <c r="R12" s="294"/>
      <c r="S12" s="293"/>
      <c r="T12" s="293"/>
      <c r="U12" s="294"/>
      <c r="V12" s="293"/>
      <c r="W12" s="293"/>
      <c r="X12" s="294"/>
      <c r="Y12" s="81"/>
      <c r="Z12" s="293"/>
      <c r="AA12" s="293"/>
      <c r="AB12" s="293"/>
      <c r="AC12" s="58"/>
      <c r="AD12" s="293"/>
      <c r="AE12" s="47"/>
    </row>
    <row r="13" spans="1:31" s="11" customFormat="1" ht="21" customHeight="1">
      <c r="A13" s="37"/>
      <c r="B13" s="38"/>
      <c r="C13" s="28" t="s">
        <v>33</v>
      </c>
      <c r="D13" s="135">
        <v>12004</v>
      </c>
      <c r="E13" s="103">
        <f>ROUND(AD13/1000,0)</f>
        <v>23737</v>
      </c>
      <c r="F13" s="103">
        <f>SUMIF($AB$14:$AB$29,"보조",$AD$14:$AD$29)/1000</f>
        <v>23737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11733</v>
      </c>
      <c r="N13" s="109">
        <f>IF(D13=0,0,M13/D13)</f>
        <v>0.97742419193602137</v>
      </c>
      <c r="O13" s="85" t="s">
        <v>34</v>
      </c>
      <c r="P13" s="430"/>
      <c r="Q13" s="154"/>
      <c r="R13" s="154"/>
      <c r="S13" s="154"/>
      <c r="T13" s="153"/>
      <c r="U13" s="153"/>
      <c r="V13" s="153"/>
      <c r="W13" s="429" t="s">
        <v>348</v>
      </c>
      <c r="X13" s="429"/>
      <c r="Y13" s="429"/>
      <c r="Z13" s="429"/>
      <c r="AA13" s="429"/>
      <c r="AB13" s="429"/>
      <c r="AC13" s="147"/>
      <c r="AD13" s="147">
        <f>명절휴가비+가족수당+연장근로수당+AD23+AD26</f>
        <v>23737000</v>
      </c>
      <c r="AE13" s="146" t="s">
        <v>340</v>
      </c>
    </row>
    <row r="14" spans="1:31" s="11" customFormat="1" ht="21" customHeight="1">
      <c r="A14" s="37"/>
      <c r="B14" s="38"/>
      <c r="C14" s="38"/>
      <c r="D14" s="443"/>
      <c r="E14" s="444"/>
      <c r="F14" s="444"/>
      <c r="G14" s="444"/>
      <c r="H14" s="444"/>
      <c r="I14" s="444"/>
      <c r="J14" s="444"/>
      <c r="K14" s="444"/>
      <c r="L14" s="444"/>
      <c r="M14" s="97"/>
      <c r="N14" s="60"/>
      <c r="O14" s="383" t="s">
        <v>350</v>
      </c>
      <c r="P14" s="275"/>
      <c r="Q14" s="275"/>
      <c r="R14" s="275"/>
      <c r="S14" s="275"/>
      <c r="T14" s="271"/>
      <c r="U14" s="271"/>
      <c r="V14" s="271"/>
      <c r="W14" s="347" t="s">
        <v>351</v>
      </c>
      <c r="X14" s="347"/>
      <c r="Y14" s="347"/>
      <c r="Z14" s="347"/>
      <c r="AA14" s="347"/>
      <c r="AB14" s="347"/>
      <c r="AC14" s="348" t="s">
        <v>352</v>
      </c>
      <c r="AD14" s="348">
        <f>ROUND(SUM(AD15:AD16),-3)</f>
        <v>5991000</v>
      </c>
      <c r="AE14" s="349" t="s">
        <v>340</v>
      </c>
    </row>
    <row r="15" spans="1:31" s="11" customFormat="1" ht="21" customHeight="1">
      <c r="A15" s="37"/>
      <c r="B15" s="38"/>
      <c r="C15" s="38"/>
      <c r="D15" s="445"/>
      <c r="E15" s="446"/>
      <c r="F15" s="446"/>
      <c r="G15" s="446"/>
      <c r="H15" s="446"/>
      <c r="I15" s="446"/>
      <c r="J15" s="446"/>
      <c r="K15" s="446"/>
      <c r="L15" s="446"/>
      <c r="M15" s="97"/>
      <c r="N15" s="60"/>
      <c r="O15" s="275" t="s">
        <v>516</v>
      </c>
      <c r="P15" s="275"/>
      <c r="Q15" s="275"/>
      <c r="R15" s="275"/>
      <c r="S15" s="275"/>
      <c r="T15" s="271"/>
      <c r="U15" s="271"/>
      <c r="V15" s="271"/>
      <c r="W15" s="271"/>
      <c r="X15" s="271"/>
      <c r="Y15" s="271"/>
      <c r="Z15" s="271"/>
      <c r="AA15" s="271"/>
      <c r="AB15" s="271" t="s">
        <v>341</v>
      </c>
      <c r="AC15" s="276"/>
      <c r="AD15" s="121">
        <v>5991000</v>
      </c>
      <c r="AE15" s="301" t="s">
        <v>340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5"/>
      <c r="P16" s="275"/>
      <c r="Q16" s="275"/>
      <c r="R16" s="275"/>
      <c r="S16" s="275"/>
      <c r="T16" s="271"/>
      <c r="U16" s="271"/>
      <c r="V16" s="271"/>
      <c r="W16" s="271"/>
      <c r="X16" s="271"/>
      <c r="Y16" s="271"/>
      <c r="Z16" s="271"/>
      <c r="AA16" s="271"/>
      <c r="AB16" s="271"/>
      <c r="AC16" s="276"/>
      <c r="AD16" s="121"/>
      <c r="AE16" s="301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3" t="s">
        <v>353</v>
      </c>
      <c r="P17" s="275"/>
      <c r="Q17" s="275"/>
      <c r="R17" s="275"/>
      <c r="S17" s="275"/>
      <c r="T17" s="271"/>
      <c r="U17" s="271"/>
      <c r="V17" s="271"/>
      <c r="W17" s="347" t="s">
        <v>351</v>
      </c>
      <c r="X17" s="347"/>
      <c r="Y17" s="347"/>
      <c r="Z17" s="347"/>
      <c r="AA17" s="347"/>
      <c r="AB17" s="347"/>
      <c r="AC17" s="348" t="s">
        <v>352</v>
      </c>
      <c r="AD17" s="348">
        <f>SUM(AD18:AD19)</f>
        <v>480000</v>
      </c>
      <c r="AE17" s="349" t="s">
        <v>340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5" t="s">
        <v>432</v>
      </c>
      <c r="P18" s="275"/>
      <c r="Q18" s="275"/>
      <c r="R18" s="275"/>
      <c r="S18" s="275"/>
      <c r="T18" s="271"/>
      <c r="U18" s="271"/>
      <c r="V18" s="271"/>
      <c r="W18" s="271"/>
      <c r="X18" s="271"/>
      <c r="Y18" s="271"/>
      <c r="Z18" s="271"/>
      <c r="AA18" s="271"/>
      <c r="AB18" s="271" t="s">
        <v>341</v>
      </c>
      <c r="AC18" s="276"/>
      <c r="AD18" s="276">
        <v>480000</v>
      </c>
      <c r="AE18" s="301" t="s">
        <v>340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5"/>
      <c r="P19" s="275"/>
      <c r="Q19" s="275"/>
      <c r="R19" s="275"/>
      <c r="S19" s="275"/>
      <c r="T19" s="271"/>
      <c r="U19" s="271"/>
      <c r="V19" s="271"/>
      <c r="W19" s="271"/>
      <c r="X19" s="271"/>
      <c r="Y19" s="271"/>
      <c r="Z19" s="271"/>
      <c r="AA19" s="271"/>
      <c r="AB19" s="271"/>
      <c r="AC19" s="276"/>
      <c r="AD19" s="276"/>
      <c r="AE19" s="301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3" t="s">
        <v>354</v>
      </c>
      <c r="P20" s="275"/>
      <c r="Q20" s="275"/>
      <c r="R20" s="275"/>
      <c r="S20" s="275"/>
      <c r="T20" s="271"/>
      <c r="U20" s="271"/>
      <c r="V20" s="271"/>
      <c r="W20" s="347" t="s">
        <v>351</v>
      </c>
      <c r="X20" s="347"/>
      <c r="Y20" s="347"/>
      <c r="Z20" s="347"/>
      <c r="AA20" s="347"/>
      <c r="AB20" s="347"/>
      <c r="AC20" s="348" t="s">
        <v>352</v>
      </c>
      <c r="AD20" s="348">
        <f>ROUND(SUM(AD21:AD22),-3)</f>
        <v>15021000</v>
      </c>
      <c r="AE20" s="349" t="s">
        <v>340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5" t="s">
        <v>516</v>
      </c>
      <c r="P21" s="275"/>
      <c r="Q21" s="275"/>
      <c r="R21" s="275"/>
      <c r="S21" s="275"/>
      <c r="T21" s="271"/>
      <c r="U21" s="271"/>
      <c r="V21" s="271"/>
      <c r="W21" s="271"/>
      <c r="X21" s="271"/>
      <c r="Y21" s="271"/>
      <c r="Z21" s="271"/>
      <c r="AA21" s="271"/>
      <c r="AB21" s="271" t="s">
        <v>341</v>
      </c>
      <c r="AC21" s="276"/>
      <c r="AD21" s="121">
        <v>15021000</v>
      </c>
      <c r="AE21" s="301" t="s">
        <v>340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5"/>
      <c r="P22" s="275"/>
      <c r="Q22" s="275"/>
      <c r="R22" s="275"/>
      <c r="S22" s="275"/>
      <c r="T22" s="271"/>
      <c r="U22" s="271"/>
      <c r="V22" s="271"/>
      <c r="W22" s="271"/>
      <c r="X22" s="271"/>
      <c r="Y22" s="271"/>
      <c r="Z22" s="271"/>
      <c r="AA22" s="271"/>
      <c r="AB22" s="271"/>
      <c r="AC22" s="276"/>
      <c r="AD22" s="121"/>
      <c r="AE22" s="301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3" t="s">
        <v>433</v>
      </c>
      <c r="P23" s="275"/>
      <c r="Q23" s="275"/>
      <c r="R23" s="275"/>
      <c r="S23" s="275"/>
      <c r="T23" s="271"/>
      <c r="U23" s="271"/>
      <c r="V23" s="271"/>
      <c r="W23" s="347" t="s">
        <v>351</v>
      </c>
      <c r="X23" s="347"/>
      <c r="Y23" s="347"/>
      <c r="Z23" s="347"/>
      <c r="AA23" s="347"/>
      <c r="AB23" s="347"/>
      <c r="AC23" s="348" t="s">
        <v>352</v>
      </c>
      <c r="AD23" s="348">
        <f>ROUND(SUM(AD24:AD25),-3)</f>
        <v>2245000</v>
      </c>
      <c r="AE23" s="349" t="s">
        <v>340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5" t="s">
        <v>516</v>
      </c>
      <c r="P24" s="275"/>
      <c r="Q24" s="275"/>
      <c r="R24" s="275"/>
      <c r="S24" s="275"/>
      <c r="T24" s="271"/>
      <c r="U24" s="271"/>
      <c r="V24" s="271"/>
      <c r="W24" s="271"/>
      <c r="X24" s="271"/>
      <c r="Y24" s="271"/>
      <c r="Z24" s="271"/>
      <c r="AA24" s="271"/>
      <c r="AB24" s="271" t="s">
        <v>341</v>
      </c>
      <c r="AC24" s="276"/>
      <c r="AD24" s="121">
        <v>2245000</v>
      </c>
      <c r="AE24" s="301" t="s">
        <v>340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5"/>
      <c r="P25" s="275"/>
      <c r="Q25" s="275"/>
      <c r="R25" s="275"/>
      <c r="S25" s="275"/>
      <c r="T25" s="271"/>
      <c r="U25" s="271"/>
      <c r="V25" s="271"/>
      <c r="W25" s="271"/>
      <c r="X25" s="271"/>
      <c r="Y25" s="271"/>
      <c r="Z25" s="271"/>
      <c r="AA25" s="271"/>
      <c r="AB25" s="271"/>
      <c r="AC25" s="276"/>
      <c r="AD25" s="121"/>
      <c r="AE25" s="301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3" t="s">
        <v>434</v>
      </c>
      <c r="P26" s="275"/>
      <c r="Q26" s="275"/>
      <c r="R26" s="275"/>
      <c r="S26" s="275"/>
      <c r="T26" s="271"/>
      <c r="U26" s="271"/>
      <c r="V26" s="271"/>
      <c r="W26" s="347" t="s">
        <v>351</v>
      </c>
      <c r="X26" s="347"/>
      <c r="Y26" s="347"/>
      <c r="Z26" s="347"/>
      <c r="AA26" s="347"/>
      <c r="AB26" s="347"/>
      <c r="AC26" s="348" t="s">
        <v>352</v>
      </c>
      <c r="AD26" s="348">
        <f>SUM(AD27:AD28)</f>
        <v>0</v>
      </c>
      <c r="AE26" s="349" t="s">
        <v>340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5" t="s">
        <v>355</v>
      </c>
      <c r="P27" s="275"/>
      <c r="Q27" s="275"/>
      <c r="R27" s="275"/>
      <c r="S27" s="293"/>
      <c r="T27" s="293"/>
      <c r="U27" s="294"/>
      <c r="V27" s="293"/>
      <c r="W27" s="293"/>
      <c r="X27" s="294"/>
      <c r="Y27" s="296"/>
      <c r="Z27" s="425"/>
      <c r="AA27" s="425"/>
      <c r="AB27" s="271" t="s">
        <v>345</v>
      </c>
      <c r="AC27" s="276"/>
      <c r="AD27" s="121">
        <f>S27*V27*Y27</f>
        <v>0</v>
      </c>
      <c r="AE27" s="301" t="s">
        <v>340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5" t="s">
        <v>435</v>
      </c>
      <c r="P28" s="275"/>
      <c r="Q28" s="275"/>
      <c r="R28" s="275"/>
      <c r="S28" s="293"/>
      <c r="T28" s="293"/>
      <c r="U28" s="294"/>
      <c r="V28" s="293"/>
      <c r="W28" s="293"/>
      <c r="X28" s="294"/>
      <c r="Y28" s="296"/>
      <c r="Z28" s="425"/>
      <c r="AA28" s="425"/>
      <c r="AB28" s="271" t="s">
        <v>345</v>
      </c>
      <c r="AC28" s="276"/>
      <c r="AD28" s="121">
        <v>0</v>
      </c>
      <c r="AE28" s="301" t="s">
        <v>340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5"/>
      <c r="P29" s="275"/>
      <c r="Q29" s="275"/>
      <c r="R29" s="275"/>
      <c r="S29" s="271"/>
      <c r="T29" s="335"/>
      <c r="U29" s="384"/>
      <c r="V29" s="335"/>
      <c r="W29" s="385"/>
      <c r="X29" s="385"/>
      <c r="Y29" s="271"/>
      <c r="Z29" s="271"/>
      <c r="AA29" s="271"/>
      <c r="AB29" s="271"/>
      <c r="AC29" s="271"/>
      <c r="AD29" s="271"/>
      <c r="AE29" s="301"/>
    </row>
    <row r="30" spans="1:31" s="11" customFormat="1" ht="21" customHeight="1">
      <c r="A30" s="37"/>
      <c r="B30" s="38"/>
      <c r="C30" s="28" t="s">
        <v>9</v>
      </c>
      <c r="D30" s="135">
        <v>4831</v>
      </c>
      <c r="E30" s="103">
        <f>ROUND(AD30/1000,0)</f>
        <v>6992</v>
      </c>
      <c r="F30" s="103">
        <f>SUMIF($AB$31:$AB$37,"보조",$AD$31:$AD$37)/1000</f>
        <v>6992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2161</v>
      </c>
      <c r="N30" s="109">
        <f>IF(D30=0,0,M30/D30)</f>
        <v>0.44731939557027528</v>
      </c>
      <c r="O30" s="85" t="s">
        <v>35</v>
      </c>
      <c r="P30" s="430"/>
      <c r="Q30" s="154"/>
      <c r="R30" s="154"/>
      <c r="S30" s="154"/>
      <c r="T30" s="153"/>
      <c r="U30" s="153"/>
      <c r="V30" s="153"/>
      <c r="W30" s="429" t="s">
        <v>351</v>
      </c>
      <c r="X30" s="429"/>
      <c r="Y30" s="429"/>
      <c r="Z30" s="429"/>
      <c r="AA30" s="429"/>
      <c r="AB30" s="429"/>
      <c r="AC30" s="147" t="s">
        <v>352</v>
      </c>
      <c r="AD30" s="147">
        <f>SUM(AD31,AD34)</f>
        <v>6992000</v>
      </c>
      <c r="AE30" s="146" t="s">
        <v>340</v>
      </c>
    </row>
    <row r="31" spans="1:31" s="11" customFormat="1" ht="21" customHeight="1">
      <c r="A31" s="37"/>
      <c r="B31" s="38"/>
      <c r="C31" s="38"/>
      <c r="D31" s="443"/>
      <c r="E31" s="444"/>
      <c r="F31" s="444"/>
      <c r="G31" s="444"/>
      <c r="H31" s="444"/>
      <c r="I31" s="444"/>
      <c r="J31" s="444"/>
      <c r="K31" s="444"/>
      <c r="L31" s="444"/>
      <c r="M31" s="104"/>
      <c r="N31" s="60"/>
      <c r="O31" s="383" t="s">
        <v>436</v>
      </c>
      <c r="P31" s="275"/>
      <c r="Q31" s="275"/>
      <c r="R31" s="275"/>
      <c r="S31" s="275"/>
      <c r="T31" s="271"/>
      <c r="U31" s="271"/>
      <c r="V31" s="271"/>
      <c r="W31" s="347" t="s">
        <v>351</v>
      </c>
      <c r="X31" s="347"/>
      <c r="Y31" s="347"/>
      <c r="Z31" s="347"/>
      <c r="AA31" s="347"/>
      <c r="AB31" s="347"/>
      <c r="AC31" s="348"/>
      <c r="AD31" s="348">
        <f>SUM(AD32:AD33)</f>
        <v>6992000</v>
      </c>
      <c r="AE31" s="349" t="s">
        <v>340</v>
      </c>
    </row>
    <row r="32" spans="1:31" s="11" customFormat="1" ht="21" customHeight="1">
      <c r="A32" s="37"/>
      <c r="B32" s="38"/>
      <c r="C32" s="38"/>
      <c r="D32" s="445"/>
      <c r="E32" s="446"/>
      <c r="F32" s="446"/>
      <c r="G32" s="446"/>
      <c r="H32" s="446"/>
      <c r="I32" s="446"/>
      <c r="J32" s="446"/>
      <c r="K32" s="446"/>
      <c r="L32" s="446"/>
      <c r="M32" s="104"/>
      <c r="N32" s="60"/>
      <c r="O32" s="275" t="s">
        <v>517</v>
      </c>
      <c r="P32" s="275"/>
      <c r="Q32" s="275"/>
      <c r="R32" s="275"/>
      <c r="S32" s="271">
        <f>SUM(AD8,AD15,AD18,AD21,AD23)</f>
        <v>83903000</v>
      </c>
      <c r="T32" s="332" t="s">
        <v>340</v>
      </c>
      <c r="U32" s="332" t="s">
        <v>356</v>
      </c>
      <c r="V32" s="386">
        <v>12</v>
      </c>
      <c r="W32" s="331" t="s">
        <v>343</v>
      </c>
      <c r="X32" s="271"/>
      <c r="Y32" s="271"/>
      <c r="Z32" s="271"/>
      <c r="AA32" s="271" t="s">
        <v>344</v>
      </c>
      <c r="AB32" s="271" t="s">
        <v>341</v>
      </c>
      <c r="AC32" s="276"/>
      <c r="AD32" s="121">
        <f>ROUND(S32/V32,-3)</f>
        <v>6992000</v>
      </c>
      <c r="AE32" s="301" t="s">
        <v>340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5"/>
      <c r="P33" s="275"/>
      <c r="Q33" s="275"/>
      <c r="R33" s="275"/>
      <c r="S33" s="271"/>
      <c r="T33" s="332"/>
      <c r="U33" s="332"/>
      <c r="V33" s="386"/>
      <c r="W33" s="331"/>
      <c r="X33" s="271"/>
      <c r="Y33" s="271"/>
      <c r="Z33" s="271"/>
      <c r="AA33" s="271"/>
      <c r="AB33" s="271"/>
      <c r="AC33" s="276"/>
      <c r="AD33" s="121"/>
      <c r="AE33" s="301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3" t="s">
        <v>437</v>
      </c>
      <c r="P34" s="275"/>
      <c r="Q34" s="275"/>
      <c r="R34" s="275"/>
      <c r="S34" s="275"/>
      <c r="T34" s="271"/>
      <c r="U34" s="271"/>
      <c r="V34" s="271"/>
      <c r="W34" s="347" t="s">
        <v>357</v>
      </c>
      <c r="X34" s="347"/>
      <c r="Y34" s="347"/>
      <c r="Z34" s="347"/>
      <c r="AA34" s="347"/>
      <c r="AB34" s="347"/>
      <c r="AC34" s="348" t="s">
        <v>358</v>
      </c>
      <c r="AD34" s="348">
        <f>SUM(AD35:AD36)</f>
        <v>0</v>
      </c>
      <c r="AE34" s="349" t="s">
        <v>359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3" t="s">
        <v>438</v>
      </c>
      <c r="P35" s="433"/>
      <c r="Q35" s="433"/>
      <c r="R35" s="433"/>
      <c r="S35" s="432">
        <v>0</v>
      </c>
      <c r="T35" s="290" t="s">
        <v>340</v>
      </c>
      <c r="U35" s="290" t="s">
        <v>356</v>
      </c>
      <c r="V35" s="447">
        <v>12</v>
      </c>
      <c r="W35" s="393" t="s">
        <v>343</v>
      </c>
      <c r="X35" s="432"/>
      <c r="Y35" s="432"/>
      <c r="Z35" s="432"/>
      <c r="AA35" s="432" t="s">
        <v>344</v>
      </c>
      <c r="AB35" s="432" t="s">
        <v>345</v>
      </c>
      <c r="AC35" s="121"/>
      <c r="AD35" s="121">
        <f>ROUNDUP(S35/V35,-3)</f>
        <v>0</v>
      </c>
      <c r="AE35" s="122" t="s">
        <v>340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3" t="s">
        <v>360</v>
      </c>
      <c r="P36" s="433"/>
      <c r="Q36" s="433"/>
      <c r="R36" s="433"/>
      <c r="S36" s="432">
        <f>($K$7+$K$13)*1000</f>
        <v>0</v>
      </c>
      <c r="T36" s="290" t="s">
        <v>340</v>
      </c>
      <c r="U36" s="290" t="s">
        <v>356</v>
      </c>
      <c r="V36" s="447">
        <v>12</v>
      </c>
      <c r="W36" s="393" t="s">
        <v>343</v>
      </c>
      <c r="X36" s="432"/>
      <c r="Y36" s="432"/>
      <c r="Z36" s="432"/>
      <c r="AA36" s="432" t="s">
        <v>344</v>
      </c>
      <c r="AB36" s="432" t="s">
        <v>345</v>
      </c>
      <c r="AC36" s="121"/>
      <c r="AD36" s="121">
        <f>ROUND(S36/V36,-3)</f>
        <v>0</v>
      </c>
      <c r="AE36" s="122" t="s">
        <v>340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4"/>
      <c r="P37" s="152"/>
      <c r="Q37" s="152"/>
      <c r="R37" s="152"/>
      <c r="S37" s="152"/>
      <c r="T37" s="151"/>
      <c r="U37" s="151"/>
      <c r="V37" s="151"/>
      <c r="W37" s="151"/>
      <c r="X37" s="151"/>
      <c r="Y37" s="151"/>
      <c r="Z37" s="151"/>
      <c r="AA37" s="151"/>
      <c r="AB37" s="432"/>
      <c r="AC37" s="42"/>
      <c r="AD37" s="58"/>
      <c r="AE37" s="26"/>
    </row>
    <row r="38" spans="1:31" s="11" customFormat="1" ht="21" customHeight="1">
      <c r="A38" s="37"/>
      <c r="B38" s="38"/>
      <c r="C38" s="111" t="s">
        <v>361</v>
      </c>
      <c r="D38" s="135">
        <v>5995</v>
      </c>
      <c r="E38" s="103">
        <f>ROUND(AD38/1000,0)</f>
        <v>8672</v>
      </c>
      <c r="F38" s="103">
        <f>SUMIF($AB$39:$AB$56,"보조",$AD$39:$AD$56)/1000</f>
        <v>8672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2677</v>
      </c>
      <c r="N38" s="109">
        <f>IF(D38=0,0,M38/D38)</f>
        <v>0.44653878231859884</v>
      </c>
      <c r="O38" s="85" t="s">
        <v>36</v>
      </c>
      <c r="P38" s="430"/>
      <c r="Q38" s="154"/>
      <c r="R38" s="154"/>
      <c r="S38" s="154"/>
      <c r="T38" s="153"/>
      <c r="U38" s="153"/>
      <c r="V38" s="153"/>
      <c r="W38" s="429" t="s">
        <v>362</v>
      </c>
      <c r="X38" s="429"/>
      <c r="Y38" s="429"/>
      <c r="Z38" s="429"/>
      <c r="AA38" s="429"/>
      <c r="AB38" s="429"/>
      <c r="AC38" s="147"/>
      <c r="AD38" s="147">
        <f>SUM(AD40,AD43,AD46,AD49,AD52,AD55)</f>
        <v>8672000</v>
      </c>
      <c r="AE38" s="146" t="s">
        <v>25</v>
      </c>
    </row>
    <row r="39" spans="1:31" s="11" customFormat="1" ht="21" customHeight="1">
      <c r="A39" s="37"/>
      <c r="B39" s="38"/>
      <c r="C39" s="38" t="s">
        <v>363</v>
      </c>
      <c r="D39" s="443"/>
      <c r="E39" s="444"/>
      <c r="F39" s="444"/>
      <c r="G39" s="444"/>
      <c r="H39" s="444"/>
      <c r="I39" s="444"/>
      <c r="J39" s="444"/>
      <c r="K39" s="444"/>
      <c r="L39" s="444"/>
      <c r="M39" s="104"/>
      <c r="N39" s="60"/>
      <c r="O39" s="152"/>
      <c r="P39" s="152"/>
      <c r="Q39" s="152"/>
      <c r="R39" s="152"/>
      <c r="S39" s="152"/>
      <c r="T39" s="151"/>
      <c r="U39" s="151"/>
      <c r="V39" s="151"/>
      <c r="W39" s="151"/>
      <c r="X39" s="151"/>
      <c r="Y39" s="151"/>
      <c r="Z39" s="151"/>
      <c r="AA39" s="151"/>
      <c r="AB39" s="151"/>
      <c r="AC39" s="42"/>
      <c r="AD39" s="42"/>
      <c r="AE39" s="26"/>
    </row>
    <row r="40" spans="1:31" s="11" customFormat="1" ht="21" customHeight="1">
      <c r="A40" s="37"/>
      <c r="B40" s="38"/>
      <c r="C40" s="38"/>
      <c r="D40" s="445"/>
      <c r="E40" s="446"/>
      <c r="F40" s="446"/>
      <c r="G40" s="446"/>
      <c r="H40" s="446"/>
      <c r="I40" s="446"/>
      <c r="J40" s="446"/>
      <c r="K40" s="446"/>
      <c r="L40" s="446"/>
      <c r="M40" s="104"/>
      <c r="N40" s="60"/>
      <c r="O40" s="383" t="s">
        <v>364</v>
      </c>
      <c r="P40" s="275"/>
      <c r="Q40" s="275"/>
      <c r="R40" s="275"/>
      <c r="S40" s="275"/>
      <c r="T40" s="271"/>
      <c r="U40" s="271"/>
      <c r="V40" s="271"/>
      <c r="W40" s="347" t="s">
        <v>351</v>
      </c>
      <c r="X40" s="347"/>
      <c r="Y40" s="347"/>
      <c r="Z40" s="347"/>
      <c r="AA40" s="347"/>
      <c r="AB40" s="347"/>
      <c r="AC40" s="348"/>
      <c r="AD40" s="348">
        <f>ROUND(SUM(AD41:AD42),-3)</f>
        <v>3776000</v>
      </c>
      <c r="AE40" s="349" t="s">
        <v>340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5" t="s">
        <v>516</v>
      </c>
      <c r="P41" s="275"/>
      <c r="Q41" s="275"/>
      <c r="R41" s="275"/>
      <c r="S41" s="271">
        <f>S32</f>
        <v>83903000</v>
      </c>
      <c r="T41" s="332" t="s">
        <v>340</v>
      </c>
      <c r="U41" s="331" t="s">
        <v>342</v>
      </c>
      <c r="V41" s="387">
        <v>0.09</v>
      </c>
      <c r="W41" s="332" t="s">
        <v>356</v>
      </c>
      <c r="X41" s="388">
        <v>2</v>
      </c>
      <c r="Y41" s="334"/>
      <c r="Z41" s="334"/>
      <c r="AA41" s="332" t="s">
        <v>344</v>
      </c>
      <c r="AB41" s="271" t="s">
        <v>341</v>
      </c>
      <c r="AC41" s="276"/>
      <c r="AD41" s="121">
        <f>ROUNDUP(S41*V41/X41,-3)</f>
        <v>3776000</v>
      </c>
      <c r="AE41" s="301" t="s">
        <v>340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5"/>
      <c r="P42" s="275"/>
      <c r="Q42" s="275"/>
      <c r="R42" s="275"/>
      <c r="S42" s="271"/>
      <c r="T42" s="332"/>
      <c r="U42" s="331"/>
      <c r="V42" s="387"/>
      <c r="W42" s="332"/>
      <c r="X42" s="388"/>
      <c r="Y42" s="334"/>
      <c r="Z42" s="334"/>
      <c r="AA42" s="332"/>
      <c r="AB42" s="271"/>
      <c r="AC42" s="276"/>
      <c r="AD42" s="121"/>
      <c r="AE42" s="301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3" t="s">
        <v>365</v>
      </c>
      <c r="P43" s="275"/>
      <c r="Q43" s="275"/>
      <c r="R43" s="275"/>
      <c r="S43" s="275"/>
      <c r="T43" s="271"/>
      <c r="U43" s="271"/>
      <c r="V43" s="271"/>
      <c r="W43" s="347" t="s">
        <v>351</v>
      </c>
      <c r="X43" s="347"/>
      <c r="Y43" s="347"/>
      <c r="Z43" s="347"/>
      <c r="AA43" s="347"/>
      <c r="AB43" s="347"/>
      <c r="AC43" s="348" t="s">
        <v>352</v>
      </c>
      <c r="AD43" s="348">
        <f>ROUND(SUM(AD44:AD45),-3)</f>
        <v>2933000</v>
      </c>
      <c r="AE43" s="349" t="s">
        <v>340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5" t="s">
        <v>516</v>
      </c>
      <c r="P44" s="275"/>
      <c r="Q44" s="275"/>
      <c r="R44" s="275"/>
      <c r="S44" s="271">
        <f>S41</f>
        <v>83903000</v>
      </c>
      <c r="T44" s="332" t="s">
        <v>340</v>
      </c>
      <c r="U44" s="331" t="s">
        <v>342</v>
      </c>
      <c r="V44" s="389">
        <v>6.9900000000000004E-2</v>
      </c>
      <c r="W44" s="332" t="s">
        <v>356</v>
      </c>
      <c r="X44" s="390">
        <v>2</v>
      </c>
      <c r="Y44" s="334"/>
      <c r="Z44" s="334"/>
      <c r="AA44" s="332" t="s">
        <v>344</v>
      </c>
      <c r="AB44" s="271" t="s">
        <v>341</v>
      </c>
      <c r="AC44" s="276"/>
      <c r="AD44" s="121">
        <f>ROUNDUP(S44*V44/X44,-3)</f>
        <v>2933000</v>
      </c>
      <c r="AE44" s="301" t="s">
        <v>340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5"/>
      <c r="P45" s="275"/>
      <c r="Q45" s="275"/>
      <c r="R45" s="275"/>
      <c r="S45" s="271"/>
      <c r="T45" s="271"/>
      <c r="U45" s="332"/>
      <c r="V45" s="389"/>
      <c r="W45" s="271"/>
      <c r="X45" s="332"/>
      <c r="Y45" s="271"/>
      <c r="Z45" s="271"/>
      <c r="AA45" s="271"/>
      <c r="AB45" s="271"/>
      <c r="AC45" s="276"/>
      <c r="AD45" s="121"/>
      <c r="AE45" s="301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3" t="s">
        <v>366</v>
      </c>
      <c r="P46" s="275"/>
      <c r="Q46" s="275"/>
      <c r="R46" s="275"/>
      <c r="S46" s="275"/>
      <c r="T46" s="271"/>
      <c r="U46" s="271"/>
      <c r="V46" s="271"/>
      <c r="W46" s="347" t="s">
        <v>351</v>
      </c>
      <c r="X46" s="347"/>
      <c r="Y46" s="347"/>
      <c r="Z46" s="347"/>
      <c r="AA46" s="347"/>
      <c r="AB46" s="347"/>
      <c r="AC46" s="348" t="s">
        <v>352</v>
      </c>
      <c r="AD46" s="348">
        <f>ROUND(SUM(AD47:AD48),-3)</f>
        <v>360000</v>
      </c>
      <c r="AE46" s="349" t="s">
        <v>340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5" t="s">
        <v>516</v>
      </c>
      <c r="P47" s="275"/>
      <c r="Q47" s="275"/>
      <c r="R47" s="275"/>
      <c r="S47" s="391">
        <f>AD44</f>
        <v>2933000</v>
      </c>
      <c r="T47" s="332" t="s">
        <v>340</v>
      </c>
      <c r="U47" s="331" t="s">
        <v>342</v>
      </c>
      <c r="V47" s="389">
        <v>0.1227</v>
      </c>
      <c r="W47" s="331"/>
      <c r="X47" s="333"/>
      <c r="Y47" s="334"/>
      <c r="Z47" s="334"/>
      <c r="AA47" s="332" t="s">
        <v>344</v>
      </c>
      <c r="AB47" s="271" t="s">
        <v>341</v>
      </c>
      <c r="AC47" s="276"/>
      <c r="AD47" s="121">
        <f>ROUND(S47*V47,-3)</f>
        <v>360000</v>
      </c>
      <c r="AE47" s="301" t="s">
        <v>340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5"/>
      <c r="P48" s="275"/>
      <c r="Q48" s="275"/>
      <c r="R48" s="275"/>
      <c r="S48" s="391"/>
      <c r="T48" s="332"/>
      <c r="U48" s="331"/>
      <c r="V48" s="389"/>
      <c r="W48" s="331"/>
      <c r="X48" s="333"/>
      <c r="Y48" s="334"/>
      <c r="Z48" s="334"/>
      <c r="AA48" s="332"/>
      <c r="AB48" s="271"/>
      <c r="AC48" s="276"/>
      <c r="AD48" s="121"/>
      <c r="AE48" s="301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3" t="s">
        <v>367</v>
      </c>
      <c r="P49" s="275"/>
      <c r="Q49" s="275"/>
      <c r="R49" s="275"/>
      <c r="S49" s="275"/>
      <c r="T49" s="271"/>
      <c r="U49" s="271"/>
      <c r="V49" s="271"/>
      <c r="W49" s="347" t="s">
        <v>351</v>
      </c>
      <c r="X49" s="347"/>
      <c r="Y49" s="347"/>
      <c r="Z49" s="347"/>
      <c r="AA49" s="347"/>
      <c r="AB49" s="347"/>
      <c r="AC49" s="348" t="s">
        <v>352</v>
      </c>
      <c r="AD49" s="348">
        <f>ROUND(SUM(AD50:AD51),-3)</f>
        <v>965000</v>
      </c>
      <c r="AE49" s="349" t="s">
        <v>340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5" t="s">
        <v>516</v>
      </c>
      <c r="P50" s="275"/>
      <c r="Q50" s="275"/>
      <c r="R50" s="275"/>
      <c r="S50" s="271">
        <f>S44</f>
        <v>83903000</v>
      </c>
      <c r="T50" s="332" t="s">
        <v>340</v>
      </c>
      <c r="U50" s="331" t="s">
        <v>342</v>
      </c>
      <c r="V50" s="389">
        <v>1.15E-2</v>
      </c>
      <c r="W50" s="331"/>
      <c r="X50" s="333"/>
      <c r="Y50" s="334"/>
      <c r="Z50" s="334"/>
      <c r="AA50" s="332" t="s">
        <v>344</v>
      </c>
      <c r="AB50" s="271" t="s">
        <v>341</v>
      </c>
      <c r="AC50" s="276"/>
      <c r="AD50" s="121">
        <f>ROUNDUP(S50*V50,-3)</f>
        <v>965000</v>
      </c>
      <c r="AE50" s="301" t="s">
        <v>340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5"/>
      <c r="P51" s="275"/>
      <c r="Q51" s="275"/>
      <c r="R51" s="275"/>
      <c r="S51" s="271"/>
      <c r="T51" s="332"/>
      <c r="U51" s="331"/>
      <c r="V51" s="389"/>
      <c r="W51" s="331"/>
      <c r="X51" s="333"/>
      <c r="Y51" s="334"/>
      <c r="Z51" s="334"/>
      <c r="AA51" s="332"/>
      <c r="AB51" s="271"/>
      <c r="AC51" s="276"/>
      <c r="AD51" s="121"/>
      <c r="AE51" s="301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3" t="s">
        <v>368</v>
      </c>
      <c r="P52" s="275"/>
      <c r="Q52" s="275"/>
      <c r="R52" s="275"/>
      <c r="S52" s="275"/>
      <c r="T52" s="271"/>
      <c r="U52" s="271"/>
      <c r="V52" s="271"/>
      <c r="W52" s="347" t="s">
        <v>351</v>
      </c>
      <c r="X52" s="347"/>
      <c r="Y52" s="347"/>
      <c r="Z52" s="347"/>
      <c r="AA52" s="347"/>
      <c r="AB52" s="347"/>
      <c r="AC52" s="348" t="s">
        <v>352</v>
      </c>
      <c r="AD52" s="348">
        <f>ROUND(SUM(AD53:AD54),-3)</f>
        <v>638000</v>
      </c>
      <c r="AE52" s="349" t="s">
        <v>340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5" t="s">
        <v>516</v>
      </c>
      <c r="P53" s="275"/>
      <c r="Q53" s="275"/>
      <c r="R53" s="275"/>
      <c r="S53" s="271">
        <f>S50</f>
        <v>83903000</v>
      </c>
      <c r="T53" s="332" t="s">
        <v>340</v>
      </c>
      <c r="U53" s="331" t="s">
        <v>342</v>
      </c>
      <c r="V53" s="392">
        <v>7.6E-3</v>
      </c>
      <c r="W53" s="331"/>
      <c r="X53" s="333"/>
      <c r="Y53" s="334"/>
      <c r="Z53" s="334"/>
      <c r="AA53" s="332" t="s">
        <v>344</v>
      </c>
      <c r="AB53" s="271" t="s">
        <v>341</v>
      </c>
      <c r="AC53" s="276"/>
      <c r="AD53" s="121">
        <f>ROUND(S53*V53,-3)</f>
        <v>638000</v>
      </c>
      <c r="AE53" s="301" t="s">
        <v>340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5"/>
      <c r="P54" s="275"/>
      <c r="Q54" s="275"/>
      <c r="R54" s="275"/>
      <c r="S54" s="271"/>
      <c r="T54" s="332"/>
      <c r="U54" s="331"/>
      <c r="V54" s="392"/>
      <c r="W54" s="331"/>
      <c r="X54" s="333"/>
      <c r="Y54" s="334"/>
      <c r="Z54" s="334"/>
      <c r="AA54" s="332"/>
      <c r="AB54" s="271"/>
      <c r="AC54" s="276"/>
      <c r="AD54" s="121"/>
      <c r="AE54" s="301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6" t="s">
        <v>439</v>
      </c>
      <c r="P55" s="275"/>
      <c r="Q55" s="275"/>
      <c r="R55" s="275"/>
      <c r="S55" s="271"/>
      <c r="T55" s="332"/>
      <c r="U55" s="331"/>
      <c r="V55" s="392"/>
      <c r="W55" s="465"/>
      <c r="X55" s="466"/>
      <c r="Y55" s="467"/>
      <c r="Z55" s="467"/>
      <c r="AA55" s="381"/>
      <c r="AB55" s="347" t="s">
        <v>345</v>
      </c>
      <c r="AC55" s="348"/>
      <c r="AD55" s="405">
        <v>0</v>
      </c>
      <c r="AE55" s="349" t="s">
        <v>340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5"/>
      <c r="P56" s="275"/>
      <c r="Q56" s="275"/>
      <c r="R56" s="275"/>
      <c r="S56" s="275"/>
      <c r="T56" s="271"/>
      <c r="U56" s="271"/>
      <c r="V56" s="271"/>
      <c r="W56" s="271"/>
      <c r="X56" s="271"/>
      <c r="Y56" s="271"/>
      <c r="Z56" s="271"/>
      <c r="AA56" s="271"/>
      <c r="AB56" s="271"/>
      <c r="AC56" s="276"/>
      <c r="AD56" s="276"/>
      <c r="AE56" s="301"/>
    </row>
    <row r="57" spans="1:31" s="11" customFormat="1" ht="21" customHeight="1">
      <c r="A57" s="37"/>
      <c r="B57" s="38"/>
      <c r="C57" s="28" t="s">
        <v>369</v>
      </c>
      <c r="D57" s="135">
        <v>543</v>
      </c>
      <c r="E57" s="103">
        <f>ROUND(AD57/1000,0)</f>
        <v>350</v>
      </c>
      <c r="F57" s="103">
        <f>SUMIF($AB$58:$AB$62,"보조",$AD$58:$AD$62)/1000</f>
        <v>0</v>
      </c>
      <c r="G57" s="103">
        <f>SUMIF($AB$58:$AB$62,"4종",$AD$58:$AD$62)/1000</f>
        <v>0</v>
      </c>
      <c r="H57" s="103">
        <f>SUMIF($AB$58:$AB$62,"6종",$AD$58:$AD$62)/1000</f>
        <v>0</v>
      </c>
      <c r="I57" s="103">
        <f>SUMIF($AB$58:$AB$62,"후원",$AD$58:$AD$62)/1000</f>
        <v>200</v>
      </c>
      <c r="J57" s="103">
        <f>SUMIF($AB$58:$AB$62,"입소",$AD$58:$AD$62)/1000</f>
        <v>150</v>
      </c>
      <c r="K57" s="103">
        <f>SUMIF($AB$58:$AB$62,"법인",$AD$58:$AD$62)/1000</f>
        <v>0</v>
      </c>
      <c r="L57" s="103">
        <f>SUMIF($AB$58:$AB$62,"잡수",$AD$58:$AD$62)/1000</f>
        <v>0</v>
      </c>
      <c r="M57" s="102">
        <f>E57-D57</f>
        <v>-193</v>
      </c>
      <c r="N57" s="109">
        <f>IF(D57=0,0,M57/D57)</f>
        <v>-0.35543278084714547</v>
      </c>
      <c r="O57" s="85" t="s">
        <v>370</v>
      </c>
      <c r="P57" s="430"/>
      <c r="Q57" s="154"/>
      <c r="R57" s="154"/>
      <c r="S57" s="154"/>
      <c r="T57" s="153"/>
      <c r="U57" s="153"/>
      <c r="V57" s="153"/>
      <c r="W57" s="429" t="s">
        <v>362</v>
      </c>
      <c r="X57" s="429"/>
      <c r="Y57" s="429"/>
      <c r="Z57" s="429"/>
      <c r="AA57" s="429"/>
      <c r="AB57" s="429"/>
      <c r="AC57" s="147"/>
      <c r="AD57" s="147">
        <f>SUM(AD58:AD62)</f>
        <v>350000</v>
      </c>
      <c r="AE57" s="146" t="s">
        <v>25</v>
      </c>
    </row>
    <row r="58" spans="1:31" s="11" customFormat="1" ht="21" customHeight="1">
      <c r="A58" s="37"/>
      <c r="B58" s="38"/>
      <c r="C58" s="38"/>
      <c r="D58" s="443"/>
      <c r="E58" s="444"/>
      <c r="F58" s="444"/>
      <c r="G58" s="444"/>
      <c r="H58" s="444"/>
      <c r="I58" s="444"/>
      <c r="J58" s="444"/>
      <c r="K58" s="444"/>
      <c r="L58" s="444"/>
      <c r="M58" s="97"/>
      <c r="N58" s="60"/>
      <c r="O58" s="475" t="s">
        <v>371</v>
      </c>
      <c r="P58" s="475"/>
      <c r="Q58" s="475"/>
      <c r="R58" s="475"/>
      <c r="S58" s="474"/>
      <c r="T58" s="474"/>
      <c r="U58" s="393"/>
      <c r="V58" s="474"/>
      <c r="W58" s="474"/>
      <c r="X58" s="393"/>
      <c r="Y58" s="474"/>
      <c r="Z58" s="474"/>
      <c r="AA58" s="474"/>
      <c r="AB58" s="474" t="s">
        <v>313</v>
      </c>
      <c r="AC58" s="394"/>
      <c r="AD58" s="474">
        <v>0</v>
      </c>
      <c r="AE58" s="395" t="s">
        <v>25</v>
      </c>
    </row>
    <row r="59" spans="1:31" s="11" customFormat="1" ht="21" customHeight="1">
      <c r="A59" s="37"/>
      <c r="B59" s="38"/>
      <c r="C59" s="38"/>
      <c r="D59" s="445"/>
      <c r="E59" s="446"/>
      <c r="F59" s="446"/>
      <c r="G59" s="446"/>
      <c r="H59" s="446"/>
      <c r="I59" s="446"/>
      <c r="J59" s="446"/>
      <c r="K59" s="446"/>
      <c r="L59" s="446"/>
      <c r="M59" s="97"/>
      <c r="N59" s="60"/>
      <c r="O59" s="475" t="s">
        <v>372</v>
      </c>
      <c r="P59" s="400"/>
      <c r="Q59" s="475"/>
      <c r="R59" s="475"/>
      <c r="S59" s="293">
        <v>50000</v>
      </c>
      <c r="T59" s="44" t="s">
        <v>56</v>
      </c>
      <c r="U59" s="236">
        <v>2</v>
      </c>
      <c r="V59" s="293" t="s">
        <v>55</v>
      </c>
      <c r="W59" s="64"/>
      <c r="X59" s="64"/>
      <c r="Y59" s="67"/>
      <c r="Z59" s="65"/>
      <c r="AA59" s="527" t="s">
        <v>53</v>
      </c>
      <c r="AB59" s="293" t="s">
        <v>373</v>
      </c>
      <c r="AC59" s="58"/>
      <c r="AD59" s="58">
        <f>S59*U59</f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5" t="s">
        <v>440</v>
      </c>
      <c r="P60" s="474"/>
      <c r="Q60" s="475"/>
      <c r="R60" s="475"/>
      <c r="S60" s="293">
        <v>50000</v>
      </c>
      <c r="T60" s="44" t="s">
        <v>56</v>
      </c>
      <c r="U60" s="236">
        <v>2</v>
      </c>
      <c r="V60" s="293" t="s">
        <v>55</v>
      </c>
      <c r="W60" s="64"/>
      <c r="X60" s="64"/>
      <c r="Y60" s="67"/>
      <c r="Z60" s="65"/>
      <c r="AA60" s="527" t="s">
        <v>53</v>
      </c>
      <c r="AB60" s="293" t="s">
        <v>373</v>
      </c>
      <c r="AC60" s="58"/>
      <c r="AD60" s="58">
        <f>S60*U60</f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75" t="s">
        <v>441</v>
      </c>
      <c r="P61" s="474"/>
      <c r="Q61" s="475"/>
      <c r="R61" s="475"/>
      <c r="S61" s="293"/>
      <c r="T61" s="44"/>
      <c r="U61" s="236"/>
      <c r="V61" s="293"/>
      <c r="W61" s="64"/>
      <c r="X61" s="64"/>
      <c r="Y61" s="67"/>
      <c r="Z61" s="65"/>
      <c r="AA61" s="527"/>
      <c r="AB61" s="293" t="s">
        <v>387</v>
      </c>
      <c r="AC61" s="58"/>
      <c r="AD61" s="58">
        <v>150000</v>
      </c>
      <c r="AE61" s="122" t="s">
        <v>56</v>
      </c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433"/>
      <c r="P62" s="432"/>
      <c r="Q62" s="433"/>
      <c r="R62" s="433"/>
      <c r="S62" s="293"/>
      <c r="T62" s="44"/>
      <c r="U62" s="236"/>
      <c r="V62" s="293"/>
      <c r="W62" s="64"/>
      <c r="X62" s="64"/>
      <c r="Y62" s="67"/>
      <c r="Z62" s="65"/>
      <c r="AA62" s="425"/>
      <c r="AB62" s="293"/>
      <c r="AC62" s="58"/>
      <c r="AD62" s="58"/>
      <c r="AE62" s="122"/>
    </row>
    <row r="63" spans="1:31" s="11" customFormat="1" ht="21" customHeight="1">
      <c r="A63" s="37"/>
      <c r="B63" s="28" t="s">
        <v>374</v>
      </c>
      <c r="C63" s="28" t="s">
        <v>5</v>
      </c>
      <c r="D63" s="102">
        <f t="shared" ref="D63:L63" si="3">SUM(D64,D66,D68)</f>
        <v>160</v>
      </c>
      <c r="E63" s="102">
        <f t="shared" si="3"/>
        <v>230</v>
      </c>
      <c r="F63" s="102">
        <f t="shared" si="3"/>
        <v>0</v>
      </c>
      <c r="G63" s="102">
        <f t="shared" si="3"/>
        <v>0</v>
      </c>
      <c r="H63" s="102">
        <f t="shared" si="3"/>
        <v>0</v>
      </c>
      <c r="I63" s="102">
        <f t="shared" si="3"/>
        <v>0</v>
      </c>
      <c r="J63" s="102">
        <f t="shared" si="3"/>
        <v>230</v>
      </c>
      <c r="K63" s="102">
        <f t="shared" si="3"/>
        <v>0</v>
      </c>
      <c r="L63" s="102">
        <f t="shared" si="3"/>
        <v>0</v>
      </c>
      <c r="M63" s="102">
        <f>E63-D63</f>
        <v>70</v>
      </c>
      <c r="N63" s="109">
        <f>IF(D63=0,0,M63/D63)</f>
        <v>0.4375</v>
      </c>
      <c r="O63" s="154" t="s">
        <v>375</v>
      </c>
      <c r="P63" s="154"/>
      <c r="Q63" s="154"/>
      <c r="R63" s="154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82"/>
      <c r="AD63" s="82">
        <f>SUM(AD64,AD66,AD68)</f>
        <v>230000</v>
      </c>
      <c r="AE63" s="83" t="s">
        <v>25</v>
      </c>
    </row>
    <row r="64" spans="1:31" s="11" customFormat="1" ht="21" customHeight="1">
      <c r="A64" s="37"/>
      <c r="B64" s="38" t="s">
        <v>376</v>
      </c>
      <c r="C64" s="28" t="s">
        <v>10</v>
      </c>
      <c r="D64" s="135">
        <v>0</v>
      </c>
      <c r="E64" s="102">
        <f>AD64/1000</f>
        <v>0</v>
      </c>
      <c r="F64" s="103">
        <f>SUMIF($AB$65:$AB$65,"보조",$AD$65:$AD$65)/1000</f>
        <v>0</v>
      </c>
      <c r="G64" s="103">
        <f>SUMIF($AB$65:$AB$65,"4종",$AD$65:$AD$65)/1000</f>
        <v>0</v>
      </c>
      <c r="H64" s="103">
        <f>SUMIF($AB$65:$AB$65,"6종",$AD$65:$AD$65)/1000</f>
        <v>0</v>
      </c>
      <c r="I64" s="103">
        <f>SUMIF($AB$65:$AB$65,"후원",$AD$65:$AD$65)/1000</f>
        <v>0</v>
      </c>
      <c r="J64" s="103">
        <f>SUMIF($AB$65:$AB$65,"입소",$AD$65:$AD$65)/1000</f>
        <v>0</v>
      </c>
      <c r="K64" s="103">
        <f>SUMIF($AB$65:$AB$65,"법인",$AD$65:$AD$65)/1000</f>
        <v>0</v>
      </c>
      <c r="L64" s="103">
        <f>SUMIF($AB$65:$AB$65,"잡수",$AD$65:$AD$65)/1000</f>
        <v>0</v>
      </c>
      <c r="M64" s="102">
        <f>E64-D64</f>
        <v>0</v>
      </c>
      <c r="N64" s="109">
        <f>IF(D64=0,0,M64/D64)</f>
        <v>0</v>
      </c>
      <c r="O64" s="85" t="s">
        <v>37</v>
      </c>
      <c r="P64" s="131"/>
      <c r="Q64" s="139"/>
      <c r="R64" s="139"/>
      <c r="S64" s="139"/>
      <c r="T64" s="79"/>
      <c r="U64" s="79"/>
      <c r="V64" s="79"/>
      <c r="W64" s="79"/>
      <c r="X64" s="79"/>
      <c r="Y64" s="429" t="s">
        <v>377</v>
      </c>
      <c r="Z64" s="429"/>
      <c r="AA64" s="429"/>
      <c r="AB64" s="429"/>
      <c r="AC64" s="147"/>
      <c r="AD64" s="147">
        <f>AD65</f>
        <v>0</v>
      </c>
      <c r="AE64" s="146" t="s">
        <v>25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433" t="s">
        <v>378</v>
      </c>
      <c r="P65" s="433"/>
      <c r="Q65" s="433"/>
      <c r="R65" s="433"/>
      <c r="S65" s="432"/>
      <c r="T65" s="295"/>
      <c r="U65" s="295"/>
      <c r="V65" s="432"/>
      <c r="W65" s="433"/>
      <c r="X65" s="432"/>
      <c r="Y65" s="432"/>
      <c r="Z65" s="432"/>
      <c r="AA65" s="432"/>
      <c r="AB65" s="432" t="s">
        <v>345</v>
      </c>
      <c r="AC65" s="432"/>
      <c r="AD65" s="432">
        <v>0</v>
      </c>
      <c r="AE65" s="122" t="s">
        <v>340</v>
      </c>
    </row>
    <row r="66" spans="1:31" s="11" customFormat="1" ht="21" customHeight="1">
      <c r="A66" s="37"/>
      <c r="B66" s="38"/>
      <c r="C66" s="28" t="s">
        <v>11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379</v>
      </c>
      <c r="P66" s="430"/>
      <c r="Q66" s="154"/>
      <c r="R66" s="154"/>
      <c r="S66" s="154"/>
      <c r="T66" s="153"/>
      <c r="U66" s="153"/>
      <c r="V66" s="153"/>
      <c r="W66" s="153"/>
      <c r="X66" s="153"/>
      <c r="Y66" s="429" t="s">
        <v>377</v>
      </c>
      <c r="Z66" s="429"/>
      <c r="AA66" s="429"/>
      <c r="AB66" s="429"/>
      <c r="AC66" s="147"/>
      <c r="AD66" s="147">
        <v>0</v>
      </c>
      <c r="AE66" s="146" t="s">
        <v>25</v>
      </c>
    </row>
    <row r="67" spans="1:31" s="11" customFormat="1" ht="21" customHeight="1">
      <c r="A67" s="37"/>
      <c r="B67" s="38"/>
      <c r="C67" s="49"/>
      <c r="D67" s="134"/>
      <c r="E67" s="100"/>
      <c r="F67" s="100"/>
      <c r="G67" s="100"/>
      <c r="H67" s="100"/>
      <c r="I67" s="100"/>
      <c r="J67" s="100"/>
      <c r="K67" s="100"/>
      <c r="L67" s="100"/>
      <c r="M67" s="100"/>
      <c r="N67" s="75"/>
      <c r="O67" s="354"/>
      <c r="P67" s="354"/>
      <c r="Q67" s="354"/>
      <c r="R67" s="354"/>
      <c r="S67" s="353"/>
      <c r="T67" s="76"/>
      <c r="U67" s="76"/>
      <c r="V67" s="353"/>
      <c r="W67" s="354"/>
      <c r="X67" s="353"/>
      <c r="Y67" s="353"/>
      <c r="Z67" s="353"/>
      <c r="AA67" s="353"/>
      <c r="AB67" s="353"/>
      <c r="AC67" s="353"/>
      <c r="AD67" s="353"/>
      <c r="AE67" s="63"/>
    </row>
    <row r="68" spans="1:31" s="11" customFormat="1" ht="21" customHeight="1">
      <c r="A68" s="37"/>
      <c r="B68" s="38"/>
      <c r="C68" s="38" t="s">
        <v>380</v>
      </c>
      <c r="D68" s="133">
        <v>160</v>
      </c>
      <c r="E68" s="97">
        <f>AD68/1000</f>
        <v>230</v>
      </c>
      <c r="F68" s="103">
        <f>SUMIF($AB$69:$AB$71,"보조",$AD$69:$AD$71)/1000</f>
        <v>0</v>
      </c>
      <c r="G68" s="103">
        <f>SUMIF($AB$69:$AB$71,"4종",$AD$69:$AD$71)/1000</f>
        <v>0</v>
      </c>
      <c r="H68" s="103">
        <f>SUMIF($AB$69:$AB$71,"7종",$AD$69:$AD$71)/1000</f>
        <v>0</v>
      </c>
      <c r="I68" s="103">
        <f>SUMIF($AB$69:$AB$71,"후원",$AD$69:$AD$71)/1000</f>
        <v>0</v>
      </c>
      <c r="J68" s="103">
        <f>SUMIF($AB$69:$AB$71,"입소",$AD$69:$AD$71)/1000</f>
        <v>230</v>
      </c>
      <c r="K68" s="103">
        <f>SUMIF($AB$69:$AB$71,"법인",$AD$69:$AD$71)/1000</f>
        <v>0</v>
      </c>
      <c r="L68" s="103">
        <f>SUMIF($AB$69:$AB$71,"잡수",$AD$69:$AD$71)/1000</f>
        <v>0</v>
      </c>
      <c r="M68" s="97">
        <f>E68-D68</f>
        <v>70</v>
      </c>
      <c r="N68" s="60">
        <f>IF(D68=0,0,M68/D68)</f>
        <v>0.4375</v>
      </c>
      <c r="O68" s="105" t="s">
        <v>38</v>
      </c>
      <c r="P68" s="152"/>
      <c r="Q68" s="152"/>
      <c r="R68" s="152"/>
      <c r="S68" s="152"/>
      <c r="T68" s="151"/>
      <c r="U68" s="151"/>
      <c r="V68" s="151"/>
      <c r="W68" s="151"/>
      <c r="X68" s="151"/>
      <c r="Y68" s="429" t="s">
        <v>377</v>
      </c>
      <c r="Z68" s="429"/>
      <c r="AA68" s="429"/>
      <c r="AB68" s="429"/>
      <c r="AC68" s="147"/>
      <c r="AD68" s="147">
        <f>SUM(AD69:AD71)</f>
        <v>230000</v>
      </c>
      <c r="AE68" s="146" t="s">
        <v>25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9" t="s">
        <v>443</v>
      </c>
      <c r="P69" s="433"/>
      <c r="Q69" s="433"/>
      <c r="R69" s="433"/>
      <c r="S69" s="468">
        <v>50000</v>
      </c>
      <c r="T69" s="468" t="s">
        <v>25</v>
      </c>
      <c r="U69" s="469" t="s">
        <v>26</v>
      </c>
      <c r="V69" s="470">
        <v>3</v>
      </c>
      <c r="W69" s="469" t="s">
        <v>26</v>
      </c>
      <c r="X69" s="471">
        <v>1</v>
      </c>
      <c r="Y69" s="472"/>
      <c r="Z69" s="473"/>
      <c r="AA69" s="473" t="s">
        <v>27</v>
      </c>
      <c r="AB69" s="473" t="s">
        <v>442</v>
      </c>
      <c r="AC69" s="432"/>
      <c r="AD69" s="448">
        <f>S69*V69*X69</f>
        <v>150000</v>
      </c>
      <c r="AE69" s="122" t="s">
        <v>340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69" t="s">
        <v>444</v>
      </c>
      <c r="P70" s="433"/>
      <c r="Q70" s="433"/>
      <c r="R70" s="433"/>
      <c r="S70" s="468">
        <v>20000</v>
      </c>
      <c r="T70" s="468" t="s">
        <v>25</v>
      </c>
      <c r="U70" s="469" t="s">
        <v>26</v>
      </c>
      <c r="V70" s="470">
        <v>4</v>
      </c>
      <c r="W70" s="468"/>
      <c r="X70" s="469"/>
      <c r="Y70" s="472"/>
      <c r="Z70" s="473"/>
      <c r="AA70" s="473" t="s">
        <v>27</v>
      </c>
      <c r="AB70" s="473" t="s">
        <v>442</v>
      </c>
      <c r="AC70" s="433"/>
      <c r="AD70" s="448">
        <f>S70*V70</f>
        <v>80000</v>
      </c>
      <c r="AE70" s="122" t="s">
        <v>340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3"/>
      <c r="P71" s="433"/>
      <c r="Q71" s="433"/>
      <c r="R71" s="433"/>
      <c r="S71" s="432"/>
      <c r="T71" s="295"/>
      <c r="U71" s="295"/>
      <c r="V71" s="432"/>
      <c r="W71" s="433"/>
      <c r="X71" s="432"/>
      <c r="Y71" s="432"/>
      <c r="Z71" s="432"/>
      <c r="AA71" s="432"/>
      <c r="AB71" s="432"/>
      <c r="AC71" s="432"/>
      <c r="AD71" s="432"/>
      <c r="AE71" s="122"/>
    </row>
    <row r="72" spans="1:31" s="11" customFormat="1" ht="21" customHeight="1">
      <c r="A72" s="37"/>
      <c r="B72" s="28" t="s">
        <v>12</v>
      </c>
      <c r="C72" s="143" t="s">
        <v>5</v>
      </c>
      <c r="D72" s="144">
        <f t="shared" ref="D72:L72" si="4">SUM(D73,D76,D85,D93,D99,D103)</f>
        <v>8920</v>
      </c>
      <c r="E72" s="144">
        <f t="shared" si="4"/>
        <v>8687</v>
      </c>
      <c r="F72" s="144">
        <f t="shared" si="4"/>
        <v>4190</v>
      </c>
      <c r="G72" s="144">
        <f t="shared" si="4"/>
        <v>0</v>
      </c>
      <c r="H72" s="144">
        <f t="shared" si="4"/>
        <v>0</v>
      </c>
      <c r="I72" s="144">
        <f t="shared" si="4"/>
        <v>0</v>
      </c>
      <c r="J72" s="144">
        <f t="shared" si="4"/>
        <v>2196</v>
      </c>
      <c r="K72" s="144">
        <f t="shared" si="4"/>
        <v>11</v>
      </c>
      <c r="L72" s="144">
        <f t="shared" si="4"/>
        <v>2290</v>
      </c>
      <c r="M72" s="449">
        <f>E72-D72</f>
        <v>-233</v>
      </c>
      <c r="N72" s="145">
        <f>IF(D72=0,0,M72/D72)</f>
        <v>-2.6121076233183858E-2</v>
      </c>
      <c r="O72" s="430" t="s">
        <v>382</v>
      </c>
      <c r="P72" s="430"/>
      <c r="Q72" s="430"/>
      <c r="R72" s="430"/>
      <c r="S72" s="429"/>
      <c r="T72" s="155"/>
      <c r="U72" s="429"/>
      <c r="V72" s="591"/>
      <c r="W72" s="592"/>
      <c r="X72" s="429"/>
      <c r="Y72" s="429"/>
      <c r="Z72" s="429"/>
      <c r="AA72" s="429"/>
      <c r="AB72" s="429"/>
      <c r="AC72" s="429"/>
      <c r="AD72" s="429">
        <f>SUM(AD73,AD76,AD85,AD93,AD99,AD103)</f>
        <v>8687000</v>
      </c>
      <c r="AE72" s="146" t="s">
        <v>25</v>
      </c>
    </row>
    <row r="73" spans="1:31" s="11" customFormat="1" ht="21" customHeight="1">
      <c r="A73" s="37"/>
      <c r="B73" s="38"/>
      <c r="C73" s="38" t="s">
        <v>383</v>
      </c>
      <c r="D73" s="133">
        <v>0</v>
      </c>
      <c r="E73" s="97">
        <f>AD73/1000</f>
        <v>60</v>
      </c>
      <c r="F73" s="103">
        <f>SUMIF($AB$74:$AB$75,"보조",$AD$74:$AD$75)/1000</f>
        <v>0</v>
      </c>
      <c r="G73" s="103">
        <f>SUMIF($AB$74:$AB$75,"7종",$AD$74:$AD$75)/1000</f>
        <v>0</v>
      </c>
      <c r="H73" s="103">
        <f>SUMIF($AB$74:$AB$75,"4종",$AD$74:$AD$75)/1000</f>
        <v>0</v>
      </c>
      <c r="I73" s="103">
        <f>SUMIF($AB$74:$AB$75,"후원",$AD$74:$AD$75)/1000</f>
        <v>0</v>
      </c>
      <c r="J73" s="103">
        <f>SUMIF($AB$74:$AB$75,"입소",$AD$74:$AD$75)/1000</f>
        <v>60</v>
      </c>
      <c r="K73" s="103">
        <f>SUMIF($AB$74:$AB$75,"법인",$AD$74:$AD$75)/1000</f>
        <v>0</v>
      </c>
      <c r="L73" s="103">
        <f>SUMIF($AB$74:$AB$75,"잡수",$AD$74:$AD$75)/1000</f>
        <v>0</v>
      </c>
      <c r="M73" s="97">
        <f>E73-D73</f>
        <v>60</v>
      </c>
      <c r="N73" s="60">
        <f>IF(D73=0,0,M73/D73)</f>
        <v>0</v>
      </c>
      <c r="O73" s="105" t="s">
        <v>40</v>
      </c>
      <c r="P73" s="152"/>
      <c r="Q73" s="152"/>
      <c r="R73" s="152"/>
      <c r="S73" s="152"/>
      <c r="T73" s="151"/>
      <c r="U73" s="151"/>
      <c r="V73" s="151"/>
      <c r="W73" s="151"/>
      <c r="X73" s="151"/>
      <c r="Y73" s="429" t="s">
        <v>377</v>
      </c>
      <c r="Z73" s="429"/>
      <c r="AA73" s="429"/>
      <c r="AB73" s="429"/>
      <c r="AC73" s="147"/>
      <c r="AD73" s="147">
        <f>SUM(AD74:AD75)</f>
        <v>60000</v>
      </c>
      <c r="AE73" s="14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3" t="s">
        <v>384</v>
      </c>
      <c r="P74" s="433"/>
      <c r="Q74" s="433"/>
      <c r="R74" s="433"/>
      <c r="S74" s="468">
        <v>30000</v>
      </c>
      <c r="T74" s="479" t="s">
        <v>25</v>
      </c>
      <c r="U74" s="479" t="s">
        <v>26</v>
      </c>
      <c r="V74" s="478">
        <v>2</v>
      </c>
      <c r="W74" s="480" t="s">
        <v>521</v>
      </c>
      <c r="X74" s="478" t="s">
        <v>27</v>
      </c>
      <c r="Y74" s="468"/>
      <c r="Z74" s="468"/>
      <c r="AA74" s="468"/>
      <c r="AB74" s="468" t="s">
        <v>522</v>
      </c>
      <c r="AC74" s="468"/>
      <c r="AD74" s="468">
        <f>S74*V74</f>
        <v>60000</v>
      </c>
      <c r="AE74" s="477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33" t="s">
        <v>385</v>
      </c>
      <c r="P75" s="433"/>
      <c r="Q75" s="433"/>
      <c r="R75" s="433"/>
      <c r="S75" s="432"/>
      <c r="T75" s="295"/>
      <c r="U75" s="295"/>
      <c r="V75" s="432"/>
      <c r="W75" s="295"/>
      <c r="X75" s="432"/>
      <c r="Y75" s="432"/>
      <c r="Z75" s="432"/>
      <c r="AA75" s="432"/>
      <c r="AB75" s="432" t="s">
        <v>345</v>
      </c>
      <c r="AC75" s="432"/>
      <c r="AD75" s="432">
        <v>0</v>
      </c>
      <c r="AE75" s="122" t="s">
        <v>340</v>
      </c>
    </row>
    <row r="76" spans="1:31" s="11" customFormat="1" ht="21" customHeight="1">
      <c r="A76" s="37"/>
      <c r="B76" s="38"/>
      <c r="C76" s="28" t="s">
        <v>41</v>
      </c>
      <c r="D76" s="135">
        <v>2017</v>
      </c>
      <c r="E76" s="102">
        <f>ROUND(AD76/1000,0)</f>
        <v>1951</v>
      </c>
      <c r="F76" s="103">
        <f>SUMIF($AB$77:$AB$83,"보조",$AD$77:$AD$83)/1000</f>
        <v>1100</v>
      </c>
      <c r="G76" s="103">
        <f>SUMIF($AB$77:$AB$83,"4종",$AD$77:$AD$83)/1000</f>
        <v>0</v>
      </c>
      <c r="H76" s="103">
        <f>SUMIF($AB$77:$AB$83,"6종",$AD$77:$AD$83)/1000</f>
        <v>0</v>
      </c>
      <c r="I76" s="103">
        <f>SUMIF($AB$77:$AB$83,"후원",$AD$77:$AD$83)/1000</f>
        <v>0</v>
      </c>
      <c r="J76" s="103">
        <f>SUMIF($AB$77:$AB$83,"입소",$AD$77:$AD$83)/1000</f>
        <v>851</v>
      </c>
      <c r="K76" s="103">
        <f>SUMIF($AB$77:$AB$83,"법인",$AD$77:$AD$83)/1000</f>
        <v>0</v>
      </c>
      <c r="L76" s="103">
        <f>SUMIF($AB$77:$AB$83,"잡수",$AD$77:$AD$83)/1000</f>
        <v>0</v>
      </c>
      <c r="M76" s="112">
        <f>E76-D76</f>
        <v>-66</v>
      </c>
      <c r="N76" s="109">
        <f>IF(D76=0,0,M76/D76)</f>
        <v>-3.2721864154685178E-2</v>
      </c>
      <c r="O76" s="302" t="s">
        <v>42</v>
      </c>
      <c r="P76" s="303"/>
      <c r="Q76" s="303"/>
      <c r="R76" s="303"/>
      <c r="S76" s="303"/>
      <c r="T76" s="304"/>
      <c r="U76" s="304"/>
      <c r="V76" s="304"/>
      <c r="W76" s="304"/>
      <c r="X76" s="304"/>
      <c r="Y76" s="305" t="s">
        <v>28</v>
      </c>
      <c r="Z76" s="305"/>
      <c r="AA76" s="305"/>
      <c r="AB76" s="305"/>
      <c r="AC76" s="306"/>
      <c r="AD76" s="306">
        <f>SUM(AD77:AD84)</f>
        <v>1951000</v>
      </c>
      <c r="AE76" s="146" t="s">
        <v>25</v>
      </c>
    </row>
    <row r="77" spans="1:31" s="11" customFormat="1" ht="21" customHeight="1">
      <c r="A77" s="37"/>
      <c r="B77" s="38"/>
      <c r="C77" s="38" t="s">
        <v>386</v>
      </c>
      <c r="D77" s="443"/>
      <c r="E77" s="444"/>
      <c r="F77" s="444"/>
      <c r="G77" s="444"/>
      <c r="H77" s="444"/>
      <c r="I77" s="444"/>
      <c r="J77" s="444"/>
      <c r="K77" s="444"/>
      <c r="L77" s="444"/>
      <c r="M77" s="97"/>
      <c r="N77" s="60"/>
      <c r="O77" s="307" t="s">
        <v>452</v>
      </c>
      <c r="P77" s="433"/>
      <c r="Q77" s="433"/>
      <c r="R77" s="433"/>
      <c r="S77" s="432"/>
      <c r="T77" s="295"/>
      <c r="U77" s="432"/>
      <c r="V77" s="308"/>
      <c r="W77" s="309"/>
      <c r="X77" s="309"/>
      <c r="Y77" s="308"/>
      <c r="Z77" s="310"/>
      <c r="AA77" s="308"/>
      <c r="AB77" s="291" t="s">
        <v>341</v>
      </c>
      <c r="AC77" s="291"/>
      <c r="AD77" s="474">
        <v>759000</v>
      </c>
      <c r="AE77" s="396" t="s">
        <v>25</v>
      </c>
    </row>
    <row r="78" spans="1:31" s="11" customFormat="1" ht="21" customHeight="1">
      <c r="A78" s="37"/>
      <c r="B78" s="38"/>
      <c r="C78" s="38"/>
      <c r="D78" s="445"/>
      <c r="E78" s="446"/>
      <c r="F78" s="446"/>
      <c r="G78" s="446"/>
      <c r="H78" s="446"/>
      <c r="I78" s="446"/>
      <c r="J78" s="446"/>
      <c r="K78" s="446"/>
      <c r="L78" s="446"/>
      <c r="M78" s="97"/>
      <c r="N78" s="60"/>
      <c r="O78" s="469" t="s">
        <v>450</v>
      </c>
      <c r="P78" s="469"/>
      <c r="Q78" s="469"/>
      <c r="R78" s="469"/>
      <c r="S78" s="468"/>
      <c r="T78" s="476"/>
      <c r="U78" s="476"/>
      <c r="V78" s="468">
        <v>31000</v>
      </c>
      <c r="W78" s="468" t="s">
        <v>25</v>
      </c>
      <c r="X78" s="468" t="s">
        <v>26</v>
      </c>
      <c r="Y78" s="468">
        <v>11</v>
      </c>
      <c r="Z78" s="468" t="s">
        <v>29</v>
      </c>
      <c r="AA78" s="468" t="s">
        <v>27</v>
      </c>
      <c r="AB78" s="468" t="s">
        <v>451</v>
      </c>
      <c r="AC78" s="468"/>
      <c r="AD78" s="468">
        <f>V78*Y78</f>
        <v>341000</v>
      </c>
      <c r="AE78" s="477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9"/>
      <c r="P79" s="469"/>
      <c r="Q79" s="469"/>
      <c r="R79" s="469"/>
      <c r="S79" s="468"/>
      <c r="T79" s="476"/>
      <c r="U79" s="476"/>
      <c r="V79" s="468">
        <v>31000</v>
      </c>
      <c r="W79" s="468" t="s">
        <v>25</v>
      </c>
      <c r="X79" s="468" t="s">
        <v>26</v>
      </c>
      <c r="Y79" s="468">
        <v>1</v>
      </c>
      <c r="Z79" s="468" t="s">
        <v>29</v>
      </c>
      <c r="AA79" s="468" t="s">
        <v>27</v>
      </c>
      <c r="AB79" s="468" t="s">
        <v>387</v>
      </c>
      <c r="AC79" s="468"/>
      <c r="AD79" s="468">
        <f>V79*Y79</f>
        <v>31000</v>
      </c>
      <c r="AE79" s="477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33" t="s">
        <v>453</v>
      </c>
      <c r="P80" s="433"/>
      <c r="Q80" s="433"/>
      <c r="R80" s="433"/>
      <c r="S80" s="432"/>
      <c r="T80" s="295"/>
      <c r="U80" s="295"/>
      <c r="V80" s="308">
        <v>55000</v>
      </c>
      <c r="W80" s="309" t="s">
        <v>340</v>
      </c>
      <c r="X80" s="309" t="s">
        <v>26</v>
      </c>
      <c r="Y80" s="308">
        <v>4</v>
      </c>
      <c r="Z80" s="310" t="s">
        <v>381</v>
      </c>
      <c r="AA80" s="308" t="s">
        <v>27</v>
      </c>
      <c r="AB80" s="468" t="s">
        <v>387</v>
      </c>
      <c r="AC80" s="432"/>
      <c r="AD80" s="432">
        <f>V80*Y80</f>
        <v>220000</v>
      </c>
      <c r="AE80" s="122" t="s">
        <v>340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9" t="s">
        <v>454</v>
      </c>
      <c r="P81" s="469"/>
      <c r="Q81" s="469"/>
      <c r="R81" s="469"/>
      <c r="S81" s="468"/>
      <c r="T81" s="476"/>
      <c r="U81" s="476"/>
      <c r="V81" s="468"/>
      <c r="W81" s="468"/>
      <c r="X81" s="468"/>
      <c r="Y81" s="468"/>
      <c r="Z81" s="468"/>
      <c r="AA81" s="468"/>
      <c r="AB81" s="468" t="s">
        <v>442</v>
      </c>
      <c r="AC81" s="468"/>
      <c r="AD81" s="468">
        <v>250000</v>
      </c>
      <c r="AE81" s="477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9" t="s">
        <v>455</v>
      </c>
      <c r="P82" s="469"/>
      <c r="Q82" s="469"/>
      <c r="R82" s="469"/>
      <c r="S82" s="468"/>
      <c r="T82" s="476"/>
      <c r="U82" s="476"/>
      <c r="V82" s="468"/>
      <c r="W82" s="468"/>
      <c r="X82" s="468"/>
      <c r="Y82" s="468"/>
      <c r="Z82" s="468"/>
      <c r="AA82" s="468"/>
      <c r="AB82" s="468" t="s">
        <v>442</v>
      </c>
      <c r="AC82" s="468"/>
      <c r="AD82" s="468">
        <v>200000</v>
      </c>
      <c r="AE82" s="477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9" t="s">
        <v>456</v>
      </c>
      <c r="P83" s="469"/>
      <c r="Q83" s="469"/>
      <c r="R83" s="469"/>
      <c r="S83" s="468"/>
      <c r="T83" s="476"/>
      <c r="U83" s="476"/>
      <c r="V83" s="478"/>
      <c r="W83" s="479"/>
      <c r="X83" s="479"/>
      <c r="Y83" s="478"/>
      <c r="Z83" s="480"/>
      <c r="AA83" s="478"/>
      <c r="AB83" s="468" t="s">
        <v>442</v>
      </c>
      <c r="AC83" s="468"/>
      <c r="AD83" s="468">
        <v>150000</v>
      </c>
      <c r="AE83" s="477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50"/>
      <c r="P84" s="450"/>
      <c r="Q84" s="450"/>
      <c r="R84" s="450"/>
      <c r="S84" s="450"/>
      <c r="T84" s="450"/>
      <c r="U84" s="450"/>
      <c r="V84" s="450"/>
      <c r="W84" s="450"/>
      <c r="X84" s="450"/>
      <c r="Y84" s="450"/>
      <c r="Z84" s="450"/>
      <c r="AA84" s="450"/>
      <c r="AB84" s="450"/>
      <c r="AC84" s="450"/>
      <c r="AD84" s="451"/>
      <c r="AE84" s="452"/>
    </row>
    <row r="85" spans="1:31" s="11" customFormat="1" ht="21" customHeight="1">
      <c r="A85" s="37"/>
      <c r="B85" s="38"/>
      <c r="C85" s="38" t="s">
        <v>39</v>
      </c>
      <c r="D85" s="133">
        <v>3933</v>
      </c>
      <c r="E85" s="97">
        <f>ROUND(AD85/1000,0)</f>
        <v>3986</v>
      </c>
      <c r="F85" s="103">
        <f>SUMIF($AB$86:$AB$92,"보조",$AD$86:$AD$92)/1000</f>
        <v>3090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35</v>
      </c>
      <c r="K85" s="103">
        <f>SUMIF($AB$86:$AB$92,"법인",$AD$86:$AD$92)/1000</f>
        <v>11</v>
      </c>
      <c r="L85" s="103">
        <f>SUMIF($AB$86:$AB$92,"잡수",$AD$86:$AD$92)/1000</f>
        <v>850</v>
      </c>
      <c r="M85" s="421">
        <f>E85-D85</f>
        <v>53</v>
      </c>
      <c r="N85" s="60">
        <f>IF(D85=0,0,M85/D85)</f>
        <v>1.3475718281210271E-2</v>
      </c>
      <c r="O85" s="336" t="s">
        <v>43</v>
      </c>
      <c r="P85" s="337"/>
      <c r="Q85" s="337"/>
      <c r="R85" s="337"/>
      <c r="S85" s="337"/>
      <c r="T85" s="338"/>
      <c r="U85" s="338"/>
      <c r="V85" s="338"/>
      <c r="W85" s="338"/>
      <c r="X85" s="338"/>
      <c r="Y85" s="339" t="s">
        <v>377</v>
      </c>
      <c r="Z85" s="339"/>
      <c r="AA85" s="339"/>
      <c r="AB85" s="339"/>
      <c r="AC85" s="340"/>
      <c r="AD85" s="340">
        <f>ROUND(SUM(AD86:AD92),-3)</f>
        <v>3986000</v>
      </c>
      <c r="AE85" s="341" t="s">
        <v>25</v>
      </c>
    </row>
    <row r="86" spans="1:31" s="11" customFormat="1" ht="21" customHeight="1">
      <c r="A86" s="37"/>
      <c r="B86" s="38"/>
      <c r="C86" s="38"/>
      <c r="D86" s="443"/>
      <c r="E86" s="444"/>
      <c r="F86" s="444"/>
      <c r="G86" s="444"/>
      <c r="H86" s="444"/>
      <c r="I86" s="444"/>
      <c r="J86" s="444"/>
      <c r="K86" s="444"/>
      <c r="L86" s="444"/>
      <c r="M86" s="97"/>
      <c r="N86" s="60"/>
      <c r="O86" s="481" t="s">
        <v>457</v>
      </c>
      <c r="P86" s="469"/>
      <c r="Q86" s="469"/>
      <c r="R86" s="469"/>
      <c r="S86" s="468">
        <v>35000</v>
      </c>
      <c r="T86" s="479" t="s">
        <v>25</v>
      </c>
      <c r="U86" s="479" t="s">
        <v>26</v>
      </c>
      <c r="V86" s="478">
        <v>11</v>
      </c>
      <c r="W86" s="480" t="s">
        <v>29</v>
      </c>
      <c r="X86" s="478" t="s">
        <v>27</v>
      </c>
      <c r="Y86" s="468"/>
      <c r="Z86" s="468"/>
      <c r="AA86" s="468"/>
      <c r="AB86" s="468" t="s">
        <v>451</v>
      </c>
      <c r="AC86" s="468"/>
      <c r="AD86" s="468">
        <f>S86*V86</f>
        <v>385000</v>
      </c>
      <c r="AE86" s="477" t="s">
        <v>25</v>
      </c>
    </row>
    <row r="87" spans="1:31" s="11" customFormat="1" ht="21" customHeight="1">
      <c r="A87" s="37"/>
      <c r="B87" s="38"/>
      <c r="C87" s="38"/>
      <c r="D87" s="445"/>
      <c r="E87" s="446"/>
      <c r="F87" s="446"/>
      <c r="G87" s="446"/>
      <c r="H87" s="446"/>
      <c r="I87" s="446"/>
      <c r="J87" s="446"/>
      <c r="K87" s="446"/>
      <c r="L87" s="446"/>
      <c r="M87" s="97"/>
      <c r="N87" s="60"/>
      <c r="O87" s="469"/>
      <c r="P87" s="469"/>
      <c r="Q87" s="469"/>
      <c r="R87" s="469"/>
      <c r="S87" s="468">
        <v>35000</v>
      </c>
      <c r="T87" s="479" t="s">
        <v>25</v>
      </c>
      <c r="U87" s="479" t="s">
        <v>26</v>
      </c>
      <c r="V87" s="478">
        <v>1</v>
      </c>
      <c r="W87" s="480" t="s">
        <v>29</v>
      </c>
      <c r="X87" s="478" t="s">
        <v>27</v>
      </c>
      <c r="Y87" s="468"/>
      <c r="Z87" s="468"/>
      <c r="AA87" s="468"/>
      <c r="AB87" s="468" t="s">
        <v>387</v>
      </c>
      <c r="AC87" s="468"/>
      <c r="AD87" s="468">
        <f>S87*V87</f>
        <v>35000</v>
      </c>
      <c r="AE87" s="477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9" t="s">
        <v>458</v>
      </c>
      <c r="P88" s="469"/>
      <c r="Q88" s="469"/>
      <c r="R88" s="469"/>
      <c r="S88" s="468">
        <v>270500</v>
      </c>
      <c r="T88" s="476" t="s">
        <v>25</v>
      </c>
      <c r="U88" s="476" t="s">
        <v>26</v>
      </c>
      <c r="V88" s="468">
        <v>10</v>
      </c>
      <c r="W88" s="469" t="s">
        <v>29</v>
      </c>
      <c r="X88" s="468" t="s">
        <v>27</v>
      </c>
      <c r="Y88" s="468"/>
      <c r="Z88" s="468"/>
      <c r="AA88" s="468"/>
      <c r="AB88" s="468" t="s">
        <v>451</v>
      </c>
      <c r="AC88" s="468"/>
      <c r="AD88" s="468">
        <f>S88*V88</f>
        <v>2705000</v>
      </c>
      <c r="AE88" s="477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9"/>
      <c r="P89" s="469"/>
      <c r="Q89" s="469"/>
      <c r="R89" s="469"/>
      <c r="S89" s="468">
        <v>400000</v>
      </c>
      <c r="T89" s="476" t="s">
        <v>25</v>
      </c>
      <c r="U89" s="476" t="s">
        <v>26</v>
      </c>
      <c r="V89" s="468">
        <v>2</v>
      </c>
      <c r="W89" s="469" t="s">
        <v>29</v>
      </c>
      <c r="X89" s="468" t="s">
        <v>27</v>
      </c>
      <c r="Y89" s="468"/>
      <c r="Z89" s="468"/>
      <c r="AA89" s="468"/>
      <c r="AB89" s="468" t="s">
        <v>459</v>
      </c>
      <c r="AC89" s="468"/>
      <c r="AD89" s="468">
        <f>S89*V89</f>
        <v>800000</v>
      </c>
      <c r="AE89" s="477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9" t="s">
        <v>460</v>
      </c>
      <c r="P90" s="469"/>
      <c r="Q90" s="469"/>
      <c r="R90" s="469"/>
      <c r="S90" s="468"/>
      <c r="T90" s="476"/>
      <c r="V90" s="468"/>
      <c r="W90" s="469"/>
      <c r="X90" s="468"/>
      <c r="Y90" s="468"/>
      <c r="Z90" s="468"/>
      <c r="AA90" s="468"/>
      <c r="AB90" s="468" t="s">
        <v>392</v>
      </c>
      <c r="AC90" s="468"/>
      <c r="AD90" s="468">
        <v>50000</v>
      </c>
      <c r="AE90" s="477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9"/>
      <c r="P91" s="469"/>
      <c r="Q91" s="469"/>
      <c r="R91" s="469"/>
      <c r="S91" s="468"/>
      <c r="T91" s="476"/>
      <c r="V91" s="468"/>
      <c r="W91" s="469"/>
      <c r="X91" s="468"/>
      <c r="Y91" s="468"/>
      <c r="Z91" s="468"/>
      <c r="AA91" s="468"/>
      <c r="AB91" s="468" t="s">
        <v>168</v>
      </c>
      <c r="AC91" s="468"/>
      <c r="AD91" s="468">
        <v>11000</v>
      </c>
      <c r="AE91" s="477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150"/>
      <c r="P92" s="294"/>
      <c r="Q92" s="294"/>
      <c r="R92" s="294"/>
      <c r="S92" s="293"/>
      <c r="T92" s="45"/>
      <c r="U92" s="45"/>
      <c r="V92" s="293"/>
      <c r="W92" s="294"/>
      <c r="X92" s="293"/>
      <c r="Y92" s="293"/>
      <c r="Z92" s="293"/>
      <c r="AA92" s="293"/>
      <c r="AB92" s="432"/>
      <c r="AC92" s="432"/>
      <c r="AD92" s="432"/>
      <c r="AE92" s="47"/>
    </row>
    <row r="93" spans="1:31" ht="21" customHeight="1">
      <c r="A93" s="37"/>
      <c r="B93" s="38"/>
      <c r="C93" s="28" t="s">
        <v>15</v>
      </c>
      <c r="D93" s="135">
        <v>420</v>
      </c>
      <c r="E93" s="102">
        <f>ROUND(AD93/1000,0)</f>
        <v>470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470</v>
      </c>
      <c r="K93" s="103">
        <f>SUMIF($AB$94:$AB$98,"법인",$AD$94:$AD$98)/1000</f>
        <v>0</v>
      </c>
      <c r="L93" s="103">
        <f>SUMIF($AB$94:$AB$98,"잡수",$AD$94:$AD$98)/1000</f>
        <v>0</v>
      </c>
      <c r="M93" s="156">
        <f>E93-D93</f>
        <v>50</v>
      </c>
      <c r="N93" s="109">
        <f>IF(D93=0,0,M93/D93)</f>
        <v>0.11904761904761904</v>
      </c>
      <c r="O93" s="342" t="s">
        <v>44</v>
      </c>
      <c r="P93" s="343"/>
      <c r="Q93" s="343"/>
      <c r="R93" s="343"/>
      <c r="S93" s="343"/>
      <c r="T93" s="344"/>
      <c r="U93" s="344"/>
      <c r="V93" s="344"/>
      <c r="W93" s="344"/>
      <c r="X93" s="344"/>
      <c r="Y93" s="339" t="s">
        <v>377</v>
      </c>
      <c r="Z93" s="339"/>
      <c r="AA93" s="339"/>
      <c r="AB93" s="339"/>
      <c r="AC93" s="340"/>
      <c r="AD93" s="340">
        <f>SUM(AD94:AD98)</f>
        <v>470000</v>
      </c>
      <c r="AE93" s="341" t="s">
        <v>25</v>
      </c>
    </row>
    <row r="94" spans="1:31" s="11" customFormat="1" ht="21" customHeight="1">
      <c r="A94" s="37"/>
      <c r="B94" s="38"/>
      <c r="C94" s="38"/>
      <c r="D94" s="443"/>
      <c r="E94" s="444"/>
      <c r="F94" s="444"/>
      <c r="G94" s="444"/>
      <c r="H94" s="444"/>
      <c r="I94" s="444"/>
      <c r="J94" s="444"/>
      <c r="K94" s="444"/>
      <c r="L94" s="444"/>
      <c r="M94" s="97"/>
      <c r="N94" s="60"/>
      <c r="O94" s="469" t="s">
        <v>461</v>
      </c>
      <c r="P94" s="482"/>
      <c r="Q94" s="482"/>
      <c r="R94" s="482"/>
      <c r="S94" s="468">
        <v>20000</v>
      </c>
      <c r="T94" s="476" t="s">
        <v>25</v>
      </c>
      <c r="U94" s="476" t="s">
        <v>26</v>
      </c>
      <c r="V94" s="468">
        <v>2</v>
      </c>
      <c r="W94" s="469" t="s">
        <v>530</v>
      </c>
      <c r="X94" s="473"/>
      <c r="Y94" s="484"/>
      <c r="Z94" s="468"/>
      <c r="AA94" s="468" t="s">
        <v>27</v>
      </c>
      <c r="AB94" s="468" t="s">
        <v>442</v>
      </c>
      <c r="AC94" s="468"/>
      <c r="AD94" s="468">
        <f>S94*V94</f>
        <v>40000</v>
      </c>
      <c r="AE94" s="477" t="s">
        <v>25</v>
      </c>
    </row>
    <row r="95" spans="1:31" s="11" customFormat="1" ht="21" customHeight="1">
      <c r="A95" s="37"/>
      <c r="B95" s="38"/>
      <c r="C95" s="38"/>
      <c r="D95" s="445"/>
      <c r="E95" s="446"/>
      <c r="F95" s="446"/>
      <c r="G95" s="446"/>
      <c r="H95" s="446"/>
      <c r="I95" s="446"/>
      <c r="J95" s="446"/>
      <c r="K95" s="446"/>
      <c r="L95" s="446"/>
      <c r="M95" s="97"/>
      <c r="N95" s="60"/>
      <c r="O95" s="469" t="s">
        <v>463</v>
      </c>
      <c r="P95" s="482"/>
      <c r="Q95" s="482"/>
      <c r="R95" s="482"/>
      <c r="S95" s="468">
        <v>600000</v>
      </c>
      <c r="T95" s="476" t="s">
        <v>25</v>
      </c>
      <c r="U95" s="476" t="s">
        <v>26</v>
      </c>
      <c r="V95" s="468">
        <v>1</v>
      </c>
      <c r="W95" s="469" t="s">
        <v>462</v>
      </c>
      <c r="X95" s="473" t="s">
        <v>108</v>
      </c>
      <c r="Y95" s="484">
        <v>3</v>
      </c>
      <c r="Z95" s="468"/>
      <c r="AA95" s="468" t="s">
        <v>27</v>
      </c>
      <c r="AB95" s="468" t="s">
        <v>442</v>
      </c>
      <c r="AC95" s="468"/>
      <c r="AD95" s="468">
        <f>ROUNDDOWN(S95*V95/Y95,-4)</f>
        <v>200000</v>
      </c>
      <c r="AE95" s="477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9" t="s">
        <v>464</v>
      </c>
      <c r="P96" s="482"/>
      <c r="Q96" s="482"/>
      <c r="R96" s="482"/>
      <c r="S96" s="468">
        <v>150000</v>
      </c>
      <c r="T96" s="476" t="s">
        <v>25</v>
      </c>
      <c r="U96" s="476" t="s">
        <v>26</v>
      </c>
      <c r="V96" s="468">
        <v>1</v>
      </c>
      <c r="W96" s="469" t="s">
        <v>462</v>
      </c>
      <c r="X96" s="473"/>
      <c r="Y96" s="484"/>
      <c r="Z96" s="468"/>
      <c r="AA96" s="468" t="s">
        <v>27</v>
      </c>
      <c r="AB96" s="468" t="s">
        <v>442</v>
      </c>
      <c r="AC96" s="468"/>
      <c r="AD96" s="468">
        <f>S96*V96</f>
        <v>150000</v>
      </c>
      <c r="AE96" s="477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9" t="s">
        <v>465</v>
      </c>
      <c r="P97" s="482"/>
      <c r="Q97" s="482"/>
      <c r="R97" s="482"/>
      <c r="S97" s="469"/>
      <c r="T97" s="441"/>
      <c r="U97" s="483"/>
      <c r="V97" s="478"/>
      <c r="W97" s="479"/>
      <c r="X97" s="479"/>
      <c r="Y97" s="478"/>
      <c r="Z97" s="480"/>
      <c r="AA97" s="478" t="s">
        <v>27</v>
      </c>
      <c r="AB97" s="468" t="s">
        <v>387</v>
      </c>
      <c r="AC97" s="468"/>
      <c r="AD97" s="468">
        <v>80000</v>
      </c>
      <c r="AE97" s="477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5"/>
      <c r="P98" s="431"/>
      <c r="Q98" s="431"/>
      <c r="R98" s="431"/>
      <c r="S98" s="431"/>
      <c r="T98" s="276"/>
      <c r="U98" s="345"/>
      <c r="V98" s="275"/>
      <c r="W98" s="335"/>
      <c r="X98" s="271"/>
      <c r="Y98" s="271"/>
      <c r="Z98" s="271"/>
      <c r="AA98" s="275"/>
      <c r="AB98" s="275"/>
      <c r="AC98" s="271"/>
      <c r="AD98" s="271"/>
      <c r="AE98" s="122"/>
    </row>
    <row r="99" spans="1:31" s="11" customFormat="1" ht="21" customHeight="1">
      <c r="A99" s="37"/>
      <c r="B99" s="38"/>
      <c r="C99" s="28" t="s">
        <v>45</v>
      </c>
      <c r="D99" s="135">
        <v>730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6">
        <f>E99-D99</f>
        <v>-50</v>
      </c>
      <c r="N99" s="109">
        <f>IF(D99=0,0,M99/D99)</f>
        <v>-6.8493150684931503E-2</v>
      </c>
      <c r="O99" s="85" t="s">
        <v>46</v>
      </c>
      <c r="P99" s="154"/>
      <c r="Q99" s="154"/>
      <c r="R99" s="154"/>
      <c r="S99" s="154"/>
      <c r="T99" s="153"/>
      <c r="U99" s="153"/>
      <c r="V99" s="153"/>
      <c r="W99" s="153"/>
      <c r="X99" s="153"/>
      <c r="Y99" s="429" t="s">
        <v>377</v>
      </c>
      <c r="Z99" s="429"/>
      <c r="AA99" s="429"/>
      <c r="AB99" s="305"/>
      <c r="AC99" s="306"/>
      <c r="AD99" s="306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43"/>
      <c r="E100" s="444"/>
      <c r="F100" s="444"/>
      <c r="G100" s="444"/>
      <c r="H100" s="444"/>
      <c r="I100" s="444"/>
      <c r="J100" s="444"/>
      <c r="K100" s="444"/>
      <c r="L100" s="444"/>
      <c r="M100" s="97"/>
      <c r="N100" s="60"/>
      <c r="O100" s="469" t="s">
        <v>466</v>
      </c>
      <c r="P100" s="469"/>
      <c r="Q100" s="469"/>
      <c r="R100" s="469"/>
      <c r="S100" s="468">
        <v>40000</v>
      </c>
      <c r="T100" s="476" t="s">
        <v>25</v>
      </c>
      <c r="U100" s="476" t="s">
        <v>26</v>
      </c>
      <c r="V100" s="468">
        <v>12</v>
      </c>
      <c r="W100" s="469" t="s">
        <v>29</v>
      </c>
      <c r="X100" s="468" t="s">
        <v>27</v>
      </c>
      <c r="Y100" s="468"/>
      <c r="Z100" s="468"/>
      <c r="AA100" s="468"/>
      <c r="AB100" s="468" t="s">
        <v>442</v>
      </c>
      <c r="AC100" s="468"/>
      <c r="AD100" s="468">
        <f>S100*V100</f>
        <v>480000</v>
      </c>
      <c r="AE100" s="477" t="s">
        <v>25</v>
      </c>
    </row>
    <row r="101" spans="1:31" s="11" customFormat="1" ht="21" customHeight="1">
      <c r="A101" s="37"/>
      <c r="B101" s="38"/>
      <c r="C101" s="38"/>
      <c r="D101" s="445"/>
      <c r="E101" s="446"/>
      <c r="F101" s="446"/>
      <c r="G101" s="446"/>
      <c r="H101" s="446"/>
      <c r="I101" s="446"/>
      <c r="J101" s="446"/>
      <c r="K101" s="446"/>
      <c r="L101" s="446"/>
      <c r="M101" s="97"/>
      <c r="N101" s="60"/>
      <c r="O101" s="469" t="s">
        <v>467</v>
      </c>
      <c r="P101" s="469"/>
      <c r="Q101" s="469"/>
      <c r="R101" s="469"/>
      <c r="S101" s="468"/>
      <c r="T101" s="476"/>
      <c r="U101" s="476"/>
      <c r="V101" s="468"/>
      <c r="W101" s="469"/>
      <c r="X101" s="468"/>
      <c r="Y101" s="468"/>
      <c r="Z101" s="468"/>
      <c r="AA101" s="468"/>
      <c r="AB101" s="468" t="s">
        <v>442</v>
      </c>
      <c r="AC101" s="468"/>
      <c r="AD101" s="468">
        <v>200000</v>
      </c>
      <c r="AE101" s="477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8"/>
      <c r="P102" s="428"/>
      <c r="Q102" s="428"/>
      <c r="R102" s="428"/>
      <c r="S102" s="427"/>
      <c r="T102" s="398"/>
      <c r="U102" s="427"/>
      <c r="V102" s="576"/>
      <c r="W102" s="577"/>
      <c r="X102" s="427"/>
      <c r="Y102" s="427"/>
      <c r="Z102" s="427"/>
      <c r="AA102" s="427"/>
      <c r="AB102" s="427"/>
      <c r="AC102" s="427"/>
      <c r="AD102" s="427"/>
      <c r="AE102" s="399"/>
    </row>
    <row r="103" spans="1:31" s="11" customFormat="1" ht="21" customHeight="1">
      <c r="A103" s="37"/>
      <c r="B103" s="38"/>
      <c r="C103" s="28" t="s">
        <v>388</v>
      </c>
      <c r="D103" s="115">
        <v>1820</v>
      </c>
      <c r="E103" s="102">
        <f>ROUND(AD103/1000,0)</f>
        <v>1540</v>
      </c>
      <c r="F103" s="103">
        <f>SUMIF($AB$105:$AB$108,"보조",$AD$105:$AD$108)/1000</f>
        <v>0</v>
      </c>
      <c r="G103" s="103">
        <f>SUMIF($AB$105:$AB$108,"4종",$AD$105:$AD$108)/1000</f>
        <v>0</v>
      </c>
      <c r="H103" s="103">
        <f>SUMIF($AB$105:$AB$108,"6종",$AD$105:$AD$108)/1000</f>
        <v>0</v>
      </c>
      <c r="I103" s="103">
        <f>SUMIF($AB$105:$AB$108,"후원",$AD$105:$AD$108)/1000</f>
        <v>0</v>
      </c>
      <c r="J103" s="103">
        <f>SUMIF($AB$105:$AB$108,"입소",$AD$105:$AD$108)/1000</f>
        <v>100</v>
      </c>
      <c r="K103" s="103">
        <f>SUMIF($AB$105:$AB$108,"법인",$AD$105:$AD$108)/1000</f>
        <v>0</v>
      </c>
      <c r="L103" s="103">
        <f>SUMIF($AB$105:$AB$108,"잡수",$AD$105:$AD$108)/1000</f>
        <v>1440</v>
      </c>
      <c r="M103" s="112">
        <f>E103-D103</f>
        <v>-280</v>
      </c>
      <c r="N103" s="109">
        <f>IF(D103=0,0,M103/D103)</f>
        <v>-0.15384615384615385</v>
      </c>
      <c r="O103" s="105" t="s">
        <v>389</v>
      </c>
      <c r="P103" s="154"/>
      <c r="Q103" s="154"/>
      <c r="R103" s="154"/>
      <c r="S103" s="154"/>
      <c r="T103" s="153"/>
      <c r="U103" s="153"/>
      <c r="V103" s="153"/>
      <c r="W103" s="153"/>
      <c r="X103" s="153"/>
      <c r="Y103" s="429" t="s">
        <v>390</v>
      </c>
      <c r="Z103" s="429"/>
      <c r="AA103" s="429"/>
      <c r="AB103" s="429"/>
      <c r="AC103" s="147"/>
      <c r="AD103" s="147">
        <f>SUM(AD104,AD106)</f>
        <v>1540000</v>
      </c>
      <c r="AE103" s="146" t="s">
        <v>25</v>
      </c>
    </row>
    <row r="104" spans="1:31" s="11" customFormat="1" ht="21" customHeight="1">
      <c r="A104" s="37"/>
      <c r="B104" s="38"/>
      <c r="C104" s="38"/>
      <c r="D104" s="443"/>
      <c r="E104" s="444"/>
      <c r="F104" s="444"/>
      <c r="G104" s="444"/>
      <c r="H104" s="444"/>
      <c r="I104" s="444"/>
      <c r="J104" s="444"/>
      <c r="K104" s="444"/>
      <c r="L104" s="444"/>
      <c r="M104" s="97"/>
      <c r="N104" s="60"/>
      <c r="O104" s="469" t="s">
        <v>468</v>
      </c>
      <c r="P104" s="485"/>
      <c r="Q104" s="485"/>
      <c r="R104" s="485"/>
      <c r="S104" s="485"/>
      <c r="T104" s="486"/>
      <c r="U104" s="486"/>
      <c r="V104" s="486"/>
      <c r="W104" s="486"/>
      <c r="X104" s="486"/>
      <c r="Y104" s="487" t="s">
        <v>377</v>
      </c>
      <c r="Z104" s="487"/>
      <c r="AA104" s="487"/>
      <c r="AB104" s="487"/>
      <c r="AC104" s="488"/>
      <c r="AD104" s="488">
        <f>AD105</f>
        <v>100000</v>
      </c>
      <c r="AE104" s="489" t="s">
        <v>56</v>
      </c>
    </row>
    <row r="105" spans="1:31" s="11" customFormat="1" ht="20.25" customHeight="1">
      <c r="A105" s="37"/>
      <c r="B105" s="38"/>
      <c r="C105" s="38"/>
      <c r="D105" s="443"/>
      <c r="E105" s="444"/>
      <c r="F105" s="444"/>
      <c r="G105" s="446"/>
      <c r="H105" s="444"/>
      <c r="I105" s="444"/>
      <c r="J105" s="446"/>
      <c r="K105" s="444"/>
      <c r="L105" s="444"/>
      <c r="M105" s="97"/>
      <c r="N105" s="60"/>
      <c r="O105" s="469" t="s">
        <v>469</v>
      </c>
      <c r="P105" s="469"/>
      <c r="Q105" s="469"/>
      <c r="R105" s="469"/>
      <c r="S105" s="468">
        <v>50000</v>
      </c>
      <c r="T105" s="468" t="s">
        <v>25</v>
      </c>
      <c r="U105" s="490" t="s">
        <v>26</v>
      </c>
      <c r="V105" s="468">
        <v>2</v>
      </c>
      <c r="W105" s="468" t="s">
        <v>462</v>
      </c>
      <c r="X105" s="490"/>
      <c r="Y105" s="468"/>
      <c r="Z105" s="468"/>
      <c r="AA105" s="468" t="s">
        <v>27</v>
      </c>
      <c r="AB105" s="468" t="s">
        <v>442</v>
      </c>
      <c r="AC105" s="441"/>
      <c r="AD105" s="441">
        <f>S105*V105</f>
        <v>100000</v>
      </c>
      <c r="AE105" s="477" t="s">
        <v>25</v>
      </c>
    </row>
    <row r="106" spans="1:31" s="11" customFormat="1" ht="20.25" customHeight="1">
      <c r="A106" s="37"/>
      <c r="B106" s="38"/>
      <c r="C106" s="38"/>
      <c r="D106" s="445"/>
      <c r="E106" s="446"/>
      <c r="F106" s="446"/>
      <c r="G106" s="446"/>
      <c r="H106" s="446"/>
      <c r="I106" s="446"/>
      <c r="J106" s="446"/>
      <c r="K106" s="446"/>
      <c r="L106" s="446"/>
      <c r="M106" s="97"/>
      <c r="N106" s="60"/>
      <c r="O106" s="491" t="s">
        <v>470</v>
      </c>
      <c r="P106" s="469"/>
      <c r="Q106" s="469"/>
      <c r="R106" s="469"/>
      <c r="S106" s="468"/>
      <c r="T106" s="468"/>
      <c r="U106" s="490"/>
      <c r="V106" s="468"/>
      <c r="W106" s="468"/>
      <c r="X106" s="490"/>
      <c r="Y106" s="492" t="s">
        <v>377</v>
      </c>
      <c r="Z106" s="492"/>
      <c r="AA106" s="492"/>
      <c r="AB106" s="492"/>
      <c r="AC106" s="493"/>
      <c r="AD106" s="493">
        <f>SUM(AD107:AD107)</f>
        <v>1440000</v>
      </c>
      <c r="AE106" s="494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9" t="s">
        <v>471</v>
      </c>
      <c r="P107" s="469"/>
      <c r="Q107" s="469"/>
      <c r="R107" s="469"/>
      <c r="S107" s="468">
        <v>120000</v>
      </c>
      <c r="T107" s="468" t="s">
        <v>25</v>
      </c>
      <c r="U107" s="490" t="s">
        <v>26</v>
      </c>
      <c r="V107" s="468">
        <v>12</v>
      </c>
      <c r="W107" s="468" t="s">
        <v>462</v>
      </c>
      <c r="X107" s="490"/>
      <c r="Y107" s="468"/>
      <c r="Z107" s="468"/>
      <c r="AA107" s="468" t="s">
        <v>27</v>
      </c>
      <c r="AB107" s="468" t="s">
        <v>392</v>
      </c>
      <c r="AC107" s="441"/>
      <c r="AD107" s="441">
        <f>S107*V107</f>
        <v>1440000</v>
      </c>
      <c r="AE107" s="477" t="s">
        <v>25</v>
      </c>
    </row>
    <row r="108" spans="1:31" s="11" customFormat="1" ht="21" customHeight="1">
      <c r="A108" s="37"/>
      <c r="B108" s="49"/>
      <c r="C108" s="99"/>
      <c r="D108" s="134"/>
      <c r="E108" s="100"/>
      <c r="F108" s="100"/>
      <c r="G108" s="100"/>
      <c r="H108" s="100"/>
      <c r="I108" s="100"/>
      <c r="J108" s="100"/>
      <c r="K108" s="100"/>
      <c r="L108" s="100"/>
      <c r="M108" s="100"/>
      <c r="N108" s="75"/>
      <c r="O108" s="354"/>
      <c r="P108" s="354"/>
      <c r="Q108" s="354"/>
      <c r="R108" s="354"/>
      <c r="S108" s="353"/>
      <c r="T108" s="354"/>
      <c r="U108" s="353"/>
      <c r="V108" s="117"/>
      <c r="W108" s="117"/>
      <c r="X108" s="353"/>
      <c r="Y108" s="353"/>
      <c r="Z108" s="353"/>
      <c r="AA108" s="353"/>
      <c r="AB108" s="353"/>
      <c r="AC108" s="353"/>
      <c r="AD108" s="353"/>
      <c r="AE108" s="63"/>
    </row>
    <row r="109" spans="1:31" s="11" customFormat="1" ht="21" customHeight="1">
      <c r="A109" s="101" t="s">
        <v>47</v>
      </c>
      <c r="B109" s="595" t="s">
        <v>20</v>
      </c>
      <c r="C109" s="595"/>
      <c r="D109" s="159">
        <f>D110</f>
        <v>700</v>
      </c>
      <c r="E109" s="159">
        <f>E110</f>
        <v>2700</v>
      </c>
      <c r="F109" s="159">
        <f t="shared" ref="F109:L109" si="5">F110</f>
        <v>0</v>
      </c>
      <c r="G109" s="159">
        <f t="shared" si="5"/>
        <v>0</v>
      </c>
      <c r="H109" s="159">
        <f t="shared" si="5"/>
        <v>2000</v>
      </c>
      <c r="I109" s="159">
        <f t="shared" si="5"/>
        <v>0</v>
      </c>
      <c r="J109" s="159">
        <f t="shared" si="5"/>
        <v>700</v>
      </c>
      <c r="K109" s="159">
        <f t="shared" si="5"/>
        <v>0</v>
      </c>
      <c r="L109" s="159">
        <f t="shared" si="5"/>
        <v>0</v>
      </c>
      <c r="M109" s="453">
        <f>E109-D109</f>
        <v>2000</v>
      </c>
      <c r="N109" s="141">
        <f>IF(D109=0,0,M109/D109)</f>
        <v>2.8571428571428572</v>
      </c>
      <c r="O109" s="152" t="s">
        <v>393</v>
      </c>
      <c r="P109" s="152"/>
      <c r="Q109" s="152"/>
      <c r="R109" s="152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>
        <f>AD110</f>
        <v>2700000</v>
      </c>
      <c r="AE109" s="26" t="s">
        <v>25</v>
      </c>
    </row>
    <row r="110" spans="1:31" s="11" customFormat="1" ht="21" customHeight="1">
      <c r="A110" s="158" t="s">
        <v>394</v>
      </c>
      <c r="B110" s="38" t="s">
        <v>17</v>
      </c>
      <c r="C110" s="38" t="s">
        <v>395</v>
      </c>
      <c r="D110" s="97">
        <f t="shared" ref="D110:L110" si="6">SUM(D111,D113,D125)</f>
        <v>700</v>
      </c>
      <c r="E110" s="97">
        <f t="shared" si="6"/>
        <v>2700</v>
      </c>
      <c r="F110" s="97">
        <f t="shared" si="6"/>
        <v>0</v>
      </c>
      <c r="G110" s="97">
        <f t="shared" si="6"/>
        <v>0</v>
      </c>
      <c r="H110" s="97">
        <f t="shared" si="6"/>
        <v>2000</v>
      </c>
      <c r="I110" s="97">
        <f t="shared" si="6"/>
        <v>0</v>
      </c>
      <c r="J110" s="97">
        <f t="shared" si="6"/>
        <v>700</v>
      </c>
      <c r="K110" s="97">
        <f t="shared" si="6"/>
        <v>0</v>
      </c>
      <c r="L110" s="97">
        <f t="shared" si="6"/>
        <v>0</v>
      </c>
      <c r="M110" s="97">
        <f>E110-D110</f>
        <v>2000</v>
      </c>
      <c r="N110" s="60">
        <f>IF(D110=0,0,M110/D110)</f>
        <v>2.8571428571428572</v>
      </c>
      <c r="O110" s="154" t="s">
        <v>396</v>
      </c>
      <c r="P110" s="154"/>
      <c r="Q110" s="154"/>
      <c r="R110" s="154"/>
      <c r="S110" s="154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82"/>
      <c r="AD110" s="82">
        <f>AD111+AD113+AD125</f>
        <v>2700000</v>
      </c>
      <c r="AE110" s="83" t="s">
        <v>25</v>
      </c>
    </row>
    <row r="111" spans="1:31" s="11" customFormat="1" ht="21" customHeight="1">
      <c r="A111" s="37"/>
      <c r="B111" s="38"/>
      <c r="C111" s="28" t="s">
        <v>396</v>
      </c>
      <c r="D111" s="156">
        <v>0</v>
      </c>
      <c r="E111" s="156">
        <f>ROUND(AD111/1000,0)</f>
        <v>0</v>
      </c>
      <c r="F111" s="103">
        <f>SUMIF($AB$112:$AB$112,"보조",$AD$112:$AD$112)/1000</f>
        <v>0</v>
      </c>
      <c r="G111" s="103">
        <f>SUMIF($AB$112:$AB$112,"4종",$AD$112:$AD$112)/1000</f>
        <v>0</v>
      </c>
      <c r="H111" s="103">
        <f>SUMIF($AB$112:$AB$112,"6종",$AD$112:$AD$112)/1000</f>
        <v>0</v>
      </c>
      <c r="I111" s="103">
        <v>0</v>
      </c>
      <c r="J111" s="103">
        <f>SUMIF($AB$112:$AB$112,"입소",$AD$112:$AD$112)/1000</f>
        <v>0</v>
      </c>
      <c r="K111" s="103">
        <f>SUMIF($AB$112:$AB$112,"법인",$AD$112:$AD$112)/1000</f>
        <v>0</v>
      </c>
      <c r="L111" s="103">
        <f>SUMIF($AB$112:$AB$112,"잡수",$AD$112:$AD$112)/1000</f>
        <v>0</v>
      </c>
      <c r="M111" s="156">
        <f>E111-D111</f>
        <v>0</v>
      </c>
      <c r="N111" s="157">
        <f>IF(D111=0,0,M111/D111)</f>
        <v>0</v>
      </c>
      <c r="O111" s="85" t="s">
        <v>48</v>
      </c>
      <c r="P111" s="154"/>
      <c r="Q111" s="154"/>
      <c r="R111" s="154"/>
      <c r="S111" s="154"/>
      <c r="T111" s="153"/>
      <c r="U111" s="153"/>
      <c r="V111" s="153"/>
      <c r="W111" s="153"/>
      <c r="X111" s="153"/>
      <c r="Y111" s="429" t="s">
        <v>395</v>
      </c>
      <c r="Z111" s="429"/>
      <c r="AA111" s="429"/>
      <c r="AB111" s="429"/>
      <c r="AC111" s="147"/>
      <c r="AD111" s="147">
        <v>0</v>
      </c>
      <c r="AE111" s="146" t="s">
        <v>25</v>
      </c>
    </row>
    <row r="112" spans="1:31" s="11" customFormat="1" ht="21" customHeight="1">
      <c r="A112" s="37"/>
      <c r="B112" s="38"/>
      <c r="C112" s="38"/>
      <c r="D112" s="133"/>
      <c r="E112" s="97"/>
      <c r="F112" s="97"/>
      <c r="G112" s="97"/>
      <c r="H112" s="97"/>
      <c r="I112" s="97"/>
      <c r="J112" s="97"/>
      <c r="K112" s="97"/>
      <c r="L112" s="97"/>
      <c r="M112" s="97"/>
      <c r="N112" s="60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 t="s">
        <v>345</v>
      </c>
      <c r="AC112" s="106"/>
      <c r="AD112" s="402">
        <v>0</v>
      </c>
      <c r="AE112" s="406" t="s">
        <v>340</v>
      </c>
    </row>
    <row r="113" spans="1:31" s="11" customFormat="1" ht="21" customHeight="1">
      <c r="A113" s="37"/>
      <c r="B113" s="38"/>
      <c r="C113" s="28" t="s">
        <v>18</v>
      </c>
      <c r="D113" s="135">
        <v>500</v>
      </c>
      <c r="E113" s="102">
        <f>ROUND(AD113/1000,0)</f>
        <v>2500</v>
      </c>
      <c r="F113" s="103">
        <f>SUMIF($AB$114:$AB$124,"보조",$AD$114:$AD$124)/1000</f>
        <v>0</v>
      </c>
      <c r="G113" s="103">
        <f>SUMIF($AB$114:$AB$124,"4종",$AD$114:$AD$124)/1000</f>
        <v>0</v>
      </c>
      <c r="H113" s="103">
        <f>SUMIF($AB$114:$AB$124,"6종",$AD$114:$AD$124)/1000</f>
        <v>2000</v>
      </c>
      <c r="I113" s="103">
        <f>SUMIF($AB$114:$AB$124,"후원",$AD$114:$AD$124)/1000</f>
        <v>0</v>
      </c>
      <c r="J113" s="103">
        <f>SUMIF($AB$114:$AB$124,"입소",$AD$114:$AD$124)/1000</f>
        <v>500</v>
      </c>
      <c r="K113" s="103">
        <f>SUMIF($AB$114:$AB$124,"법인",$AD$114:$AD$124)/1000</f>
        <v>0</v>
      </c>
      <c r="L113" s="103">
        <f>SUMIF($AB$114:$AB$124,"잡수",$AD$114:$AD$124)/1000</f>
        <v>0</v>
      </c>
      <c r="M113" s="156">
        <f>E113-D113</f>
        <v>2000</v>
      </c>
      <c r="N113" s="109">
        <f>IF(D113=0,0,M113/D113)</f>
        <v>4</v>
      </c>
      <c r="O113" s="85" t="s">
        <v>49</v>
      </c>
      <c r="P113" s="154"/>
      <c r="Q113" s="154"/>
      <c r="R113" s="154"/>
      <c r="S113" s="154"/>
      <c r="T113" s="153"/>
      <c r="U113" s="153"/>
      <c r="V113" s="153"/>
      <c r="W113" s="153"/>
      <c r="X113" s="153"/>
      <c r="Y113" s="429" t="s">
        <v>377</v>
      </c>
      <c r="Z113" s="429"/>
      <c r="AA113" s="429"/>
      <c r="AB113" s="429"/>
      <c r="AC113" s="147"/>
      <c r="AD113" s="306">
        <f>SUM(AD114:AD124)</f>
        <v>2500000</v>
      </c>
      <c r="AE113" s="146" t="s">
        <v>25</v>
      </c>
    </row>
    <row r="114" spans="1:31" s="11" customFormat="1" ht="21" customHeight="1">
      <c r="A114" s="37"/>
      <c r="B114" s="38"/>
      <c r="C114" s="38"/>
      <c r="D114" s="443"/>
      <c r="E114" s="444"/>
      <c r="F114" s="444"/>
      <c r="G114" s="444"/>
      <c r="H114" s="444"/>
      <c r="I114" s="444"/>
      <c r="J114" s="444"/>
      <c r="K114" s="444"/>
      <c r="L114" s="444"/>
      <c r="M114" s="97"/>
      <c r="N114" s="60"/>
      <c r="O114" s="600" t="s">
        <v>528</v>
      </c>
      <c r="P114" s="601"/>
      <c r="Q114" s="601"/>
      <c r="R114" s="601"/>
      <c r="S114" s="468"/>
      <c r="T114" s="476"/>
      <c r="U114" s="476"/>
      <c r="V114" s="468"/>
      <c r="W114" s="469"/>
      <c r="X114" s="468"/>
      <c r="Y114" s="468"/>
      <c r="Z114" s="468"/>
      <c r="AA114" s="468"/>
      <c r="AB114" s="468" t="s">
        <v>475</v>
      </c>
      <c r="AC114" s="468"/>
      <c r="AD114" s="468">
        <v>2000000</v>
      </c>
      <c r="AE114" s="477" t="s">
        <v>25</v>
      </c>
    </row>
    <row r="115" spans="1:31" s="11" customFormat="1" ht="21" customHeight="1">
      <c r="A115" s="37"/>
      <c r="B115" s="38"/>
      <c r="C115" s="38"/>
      <c r="D115" s="445"/>
      <c r="E115" s="446"/>
      <c r="F115" s="446"/>
      <c r="G115" s="446"/>
      <c r="H115" s="446"/>
      <c r="I115" s="446"/>
      <c r="J115" s="446"/>
      <c r="K115" s="446"/>
      <c r="L115" s="446"/>
      <c r="M115" s="97"/>
      <c r="N115" s="60"/>
      <c r="O115" s="469" t="s">
        <v>527</v>
      </c>
      <c r="P115" s="469"/>
      <c r="Q115" s="469"/>
      <c r="R115" s="485"/>
      <c r="S115" s="485"/>
      <c r="T115" s="486"/>
      <c r="U115" s="486"/>
      <c r="V115" s="486"/>
      <c r="W115" s="486"/>
      <c r="X115" s="486"/>
      <c r="Y115" s="486"/>
      <c r="Z115" s="486"/>
      <c r="AA115" s="486"/>
      <c r="AB115" s="468" t="s">
        <v>442</v>
      </c>
      <c r="AC115" s="496"/>
      <c r="AD115" s="441">
        <v>500000</v>
      </c>
      <c r="AE115" s="477" t="s">
        <v>25</v>
      </c>
    </row>
    <row r="116" spans="1:31" s="11" customFormat="1" ht="21" customHeight="1">
      <c r="A116" s="37"/>
      <c r="B116" s="38"/>
      <c r="C116" s="38"/>
      <c r="D116" s="98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433"/>
      <c r="P116" s="433"/>
      <c r="Q116" s="433"/>
      <c r="R116" s="433"/>
      <c r="S116" s="432"/>
      <c r="T116" s="401"/>
      <c r="U116" s="295"/>
      <c r="V116" s="121"/>
      <c r="W116" s="121"/>
      <c r="X116" s="432"/>
      <c r="Y116" s="432"/>
      <c r="Z116" s="432"/>
      <c r="AA116" s="432"/>
      <c r="AB116" s="432"/>
      <c r="AC116" s="432"/>
      <c r="AD116" s="432"/>
      <c r="AE116" s="122"/>
    </row>
    <row r="117" spans="1:31" s="11" customFormat="1" ht="21" hidden="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33"/>
      <c r="P117" s="433"/>
      <c r="Q117" s="433"/>
      <c r="R117" s="433"/>
      <c r="S117" s="432"/>
      <c r="T117" s="295"/>
      <c r="U117" s="295"/>
      <c r="V117" s="432"/>
      <c r="W117" s="433"/>
      <c r="X117" s="432"/>
      <c r="Y117" s="432"/>
      <c r="Z117" s="432"/>
      <c r="AA117" s="432"/>
      <c r="AB117" s="432" t="s">
        <v>373</v>
      </c>
      <c r="AC117" s="432"/>
      <c r="AD117" s="432"/>
      <c r="AE117" s="122" t="s">
        <v>340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33"/>
      <c r="P118" s="433"/>
      <c r="Q118" s="433"/>
      <c r="R118" s="433"/>
      <c r="S118" s="432"/>
      <c r="T118" s="401"/>
      <c r="U118" s="295"/>
      <c r="V118" s="121"/>
      <c r="W118" s="121"/>
      <c r="X118" s="432"/>
      <c r="Y118" s="432"/>
      <c r="Z118" s="432"/>
      <c r="AA118" s="432"/>
      <c r="AB118" s="432" t="s">
        <v>373</v>
      </c>
      <c r="AC118" s="432"/>
      <c r="AD118" s="432"/>
      <c r="AE118" s="122" t="s">
        <v>340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3"/>
      <c r="P119" s="433"/>
      <c r="Q119" s="433"/>
      <c r="R119" s="433"/>
      <c r="S119" s="432"/>
      <c r="T119" s="401"/>
      <c r="U119" s="295"/>
      <c r="V119" s="121"/>
      <c r="W119" s="121"/>
      <c r="X119" s="432"/>
      <c r="Y119" s="432"/>
      <c r="Z119" s="432"/>
      <c r="AA119" s="432"/>
      <c r="AB119" s="432" t="s">
        <v>373</v>
      </c>
      <c r="AC119" s="432"/>
      <c r="AD119" s="432"/>
      <c r="AE119" s="122" t="s">
        <v>340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3"/>
      <c r="P120" s="433"/>
      <c r="Q120" s="433"/>
      <c r="R120" s="433"/>
      <c r="S120" s="432"/>
      <c r="T120" s="401"/>
      <c r="U120" s="295"/>
      <c r="V120" s="121"/>
      <c r="W120" s="121"/>
      <c r="X120" s="432"/>
      <c r="Y120" s="432"/>
      <c r="Z120" s="432"/>
      <c r="AA120" s="432"/>
      <c r="AB120" s="432" t="s">
        <v>373</v>
      </c>
      <c r="AC120" s="432"/>
      <c r="AD120" s="432"/>
      <c r="AE120" s="122" t="s">
        <v>340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3"/>
      <c r="P121" s="433"/>
      <c r="Q121" s="433"/>
      <c r="R121" s="433"/>
      <c r="S121" s="432"/>
      <c r="T121" s="401"/>
      <c r="U121" s="295"/>
      <c r="V121" s="121"/>
      <c r="W121" s="121"/>
      <c r="X121" s="432"/>
      <c r="Y121" s="432"/>
      <c r="Z121" s="432"/>
      <c r="AA121" s="432"/>
      <c r="AB121" s="432" t="s">
        <v>373</v>
      </c>
      <c r="AC121" s="432"/>
      <c r="AD121" s="432"/>
      <c r="AE121" s="122" t="s">
        <v>340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3"/>
      <c r="P122" s="433"/>
      <c r="Q122" s="433"/>
      <c r="R122" s="433"/>
      <c r="S122" s="432"/>
      <c r="T122" s="401"/>
      <c r="U122" s="295"/>
      <c r="V122" s="121"/>
      <c r="W122" s="121"/>
      <c r="X122" s="432"/>
      <c r="Y122" s="432"/>
      <c r="Z122" s="432"/>
      <c r="AA122" s="432"/>
      <c r="AB122" s="432" t="s">
        <v>373</v>
      </c>
      <c r="AC122" s="432"/>
      <c r="AD122" s="432"/>
      <c r="AE122" s="122" t="s">
        <v>340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3"/>
      <c r="P123" s="433"/>
      <c r="Q123" s="433"/>
      <c r="R123" s="433"/>
      <c r="S123" s="432"/>
      <c r="T123" s="401"/>
      <c r="U123" s="295"/>
      <c r="V123" s="121"/>
      <c r="W123" s="121"/>
      <c r="X123" s="432"/>
      <c r="Y123" s="432"/>
      <c r="Z123" s="432"/>
      <c r="AA123" s="432"/>
      <c r="AB123" s="432" t="s">
        <v>373</v>
      </c>
      <c r="AC123" s="432"/>
      <c r="AD123" s="432"/>
      <c r="AE123" s="122" t="s">
        <v>340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3"/>
      <c r="P124" s="433"/>
      <c r="Q124" s="433"/>
      <c r="R124" s="433"/>
      <c r="S124" s="432"/>
      <c r="T124" s="401"/>
      <c r="U124" s="295"/>
      <c r="V124" s="121"/>
      <c r="W124" s="121"/>
      <c r="X124" s="432"/>
      <c r="Y124" s="432"/>
      <c r="Z124" s="432"/>
      <c r="AA124" s="432"/>
      <c r="AB124" s="432" t="s">
        <v>373</v>
      </c>
      <c r="AC124" s="432"/>
      <c r="AD124" s="432"/>
      <c r="AE124" s="122" t="s">
        <v>340</v>
      </c>
    </row>
    <row r="125" spans="1:31" s="11" customFormat="1" ht="21" customHeight="1">
      <c r="A125" s="37"/>
      <c r="B125" s="38"/>
      <c r="C125" s="28" t="s">
        <v>50</v>
      </c>
      <c r="D125" s="135">
        <v>200</v>
      </c>
      <c r="E125" s="102">
        <f>ROUND(AD125/1000,0)</f>
        <v>200</v>
      </c>
      <c r="F125" s="103">
        <f>SUMIF($AB$126:$AB$130,"보조",$AD$126:$AD$130)/1000</f>
        <v>0</v>
      </c>
      <c r="G125" s="103">
        <f>SUMIF($AB$126:$AB$130,"4종",$AD$126:$AD$130)/1000</f>
        <v>0</v>
      </c>
      <c r="H125" s="103">
        <f>SUMIF($AB$126:$AB$130,"6종",$AD$126:$AD$130)/1000</f>
        <v>0</v>
      </c>
      <c r="I125" s="103">
        <f>SUMIF($AB$126:$AB$130,"후원",$AD$126:$AD$130)/1000</f>
        <v>0</v>
      </c>
      <c r="J125" s="103">
        <f>SUMIF($AB$126:$AB$130,"입소",$AD$126:$AD$130)/1000</f>
        <v>200</v>
      </c>
      <c r="K125" s="103">
        <f>SUMIF($AB$126:$AB$130,"법인",$AD$126:$AD$130)/1000</f>
        <v>0</v>
      </c>
      <c r="L125" s="103">
        <f>SUMIF($AB$126:$AB$130,"잡수",$AD$126:$AD$130)/1000</f>
        <v>0</v>
      </c>
      <c r="M125" s="112">
        <f>E125-D125</f>
        <v>0</v>
      </c>
      <c r="N125" s="109">
        <f>IF(D125=0,0,M125/D125)</f>
        <v>0</v>
      </c>
      <c r="O125" s="85" t="s">
        <v>51</v>
      </c>
      <c r="P125" s="154"/>
      <c r="Q125" s="154"/>
      <c r="R125" s="154"/>
      <c r="S125" s="154"/>
      <c r="T125" s="153"/>
      <c r="U125" s="153"/>
      <c r="V125" s="153"/>
      <c r="W125" s="153"/>
      <c r="X125" s="153"/>
      <c r="Y125" s="429" t="s">
        <v>377</v>
      </c>
      <c r="Z125" s="429"/>
      <c r="AA125" s="429"/>
      <c r="AB125" s="429"/>
      <c r="AC125" s="147"/>
      <c r="AD125" s="147">
        <f>SUM(AD126:AD130)</f>
        <v>200000</v>
      </c>
      <c r="AE125" s="146" t="s">
        <v>25</v>
      </c>
    </row>
    <row r="126" spans="1:31" s="1" customFormat="1" ht="21" customHeight="1">
      <c r="A126" s="37"/>
      <c r="B126" s="38"/>
      <c r="C126" s="38" t="s">
        <v>397</v>
      </c>
      <c r="D126" s="443"/>
      <c r="E126" s="444"/>
      <c r="F126" s="444"/>
      <c r="G126" s="444"/>
      <c r="H126" s="444"/>
      <c r="I126" s="444"/>
      <c r="J126" s="444"/>
      <c r="K126" s="444"/>
      <c r="L126" s="444"/>
      <c r="M126" s="97"/>
      <c r="N126" s="60"/>
      <c r="O126" s="469" t="s">
        <v>507</v>
      </c>
      <c r="P126" s="469"/>
      <c r="Q126" s="469"/>
      <c r="R126" s="469"/>
      <c r="S126" s="468"/>
      <c r="T126" s="476"/>
      <c r="U126" s="476"/>
      <c r="V126" s="468"/>
      <c r="W126" s="469"/>
      <c r="X126" s="468"/>
      <c r="Y126" s="468"/>
      <c r="Z126" s="468"/>
      <c r="AA126" s="468"/>
      <c r="AB126" s="468" t="s">
        <v>475</v>
      </c>
      <c r="AC126" s="468"/>
      <c r="AD126" s="468"/>
      <c r="AE126" s="477" t="s">
        <v>25</v>
      </c>
    </row>
    <row r="127" spans="1:31" s="1" customFormat="1" ht="21" customHeight="1">
      <c r="A127" s="37"/>
      <c r="B127" s="38"/>
      <c r="C127" s="38"/>
      <c r="D127" s="445"/>
      <c r="E127" s="446"/>
      <c r="F127" s="446"/>
      <c r="G127" s="446"/>
      <c r="H127" s="446"/>
      <c r="I127" s="446"/>
      <c r="J127" s="446"/>
      <c r="K127" s="446"/>
      <c r="L127" s="446"/>
      <c r="M127" s="97"/>
      <c r="N127" s="60"/>
      <c r="O127" s="469" t="s">
        <v>472</v>
      </c>
      <c r="P127" s="469"/>
      <c r="Q127" s="469"/>
      <c r="R127" s="469"/>
      <c r="S127" s="468"/>
      <c r="T127" s="476"/>
      <c r="U127" s="476"/>
      <c r="V127" s="468"/>
      <c r="W127" s="469"/>
      <c r="X127" s="468"/>
      <c r="Y127" s="468"/>
      <c r="Z127" s="468"/>
      <c r="AA127" s="468"/>
      <c r="AB127" s="468" t="s">
        <v>442</v>
      </c>
      <c r="AC127" s="468"/>
      <c r="AD127" s="468">
        <v>100000</v>
      </c>
      <c r="AE127" s="477" t="s">
        <v>25</v>
      </c>
    </row>
    <row r="128" spans="1:31" s="1" customFormat="1" ht="21" customHeight="1">
      <c r="A128" s="37"/>
      <c r="B128" s="38"/>
      <c r="C128" s="38"/>
      <c r="D128" s="133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69" t="s">
        <v>473</v>
      </c>
      <c r="P128" s="469"/>
      <c r="Q128" s="469"/>
      <c r="R128" s="469"/>
      <c r="S128" s="468"/>
      <c r="T128" s="476"/>
      <c r="U128" s="476"/>
      <c r="V128" s="468">
        <v>60000</v>
      </c>
      <c r="W128" s="469" t="s">
        <v>25</v>
      </c>
      <c r="X128" s="468" t="s">
        <v>26</v>
      </c>
      <c r="Y128" s="468">
        <v>1</v>
      </c>
      <c r="Z128" s="468" t="s">
        <v>462</v>
      </c>
      <c r="AA128" s="468" t="s">
        <v>27</v>
      </c>
      <c r="AB128" s="468" t="s">
        <v>442</v>
      </c>
      <c r="AC128" s="468"/>
      <c r="AD128" s="468">
        <f>V128*Y128</f>
        <v>60000</v>
      </c>
      <c r="AE128" s="477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9" t="s">
        <v>474</v>
      </c>
      <c r="P129" s="469"/>
      <c r="Q129" s="469"/>
      <c r="R129" s="469"/>
      <c r="S129" s="468"/>
      <c r="T129" s="476"/>
      <c r="U129" s="476"/>
      <c r="V129" s="468">
        <v>40000</v>
      </c>
      <c r="W129" s="469" t="s">
        <v>25</v>
      </c>
      <c r="X129" s="468" t="s">
        <v>26</v>
      </c>
      <c r="Y129" s="468">
        <v>1</v>
      </c>
      <c r="Z129" s="468" t="s">
        <v>462</v>
      </c>
      <c r="AA129" s="468" t="s">
        <v>27</v>
      </c>
      <c r="AB129" s="468" t="s">
        <v>442</v>
      </c>
      <c r="AC129" s="468"/>
      <c r="AD129" s="468">
        <f>V129*Y129</f>
        <v>40000</v>
      </c>
      <c r="AE129" s="477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33"/>
      <c r="P130" s="433"/>
      <c r="Q130" s="433"/>
      <c r="R130" s="433"/>
      <c r="S130" s="432"/>
      <c r="T130" s="295"/>
      <c r="U130" s="295"/>
      <c r="V130" s="432"/>
      <c r="W130" s="433"/>
      <c r="X130" s="432"/>
      <c r="Y130" s="432"/>
      <c r="Z130" s="432"/>
      <c r="AA130" s="432"/>
      <c r="AB130" s="432"/>
      <c r="AC130" s="432"/>
      <c r="AD130" s="432"/>
      <c r="AE130" s="122"/>
    </row>
    <row r="131" spans="1:31" s="11" customFormat="1" ht="21" customHeight="1">
      <c r="A131" s="160" t="s">
        <v>19</v>
      </c>
      <c r="B131" s="596" t="s">
        <v>20</v>
      </c>
      <c r="C131" s="597"/>
      <c r="D131" s="161">
        <f t="shared" ref="D131:M131" si="7">SUM(D132,D157)</f>
        <v>16142</v>
      </c>
      <c r="E131" s="161">
        <f t="shared" si="7"/>
        <v>20034</v>
      </c>
      <c r="F131" s="161">
        <f t="shared" ca="1" si="7"/>
        <v>5510</v>
      </c>
      <c r="G131" s="161">
        <f t="shared" si="7"/>
        <v>1642</v>
      </c>
      <c r="H131" s="161">
        <f t="shared" si="7"/>
        <v>0</v>
      </c>
      <c r="I131" s="161">
        <f t="shared" si="7"/>
        <v>801</v>
      </c>
      <c r="J131" s="161">
        <f t="shared" si="7"/>
        <v>11729</v>
      </c>
      <c r="K131" s="161">
        <f t="shared" si="7"/>
        <v>0</v>
      </c>
      <c r="L131" s="161">
        <f t="shared" si="7"/>
        <v>352</v>
      </c>
      <c r="M131" s="161">
        <f t="shared" si="7"/>
        <v>3892</v>
      </c>
      <c r="N131" s="162">
        <f>IF(D131=0,0,M131/D131)</f>
        <v>0.24111014744145706</v>
      </c>
      <c r="O131" s="154" t="s">
        <v>398</v>
      </c>
      <c r="P131" s="154"/>
      <c r="Q131" s="154"/>
      <c r="R131" s="154"/>
      <c r="S131" s="154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304">
        <f>SUM(AD132,AD157)</f>
        <v>20034000</v>
      </c>
      <c r="AE131" s="83" t="s">
        <v>25</v>
      </c>
    </row>
    <row r="132" spans="1:31" s="11" customFormat="1" ht="21" customHeight="1">
      <c r="A132" s="38"/>
      <c r="B132" s="28" t="s">
        <v>399</v>
      </c>
      <c r="C132" s="28" t="s">
        <v>400</v>
      </c>
      <c r="D132" s="102">
        <f t="shared" ref="D132:L132" si="8">SUM(D133,D142,D146,D149,D154)</f>
        <v>12697</v>
      </c>
      <c r="E132" s="102">
        <f t="shared" si="8"/>
        <v>14033</v>
      </c>
      <c r="F132" s="102">
        <f t="shared" si="8"/>
        <v>5510</v>
      </c>
      <c r="G132" s="102">
        <f t="shared" si="8"/>
        <v>1642</v>
      </c>
      <c r="H132" s="102">
        <f t="shared" si="8"/>
        <v>0</v>
      </c>
      <c r="I132" s="102">
        <f t="shared" si="8"/>
        <v>801</v>
      </c>
      <c r="J132" s="102">
        <f t="shared" si="8"/>
        <v>6080</v>
      </c>
      <c r="K132" s="102">
        <f t="shared" si="8"/>
        <v>0</v>
      </c>
      <c r="L132" s="102">
        <f t="shared" si="8"/>
        <v>0</v>
      </c>
      <c r="M132" s="102">
        <f>E132-D132</f>
        <v>1336</v>
      </c>
      <c r="N132" s="109">
        <f>IF(D132=0,0,M132/D132)</f>
        <v>0.10522170591478303</v>
      </c>
      <c r="O132" s="154"/>
      <c r="P132" s="154"/>
      <c r="Q132" s="154"/>
      <c r="R132" s="154"/>
      <c r="S132" s="154"/>
      <c r="T132" s="153"/>
      <c r="U132" s="153"/>
      <c r="V132" s="153"/>
      <c r="W132" s="153"/>
      <c r="X132" s="153"/>
      <c r="Y132" s="153" t="s">
        <v>28</v>
      </c>
      <c r="Z132" s="153"/>
      <c r="AA132" s="153"/>
      <c r="AB132" s="153"/>
      <c r="AC132" s="82"/>
      <c r="AD132" s="455">
        <f>SUM(AD133,AD142,AD146,AD149,AD154)</f>
        <v>14033000</v>
      </c>
      <c r="AE132" s="83" t="s">
        <v>25</v>
      </c>
    </row>
    <row r="133" spans="1:31" s="11" customFormat="1" ht="21" customHeight="1">
      <c r="A133" s="38"/>
      <c r="B133" s="38"/>
      <c r="C133" s="28" t="s">
        <v>401</v>
      </c>
      <c r="D133" s="135">
        <v>10210</v>
      </c>
      <c r="E133" s="102">
        <f>AD133/1000</f>
        <v>11382</v>
      </c>
      <c r="F133" s="103">
        <f>SUMIF($AB$134:$AB$141,"보조",$AD$134:$AD$141)/1000</f>
        <v>5510</v>
      </c>
      <c r="G133" s="103">
        <f>SUMIF($AB$134:$AB$141,"4종",$AD$134:$AD$141)/1000</f>
        <v>1162</v>
      </c>
      <c r="H133" s="103">
        <f>SUMIF($AB$134:$AB$141,"6종",$AD$134:$AD$141)/1000</f>
        <v>0</v>
      </c>
      <c r="I133" s="103">
        <f>SUMIF($AB$134:$AB$141,"후원",$AD$134:$AD$141)/1000</f>
        <v>150</v>
      </c>
      <c r="J133" s="103">
        <f>SUMIF($AB$134:$AB$141,"입소",$AD$134:$AD$141)/1000</f>
        <v>4560</v>
      </c>
      <c r="K133" s="103">
        <f>SUMIF($AB$134:$AB$141,"법인",$AD$134:$AD$141)/1000</f>
        <v>0</v>
      </c>
      <c r="L133" s="103">
        <f>SUMIF($AB$134:$AB$141,"잡수",$AD$134:$AD$141)/1000</f>
        <v>0</v>
      </c>
      <c r="M133" s="156">
        <f>E133-D133</f>
        <v>1172</v>
      </c>
      <c r="N133" s="109">
        <f>IF(D133=0,0,M133/D133)</f>
        <v>0.11478942213516161</v>
      </c>
      <c r="O133" s="85" t="s">
        <v>402</v>
      </c>
      <c r="P133" s="154"/>
      <c r="Q133" s="154"/>
      <c r="R133" s="154"/>
      <c r="S133" s="154"/>
      <c r="T133" s="153"/>
      <c r="U133" s="153"/>
      <c r="V133" s="153"/>
      <c r="W133" s="153"/>
      <c r="X133" s="153"/>
      <c r="Y133" s="429" t="s">
        <v>403</v>
      </c>
      <c r="Z133" s="429"/>
      <c r="AA133" s="429"/>
      <c r="AB133" s="429"/>
      <c r="AC133" s="147"/>
      <c r="AD133" s="340">
        <f>ROUND(SUM(AD134:AD140),-3)</f>
        <v>11382000</v>
      </c>
      <c r="AE133" s="146" t="s">
        <v>25</v>
      </c>
    </row>
    <row r="134" spans="1:31" s="11" customFormat="1" ht="21" customHeight="1">
      <c r="A134" s="38"/>
      <c r="B134" s="38"/>
      <c r="C134" s="38"/>
      <c r="D134" s="443"/>
      <c r="E134" s="444"/>
      <c r="F134" s="444"/>
      <c r="G134" s="444"/>
      <c r="H134" s="444"/>
      <c r="I134" s="444"/>
      <c r="J134" s="444"/>
      <c r="K134" s="444"/>
      <c r="L134" s="444"/>
      <c r="M134" s="97"/>
      <c r="N134" s="60"/>
      <c r="O134" s="469" t="s">
        <v>476</v>
      </c>
      <c r="P134" s="469"/>
      <c r="Q134" s="468"/>
      <c r="R134" s="468"/>
      <c r="S134" s="468">
        <v>229583</v>
      </c>
      <c r="T134" s="476" t="s">
        <v>25</v>
      </c>
      <c r="U134" s="476" t="s">
        <v>26</v>
      </c>
      <c r="V134" s="468">
        <v>6</v>
      </c>
      <c r="W134" s="469" t="s">
        <v>29</v>
      </c>
      <c r="X134" s="469" t="s">
        <v>26</v>
      </c>
      <c r="Y134" s="497">
        <v>4</v>
      </c>
      <c r="Z134" s="473" t="s">
        <v>110</v>
      </c>
      <c r="AA134" s="473" t="s">
        <v>27</v>
      </c>
      <c r="AB134" s="468" t="s">
        <v>451</v>
      </c>
      <c r="AC134" s="441"/>
      <c r="AD134" s="441">
        <f>S134*V134*Y134+8</f>
        <v>5510000</v>
      </c>
      <c r="AE134" s="477" t="s">
        <v>25</v>
      </c>
    </row>
    <row r="135" spans="1:31" s="11" customFormat="1" ht="21" customHeight="1">
      <c r="A135" s="38"/>
      <c r="B135" s="38"/>
      <c r="C135" s="38"/>
      <c r="D135" s="445"/>
      <c r="E135" s="446"/>
      <c r="F135" s="446"/>
      <c r="G135" s="446"/>
      <c r="H135" s="446"/>
      <c r="I135" s="446"/>
      <c r="J135" s="446"/>
      <c r="K135" s="446"/>
      <c r="L135" s="446"/>
      <c r="M135" s="97"/>
      <c r="N135" s="60"/>
      <c r="O135" s="469" t="s">
        <v>476</v>
      </c>
      <c r="P135" s="469"/>
      <c r="Q135" s="469"/>
      <c r="R135" s="469"/>
      <c r="S135" s="468">
        <v>180000</v>
      </c>
      <c r="T135" s="476" t="s">
        <v>25</v>
      </c>
      <c r="U135" s="476" t="s">
        <v>26</v>
      </c>
      <c r="V135" s="468">
        <v>6</v>
      </c>
      <c r="W135" s="469" t="s">
        <v>29</v>
      </c>
      <c r="X135" s="469" t="s">
        <v>26</v>
      </c>
      <c r="Y135" s="497">
        <v>4</v>
      </c>
      <c r="Z135" s="473" t="s">
        <v>110</v>
      </c>
      <c r="AA135" s="473" t="s">
        <v>27</v>
      </c>
      <c r="AB135" s="468" t="s">
        <v>442</v>
      </c>
      <c r="AC135" s="441"/>
      <c r="AD135" s="441">
        <f>S135*V135*Y135</f>
        <v>4320000</v>
      </c>
      <c r="AE135" s="477" t="s">
        <v>25</v>
      </c>
    </row>
    <row r="136" spans="1:31" s="11" customFormat="1" ht="21" customHeight="1">
      <c r="A136" s="38"/>
      <c r="B136" s="38"/>
      <c r="C136" s="38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60"/>
      <c r="O136" s="469" t="s">
        <v>477</v>
      </c>
      <c r="P136" s="469"/>
      <c r="Q136" s="468"/>
      <c r="R136" s="468"/>
      <c r="S136" s="468">
        <v>182500</v>
      </c>
      <c r="T136" s="476" t="s">
        <v>25</v>
      </c>
      <c r="U136" s="476" t="s">
        <v>26</v>
      </c>
      <c r="V136" s="468"/>
      <c r="W136" s="469"/>
      <c r="X136" s="469"/>
      <c r="Y136" s="497">
        <v>4</v>
      </c>
      <c r="Z136" s="473" t="s">
        <v>110</v>
      </c>
      <c r="AA136" s="473" t="s">
        <v>27</v>
      </c>
      <c r="AB136" s="468" t="s">
        <v>298</v>
      </c>
      <c r="AC136" s="441"/>
      <c r="AD136" s="441">
        <f>S136*Y136</f>
        <v>730000</v>
      </c>
      <c r="AE136" s="477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98" t="s">
        <v>478</v>
      </c>
      <c r="P137" s="498"/>
      <c r="Q137" s="498"/>
      <c r="R137" s="498"/>
      <c r="S137" s="442">
        <v>10000</v>
      </c>
      <c r="T137" s="499" t="s">
        <v>25</v>
      </c>
      <c r="U137" s="499" t="s">
        <v>26</v>
      </c>
      <c r="V137" s="442">
        <v>6</v>
      </c>
      <c r="W137" s="498" t="s">
        <v>29</v>
      </c>
      <c r="X137" s="498" t="s">
        <v>26</v>
      </c>
      <c r="Y137" s="500">
        <v>4</v>
      </c>
      <c r="Z137" s="501" t="s">
        <v>110</v>
      </c>
      <c r="AA137" s="501" t="s">
        <v>27</v>
      </c>
      <c r="AB137" s="442" t="s">
        <v>442</v>
      </c>
      <c r="AC137" s="502"/>
      <c r="AD137" s="502">
        <f>S137*V137*Y137</f>
        <v>240000</v>
      </c>
      <c r="AE137" s="503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69" t="s">
        <v>479</v>
      </c>
      <c r="P138" s="469"/>
      <c r="Q138" s="468"/>
      <c r="R138" s="468"/>
      <c r="S138" s="468">
        <v>60000</v>
      </c>
      <c r="T138" s="476" t="s">
        <v>25</v>
      </c>
      <c r="U138" s="476" t="s">
        <v>26</v>
      </c>
      <c r="V138" s="468"/>
      <c r="W138" s="469"/>
      <c r="X138" s="469"/>
      <c r="Y138" s="497">
        <v>4</v>
      </c>
      <c r="Z138" s="473" t="s">
        <v>110</v>
      </c>
      <c r="AA138" s="473" t="s">
        <v>27</v>
      </c>
      <c r="AB138" s="468" t="s">
        <v>298</v>
      </c>
      <c r="AC138" s="441"/>
      <c r="AD138" s="441">
        <f>S138*Y138</f>
        <v>240000</v>
      </c>
      <c r="AE138" s="477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9" t="s">
        <v>480</v>
      </c>
      <c r="P139" s="469"/>
      <c r="Q139" s="468"/>
      <c r="R139" s="468"/>
      <c r="S139" s="468"/>
      <c r="T139" s="476"/>
      <c r="U139" s="476"/>
      <c r="V139" s="468"/>
      <c r="W139" s="469"/>
      <c r="X139" s="469"/>
      <c r="Y139" s="497"/>
      <c r="Z139" s="473"/>
      <c r="AA139" s="473"/>
      <c r="AB139" s="468" t="s">
        <v>373</v>
      </c>
      <c r="AC139" s="441"/>
      <c r="AD139" s="441">
        <v>150000</v>
      </c>
      <c r="AE139" s="477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9" t="s">
        <v>481</v>
      </c>
      <c r="P140" s="469"/>
      <c r="Q140" s="468"/>
      <c r="R140" s="468"/>
      <c r="S140" s="468">
        <v>48000</v>
      </c>
      <c r="T140" s="476" t="s">
        <v>25</v>
      </c>
      <c r="U140" s="476" t="s">
        <v>26</v>
      </c>
      <c r="V140" s="468"/>
      <c r="W140" s="469"/>
      <c r="X140" s="469"/>
      <c r="Y140" s="497">
        <v>4</v>
      </c>
      <c r="Z140" s="473" t="s">
        <v>110</v>
      </c>
      <c r="AA140" s="473" t="s">
        <v>27</v>
      </c>
      <c r="AB140" s="468" t="s">
        <v>298</v>
      </c>
      <c r="AC140" s="441"/>
      <c r="AD140" s="441">
        <f>S140*Y140</f>
        <v>192000</v>
      </c>
      <c r="AE140" s="477" t="s">
        <v>25</v>
      </c>
    </row>
    <row r="141" spans="1:31" s="11" customFormat="1" ht="21" customHeight="1">
      <c r="A141" s="38"/>
      <c r="B141" s="38"/>
      <c r="C141" s="49"/>
      <c r="D141" s="134"/>
      <c r="E141" s="100"/>
      <c r="F141" s="100"/>
      <c r="G141" s="100"/>
      <c r="H141" s="100"/>
      <c r="I141" s="100"/>
      <c r="J141" s="100"/>
      <c r="K141" s="100"/>
      <c r="L141" s="100"/>
      <c r="M141" s="100"/>
      <c r="N141" s="75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402"/>
      <c r="AE141" s="113"/>
    </row>
    <row r="142" spans="1:31" s="11" customFormat="1" ht="21" customHeight="1">
      <c r="A142" s="38"/>
      <c r="B142" s="38"/>
      <c r="C142" s="38" t="s">
        <v>404</v>
      </c>
      <c r="D142" s="133">
        <v>567</v>
      </c>
      <c r="E142" s="97">
        <f>ROUND(AD142/1000,0)</f>
        <v>651</v>
      </c>
      <c r="F142" s="103">
        <f>SUMIF($AB$143:$AB$145,"보조",$AD$143:$AD$145)/1000</f>
        <v>0</v>
      </c>
      <c r="G142" s="103">
        <f>SUMIF($AB$143:$AB$145,"4종",$AD$143:$AD$145)/1000</f>
        <v>0</v>
      </c>
      <c r="H142" s="103">
        <f>SUMIF($AB$143:$AB$145,"6종",$AD$143:$AD$145)/1000</f>
        <v>0</v>
      </c>
      <c r="I142" s="103">
        <f>SUMIF($AB$143:$AB$145,"후원",$AD$143:$AD$145)/1000</f>
        <v>651</v>
      </c>
      <c r="J142" s="103">
        <f>SUMIF($AB$143:$AB$145,"입소",$AD$143:$AD$145)/1000</f>
        <v>0</v>
      </c>
      <c r="K142" s="103">
        <f>SUMIF($AB$143:$AB$145,"법인",$AD$143:$AD$145)/1000</f>
        <v>0</v>
      </c>
      <c r="L142" s="103">
        <f>SUMIF($AB$143:$AB$145,"잡수",$AD$143:$AD$145)/1000</f>
        <v>0</v>
      </c>
      <c r="M142" s="97">
        <f>E142-D142</f>
        <v>84</v>
      </c>
      <c r="N142" s="60">
        <f>IF(D142=0,0,M142/D142)</f>
        <v>0.14814814814814814</v>
      </c>
      <c r="O142" s="85" t="s">
        <v>405</v>
      </c>
      <c r="P142" s="154"/>
      <c r="Q142" s="154"/>
      <c r="R142" s="154"/>
      <c r="S142" s="154"/>
      <c r="T142" s="153"/>
      <c r="U142" s="153"/>
      <c r="V142" s="153"/>
      <c r="W142" s="153"/>
      <c r="X142" s="153"/>
      <c r="Y142" s="429" t="s">
        <v>391</v>
      </c>
      <c r="Z142" s="429"/>
      <c r="AA142" s="429"/>
      <c r="AB142" s="429"/>
      <c r="AC142" s="147"/>
      <c r="AD142" s="306">
        <f>SUM(AD143:AD145)</f>
        <v>651000</v>
      </c>
      <c r="AE142" s="146" t="s">
        <v>25</v>
      </c>
    </row>
    <row r="143" spans="1:31" s="11" customFormat="1" ht="21" customHeight="1">
      <c r="A143" s="38"/>
      <c r="B143" s="38"/>
      <c r="C143" s="38" t="s">
        <v>406</v>
      </c>
      <c r="D143" s="443"/>
      <c r="E143" s="444"/>
      <c r="F143" s="444"/>
      <c r="G143" s="444"/>
      <c r="H143" s="444"/>
      <c r="I143" s="444"/>
      <c r="J143" s="444"/>
      <c r="K143" s="444"/>
      <c r="L143" s="444"/>
      <c r="M143" s="97"/>
      <c r="N143" s="60"/>
      <c r="O143" s="469" t="s">
        <v>482</v>
      </c>
      <c r="P143" s="469"/>
      <c r="Q143" s="469"/>
      <c r="R143" s="469"/>
      <c r="S143" s="468"/>
      <c r="T143" s="476"/>
      <c r="U143" s="476"/>
      <c r="V143" s="468"/>
      <c r="W143" s="468"/>
      <c r="X143" s="468"/>
      <c r="Y143" s="468"/>
      <c r="Z143" s="468"/>
      <c r="AA143" s="468"/>
      <c r="AB143" s="468" t="s">
        <v>483</v>
      </c>
      <c r="AC143" s="468"/>
      <c r="AD143" s="468">
        <v>300000</v>
      </c>
      <c r="AE143" s="477" t="s">
        <v>25</v>
      </c>
    </row>
    <row r="144" spans="1:31" s="11" customFormat="1" ht="21" customHeight="1">
      <c r="A144" s="38"/>
      <c r="B144" s="38"/>
      <c r="C144" s="38"/>
      <c r="D144" s="445"/>
      <c r="E144" s="446"/>
      <c r="F144" s="446"/>
      <c r="G144" s="446"/>
      <c r="H144" s="446"/>
      <c r="I144" s="446"/>
      <c r="J144" s="446"/>
      <c r="K144" s="446"/>
      <c r="L144" s="446"/>
      <c r="M144" s="97"/>
      <c r="N144" s="60"/>
      <c r="O144" s="469" t="s">
        <v>484</v>
      </c>
      <c r="P144" s="469"/>
      <c r="Q144" s="469"/>
      <c r="R144" s="469"/>
      <c r="S144" s="468"/>
      <c r="T144" s="476"/>
      <c r="U144" s="476"/>
      <c r="V144" s="468"/>
      <c r="W144" s="468"/>
      <c r="X144" s="468"/>
      <c r="Y144" s="468"/>
      <c r="Z144" s="468"/>
      <c r="AA144" s="468"/>
      <c r="AB144" s="468" t="s">
        <v>373</v>
      </c>
      <c r="AC144" s="468"/>
      <c r="AD144" s="468">
        <v>351000</v>
      </c>
      <c r="AE144" s="477" t="s">
        <v>25</v>
      </c>
    </row>
    <row r="145" spans="1:31" s="11" customFormat="1" ht="21" customHeight="1">
      <c r="A145" s="38"/>
      <c r="B145" s="38"/>
      <c r="C145" s="38"/>
      <c r="D145" s="133"/>
      <c r="E145" s="97"/>
      <c r="F145" s="97"/>
      <c r="G145" s="97"/>
      <c r="H145" s="97"/>
      <c r="I145" s="97"/>
      <c r="J145" s="97"/>
      <c r="K145" s="97"/>
      <c r="L145" s="97"/>
      <c r="M145" s="97"/>
      <c r="N145" s="60"/>
      <c r="O145" s="277"/>
      <c r="P145" s="277"/>
      <c r="Q145" s="277"/>
      <c r="R145" s="277"/>
      <c r="S145" s="297"/>
      <c r="T145" s="298"/>
      <c r="U145" s="283"/>
      <c r="V145" s="299"/>
      <c r="W145" s="297"/>
      <c r="X145" s="297"/>
      <c r="Y145" s="297"/>
      <c r="Z145" s="297"/>
      <c r="AA145" s="297"/>
      <c r="AB145" s="297"/>
      <c r="AC145" s="297"/>
      <c r="AD145" s="297"/>
      <c r="AE145" s="300"/>
    </row>
    <row r="146" spans="1:31" s="11" customFormat="1" ht="21" customHeight="1">
      <c r="A146" s="38"/>
      <c r="B146" s="38"/>
      <c r="C146" s="28" t="s">
        <v>407</v>
      </c>
      <c r="D146" s="135">
        <v>1280</v>
      </c>
      <c r="E146" s="102">
        <f>ROUND(AD146/1000,0)</f>
        <v>1320</v>
      </c>
      <c r="F146" s="103">
        <f>SUMIF($AB$147:$AB$148,"보조",$AD$147:$AD$148)/1000</f>
        <v>0</v>
      </c>
      <c r="G146" s="103">
        <f>SUMIF($AB$147:$AB$148,"4종",$AD$147:$AD$148)/1000</f>
        <v>320</v>
      </c>
      <c r="H146" s="103">
        <f>SUMIF($AB$147:$AB$148,"6종",$AD$147:$AD$148)/1000</f>
        <v>0</v>
      </c>
      <c r="I146" s="103">
        <f>SUMIF($AB$147:$AB$148,"후원",$AD$147:$AD$148)/1000</f>
        <v>0</v>
      </c>
      <c r="J146" s="103">
        <f>SUMIF($AB$147:$AB$148,"입소",$AD$147:$AD$148)/1000</f>
        <v>1000</v>
      </c>
      <c r="K146" s="103">
        <f>SUMIF($AB$147:$AB$148,"법인",$AD$147:$AD$148)/1000</f>
        <v>0</v>
      </c>
      <c r="L146" s="103">
        <f>SUMIF($AB$147:$AB$148,"잡수",$AD$147:$AD$148)/1000</f>
        <v>0</v>
      </c>
      <c r="M146" s="102">
        <f>E146-D146</f>
        <v>40</v>
      </c>
      <c r="N146" s="109">
        <f>IF(D146=0,0,M146/D146)</f>
        <v>3.125E-2</v>
      </c>
      <c r="O146" s="85" t="s">
        <v>107</v>
      </c>
      <c r="P146" s="430"/>
      <c r="Q146" s="154"/>
      <c r="R146" s="154"/>
      <c r="S146" s="154"/>
      <c r="T146" s="153"/>
      <c r="U146" s="153"/>
      <c r="V146" s="153"/>
      <c r="W146" s="153"/>
      <c r="X146" s="153"/>
      <c r="Y146" s="429" t="s">
        <v>391</v>
      </c>
      <c r="Z146" s="429"/>
      <c r="AA146" s="429"/>
      <c r="AB146" s="429"/>
      <c r="AC146" s="147"/>
      <c r="AD146" s="147">
        <f>SUM(AD147:AD148)</f>
        <v>1320000</v>
      </c>
      <c r="AE146" s="146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69" t="s">
        <v>485</v>
      </c>
      <c r="P147" s="469"/>
      <c r="Q147" s="468"/>
      <c r="R147" s="468"/>
      <c r="S147" s="468">
        <v>250000</v>
      </c>
      <c r="T147" s="468" t="s">
        <v>25</v>
      </c>
      <c r="U147" s="469" t="s">
        <v>26</v>
      </c>
      <c r="V147" s="468">
        <v>4</v>
      </c>
      <c r="W147" s="468" t="s">
        <v>110</v>
      </c>
      <c r="X147" s="469"/>
      <c r="Y147" s="468"/>
      <c r="Z147" s="468"/>
      <c r="AA147" s="468" t="s">
        <v>27</v>
      </c>
      <c r="AB147" s="468" t="s">
        <v>442</v>
      </c>
      <c r="AC147" s="441"/>
      <c r="AD147" s="441">
        <f>S147*V147</f>
        <v>1000000</v>
      </c>
      <c r="AE147" s="477" t="s">
        <v>25</v>
      </c>
    </row>
    <row r="148" spans="1:31" s="11" customFormat="1" ht="21" customHeight="1">
      <c r="A148" s="38"/>
      <c r="B148" s="38"/>
      <c r="C148" s="38"/>
      <c r="D148" s="133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9"/>
      <c r="P148" s="469"/>
      <c r="Q148" s="468"/>
      <c r="R148" s="468"/>
      <c r="S148" s="468">
        <v>80000</v>
      </c>
      <c r="T148" s="468" t="s">
        <v>25</v>
      </c>
      <c r="U148" s="469" t="s">
        <v>26</v>
      </c>
      <c r="V148" s="468">
        <v>4</v>
      </c>
      <c r="W148" s="468" t="s">
        <v>110</v>
      </c>
      <c r="X148" s="469"/>
      <c r="Y148" s="468"/>
      <c r="Z148" s="468"/>
      <c r="AA148" s="468" t="s">
        <v>27</v>
      </c>
      <c r="AB148" s="468" t="s">
        <v>298</v>
      </c>
      <c r="AC148" s="441"/>
      <c r="AD148" s="441">
        <f>S148*V148</f>
        <v>320000</v>
      </c>
      <c r="AE148" s="477" t="s">
        <v>25</v>
      </c>
    </row>
    <row r="149" spans="1:31" s="11" customFormat="1" ht="21" customHeight="1">
      <c r="A149" s="38"/>
      <c r="B149" s="38"/>
      <c r="C149" s="28" t="s">
        <v>408</v>
      </c>
      <c r="D149" s="135">
        <v>580</v>
      </c>
      <c r="E149" s="102">
        <f>ROUND(AD149/1000,0)</f>
        <v>620</v>
      </c>
      <c r="F149" s="103">
        <f>SUMIF($AB$150:$AB$153,"보조",$AD$150:$AD$153)/1000</f>
        <v>0</v>
      </c>
      <c r="G149" s="103">
        <f>SUMIF($AB$150:$AB$153,"4종",$AD$150:$AD$153)/1000</f>
        <v>160</v>
      </c>
      <c r="H149" s="103">
        <f>SUMIF($AB$150:$AB$153,"6종",$AD$150:$AD$153)/1000</f>
        <v>0</v>
      </c>
      <c r="I149" s="103">
        <f>SUMIF($AB$150:$AB$153,"후원",$AD$150:$AD$153)/1000</f>
        <v>0</v>
      </c>
      <c r="J149" s="103">
        <f>SUMIF($AB$150:$AB$153,"입소",$AD$150:$AD$153)/1000</f>
        <v>460</v>
      </c>
      <c r="K149" s="103">
        <f>SUMIF($AB$150:$AB$153,"법인",$AD$150:$AD$153)/1000</f>
        <v>0</v>
      </c>
      <c r="L149" s="103">
        <f>SUMIF($AB$150:$AB$153,"잡수",$AD$150:$AD$153)/1000</f>
        <v>0</v>
      </c>
      <c r="M149" s="102">
        <f>E149-D149</f>
        <v>40</v>
      </c>
      <c r="N149" s="109">
        <f>IF(D149=0,0,M149/D149)</f>
        <v>6.8965517241379309E-2</v>
      </c>
      <c r="O149" s="85" t="s">
        <v>409</v>
      </c>
      <c r="P149" s="430"/>
      <c r="Q149" s="154"/>
      <c r="R149" s="154"/>
      <c r="S149" s="154"/>
      <c r="T149" s="153"/>
      <c r="U149" s="153"/>
      <c r="V149" s="153"/>
      <c r="W149" s="153"/>
      <c r="X149" s="153"/>
      <c r="Y149" s="429" t="s">
        <v>410</v>
      </c>
      <c r="Z149" s="429"/>
      <c r="AA149" s="429"/>
      <c r="AB149" s="429"/>
      <c r="AC149" s="147"/>
      <c r="AD149" s="147">
        <f>SUM(AD150:AD152)</f>
        <v>620000</v>
      </c>
      <c r="AE149" s="146" t="s">
        <v>25</v>
      </c>
    </row>
    <row r="150" spans="1:31" s="13" customFormat="1" ht="21" customHeight="1">
      <c r="A150" s="38"/>
      <c r="B150" s="38"/>
      <c r="C150" s="38"/>
      <c r="D150" s="443"/>
      <c r="E150" s="444"/>
      <c r="F150" s="444"/>
      <c r="G150" s="444"/>
      <c r="H150" s="444"/>
      <c r="I150" s="444"/>
      <c r="J150" s="444"/>
      <c r="K150" s="444"/>
      <c r="L150" s="444"/>
      <c r="M150" s="97"/>
      <c r="N150" s="60"/>
      <c r="O150" s="469" t="s">
        <v>486</v>
      </c>
      <c r="P150" s="469"/>
      <c r="Q150" s="468"/>
      <c r="R150" s="468"/>
      <c r="S150" s="468">
        <v>40000</v>
      </c>
      <c r="T150" s="468" t="s">
        <v>25</v>
      </c>
      <c r="U150" s="469" t="s">
        <v>26</v>
      </c>
      <c r="V150" s="468">
        <v>1</v>
      </c>
      <c r="W150" s="468" t="s">
        <v>462</v>
      </c>
      <c r="X150" s="469" t="s">
        <v>26</v>
      </c>
      <c r="Y150" s="468">
        <v>4</v>
      </c>
      <c r="Z150" s="468" t="s">
        <v>110</v>
      </c>
      <c r="AA150" s="468" t="s">
        <v>27</v>
      </c>
      <c r="AB150" s="468" t="s">
        <v>442</v>
      </c>
      <c r="AC150" s="441"/>
      <c r="AD150" s="441">
        <f>S150*V150*Y150</f>
        <v>160000</v>
      </c>
      <c r="AE150" s="477" t="s">
        <v>25</v>
      </c>
    </row>
    <row r="151" spans="1:31" s="13" customFormat="1" ht="21" customHeight="1">
      <c r="A151" s="38"/>
      <c r="B151" s="38"/>
      <c r="C151" s="38"/>
      <c r="D151" s="445"/>
      <c r="E151" s="446"/>
      <c r="F151" s="446"/>
      <c r="G151" s="446"/>
      <c r="H151" s="446"/>
      <c r="I151" s="446"/>
      <c r="J151" s="446"/>
      <c r="K151" s="446"/>
      <c r="L151" s="446"/>
      <c r="M151" s="97"/>
      <c r="N151" s="274"/>
      <c r="O151" s="495"/>
      <c r="P151" s="469"/>
      <c r="Q151" s="469"/>
      <c r="R151" s="469"/>
      <c r="S151" s="468">
        <v>40000</v>
      </c>
      <c r="T151" s="468" t="s">
        <v>25</v>
      </c>
      <c r="U151" s="469" t="s">
        <v>26</v>
      </c>
      <c r="V151" s="468">
        <v>1</v>
      </c>
      <c r="W151" s="468" t="s">
        <v>462</v>
      </c>
      <c r="X151" s="469" t="s">
        <v>26</v>
      </c>
      <c r="Y151" s="468">
        <v>4</v>
      </c>
      <c r="Z151" s="468" t="s">
        <v>110</v>
      </c>
      <c r="AA151" s="468" t="s">
        <v>27</v>
      </c>
      <c r="AB151" s="468" t="s">
        <v>298</v>
      </c>
      <c r="AC151" s="441"/>
      <c r="AD151" s="468">
        <f>S151*Y151</f>
        <v>160000</v>
      </c>
      <c r="AE151" s="477" t="s">
        <v>25</v>
      </c>
    </row>
    <row r="152" spans="1:31" s="13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95" t="s">
        <v>487</v>
      </c>
      <c r="P152" s="469"/>
      <c r="Q152" s="469"/>
      <c r="R152" s="469"/>
      <c r="S152" s="468"/>
      <c r="T152" s="468"/>
      <c r="U152" s="469"/>
      <c r="V152" s="468"/>
      <c r="W152" s="468"/>
      <c r="X152" s="469"/>
      <c r="Y152" s="497"/>
      <c r="Z152" s="473"/>
      <c r="AA152" s="473"/>
      <c r="AB152" s="468" t="s">
        <v>442</v>
      </c>
      <c r="AC152" s="441"/>
      <c r="AD152" s="468">
        <v>300000</v>
      </c>
      <c r="AE152" s="477" t="s">
        <v>25</v>
      </c>
    </row>
    <row r="153" spans="1:31" s="11" customFormat="1" ht="21" customHeight="1">
      <c r="A153" s="38"/>
      <c r="B153" s="38"/>
      <c r="C153" s="49"/>
      <c r="D153" s="134"/>
      <c r="E153" s="140"/>
      <c r="F153" s="140"/>
      <c r="G153" s="140"/>
      <c r="H153" s="140"/>
      <c r="I153" s="140"/>
      <c r="J153" s="140"/>
      <c r="K153" s="140"/>
      <c r="L153" s="140"/>
      <c r="M153" s="118"/>
      <c r="N153" s="75"/>
      <c r="O153" s="403"/>
      <c r="P153" s="403"/>
      <c r="Q153" s="403"/>
      <c r="R153" s="403"/>
      <c r="S153" s="403"/>
      <c r="T153" s="119"/>
      <c r="U153" s="432"/>
      <c r="V153" s="290"/>
      <c r="W153" s="432"/>
      <c r="X153" s="432"/>
      <c r="Y153" s="432"/>
      <c r="Z153" s="432"/>
      <c r="AA153" s="432"/>
      <c r="AB153" s="432"/>
      <c r="AC153" s="432"/>
      <c r="AD153" s="432"/>
      <c r="AE153" s="122"/>
    </row>
    <row r="154" spans="1:31" s="11" customFormat="1" ht="21" customHeight="1">
      <c r="A154" s="38"/>
      <c r="B154" s="38"/>
      <c r="C154" s="38" t="s">
        <v>411</v>
      </c>
      <c r="D154" s="116">
        <v>60</v>
      </c>
      <c r="E154" s="97">
        <f>ROUND(AD154/1000,0)</f>
        <v>60</v>
      </c>
      <c r="F154" s="103">
        <f>SUMIF($AB$155:$AB$156,"보조",$AD$155:$AD$156)/1000</f>
        <v>0</v>
      </c>
      <c r="G154" s="103">
        <f>SUMIF($AB$155:$AB$156,"4종",$AD$155:$AD$156)/1000</f>
        <v>0</v>
      </c>
      <c r="H154" s="103">
        <f>SUMIF($AB$155:$AB$156,"6종",$AD$155:$AD$156)/1000</f>
        <v>0</v>
      </c>
      <c r="I154" s="103">
        <f>SUMIF($AB$155:$AB$156,"후원",$AD$155:$AD$156)/1000</f>
        <v>0</v>
      </c>
      <c r="J154" s="103">
        <f>SUMIF($AB$155:$AB$156,"입소",$AD$155:$AD$156)/1000</f>
        <v>60</v>
      </c>
      <c r="K154" s="103">
        <f>SUMIF($AB$155:$AB$156,"법인",$AD$155:$AD$156)/1000</f>
        <v>0</v>
      </c>
      <c r="L154" s="103">
        <f>SUMIF($AB$155:$AB$156,"잡수",$AD$155:$AD$156)/1000</f>
        <v>0</v>
      </c>
      <c r="M154" s="97">
        <f>E154-D154</f>
        <v>0</v>
      </c>
      <c r="N154" s="60">
        <f>IF(D154=0,0,M154/D154)</f>
        <v>0</v>
      </c>
      <c r="O154" s="85" t="s">
        <v>412</v>
      </c>
      <c r="P154" s="154"/>
      <c r="Q154" s="154"/>
      <c r="R154" s="154"/>
      <c r="S154" s="154"/>
      <c r="T154" s="153"/>
      <c r="U154" s="153"/>
      <c r="V154" s="153"/>
      <c r="W154" s="153"/>
      <c r="X154" s="153"/>
      <c r="Y154" s="429" t="s">
        <v>410</v>
      </c>
      <c r="Z154" s="429"/>
      <c r="AA154" s="429"/>
      <c r="AB154" s="429"/>
      <c r="AC154" s="147"/>
      <c r="AD154" s="147">
        <f>SUM(AD155:AD156)</f>
        <v>60000</v>
      </c>
      <c r="AE154" s="146" t="s">
        <v>25</v>
      </c>
    </row>
    <row r="155" spans="1:31" s="11" customFormat="1" ht="21" customHeight="1">
      <c r="A155" s="38"/>
      <c r="B155" s="38"/>
      <c r="C155" s="38"/>
      <c r="D155" s="443"/>
      <c r="E155" s="444"/>
      <c r="F155" s="444"/>
      <c r="G155" s="444"/>
      <c r="H155" s="444"/>
      <c r="I155" s="444"/>
      <c r="J155" s="444"/>
      <c r="K155" s="444"/>
      <c r="L155" s="444"/>
      <c r="M155" s="97"/>
      <c r="N155" s="60"/>
      <c r="O155" s="469" t="s">
        <v>488</v>
      </c>
      <c r="P155" s="469"/>
      <c r="Q155" s="469"/>
      <c r="R155" s="469"/>
      <c r="S155" s="468">
        <v>10000</v>
      </c>
      <c r="T155" s="476" t="s">
        <v>25</v>
      </c>
      <c r="U155" s="476" t="s">
        <v>26</v>
      </c>
      <c r="V155" s="468">
        <v>6</v>
      </c>
      <c r="W155" s="468" t="s">
        <v>29</v>
      </c>
      <c r="X155" s="473"/>
      <c r="Y155" s="504"/>
      <c r="Z155" s="505"/>
      <c r="AA155" s="506" t="s">
        <v>27</v>
      </c>
      <c r="AB155" s="468" t="s">
        <v>442</v>
      </c>
      <c r="AC155" s="468"/>
      <c r="AD155" s="468">
        <f>S155*V155</f>
        <v>60000</v>
      </c>
      <c r="AE155" s="477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433"/>
      <c r="P156" s="433"/>
      <c r="Q156" s="433"/>
      <c r="R156" s="433"/>
      <c r="S156" s="432"/>
      <c r="T156" s="295"/>
      <c r="U156" s="433"/>
      <c r="V156" s="432"/>
      <c r="W156" s="433"/>
      <c r="X156" s="432"/>
      <c r="Y156" s="432"/>
      <c r="Z156" s="432"/>
      <c r="AA156" s="432"/>
      <c r="AB156" s="432"/>
      <c r="AC156" s="432"/>
      <c r="AD156" s="432"/>
      <c r="AE156" s="122"/>
    </row>
    <row r="157" spans="1:31" s="11" customFormat="1" ht="21" customHeight="1">
      <c r="A157" s="38"/>
      <c r="B157" s="28" t="s">
        <v>413</v>
      </c>
      <c r="C157" s="143" t="s">
        <v>414</v>
      </c>
      <c r="D157" s="144">
        <f>SUM(D158,D163,D164,D166,D169,D173,D179,D183)</f>
        <v>3445</v>
      </c>
      <c r="E157" s="144">
        <f t="shared" ref="E157:L157" si="9">SUM(E158,E163,E166,E169,E173,E179,E183)</f>
        <v>6001</v>
      </c>
      <c r="F157" s="144">
        <f t="shared" ca="1" si="9"/>
        <v>0</v>
      </c>
      <c r="G157" s="144">
        <f t="shared" si="9"/>
        <v>0</v>
      </c>
      <c r="H157" s="144">
        <f t="shared" si="9"/>
        <v>0</v>
      </c>
      <c r="I157" s="144">
        <f t="shared" si="9"/>
        <v>0</v>
      </c>
      <c r="J157" s="144">
        <f t="shared" si="9"/>
        <v>5649</v>
      </c>
      <c r="K157" s="144">
        <f t="shared" si="9"/>
        <v>0</v>
      </c>
      <c r="L157" s="144">
        <f t="shared" si="9"/>
        <v>352</v>
      </c>
      <c r="M157" s="144">
        <f>SUM(M158,M163,M164,M166,M169,M173,M179,M183)</f>
        <v>2556</v>
      </c>
      <c r="N157" s="141">
        <f>IF(D157=0,0,M157/D157)</f>
        <v>0.74194484760522494</v>
      </c>
      <c r="O157" s="430"/>
      <c r="P157" s="430"/>
      <c r="Q157" s="430"/>
      <c r="R157" s="430"/>
      <c r="S157" s="430"/>
      <c r="T157" s="429"/>
      <c r="U157" s="429"/>
      <c r="V157" s="429"/>
      <c r="W157" s="429"/>
      <c r="X157" s="429"/>
      <c r="Y157" s="429" t="s">
        <v>28</v>
      </c>
      <c r="Z157" s="429"/>
      <c r="AA157" s="429"/>
      <c r="AB157" s="429"/>
      <c r="AC157" s="147"/>
      <c r="AD157" s="147">
        <f>SUM(AD158,AD163,AD166,AD169,AD173,AD179,AD183)</f>
        <v>6001000</v>
      </c>
      <c r="AE157" s="146" t="s">
        <v>25</v>
      </c>
    </row>
    <row r="158" spans="1:31" s="11" customFormat="1" ht="21" customHeight="1">
      <c r="A158" s="38"/>
      <c r="B158" s="38" t="s">
        <v>415</v>
      </c>
      <c r="C158" s="28" t="s">
        <v>492</v>
      </c>
      <c r="D158" s="135">
        <v>785</v>
      </c>
      <c r="E158" s="97">
        <f>ROUND(AD158/1000,0)</f>
        <v>870</v>
      </c>
      <c r="F158" s="103">
        <f>SUMIF($AB$159:$AB$162,"보조",$AD$159:$AD$162)/1000</f>
        <v>0</v>
      </c>
      <c r="G158" s="103">
        <f>SUMIF($AB$159:$AB$162,"4종",$AD$159:$AD$162)/1000</f>
        <v>0</v>
      </c>
      <c r="H158" s="103">
        <f>SUMIF($AB$159:$AB$162,"6종",$AD$159:$AD$162)/1000</f>
        <v>0</v>
      </c>
      <c r="I158" s="103">
        <f>SUMIF($AB$159:$AB$162,"후원",$AD$159:$AD$162)/1000</f>
        <v>0</v>
      </c>
      <c r="J158" s="103">
        <f>SUMIF($AB$159:$AB$162,"입소",$AD$159:$AD$162)/1000</f>
        <v>870</v>
      </c>
      <c r="K158" s="103">
        <f>SUMIF($AB$159:$AB$162,"법인",$AD$159:$AD$162)/1000</f>
        <v>0</v>
      </c>
      <c r="L158" s="103">
        <f>SUMIF($AB$159:$AB$162,"잡수",$AD$159:$AD$162)/1000</f>
        <v>0</v>
      </c>
      <c r="M158" s="97">
        <f>E158-D158</f>
        <v>85</v>
      </c>
      <c r="N158" s="60">
        <f>IF(D158=0,0,M158/D158)</f>
        <v>0.10828025477707007</v>
      </c>
      <c r="O158" s="85"/>
      <c r="P158" s="154"/>
      <c r="Q158" s="154"/>
      <c r="R158" s="154"/>
      <c r="S158" s="154"/>
      <c r="T158" s="153"/>
      <c r="U158" s="153"/>
      <c r="V158" s="153"/>
      <c r="W158" s="153"/>
      <c r="X158" s="153"/>
      <c r="Y158" s="429" t="s">
        <v>410</v>
      </c>
      <c r="Z158" s="429"/>
      <c r="AA158" s="429"/>
      <c r="AB158" s="429"/>
      <c r="AC158" s="147"/>
      <c r="AD158" s="147">
        <f>SUM(AD159:AD162)</f>
        <v>870000</v>
      </c>
      <c r="AE158" s="146" t="s">
        <v>25</v>
      </c>
    </row>
    <row r="159" spans="1:31" s="11" customFormat="1" ht="21" customHeight="1">
      <c r="A159" s="38"/>
      <c r="B159" s="38"/>
      <c r="C159" s="38" t="s">
        <v>418</v>
      </c>
      <c r="D159" s="443"/>
      <c r="E159" s="444"/>
      <c r="F159" s="444"/>
      <c r="G159" s="444"/>
      <c r="H159" s="444"/>
      <c r="I159" s="444"/>
      <c r="J159" s="444"/>
      <c r="K159" s="444"/>
      <c r="L159" s="444"/>
      <c r="M159" s="97"/>
      <c r="N159" s="60"/>
      <c r="O159" s="469" t="s">
        <v>489</v>
      </c>
      <c r="P159" s="469"/>
      <c r="Q159" s="469"/>
      <c r="R159" s="469"/>
      <c r="S159" s="468">
        <v>50000</v>
      </c>
      <c r="T159" s="476" t="s">
        <v>25</v>
      </c>
      <c r="U159" s="476" t="s">
        <v>26</v>
      </c>
      <c r="V159" s="468">
        <v>4</v>
      </c>
      <c r="W159" s="468" t="s">
        <v>110</v>
      </c>
      <c r="X159" s="473"/>
      <c r="Y159" s="504"/>
      <c r="Z159" s="505"/>
      <c r="AA159" s="506" t="s">
        <v>27</v>
      </c>
      <c r="AB159" s="468" t="s">
        <v>442</v>
      </c>
      <c r="AC159" s="468"/>
      <c r="AD159" s="468">
        <f>S159*V159</f>
        <v>200000</v>
      </c>
      <c r="AE159" s="477" t="s">
        <v>25</v>
      </c>
    </row>
    <row r="160" spans="1:31" s="11" customFormat="1" ht="21" customHeight="1">
      <c r="A160" s="38"/>
      <c r="B160" s="38"/>
      <c r="C160" s="38"/>
      <c r="D160" s="445"/>
      <c r="E160" s="446"/>
      <c r="F160" s="446"/>
      <c r="G160" s="446"/>
      <c r="H160" s="446"/>
      <c r="I160" s="446"/>
      <c r="J160" s="446"/>
      <c r="K160" s="446"/>
      <c r="L160" s="446"/>
      <c r="M160" s="97"/>
      <c r="N160" s="60"/>
      <c r="O160" s="469" t="s">
        <v>490</v>
      </c>
      <c r="P160" s="469"/>
      <c r="Q160" s="469"/>
      <c r="R160" s="469"/>
      <c r="S160" s="468">
        <v>17000</v>
      </c>
      <c r="T160" s="476" t="s">
        <v>25</v>
      </c>
      <c r="U160" s="476" t="s">
        <v>26</v>
      </c>
      <c r="V160" s="468">
        <v>5</v>
      </c>
      <c r="W160" s="468" t="s">
        <v>55</v>
      </c>
      <c r="X160" s="476" t="s">
        <v>26</v>
      </c>
      <c r="Y160" s="504">
        <v>2</v>
      </c>
      <c r="Z160" s="505" t="s">
        <v>71</v>
      </c>
      <c r="AA160" s="506" t="s">
        <v>27</v>
      </c>
      <c r="AB160" s="468" t="s">
        <v>442</v>
      </c>
      <c r="AC160" s="468"/>
      <c r="AD160" s="468">
        <f>S160*V160*Y160</f>
        <v>170000</v>
      </c>
      <c r="AE160" s="477" t="s">
        <v>25</v>
      </c>
    </row>
    <row r="161" spans="1:31" s="11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69" t="s">
        <v>491</v>
      </c>
      <c r="P161" s="469"/>
      <c r="Q161" s="469"/>
      <c r="R161" s="469"/>
      <c r="S161" s="468">
        <v>50000</v>
      </c>
      <c r="T161" s="476" t="s">
        <v>25</v>
      </c>
      <c r="U161" s="476" t="s">
        <v>26</v>
      </c>
      <c r="V161" s="468">
        <v>10</v>
      </c>
      <c r="W161" s="468" t="s">
        <v>462</v>
      </c>
      <c r="X161" s="473"/>
      <c r="Y161" s="504"/>
      <c r="Z161" s="505"/>
      <c r="AA161" s="506" t="s">
        <v>27</v>
      </c>
      <c r="AB161" s="468" t="s">
        <v>442</v>
      </c>
      <c r="AC161" s="468"/>
      <c r="AD161" s="468">
        <f>S161*V161</f>
        <v>500000</v>
      </c>
      <c r="AE161" s="477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33"/>
      <c r="P162" s="403"/>
      <c r="Q162" s="403"/>
      <c r="R162" s="403"/>
      <c r="S162" s="403"/>
      <c r="T162" s="403"/>
      <c r="U162" s="403"/>
      <c r="V162" s="403"/>
      <c r="W162" s="403"/>
      <c r="X162" s="403"/>
      <c r="Y162" s="403"/>
      <c r="Z162" s="403"/>
      <c r="AA162" s="403"/>
      <c r="AB162" s="403"/>
      <c r="AC162" s="403"/>
      <c r="AD162" s="403"/>
      <c r="AE162" s="404"/>
    </row>
    <row r="163" spans="1:31" s="11" customFormat="1" ht="21" customHeight="1">
      <c r="A163" s="38"/>
      <c r="B163" s="38"/>
      <c r="C163" s="28" t="s">
        <v>417</v>
      </c>
      <c r="D163" s="135">
        <v>200</v>
      </c>
      <c r="E163" s="102">
        <f>ROUND(AD163/1000,0)</f>
        <v>200</v>
      </c>
      <c r="F163" s="103">
        <f>SUMIF($AB$165:$AB$165,"보조",$AD$165:$AD$165)/1000</f>
        <v>0</v>
      </c>
      <c r="G163" s="103">
        <f>SUMIF($AB$165:$AB$165,"4종",$AD$165:$AD$165)/1000</f>
        <v>0</v>
      </c>
      <c r="H163" s="103">
        <f>SUMIF($AB$165:$AB$165,"6종",$AD$165:$AD$165)/1000</f>
        <v>0</v>
      </c>
      <c r="I163" s="103">
        <f>SUMIF($AB$165:$AB$165,"후원",$AD$165:$AD$165)/1000</f>
        <v>0</v>
      </c>
      <c r="J163" s="103">
        <f>SUMIF($AB$164:$AB$165,"입소",$AD$164:$AD$165)/1000</f>
        <v>200</v>
      </c>
      <c r="K163" s="103">
        <f>SUMIF($AB$165:$AB$165,"법인",$AD$165:$AD$165)/1000</f>
        <v>0</v>
      </c>
      <c r="L163" s="103">
        <f>SUMIF($AB$165:$AB$165,"잡수",$AD$165:$AD$165)/1000</f>
        <v>0</v>
      </c>
      <c r="M163" s="156">
        <f>E163-D163</f>
        <v>0</v>
      </c>
      <c r="N163" s="109">
        <f>IF(D163=0,0,M163/D163)</f>
        <v>0</v>
      </c>
      <c r="O163" s="288"/>
      <c r="P163" s="303"/>
      <c r="Q163" s="303"/>
      <c r="R163" s="457"/>
      <c r="S163" s="457"/>
      <c r="T163" s="457"/>
      <c r="U163" s="457"/>
      <c r="V163" s="457"/>
      <c r="W163" s="458" t="s">
        <v>416</v>
      </c>
      <c r="X163" s="458"/>
      <c r="Y163" s="458"/>
      <c r="Z163" s="458"/>
      <c r="AA163" s="458"/>
      <c r="AB163" s="458"/>
      <c r="AC163" s="459"/>
      <c r="AD163" s="460">
        <f>SUM(AD164:AD165)</f>
        <v>200000</v>
      </c>
      <c r="AE163" s="461" t="s">
        <v>25</v>
      </c>
    </row>
    <row r="164" spans="1:31" s="11" customFormat="1" ht="21" customHeight="1">
      <c r="A164" s="38"/>
      <c r="B164" s="38"/>
      <c r="C164" s="38" t="s">
        <v>105</v>
      </c>
      <c r="D164" s="133"/>
      <c r="E164" s="97"/>
      <c r="F164" s="97"/>
      <c r="G164" s="97"/>
      <c r="H164" s="97"/>
      <c r="I164" s="97"/>
      <c r="J164" s="97"/>
      <c r="K164" s="97"/>
      <c r="L164" s="97"/>
      <c r="M164" s="97"/>
      <c r="N164" s="60"/>
      <c r="O164" s="469" t="s">
        <v>493</v>
      </c>
      <c r="P164" s="469"/>
      <c r="Q164" s="469"/>
      <c r="R164" s="469"/>
      <c r="S164" s="468"/>
      <c r="T164" s="476"/>
      <c r="U164" s="476"/>
      <c r="V164" s="468"/>
      <c r="W164" s="469"/>
      <c r="X164" s="468"/>
      <c r="Y164" s="507"/>
      <c r="Z164" s="507"/>
      <c r="AA164" s="507"/>
      <c r="AB164" s="507" t="s">
        <v>442</v>
      </c>
      <c r="AC164" s="507"/>
      <c r="AD164" s="508">
        <v>200000</v>
      </c>
      <c r="AE164" s="509" t="s">
        <v>25</v>
      </c>
    </row>
    <row r="165" spans="1:31" s="11" customFormat="1" ht="24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33"/>
      <c r="P165" s="403"/>
      <c r="Q165" s="403"/>
      <c r="R165" s="403"/>
      <c r="S165" s="403"/>
      <c r="T165" s="403"/>
      <c r="U165" s="403"/>
      <c r="V165" s="403"/>
      <c r="W165" s="403"/>
      <c r="X165" s="403"/>
      <c r="Y165" s="403"/>
      <c r="Z165" s="403"/>
      <c r="AA165" s="403"/>
      <c r="AB165" s="403"/>
      <c r="AC165" s="403"/>
      <c r="AD165" s="403"/>
      <c r="AE165" s="404"/>
    </row>
    <row r="166" spans="1:31" s="14" customFormat="1" ht="24" customHeight="1">
      <c r="A166" s="38"/>
      <c r="B166" s="38"/>
      <c r="C166" s="28" t="s">
        <v>495</v>
      </c>
      <c r="D166" s="462">
        <v>300</v>
      </c>
      <c r="E166" s="102">
        <f>ROUND(AD166/1000,0)</f>
        <v>300</v>
      </c>
      <c r="F166" s="103">
        <f ca="1">SUMIF($AB$167:$AB$168,"보조",$AD$165:$AD$165)/1000</f>
        <v>0</v>
      </c>
      <c r="G166" s="103">
        <f>SUMIF($AB$167:$AB$168,"4종",$AD$167:$AD$168)/1000</f>
        <v>0</v>
      </c>
      <c r="H166" s="103">
        <f>SUMIF($AB$167:$AB$168,"6종",$AD$167:$AD$168)/1000</f>
        <v>0</v>
      </c>
      <c r="I166" s="103">
        <f>SUMIF($AB$167:$AB$168,"후원",$AD$167:$AD$168)/1000</f>
        <v>0</v>
      </c>
      <c r="J166" s="103">
        <f>SUMIF($AB$167:$AB$168,"입소",$AD$167:$AD$168)/1000</f>
        <v>300</v>
      </c>
      <c r="K166" s="103">
        <f>SUMIF($AB$167:$AB$168,"법인",$AD$167:$AD$168)/1000</f>
        <v>0</v>
      </c>
      <c r="L166" s="103">
        <f>SUMIF($AB$167:$AB$168,"잡수",$AD$167:$AD$168)/1000</f>
        <v>0</v>
      </c>
      <c r="M166" s="102">
        <f>E166-D166</f>
        <v>0</v>
      </c>
      <c r="N166" s="109">
        <f>IF(D166=0,0,M166/D166)</f>
        <v>0</v>
      </c>
      <c r="O166" s="463"/>
      <c r="P166" s="139"/>
      <c r="Q166" s="139"/>
      <c r="R166" s="139"/>
      <c r="S166" s="139"/>
      <c r="T166" s="79"/>
      <c r="U166" s="79"/>
      <c r="V166" s="79"/>
      <c r="W166" s="128" t="s">
        <v>416</v>
      </c>
      <c r="X166" s="128"/>
      <c r="Y166" s="128"/>
      <c r="Z166" s="128"/>
      <c r="AA166" s="128"/>
      <c r="AB166" s="128"/>
      <c r="AC166" s="129"/>
      <c r="AD166" s="464">
        <f>SUM(AD167:AD168)</f>
        <v>300000</v>
      </c>
      <c r="AE166" s="130" t="s">
        <v>25</v>
      </c>
    </row>
    <row r="167" spans="1:31" s="14" customFormat="1" ht="24" customHeight="1">
      <c r="A167" s="38"/>
      <c r="B167" s="38"/>
      <c r="C167" s="38" t="s">
        <v>418</v>
      </c>
      <c r="D167" s="443"/>
      <c r="E167" s="444"/>
      <c r="F167" s="444"/>
      <c r="G167" s="444"/>
      <c r="H167" s="444"/>
      <c r="I167" s="444"/>
      <c r="J167" s="444"/>
      <c r="K167" s="444"/>
      <c r="L167" s="444"/>
      <c r="M167" s="97"/>
      <c r="N167" s="60"/>
      <c r="O167" s="469" t="s">
        <v>494</v>
      </c>
      <c r="P167" s="485"/>
      <c r="Q167" s="485"/>
      <c r="R167" s="482"/>
      <c r="S167" s="468">
        <v>10000</v>
      </c>
      <c r="T167" s="468" t="s">
        <v>25</v>
      </c>
      <c r="U167" s="469" t="s">
        <v>26</v>
      </c>
      <c r="V167" s="468">
        <v>5</v>
      </c>
      <c r="W167" s="468" t="s">
        <v>110</v>
      </c>
      <c r="X167" s="469" t="s">
        <v>26</v>
      </c>
      <c r="Y167" s="497">
        <v>6</v>
      </c>
      <c r="Z167" s="473" t="s">
        <v>462</v>
      </c>
      <c r="AA167" s="473" t="s">
        <v>27</v>
      </c>
      <c r="AB167" s="468" t="s">
        <v>442</v>
      </c>
      <c r="AC167" s="441"/>
      <c r="AD167" s="468">
        <f>S167*V167*Y167</f>
        <v>300000</v>
      </c>
      <c r="AE167" s="477" t="s">
        <v>25</v>
      </c>
    </row>
    <row r="168" spans="1:31" s="14" customFormat="1" ht="24" customHeight="1">
      <c r="A168" s="38"/>
      <c r="B168" s="38"/>
      <c r="C168" s="38"/>
      <c r="D168" s="445"/>
      <c r="E168" s="446"/>
      <c r="F168" s="446"/>
      <c r="G168" s="446"/>
      <c r="H168" s="446"/>
      <c r="I168" s="446"/>
      <c r="J168" s="446"/>
      <c r="K168" s="446"/>
      <c r="L168" s="446"/>
      <c r="M168" s="97"/>
      <c r="N168" s="60"/>
      <c r="O168" s="433"/>
      <c r="P168" s="433"/>
      <c r="Q168" s="433"/>
      <c r="R168" s="433"/>
      <c r="S168" s="433"/>
      <c r="T168" s="432"/>
      <c r="U168" s="432"/>
      <c r="V168" s="432"/>
      <c r="W168" s="432"/>
      <c r="X168" s="432"/>
      <c r="Y168" s="432"/>
      <c r="Z168" s="432"/>
      <c r="AA168" s="432"/>
      <c r="AB168" s="432"/>
      <c r="AC168" s="440"/>
      <c r="AD168" s="403"/>
      <c r="AE168" s="122"/>
    </row>
    <row r="169" spans="1:31" s="14" customFormat="1" ht="24" customHeight="1">
      <c r="A169" s="38"/>
      <c r="B169" s="38"/>
      <c r="C169" s="28" t="s">
        <v>500</v>
      </c>
      <c r="D169" s="135">
        <v>70</v>
      </c>
      <c r="E169" s="102">
        <f>ROUND(AD169/1000,0)</f>
        <v>450</v>
      </c>
      <c r="F169" s="103">
        <f>SUMIF($AB$170:$AB$172,"보조",$AD$170:$AD$172)/1000</f>
        <v>0</v>
      </c>
      <c r="G169" s="103">
        <f>SUMIF($AB$170:$AB$172,"4종",$AD$170:$AD$172)/1000</f>
        <v>0</v>
      </c>
      <c r="H169" s="103">
        <f>SUMIF($AB$170:$AB$172,"6종",$AD$170:$AD$172)/1000</f>
        <v>0</v>
      </c>
      <c r="I169" s="103">
        <f>SUMIF($AB$170:$AB$172,"후원",$AD$170:$AD$172)/1000</f>
        <v>0</v>
      </c>
      <c r="J169" s="103">
        <f>SUMIF($AB$170:$AB$172,"입소",$AD$170:$AD$172)/1000</f>
        <v>450</v>
      </c>
      <c r="K169" s="103">
        <f>SUMIF($AB$170:$AB$172,"법인",$AD$170:$AD$172)/1000</f>
        <v>0</v>
      </c>
      <c r="L169" s="103">
        <f>SUMIF($AB$170:$AB$172,"잡수",$AD$170:$AD$172)/1000</f>
        <v>0</v>
      </c>
      <c r="M169" s="102">
        <f>E169-D169</f>
        <v>380</v>
      </c>
      <c r="N169" s="109">
        <f>IF(D169=0,0,M169/D169)</f>
        <v>5.4285714285714288</v>
      </c>
      <c r="O169" s="288"/>
      <c r="P169" s="303"/>
      <c r="Q169" s="303"/>
      <c r="R169" s="457"/>
      <c r="S169" s="457"/>
      <c r="T169" s="457"/>
      <c r="U169" s="457"/>
      <c r="V169" s="457"/>
      <c r="W169" s="458" t="s">
        <v>416</v>
      </c>
      <c r="X169" s="458"/>
      <c r="Y169" s="458"/>
      <c r="Z169" s="458"/>
      <c r="AA169" s="458"/>
      <c r="AB169" s="458"/>
      <c r="AC169" s="459"/>
      <c r="AD169" s="534">
        <f>SUM(AD170:AD172)</f>
        <v>450000</v>
      </c>
      <c r="AE169" s="130" t="s">
        <v>25</v>
      </c>
    </row>
    <row r="170" spans="1:31" s="14" customFormat="1" ht="24" customHeight="1">
      <c r="A170" s="38"/>
      <c r="B170" s="38"/>
      <c r="C170" s="38" t="s">
        <v>418</v>
      </c>
      <c r="D170" s="443"/>
      <c r="E170" s="444"/>
      <c r="F170" s="444"/>
      <c r="G170" s="444"/>
      <c r="H170" s="444"/>
      <c r="I170" s="444"/>
      <c r="J170" s="444"/>
      <c r="K170" s="444"/>
      <c r="L170" s="444"/>
      <c r="M170" s="97"/>
      <c r="N170" s="60"/>
      <c r="O170" s="469" t="s">
        <v>498</v>
      </c>
      <c r="P170" s="510"/>
      <c r="Q170" s="510"/>
      <c r="R170" s="510"/>
      <c r="S170" s="468">
        <v>10000</v>
      </c>
      <c r="T170" s="476" t="s">
        <v>25</v>
      </c>
      <c r="U170" s="476" t="s">
        <v>26</v>
      </c>
      <c r="V170" s="468">
        <v>5</v>
      </c>
      <c r="W170" s="469" t="s">
        <v>110</v>
      </c>
      <c r="X170" s="469" t="s">
        <v>26</v>
      </c>
      <c r="Y170" s="497">
        <v>3</v>
      </c>
      <c r="Z170" s="473" t="s">
        <v>462</v>
      </c>
      <c r="AA170" s="507" t="s">
        <v>27</v>
      </c>
      <c r="AB170" s="507" t="s">
        <v>442</v>
      </c>
      <c r="AC170" s="507"/>
      <c r="AD170" s="508">
        <f>S170*V170*Y170</f>
        <v>150000</v>
      </c>
      <c r="AE170" s="509" t="s">
        <v>25</v>
      </c>
    </row>
    <row r="171" spans="1:31" s="14" customFormat="1" ht="24" customHeight="1">
      <c r="A171" s="38"/>
      <c r="B171" s="38"/>
      <c r="C171" s="38"/>
      <c r="D171" s="445"/>
      <c r="E171" s="446"/>
      <c r="F171" s="446"/>
      <c r="G171" s="446"/>
      <c r="H171" s="446"/>
      <c r="I171" s="446"/>
      <c r="J171" s="446"/>
      <c r="K171" s="446"/>
      <c r="L171" s="446"/>
      <c r="M171" s="97"/>
      <c r="N171" s="60"/>
      <c r="O171" s="469" t="s">
        <v>499</v>
      </c>
      <c r="P171" s="510"/>
      <c r="Q171" s="510"/>
      <c r="R171" s="510"/>
      <c r="S171" s="468">
        <v>20000</v>
      </c>
      <c r="T171" s="476" t="s">
        <v>25</v>
      </c>
      <c r="U171" s="476" t="s">
        <v>26</v>
      </c>
      <c r="V171" s="468">
        <v>5</v>
      </c>
      <c r="W171" s="469" t="s">
        <v>110</v>
      </c>
      <c r="X171" s="469" t="s">
        <v>26</v>
      </c>
      <c r="Y171" s="497">
        <v>3</v>
      </c>
      <c r="Z171" s="473" t="s">
        <v>462</v>
      </c>
      <c r="AA171" s="507" t="s">
        <v>27</v>
      </c>
      <c r="AB171" s="507" t="s">
        <v>442</v>
      </c>
      <c r="AC171" s="507"/>
      <c r="AD171" s="508">
        <f>S171*V171*Y171</f>
        <v>300000</v>
      </c>
      <c r="AE171" s="509" t="s">
        <v>25</v>
      </c>
    </row>
    <row r="172" spans="1:31" s="14" customFormat="1" ht="24" customHeight="1">
      <c r="A172" s="38"/>
      <c r="B172" s="38"/>
      <c r="C172" s="38"/>
      <c r="D172" s="136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33"/>
      <c r="P172" s="433"/>
      <c r="Q172" s="433"/>
      <c r="R172" s="433"/>
      <c r="S172" s="433"/>
      <c r="T172" s="432"/>
      <c r="U172" s="432"/>
      <c r="V172" s="432"/>
      <c r="W172" s="432"/>
      <c r="X172" s="432"/>
      <c r="Y172" s="432"/>
      <c r="Z172" s="432"/>
      <c r="AA172" s="432"/>
      <c r="AB172" s="432"/>
      <c r="AC172" s="121"/>
      <c r="AD172" s="474"/>
      <c r="AE172" s="122"/>
    </row>
    <row r="173" spans="1:31" s="14" customFormat="1" ht="24" customHeight="1">
      <c r="A173" s="38"/>
      <c r="B173" s="38"/>
      <c r="C173" s="28" t="s">
        <v>497</v>
      </c>
      <c r="D173" s="462">
        <v>1550</v>
      </c>
      <c r="E173" s="102">
        <f>ROUND(AD173/1000,0)</f>
        <v>3384</v>
      </c>
      <c r="F173" s="103">
        <f>SUMIF($AB$174:$AB$178,"보조",$AD$174:$AD$178)/1000</f>
        <v>0</v>
      </c>
      <c r="G173" s="103">
        <f>SUMIF($AB$174:$AB$178,"4종",$AD$174:$AD$178)/1000</f>
        <v>0</v>
      </c>
      <c r="H173" s="103">
        <f>SUMIF($AB$174:$AB$178,"6종",$AD$174:$AD$178)/1000</f>
        <v>0</v>
      </c>
      <c r="I173" s="103">
        <f>SUMIF($AB$174:$AB$178,"후원",$AD$174:$AD$178)/1000</f>
        <v>0</v>
      </c>
      <c r="J173" s="103">
        <f>SUMIF($AB$174:$AB$178,"입소",$AD$174:$AD$178)/1000</f>
        <v>3384</v>
      </c>
      <c r="K173" s="103">
        <f>SUMIF($AB$174:$AB$178,"법인",$AD$174:$AD$178)/1000</f>
        <v>0</v>
      </c>
      <c r="L173" s="103">
        <f>SUMIF($AB$174:$AB$178,"잡수",$AD$174:$AD$178)/1000</f>
        <v>0</v>
      </c>
      <c r="M173" s="102">
        <f>E173-D173</f>
        <v>1834</v>
      </c>
      <c r="N173" s="109">
        <f>IF(D173=0,0,M173/D173)</f>
        <v>1.1832258064516128</v>
      </c>
      <c r="O173" s="288"/>
      <c r="P173" s="303"/>
      <c r="Q173" s="303"/>
      <c r="R173" s="457"/>
      <c r="S173" s="457"/>
      <c r="T173" s="457"/>
      <c r="U173" s="457"/>
      <c r="V173" s="457"/>
      <c r="W173" s="458" t="s">
        <v>416</v>
      </c>
      <c r="X173" s="458"/>
      <c r="Y173" s="458"/>
      <c r="Z173" s="458"/>
      <c r="AA173" s="458"/>
      <c r="AB173" s="458"/>
      <c r="AC173" s="459"/>
      <c r="AD173" s="460">
        <f>SUM(AD174:AD178)</f>
        <v>3384000</v>
      </c>
      <c r="AE173" s="461" t="s">
        <v>25</v>
      </c>
    </row>
    <row r="174" spans="1:31" s="14" customFormat="1" ht="24" customHeight="1">
      <c r="A174" s="38"/>
      <c r="B174" s="38"/>
      <c r="C174" s="38"/>
      <c r="D174" s="443"/>
      <c r="E174" s="444"/>
      <c r="F174" s="444"/>
      <c r="G174" s="444"/>
      <c r="H174" s="444"/>
      <c r="I174" s="444"/>
      <c r="J174" s="444"/>
      <c r="K174" s="444"/>
      <c r="L174" s="444"/>
      <c r="M174" s="97"/>
      <c r="N174" s="60"/>
      <c r="O174" s="510" t="s">
        <v>496</v>
      </c>
      <c r="P174" s="510"/>
      <c r="Q174" s="510"/>
      <c r="R174" s="510"/>
      <c r="S174" s="468">
        <v>80000</v>
      </c>
      <c r="T174" s="476" t="s">
        <v>25</v>
      </c>
      <c r="U174" s="476" t="s">
        <v>26</v>
      </c>
      <c r="V174" s="468">
        <v>6</v>
      </c>
      <c r="W174" s="469" t="s">
        <v>110</v>
      </c>
      <c r="X174" s="468"/>
      <c r="Y174" s="507"/>
      <c r="Z174" s="507"/>
      <c r="AA174" s="507" t="s">
        <v>27</v>
      </c>
      <c r="AB174" s="507" t="s">
        <v>442</v>
      </c>
      <c r="AC174" s="507"/>
      <c r="AD174" s="508">
        <f>S174*V174</f>
        <v>480000</v>
      </c>
      <c r="AE174" s="509" t="s">
        <v>25</v>
      </c>
    </row>
    <row r="175" spans="1:31" s="14" customFormat="1" ht="24" customHeight="1">
      <c r="A175" s="38"/>
      <c r="B175" s="38"/>
      <c r="C175" s="38"/>
      <c r="D175" s="443"/>
      <c r="E175" s="444"/>
      <c r="F175" s="444"/>
      <c r="G175" s="444"/>
      <c r="H175" s="444"/>
      <c r="I175" s="444"/>
      <c r="J175" s="444"/>
      <c r="K175" s="444"/>
      <c r="L175" s="444"/>
      <c r="M175" s="97"/>
      <c r="N175" s="60"/>
      <c r="O175" s="510" t="s">
        <v>523</v>
      </c>
      <c r="P175" s="510"/>
      <c r="Q175" s="510"/>
      <c r="R175" s="510"/>
      <c r="S175" s="468">
        <v>100000</v>
      </c>
      <c r="T175" s="476" t="s">
        <v>25</v>
      </c>
      <c r="U175" s="476" t="s">
        <v>26</v>
      </c>
      <c r="V175" s="468">
        <v>6</v>
      </c>
      <c r="W175" s="469" t="s">
        <v>110</v>
      </c>
      <c r="X175" s="468"/>
      <c r="Y175" s="507"/>
      <c r="Z175" s="507"/>
      <c r="AA175" s="507" t="s">
        <v>27</v>
      </c>
      <c r="AB175" s="507" t="s">
        <v>442</v>
      </c>
      <c r="AC175" s="507"/>
      <c r="AD175" s="508">
        <f>S175*V175</f>
        <v>600000</v>
      </c>
      <c r="AE175" s="509" t="s">
        <v>25</v>
      </c>
    </row>
    <row r="176" spans="1:31" s="14" customFormat="1" ht="24" customHeight="1">
      <c r="A176" s="38"/>
      <c r="B176" s="38"/>
      <c r="C176" s="38"/>
      <c r="D176" s="443"/>
      <c r="E176" s="444"/>
      <c r="F176" s="444"/>
      <c r="G176" s="444"/>
      <c r="H176" s="444"/>
      <c r="I176" s="444"/>
      <c r="J176" s="444"/>
      <c r="K176" s="444"/>
      <c r="L176" s="444"/>
      <c r="M176" s="97"/>
      <c r="N176" s="60"/>
      <c r="O176" s="510" t="s">
        <v>524</v>
      </c>
      <c r="P176" s="510"/>
      <c r="Q176" s="510"/>
      <c r="R176" s="510"/>
      <c r="S176" s="468">
        <v>264000</v>
      </c>
      <c r="T176" s="476" t="s">
        <v>25</v>
      </c>
      <c r="U176" s="476" t="s">
        <v>26</v>
      </c>
      <c r="V176" s="468">
        <v>6</v>
      </c>
      <c r="W176" s="469" t="s">
        <v>110</v>
      </c>
      <c r="X176" s="468"/>
      <c r="Y176" s="507"/>
      <c r="Z176" s="507"/>
      <c r="AA176" s="507" t="s">
        <v>27</v>
      </c>
      <c r="AB176" s="507" t="s">
        <v>442</v>
      </c>
      <c r="AC176" s="507"/>
      <c r="AD176" s="508">
        <f>S176*V176</f>
        <v>1584000</v>
      </c>
      <c r="AE176" s="509" t="s">
        <v>25</v>
      </c>
    </row>
    <row r="177" spans="1:31" s="14" customFormat="1" ht="24" customHeight="1">
      <c r="A177" s="38"/>
      <c r="B177" s="38"/>
      <c r="C177" s="38"/>
      <c r="D177" s="445"/>
      <c r="E177" s="446"/>
      <c r="F177" s="446"/>
      <c r="G177" s="446"/>
      <c r="H177" s="446"/>
      <c r="I177" s="446"/>
      <c r="J177" s="446"/>
      <c r="K177" s="446"/>
      <c r="L177" s="446"/>
      <c r="M177" s="97"/>
      <c r="N177" s="60"/>
      <c r="O177" s="510" t="s">
        <v>525</v>
      </c>
      <c r="P177" s="510"/>
      <c r="Q177" s="510"/>
      <c r="R177" s="510"/>
      <c r="S177" s="468">
        <v>120000</v>
      </c>
      <c r="T177" s="476" t="s">
        <v>25</v>
      </c>
      <c r="U177" s="476" t="s">
        <v>26</v>
      </c>
      <c r="V177" s="468">
        <v>6</v>
      </c>
      <c r="W177" s="469" t="s">
        <v>110</v>
      </c>
      <c r="X177" s="468"/>
      <c r="Y177" s="507"/>
      <c r="Z177" s="507"/>
      <c r="AA177" s="507" t="s">
        <v>27</v>
      </c>
      <c r="AB177" s="507" t="s">
        <v>442</v>
      </c>
      <c r="AC177" s="507"/>
      <c r="AD177" s="508">
        <f>S177*V177</f>
        <v>720000</v>
      </c>
      <c r="AE177" s="509" t="s">
        <v>25</v>
      </c>
    </row>
    <row r="178" spans="1:31" s="14" customFormat="1" ht="24" customHeight="1">
      <c r="A178" s="38"/>
      <c r="B178" s="38"/>
      <c r="C178" s="38"/>
      <c r="D178" s="136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33"/>
      <c r="P178" s="400"/>
      <c r="Q178" s="400"/>
      <c r="R178" s="397"/>
      <c r="S178" s="397"/>
      <c r="T178" s="397"/>
      <c r="U178" s="397"/>
      <c r="V178" s="397"/>
      <c r="W178" s="432"/>
      <c r="X178" s="432"/>
      <c r="Y178" s="432"/>
      <c r="Z178" s="432"/>
      <c r="AA178" s="432"/>
      <c r="AB178" s="432"/>
      <c r="AC178" s="121"/>
      <c r="AD178" s="474"/>
      <c r="AE178" s="122"/>
    </row>
    <row r="179" spans="1:31" s="14" customFormat="1" ht="24" customHeight="1">
      <c r="A179" s="38"/>
      <c r="B179" s="38"/>
      <c r="C179" s="28" t="s">
        <v>503</v>
      </c>
      <c r="D179" s="135">
        <v>200</v>
      </c>
      <c r="E179" s="102">
        <f>ROUND(AD179/1000,0)</f>
        <v>300</v>
      </c>
      <c r="F179" s="103">
        <f>SUMIF($AB$180:$AB$187,"보조",$AD$180:$AD$187)/1000</f>
        <v>0</v>
      </c>
      <c r="G179" s="103">
        <f>SUMIF($AB$180:$AB$187,"4종",$AD$180:$AD$187)/1000</f>
        <v>0</v>
      </c>
      <c r="H179" s="103">
        <f>SUMIF($AB$180:$AB$187,"6종",$AD$180:$AD$187)/1000</f>
        <v>0</v>
      </c>
      <c r="I179" s="103">
        <f>SUMIF($AB$180:$AB$182,"후원",$AD$180:$AD$182)/1000</f>
        <v>0</v>
      </c>
      <c r="J179" s="103">
        <f>SUMIF($AB$180:$AB$181,"입소",$AD$180:$AD$181)/1000</f>
        <v>100</v>
      </c>
      <c r="K179" s="103">
        <f>SUMIF($AB$180:$AB$187,"법인",$AD$180:$AD$187)/1000</f>
        <v>0</v>
      </c>
      <c r="L179" s="103">
        <f>SUMIF($AB$180:$AB$187,"잡수",$AD$180:$AD$187)/1000</f>
        <v>352</v>
      </c>
      <c r="M179" s="102">
        <f>E179-D179</f>
        <v>100</v>
      </c>
      <c r="N179" s="109">
        <f>IF(D179=0,0,M179/D179)</f>
        <v>0.5</v>
      </c>
      <c r="O179" s="288"/>
      <c r="P179" s="303"/>
      <c r="Q179" s="303"/>
      <c r="R179" s="457"/>
      <c r="S179" s="457"/>
      <c r="T179" s="457"/>
      <c r="U179" s="457"/>
      <c r="V179" s="457"/>
      <c r="W179" s="458" t="s">
        <v>416</v>
      </c>
      <c r="X179" s="458"/>
      <c r="Y179" s="458"/>
      <c r="Z179" s="458"/>
      <c r="AA179" s="458"/>
      <c r="AB179" s="458"/>
      <c r="AC179" s="459"/>
      <c r="AD179" s="460">
        <f>SUM(AD180:AD182)</f>
        <v>300000</v>
      </c>
      <c r="AE179" s="461" t="s">
        <v>25</v>
      </c>
    </row>
    <row r="180" spans="1:31" s="14" customFormat="1" ht="24" customHeight="1">
      <c r="A180" s="38"/>
      <c r="B180" s="38"/>
      <c r="C180" s="38" t="s">
        <v>105</v>
      </c>
      <c r="D180" s="443"/>
      <c r="E180" s="444"/>
      <c r="F180" s="444"/>
      <c r="G180" s="444"/>
      <c r="H180" s="444"/>
      <c r="I180" s="444"/>
      <c r="J180" s="444"/>
      <c r="K180" s="444"/>
      <c r="L180" s="444"/>
      <c r="M180" s="97"/>
      <c r="N180" s="60"/>
      <c r="O180" s="511" t="s">
        <v>501</v>
      </c>
      <c r="P180" s="512"/>
      <c r="Q180" s="512"/>
      <c r="R180" s="512"/>
      <c r="S180" s="513">
        <v>10000</v>
      </c>
      <c r="T180" s="513" t="s">
        <v>25</v>
      </c>
      <c r="U180" s="512" t="s">
        <v>26</v>
      </c>
      <c r="V180" s="513">
        <v>5</v>
      </c>
      <c r="W180" s="513" t="s">
        <v>110</v>
      </c>
      <c r="X180" s="512" t="s">
        <v>26</v>
      </c>
      <c r="Y180" s="514">
        <v>2</v>
      </c>
      <c r="Z180" s="515" t="s">
        <v>462</v>
      </c>
      <c r="AA180" s="515" t="s">
        <v>27</v>
      </c>
      <c r="AB180" s="513" t="s">
        <v>442</v>
      </c>
      <c r="AC180" s="516"/>
      <c r="AD180" s="513">
        <f>S180*V180*Y180</f>
        <v>100000</v>
      </c>
      <c r="AE180" s="517" t="s">
        <v>25</v>
      </c>
    </row>
    <row r="181" spans="1:31" s="14" customFormat="1" ht="24" customHeight="1">
      <c r="A181" s="38"/>
      <c r="B181" s="38"/>
      <c r="C181" s="38"/>
      <c r="D181" s="445"/>
      <c r="E181" s="446"/>
      <c r="F181" s="446"/>
      <c r="G181" s="446"/>
      <c r="H181" s="446"/>
      <c r="I181" s="446"/>
      <c r="J181" s="446"/>
      <c r="K181" s="446"/>
      <c r="L181" s="446"/>
      <c r="M181" s="97"/>
      <c r="N181" s="60"/>
      <c r="O181" s="511" t="s">
        <v>502</v>
      </c>
      <c r="P181" s="518"/>
      <c r="Q181" s="518"/>
      <c r="R181" s="519"/>
      <c r="S181" s="513"/>
      <c r="T181" s="513"/>
      <c r="U181" s="512"/>
      <c r="V181" s="513"/>
      <c r="W181" s="513"/>
      <c r="X181" s="512"/>
      <c r="Y181" s="514"/>
      <c r="Z181" s="515"/>
      <c r="AA181" s="515"/>
      <c r="AB181" s="520" t="s">
        <v>392</v>
      </c>
      <c r="AC181" s="520"/>
      <c r="AD181" s="513">
        <v>200000</v>
      </c>
      <c r="AE181" s="521" t="s">
        <v>25</v>
      </c>
    </row>
    <row r="182" spans="1:31" s="14" customFormat="1" ht="24" customHeight="1">
      <c r="A182" s="38"/>
      <c r="B182" s="38"/>
      <c r="C182" s="38"/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03"/>
      <c r="P182" s="403"/>
      <c r="Q182" s="403"/>
      <c r="R182" s="403"/>
      <c r="S182" s="432"/>
      <c r="T182" s="295"/>
      <c r="U182" s="295"/>
      <c r="V182" s="432"/>
      <c r="W182" s="433"/>
      <c r="X182" s="432"/>
      <c r="Y182" s="403"/>
      <c r="Z182" s="403"/>
      <c r="AA182" s="403"/>
      <c r="AB182" s="403"/>
      <c r="AC182" s="403"/>
      <c r="AD182" s="456"/>
      <c r="AE182" s="404"/>
    </row>
    <row r="183" spans="1:31" s="14" customFormat="1" ht="24" customHeight="1">
      <c r="A183" s="38"/>
      <c r="B183" s="38"/>
      <c r="C183" s="28" t="s">
        <v>506</v>
      </c>
      <c r="D183" s="135">
        <v>340</v>
      </c>
      <c r="E183" s="102">
        <f>ROUND(AD183/1000,0)</f>
        <v>497</v>
      </c>
      <c r="F183" s="103">
        <f>SUMIF($AB$180:$AB$187,"보조",$AD$180:$AD$187)/1000</f>
        <v>0</v>
      </c>
      <c r="G183" s="103">
        <f>SUMIF($AB$180:$AB$187,"4종",$AD$180:$AD$187)/1000</f>
        <v>0</v>
      </c>
      <c r="H183" s="103">
        <f>SUMIF($AB$180:$AB$187,"6종",$AD$180:$AD$187)/1000</f>
        <v>0</v>
      </c>
      <c r="I183" s="103">
        <f>SUMIF($AB$184:$AB$187,"후원",$AD$184:$AD$187)/1000</f>
        <v>0</v>
      </c>
      <c r="J183" s="103">
        <f>SUMIF($AB$184:$AB$187,"입소",$AD$184:$AD$187)/1000</f>
        <v>345</v>
      </c>
      <c r="K183" s="103">
        <f>SUMIF($AB$180:$AB$187,"법인",$AD$180:$AD$187)/1000</f>
        <v>0</v>
      </c>
      <c r="L183" s="103">
        <v>0</v>
      </c>
      <c r="M183" s="102">
        <f>E183-D183</f>
        <v>157</v>
      </c>
      <c r="N183" s="109">
        <f>IF(D183=0,0,M183/D183)</f>
        <v>0.46176470588235297</v>
      </c>
      <c r="O183" s="288"/>
      <c r="P183" s="303"/>
      <c r="Q183" s="303"/>
      <c r="R183" s="457"/>
      <c r="S183" s="457"/>
      <c r="T183" s="457"/>
      <c r="U183" s="457"/>
      <c r="V183" s="457"/>
      <c r="W183" s="458" t="s">
        <v>416</v>
      </c>
      <c r="X183" s="458"/>
      <c r="Y183" s="458"/>
      <c r="Z183" s="458"/>
      <c r="AA183" s="458"/>
      <c r="AB183" s="458"/>
      <c r="AC183" s="459"/>
      <c r="AD183" s="460">
        <f>SUM(AD184:AD186)</f>
        <v>497000</v>
      </c>
      <c r="AE183" s="461" t="s">
        <v>25</v>
      </c>
    </row>
    <row r="184" spans="1:31" s="14" customFormat="1" ht="24" customHeight="1">
      <c r="A184" s="38"/>
      <c r="B184" s="38"/>
      <c r="C184" s="38" t="s">
        <v>413</v>
      </c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9" t="s">
        <v>504</v>
      </c>
      <c r="P184" s="485"/>
      <c r="Q184" s="485"/>
      <c r="R184" s="482"/>
      <c r="S184" s="468">
        <v>300000</v>
      </c>
      <c r="T184" s="476" t="s">
        <v>25</v>
      </c>
      <c r="U184" s="476" t="s">
        <v>26</v>
      </c>
      <c r="V184" s="468">
        <v>1</v>
      </c>
      <c r="W184" s="469" t="s">
        <v>462</v>
      </c>
      <c r="X184" s="468"/>
      <c r="Y184" s="510"/>
      <c r="Z184" s="510" t="s">
        <v>27</v>
      </c>
      <c r="AA184" s="510"/>
      <c r="AB184" s="510" t="s">
        <v>442</v>
      </c>
      <c r="AC184" s="510"/>
      <c r="AD184" s="522">
        <f>S184*V184</f>
        <v>300000</v>
      </c>
      <c r="AE184" s="509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9" t="s">
        <v>526</v>
      </c>
      <c r="P185" s="485"/>
      <c r="Q185" s="485"/>
      <c r="R185" s="482"/>
      <c r="S185" s="468">
        <v>152000</v>
      </c>
      <c r="T185" s="476" t="s">
        <v>25</v>
      </c>
      <c r="U185" s="476" t="s">
        <v>26</v>
      </c>
      <c r="V185" s="468">
        <v>1</v>
      </c>
      <c r="W185" s="469" t="s">
        <v>462</v>
      </c>
      <c r="X185" s="468"/>
      <c r="Y185" s="510"/>
      <c r="Z185" s="510" t="s">
        <v>27</v>
      </c>
      <c r="AA185" s="510"/>
      <c r="AB185" s="510" t="s">
        <v>529</v>
      </c>
      <c r="AC185" s="510"/>
      <c r="AD185" s="522">
        <f>S185*V185</f>
        <v>152000</v>
      </c>
      <c r="AE185" s="509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9" t="s">
        <v>505</v>
      </c>
      <c r="P186" s="485"/>
      <c r="Q186" s="485"/>
      <c r="R186" s="482"/>
      <c r="S186" s="468"/>
      <c r="T186" s="476"/>
      <c r="U186" s="476"/>
      <c r="V186" s="468"/>
      <c r="W186" s="469"/>
      <c r="X186" s="468"/>
      <c r="Y186" s="510"/>
      <c r="Z186" s="510"/>
      <c r="AA186" s="510"/>
      <c r="AB186" s="510" t="s">
        <v>442</v>
      </c>
      <c r="AC186" s="510"/>
      <c r="AD186" s="522">
        <v>45000</v>
      </c>
      <c r="AE186" s="509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9"/>
      <c r="P187" s="485"/>
      <c r="Q187" s="485"/>
      <c r="R187" s="482"/>
      <c r="S187" s="468"/>
      <c r="T187" s="476"/>
      <c r="U187" s="476"/>
      <c r="V187" s="468"/>
      <c r="W187" s="469"/>
      <c r="X187" s="468"/>
      <c r="Y187" s="510"/>
      <c r="Z187" s="510"/>
      <c r="AA187" s="510"/>
      <c r="AB187" s="510"/>
      <c r="AC187" s="510"/>
      <c r="AD187" s="522"/>
      <c r="AE187" s="509"/>
    </row>
    <row r="188" spans="1:31" s="11" customFormat="1" ht="21" customHeight="1">
      <c r="A188" s="27" t="s">
        <v>425</v>
      </c>
      <c r="B188" s="598" t="s">
        <v>20</v>
      </c>
      <c r="C188" s="599"/>
      <c r="D188" s="144">
        <f>D189</f>
        <v>0</v>
      </c>
      <c r="E188" s="144">
        <f>E189</f>
        <v>0</v>
      </c>
      <c r="F188" s="144">
        <f t="shared" ref="F188:L188" si="10">F189</f>
        <v>0</v>
      </c>
      <c r="G188" s="144">
        <f t="shared" si="10"/>
        <v>0</v>
      </c>
      <c r="H188" s="144">
        <f t="shared" si="10"/>
        <v>0</v>
      </c>
      <c r="I188" s="144">
        <f t="shared" si="10"/>
        <v>0</v>
      </c>
      <c r="J188" s="144">
        <f t="shared" si="10"/>
        <v>0</v>
      </c>
      <c r="K188" s="144">
        <f t="shared" si="10"/>
        <v>0</v>
      </c>
      <c r="L188" s="144">
        <f t="shared" si="10"/>
        <v>0</v>
      </c>
      <c r="M188" s="144">
        <f>E188-D188</f>
        <v>0</v>
      </c>
      <c r="N188" s="145">
        <f>IF(D188=0,0,M188/D188)</f>
        <v>0</v>
      </c>
      <c r="O188" s="430" t="s">
        <v>426</v>
      </c>
      <c r="P188" s="430"/>
      <c r="Q188" s="430"/>
      <c r="R188" s="430"/>
      <c r="S188" s="429"/>
      <c r="T188" s="429"/>
      <c r="U188" s="429"/>
      <c r="V188" s="429"/>
      <c r="W188" s="429"/>
      <c r="X188" s="429"/>
      <c r="Y188" s="429"/>
      <c r="Z188" s="429"/>
      <c r="AA188" s="429"/>
      <c r="AB188" s="429"/>
      <c r="AC188" s="429"/>
      <c r="AD188" s="429">
        <f>SUM(AD189)</f>
        <v>0</v>
      </c>
      <c r="AE188" s="146" t="s">
        <v>25</v>
      </c>
    </row>
    <row r="189" spans="1:31" s="11" customFormat="1" ht="21" customHeight="1">
      <c r="A189" s="37"/>
      <c r="B189" s="38" t="s">
        <v>425</v>
      </c>
      <c r="C189" s="38" t="s">
        <v>425</v>
      </c>
      <c r="D189" s="133">
        <v>0</v>
      </c>
      <c r="E189" s="97">
        <f>AD189/1000</f>
        <v>0</v>
      </c>
      <c r="F189" s="103">
        <f>SUMIF($AB$190:$AB$190,"보조",$AD$190:$AD$190)/1000</f>
        <v>0</v>
      </c>
      <c r="G189" s="103">
        <f>SUMIF($AB$190:$AB$190,"4종",$AD$190:$AD$190)/1000</f>
        <v>0</v>
      </c>
      <c r="H189" s="103">
        <f>SUMIF($AB$190:$AB$190,"6종",$AD$190:$AD$190)/1000</f>
        <v>0</v>
      </c>
      <c r="I189" s="103">
        <f>SUMIF($AB$190:$AB$190,"후원",$AD$190:$AD$190)/1000</f>
        <v>0</v>
      </c>
      <c r="J189" s="103">
        <f>SUMIF($AB$190:$AB$190,"입소",$AD$190:$AD$190)/1000</f>
        <v>0</v>
      </c>
      <c r="K189" s="103">
        <f>SUMIF($AB$190:$AB$190,"법인",$AD$190:$AD$190)/1000</f>
        <v>0</v>
      </c>
      <c r="L189" s="103">
        <f>SUMIF($AB$190:$AB$190,"잡수",$AD$190:$AD$190)/1000</f>
        <v>0</v>
      </c>
      <c r="M189" s="97">
        <f>E189-D189</f>
        <v>0</v>
      </c>
      <c r="N189" s="60">
        <f>IF(D189=0,0,M189/D189)</f>
        <v>0</v>
      </c>
      <c r="O189" s="105" t="s">
        <v>427</v>
      </c>
      <c r="P189" s="152"/>
      <c r="Q189" s="152"/>
      <c r="R189" s="152"/>
      <c r="S189" s="152"/>
      <c r="T189" s="151"/>
      <c r="U189" s="151"/>
      <c r="V189" s="151"/>
      <c r="W189" s="151"/>
      <c r="X189" s="151"/>
      <c r="Y189" s="429" t="s">
        <v>391</v>
      </c>
      <c r="Z189" s="87"/>
      <c r="AA189" s="87"/>
      <c r="AB189" s="87"/>
      <c r="AC189" s="107"/>
      <c r="AD189" s="107">
        <v>0</v>
      </c>
      <c r="AE189" s="108" t="s">
        <v>25</v>
      </c>
    </row>
    <row r="190" spans="1:31" s="1" customFormat="1" ht="21" customHeight="1">
      <c r="A190" s="48"/>
      <c r="B190" s="49"/>
      <c r="C190" s="49"/>
      <c r="D190" s="134"/>
      <c r="E190" s="100"/>
      <c r="F190" s="100"/>
      <c r="G190" s="100"/>
      <c r="H190" s="100"/>
      <c r="I190" s="100"/>
      <c r="J190" s="100"/>
      <c r="K190" s="100"/>
      <c r="L190" s="100"/>
      <c r="M190" s="100"/>
      <c r="N190" s="75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532"/>
    </row>
    <row r="191" spans="1:31" s="11" customFormat="1" ht="21" customHeight="1">
      <c r="A191" s="37" t="s">
        <v>21</v>
      </c>
      <c r="B191" s="593" t="s">
        <v>20</v>
      </c>
      <c r="C191" s="594"/>
      <c r="D191" s="100">
        <f t="shared" ref="D191:L191" si="11">SUM(D192)+D198</f>
        <v>1814</v>
      </c>
      <c r="E191" s="100">
        <f t="shared" si="11"/>
        <v>20</v>
      </c>
      <c r="F191" s="100">
        <f t="shared" si="11"/>
        <v>20</v>
      </c>
      <c r="G191" s="100">
        <f t="shared" si="11"/>
        <v>0</v>
      </c>
      <c r="H191" s="100">
        <f t="shared" si="11"/>
        <v>0</v>
      </c>
      <c r="I191" s="100">
        <f t="shared" si="11"/>
        <v>0</v>
      </c>
      <c r="J191" s="100">
        <f t="shared" si="11"/>
        <v>0</v>
      </c>
      <c r="K191" s="100">
        <f t="shared" si="11"/>
        <v>0</v>
      </c>
      <c r="L191" s="100">
        <f t="shared" si="11"/>
        <v>0</v>
      </c>
      <c r="M191" s="100">
        <f>E191-D191</f>
        <v>-1794</v>
      </c>
      <c r="N191" s="75">
        <f>IF(D191=0,0,M191/D191)</f>
        <v>-0.98897464167585447</v>
      </c>
      <c r="O191" s="533" t="s">
        <v>21</v>
      </c>
      <c r="P191" s="105"/>
      <c r="Q191" s="105"/>
      <c r="R191" s="105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>
        <f>AD192+AD198</f>
        <v>20000</v>
      </c>
      <c r="AE191" s="108" t="s">
        <v>25</v>
      </c>
    </row>
    <row r="192" spans="1:31" s="11" customFormat="1" ht="21" customHeight="1">
      <c r="A192" s="37"/>
      <c r="B192" s="38" t="s">
        <v>21</v>
      </c>
      <c r="C192" s="38" t="s">
        <v>21</v>
      </c>
      <c r="D192" s="97">
        <v>0</v>
      </c>
      <c r="E192" s="102">
        <f>AD192/1000</f>
        <v>0</v>
      </c>
      <c r="F192" s="103">
        <f>SUMIF($AB$192:$AB$196,"보조",$AD$192:$AD$196)/1000</f>
        <v>0</v>
      </c>
      <c r="G192" s="103">
        <f>SUMIF($AB$192:$AB$196,"4종",$AD$192:$AD$196)/1000</f>
        <v>0</v>
      </c>
      <c r="H192" s="103">
        <f>SUMIF($AB$192:$AB$196,"6종",$AD$192:$AD$196)/1000</f>
        <v>0</v>
      </c>
      <c r="I192" s="103">
        <f>SUMIF($AB$192:$AB$196,"후원",$AD$192:$AD$196)/1000</f>
        <v>0</v>
      </c>
      <c r="J192" s="103">
        <f>SUMIF($AB$192:$AB$196,"입소",$AD$192:$AD$196)/1000</f>
        <v>0</v>
      </c>
      <c r="K192" s="103">
        <f>SUMIF($AB$192:$AB$196,"법인",$AD$192:$AD$196)/1000</f>
        <v>0</v>
      </c>
      <c r="L192" s="103">
        <f>SUMIF($AB$192:$AB$196,"잡수",$AD$192:$AD$196)/1000</f>
        <v>0</v>
      </c>
      <c r="M192" s="97">
        <f>E192-D192</f>
        <v>0</v>
      </c>
      <c r="N192" s="60">
        <f>IF(D192=0,0,M192/D192)</f>
        <v>0</v>
      </c>
      <c r="O192" s="105" t="s">
        <v>52</v>
      </c>
      <c r="P192" s="152"/>
      <c r="Q192" s="152"/>
      <c r="R192" s="152"/>
      <c r="S192" s="152"/>
      <c r="T192" s="151"/>
      <c r="U192" s="151"/>
      <c r="V192" s="151"/>
      <c r="W192" s="151"/>
      <c r="X192" s="151"/>
      <c r="Y192" s="429" t="s">
        <v>377</v>
      </c>
      <c r="Z192" s="87"/>
      <c r="AA192" s="87"/>
      <c r="AB192" s="87"/>
      <c r="AC192" s="107"/>
      <c r="AD192" s="107">
        <f>SUM(AD193:AD196)</f>
        <v>0</v>
      </c>
      <c r="AE192" s="108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454"/>
      <c r="G193" s="454"/>
      <c r="H193" s="454"/>
      <c r="I193" s="454"/>
      <c r="J193" s="454"/>
      <c r="K193" s="454"/>
      <c r="L193" s="454"/>
      <c r="M193" s="97"/>
      <c r="N193" s="60"/>
      <c r="O193" s="475" t="s">
        <v>428</v>
      </c>
      <c r="P193" s="475"/>
      <c r="Q193" s="475"/>
      <c r="R193" s="475"/>
      <c r="S193" s="475"/>
      <c r="T193" s="474"/>
      <c r="U193" s="474"/>
      <c r="V193" s="474"/>
      <c r="W193" s="474"/>
      <c r="X193" s="474"/>
      <c r="Y193" s="474"/>
      <c r="Z193" s="474"/>
      <c r="AA193" s="474"/>
      <c r="AB193" s="474" t="s">
        <v>387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54"/>
      <c r="G194" s="454"/>
      <c r="H194" s="454"/>
      <c r="I194" s="454"/>
      <c r="J194" s="454"/>
      <c r="K194" s="454"/>
      <c r="L194" s="454"/>
      <c r="M194" s="97"/>
      <c r="N194" s="60"/>
      <c r="O194" s="475" t="s">
        <v>429</v>
      </c>
      <c r="P194" s="475"/>
      <c r="Q194" s="475"/>
      <c r="R194" s="475"/>
      <c r="S194" s="475"/>
      <c r="T194" s="474"/>
      <c r="U194" s="474"/>
      <c r="V194" s="474"/>
      <c r="W194" s="474"/>
      <c r="X194" s="474"/>
      <c r="Y194" s="474"/>
      <c r="Z194" s="474"/>
      <c r="AA194" s="474"/>
      <c r="AB194" s="474" t="s">
        <v>373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454"/>
      <c r="G195" s="454"/>
      <c r="H195" s="454"/>
      <c r="I195" s="454"/>
      <c r="J195" s="454"/>
      <c r="K195" s="454"/>
      <c r="L195" s="454"/>
      <c r="M195" s="97"/>
      <c r="N195" s="60"/>
      <c r="O195" s="475" t="s">
        <v>430</v>
      </c>
      <c r="P195" s="475"/>
      <c r="Q195" s="475"/>
      <c r="R195" s="475"/>
      <c r="S195" s="475"/>
      <c r="T195" s="474"/>
      <c r="U195" s="474"/>
      <c r="V195" s="474"/>
      <c r="W195" s="474"/>
      <c r="X195" s="474"/>
      <c r="Y195" s="474"/>
      <c r="Z195" s="474"/>
      <c r="AA195" s="474"/>
      <c r="AB195" s="474" t="s">
        <v>168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54"/>
      <c r="G196" s="454"/>
      <c r="H196" s="454"/>
      <c r="I196" s="454"/>
      <c r="J196" s="454"/>
      <c r="K196" s="454"/>
      <c r="L196" s="454"/>
      <c r="M196" s="97"/>
      <c r="N196" s="60"/>
      <c r="O196" s="475" t="s">
        <v>431</v>
      </c>
      <c r="P196" s="475"/>
      <c r="Q196" s="475"/>
      <c r="R196" s="475"/>
      <c r="S196" s="475"/>
      <c r="T196" s="474"/>
      <c r="U196" s="474"/>
      <c r="V196" s="474"/>
      <c r="W196" s="474"/>
      <c r="X196" s="474"/>
      <c r="Y196" s="474"/>
      <c r="Z196" s="474"/>
      <c r="AA196" s="474"/>
      <c r="AB196" s="474" t="s">
        <v>392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33"/>
      <c r="P197" s="433"/>
      <c r="Q197" s="433"/>
      <c r="R197" s="433"/>
      <c r="S197" s="433"/>
      <c r="T197" s="432"/>
      <c r="U197" s="432"/>
      <c r="V197" s="432"/>
      <c r="W197" s="432"/>
      <c r="X197" s="432"/>
      <c r="Y197" s="432"/>
      <c r="Z197" s="432"/>
      <c r="AA197" s="432"/>
      <c r="AB197" s="432"/>
      <c r="AC197" s="121"/>
      <c r="AD197" s="121"/>
      <c r="AE197" s="122"/>
    </row>
    <row r="198" spans="1:31" s="11" customFormat="1" ht="21" customHeight="1">
      <c r="A198" s="37"/>
      <c r="B198" s="38"/>
      <c r="C198" s="28" t="s">
        <v>134</v>
      </c>
      <c r="D198" s="135">
        <v>1814</v>
      </c>
      <c r="E198" s="102">
        <f>AD198/1000</f>
        <v>20</v>
      </c>
      <c r="F198" s="103">
        <f>SUMIF($AB$199:$AB$205,"보조",$AD$199:$AD$205)/1000</f>
        <v>20</v>
      </c>
      <c r="G198" s="103">
        <f>SUMIF($AB$199:$AB$204,"4종",$AD$199:$AD$204)/1000</f>
        <v>0</v>
      </c>
      <c r="H198" s="103">
        <f>SUMIF($AB$199:$AB$204,"6종",$AD$199:$AD$204)/1000</f>
        <v>0</v>
      </c>
      <c r="I198" s="103">
        <f>SUMIF($AB$199:$AB$204,"후원",$AD$199:$AD$204)/1000</f>
        <v>0</v>
      </c>
      <c r="J198" s="103">
        <f>SUMIF($AB$199:$AB$204,"입소",$AD$199:$AD$204)/1000</f>
        <v>0</v>
      </c>
      <c r="K198" s="103">
        <f>SUMIF($AB$199:$AB$204,"법인",$AD$199:$AD$204)/1000</f>
        <v>0</v>
      </c>
      <c r="L198" s="103">
        <f>SUMIF($AB$199:$AB$204,"잡수",$AD$199:$AD$204)/1000</f>
        <v>0</v>
      </c>
      <c r="M198" s="102">
        <f>E198-D198</f>
        <v>-1794</v>
      </c>
      <c r="N198" s="109">
        <f>IF(D198=0,0,M198/D198)</f>
        <v>-0.98897464167585447</v>
      </c>
      <c r="O198" s="302" t="s">
        <v>420</v>
      </c>
      <c r="P198" s="154"/>
      <c r="Q198" s="154"/>
      <c r="R198" s="154"/>
      <c r="S198" s="154"/>
      <c r="T198" s="153"/>
      <c r="U198" s="153"/>
      <c r="V198" s="153"/>
      <c r="W198" s="153"/>
      <c r="X198" s="153"/>
      <c r="Y198" s="528" t="s">
        <v>377</v>
      </c>
      <c r="Z198" s="528"/>
      <c r="AA198" s="528"/>
      <c r="AB198" s="528"/>
      <c r="AC198" s="147"/>
      <c r="AD198" s="306">
        <f>ROUNDUP(SUM(AD199:AD204),-3)</f>
        <v>20000</v>
      </c>
      <c r="AE198" s="146" t="s">
        <v>25</v>
      </c>
    </row>
    <row r="199" spans="1:31" s="11" customFormat="1" ht="21" customHeight="1">
      <c r="A199" s="37"/>
      <c r="B199" s="38"/>
      <c r="C199" s="38" t="s">
        <v>419</v>
      </c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75" t="s">
        <v>421</v>
      </c>
      <c r="P199" s="475"/>
      <c r="Q199" s="475"/>
      <c r="R199" s="475"/>
      <c r="S199" s="474"/>
      <c r="T199" s="474"/>
      <c r="U199" s="474"/>
      <c r="V199" s="474"/>
      <c r="W199" s="474"/>
      <c r="X199" s="474"/>
      <c r="Y199" s="474"/>
      <c r="Z199" s="474"/>
      <c r="AA199" s="474"/>
      <c r="AB199" s="474" t="s">
        <v>341</v>
      </c>
      <c r="AC199" s="474"/>
      <c r="AD199" s="121">
        <v>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5" t="s">
        <v>422</v>
      </c>
      <c r="P200" s="475"/>
      <c r="Q200" s="475"/>
      <c r="R200" s="475"/>
      <c r="S200" s="474"/>
      <c r="T200" s="474"/>
      <c r="U200" s="474"/>
      <c r="V200" s="474"/>
      <c r="W200" s="474"/>
      <c r="X200" s="474"/>
      <c r="Y200" s="474"/>
      <c r="Z200" s="474"/>
      <c r="AA200" s="474"/>
      <c r="AB200" s="474" t="s">
        <v>341</v>
      </c>
      <c r="AC200" s="474"/>
      <c r="AD200" s="276">
        <v>20000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5" t="s">
        <v>423</v>
      </c>
      <c r="P201" s="475"/>
      <c r="Q201" s="475"/>
      <c r="R201" s="475"/>
      <c r="S201" s="474"/>
      <c r="T201" s="474"/>
      <c r="U201" s="474"/>
      <c r="V201" s="474"/>
      <c r="W201" s="474"/>
      <c r="X201" s="474"/>
      <c r="Y201" s="474"/>
      <c r="Z201" s="474"/>
      <c r="AA201" s="474"/>
      <c r="AB201" s="474" t="s">
        <v>298</v>
      </c>
      <c r="AC201" s="474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5" t="s">
        <v>424</v>
      </c>
      <c r="P202" s="475"/>
      <c r="Q202" s="475"/>
      <c r="R202" s="475"/>
      <c r="S202" s="474"/>
      <c r="T202" s="474"/>
      <c r="U202" s="474"/>
      <c r="V202" s="474"/>
      <c r="W202" s="474"/>
      <c r="X202" s="474"/>
      <c r="Y202" s="474"/>
      <c r="Z202" s="474"/>
      <c r="AA202" s="474"/>
      <c r="AB202" s="474" t="s">
        <v>298</v>
      </c>
      <c r="AC202" s="474"/>
      <c r="AD202" s="276">
        <v>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5" t="s">
        <v>446</v>
      </c>
      <c r="P203" s="475"/>
      <c r="Q203" s="475"/>
      <c r="R203" s="475"/>
      <c r="S203" s="474"/>
      <c r="T203" s="474"/>
      <c r="U203" s="474"/>
      <c r="V203" s="474"/>
      <c r="W203" s="474"/>
      <c r="X203" s="474"/>
      <c r="Y203" s="474"/>
      <c r="Z203" s="474"/>
      <c r="AA203" s="474"/>
      <c r="AB203" s="474" t="s">
        <v>313</v>
      </c>
      <c r="AC203" s="474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5" t="s">
        <v>447</v>
      </c>
      <c r="P204" s="475"/>
      <c r="Q204" s="475"/>
      <c r="R204" s="475"/>
      <c r="S204" s="474"/>
      <c r="T204" s="474"/>
      <c r="U204" s="474"/>
      <c r="V204" s="474"/>
      <c r="W204" s="474"/>
      <c r="X204" s="474"/>
      <c r="Y204" s="474"/>
      <c r="Z204" s="474"/>
      <c r="AA204" s="474"/>
      <c r="AB204" s="474" t="s">
        <v>313</v>
      </c>
      <c r="AC204" s="474"/>
      <c r="AD204" s="440"/>
      <c r="AE204" s="122" t="s">
        <v>56</v>
      </c>
    </row>
    <row r="205" spans="1:31" s="1" customFormat="1" ht="21" customHeight="1" thickBot="1">
      <c r="A205" s="123"/>
      <c r="B205" s="90"/>
      <c r="C205" s="90"/>
      <c r="D205" s="138"/>
      <c r="E205" s="124"/>
      <c r="F205" s="124"/>
      <c r="G205" s="124"/>
      <c r="H205" s="124"/>
      <c r="I205" s="124"/>
      <c r="J205" s="124"/>
      <c r="K205" s="124"/>
      <c r="L205" s="124"/>
      <c r="M205" s="124"/>
      <c r="N205" s="125"/>
      <c r="O205" s="407"/>
      <c r="P205" s="407"/>
      <c r="Q205" s="407"/>
      <c r="R205" s="407"/>
      <c r="S205" s="408"/>
      <c r="T205" s="408"/>
      <c r="U205" s="408"/>
      <c r="V205" s="408"/>
      <c r="W205" s="408"/>
      <c r="X205" s="408"/>
      <c r="Y205" s="408"/>
      <c r="Z205" s="408"/>
      <c r="AA205" s="408"/>
      <c r="AB205" s="408"/>
      <c r="AC205" s="408"/>
      <c r="AD205" s="408"/>
      <c r="AE205" s="409"/>
    </row>
    <row r="207" spans="1:31" ht="21" customHeight="1">
      <c r="E207" s="292"/>
      <c r="F207" s="292"/>
    </row>
    <row r="208" spans="1:31" ht="21" customHeight="1">
      <c r="E208" s="292"/>
      <c r="F208" s="292"/>
    </row>
    <row r="209" spans="5:6" ht="21" customHeight="1">
      <c r="F209" s="292"/>
    </row>
    <row r="210" spans="5:6" ht="21" customHeight="1">
      <c r="E210" s="292"/>
      <c r="F210" s="292"/>
    </row>
    <row r="211" spans="5:6" ht="21" customHeight="1">
      <c r="E211" s="292"/>
      <c r="F211" s="292"/>
    </row>
    <row r="212" spans="5:6" ht="21" customHeight="1">
      <c r="E212" s="292"/>
      <c r="F212" s="292"/>
    </row>
  </sheetData>
  <mergeCells count="15">
    <mergeCell ref="B191:C191"/>
    <mergeCell ref="B109:C109"/>
    <mergeCell ref="B131:C131"/>
    <mergeCell ref="B188:C188"/>
    <mergeCell ref="O114:R114"/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2:W72"/>
  </mergeCells>
  <phoneticPr fontId="6" type="noConversion"/>
  <conditionalFormatting sqref="M1:M1048576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2022-11-28T06:56:55Z</cp:lastPrinted>
  <dcterms:created xsi:type="dcterms:W3CDTF">2003-12-18T04:11:57Z</dcterms:created>
  <dcterms:modified xsi:type="dcterms:W3CDTF">2022-12-27T09:39:42Z</dcterms:modified>
</cp:coreProperties>
</file>