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2년 1차추경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[2]세입!#REF!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[2]세입!#REF!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[2]세입!#REF!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[3]기본급테이블!$C$3:$S$33</definedName>
    <definedName name="ㄴㅁㅇ">[1]세입!#REF!</definedName>
    <definedName name="명절휴가비" localSheetId="2">세출!$AD$15</definedName>
    <definedName name="명절휴가비1" localSheetId="1">세입!#REF!</definedName>
    <definedName name="사회보험" localSheetId="0">[2]세입!#REF!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[2]세입!#REF!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[2]세입!#REF!</definedName>
    <definedName name="수정제수당총액" localSheetId="2">#REF!</definedName>
    <definedName name="수정제수당총액">세입!#REF!</definedName>
    <definedName name="수정제수당총액1">[1]세입!#REF!</definedName>
    <definedName name="ㅇㄴㄹ">[1]세입!#REF!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[2]세입!#REF!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[2]세입!#REF!</definedName>
    <definedName name="직원급식비" localSheetId="0">[2]세입!#REF!</definedName>
    <definedName name="직원급식비" localSheetId="2">#REF!</definedName>
    <definedName name="직원급식비">세입!#REF!</definedName>
    <definedName name="직원급식비1">[1]세입!#REF!</definedName>
    <definedName name="직책">[3]기본급테이블!$C$2:$S$2</definedName>
    <definedName name="직책보조비" localSheetId="1">세입!#REF!</definedName>
    <definedName name="퇴직금" localSheetId="0">[2]세입!#REF!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[2]세입!#REF!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[2]세입!#REF!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[2]세입!#REF!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[2]세입!#REF!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[3]기본급테이블!$B$3:$B$33</definedName>
  </definedNames>
  <calcPr calcId="162913"/>
</workbook>
</file>

<file path=xl/calcChain.xml><?xml version="1.0" encoding="utf-8"?>
<calcChain xmlns="http://schemas.openxmlformats.org/spreadsheetml/2006/main">
  <c r="K25" i="18" l="1"/>
  <c r="L195" i="31" l="1"/>
  <c r="K195" i="31"/>
  <c r="J195" i="31"/>
  <c r="I195" i="31"/>
  <c r="H195" i="31"/>
  <c r="G195" i="31"/>
  <c r="F195" i="31"/>
  <c r="E196" i="31"/>
  <c r="J25" i="18" l="1"/>
  <c r="I25" i="18"/>
  <c r="K27" i="18"/>
  <c r="K26" i="18"/>
  <c r="L205" i="31"/>
  <c r="K205" i="31"/>
  <c r="J205" i="31"/>
  <c r="I205" i="31"/>
  <c r="H205" i="31"/>
  <c r="G205" i="31"/>
  <c r="F205" i="31"/>
  <c r="L196" i="31"/>
  <c r="K196" i="31"/>
  <c r="J196" i="31"/>
  <c r="I196" i="31"/>
  <c r="H196" i="31"/>
  <c r="G196" i="31"/>
  <c r="F196" i="31"/>
  <c r="D195" i="31"/>
  <c r="D169" i="31"/>
  <c r="AD196" i="31"/>
  <c r="AD205" i="31"/>
  <c r="E205" i="31" s="1"/>
  <c r="M205" i="31" s="1"/>
  <c r="N205" i="31" s="1"/>
  <c r="E195" i="31" l="1"/>
  <c r="AD195" i="31"/>
  <c r="M196" i="31"/>
  <c r="N196" i="31" s="1"/>
  <c r="X119" i="4"/>
  <c r="X113" i="4"/>
  <c r="S37" i="31" l="1"/>
  <c r="X114" i="4"/>
  <c r="M107" i="4"/>
  <c r="M106" i="4"/>
  <c r="X106" i="4" s="1"/>
  <c r="X104" i="4"/>
  <c r="X103" i="4"/>
  <c r="X102" i="4" s="1"/>
  <c r="X39" i="4"/>
  <c r="M46" i="4"/>
  <c r="M45" i="4"/>
  <c r="X43" i="4" l="1"/>
  <c r="X42" i="4"/>
  <c r="X41" i="4" l="1"/>
  <c r="AD97" i="31" l="1"/>
  <c r="AD154" i="31"/>
  <c r="AD146" i="31"/>
  <c r="AD182" i="31"/>
  <c r="AD181" i="31"/>
  <c r="AD172" i="31"/>
  <c r="AD171" i="31"/>
  <c r="AD167" i="31"/>
  <c r="AD163" i="31"/>
  <c r="AD160" i="31"/>
  <c r="AD159" i="31"/>
  <c r="AD158" i="31"/>
  <c r="AD119" i="31"/>
  <c r="AD118" i="31"/>
  <c r="AD111" i="31"/>
  <c r="AD107" i="31"/>
  <c r="AD106" i="31"/>
  <c r="AD105" i="31"/>
  <c r="AD100" i="31"/>
  <c r="AD99" i="31"/>
  <c r="AD98" i="31"/>
  <c r="AD96" i="31"/>
  <c r="AD91" i="31"/>
  <c r="AD90" i="31"/>
  <c r="AD82" i="31"/>
  <c r="AD81" i="31"/>
  <c r="AD69" i="31"/>
  <c r="AD27" i="31"/>
  <c r="X215" i="4" l="1"/>
  <c r="X214" i="4"/>
  <c r="X210" i="4"/>
  <c r="X7" i="4" l="1"/>
  <c r="I23" i="18" l="1"/>
  <c r="I16" i="18"/>
  <c r="I12" i="18"/>
  <c r="I8" i="18"/>
  <c r="E21" i="18"/>
  <c r="D21" i="18"/>
  <c r="E19" i="18"/>
  <c r="D19" i="18"/>
  <c r="J174" i="31"/>
  <c r="AD88" i="31"/>
  <c r="I7" i="18" l="1"/>
  <c r="AD191" i="31"/>
  <c r="J187" i="31"/>
  <c r="AD185" i="31"/>
  <c r="AD180" i="31"/>
  <c r="E180" i="31" s="1"/>
  <c r="F180" i="31"/>
  <c r="G180" i="31"/>
  <c r="H180" i="31"/>
  <c r="I180" i="31"/>
  <c r="K180" i="31"/>
  <c r="L180" i="31"/>
  <c r="AD178" i="31"/>
  <c r="AD174" i="31"/>
  <c r="E174" i="31" s="1"/>
  <c r="M174" i="31" s="1"/>
  <c r="N174" i="31" s="1"/>
  <c r="L174" i="31"/>
  <c r="K174" i="31"/>
  <c r="I174" i="31"/>
  <c r="H174" i="31"/>
  <c r="G174" i="31"/>
  <c r="F174" i="31"/>
  <c r="AD151" i="31"/>
  <c r="AD149" i="31"/>
  <c r="AD148" i="31"/>
  <c r="AD147" i="31"/>
  <c r="AD141" i="31"/>
  <c r="AD140" i="31"/>
  <c r="AD116" i="31"/>
  <c r="AD115" i="31" s="1"/>
  <c r="AD95" i="31" l="1"/>
  <c r="J180" i="31"/>
  <c r="M180" i="31"/>
  <c r="N180" i="31" s="1"/>
  <c r="AD117" i="31"/>
  <c r="AD114" i="31" s="1"/>
  <c r="AD145" i="31"/>
  <c r="AD104" i="31"/>
  <c r="H193" i="31" l="1"/>
  <c r="G193" i="31"/>
  <c r="H190" i="31"/>
  <c r="G190" i="31"/>
  <c r="H187" i="31"/>
  <c r="G187" i="31"/>
  <c r="H184" i="31"/>
  <c r="G184" i="31"/>
  <c r="H177" i="31"/>
  <c r="G177" i="31"/>
  <c r="H170" i="31"/>
  <c r="H169" i="31" s="1"/>
  <c r="G170" i="31"/>
  <c r="H166" i="31"/>
  <c r="G166" i="31"/>
  <c r="H162" i="31"/>
  <c r="H157" i="31"/>
  <c r="H153" i="31"/>
  <c r="G153" i="31"/>
  <c r="H145" i="31"/>
  <c r="H137" i="31"/>
  <c r="G137" i="31"/>
  <c r="H125" i="31"/>
  <c r="G125" i="31"/>
  <c r="H123" i="31"/>
  <c r="G123" i="31"/>
  <c r="H114" i="31"/>
  <c r="G114" i="31"/>
  <c r="H110" i="31"/>
  <c r="G110" i="31"/>
  <c r="H104" i="31"/>
  <c r="G104" i="31"/>
  <c r="H95" i="31"/>
  <c r="G95" i="31"/>
  <c r="G78" i="31"/>
  <c r="H78" i="31"/>
  <c r="H76" i="31"/>
  <c r="G76" i="31"/>
  <c r="H80" i="31"/>
  <c r="G80" i="31"/>
  <c r="H88" i="31"/>
  <c r="G88" i="31"/>
  <c r="H14" i="31"/>
  <c r="G14" i="31"/>
  <c r="H35" i="31"/>
  <c r="G35" i="31"/>
  <c r="H44" i="31"/>
  <c r="G44" i="31"/>
  <c r="H68" i="31"/>
  <c r="G68" i="31"/>
  <c r="AD72" i="31"/>
  <c r="AD71" i="31"/>
  <c r="G169" i="31" l="1"/>
  <c r="S38" i="31"/>
  <c r="S48" i="31" s="1"/>
  <c r="AD7" i="31"/>
  <c r="H11" i="31"/>
  <c r="G11" i="31"/>
  <c r="H7" i="31"/>
  <c r="G7" i="31"/>
  <c r="N193" i="31"/>
  <c r="L193" i="31"/>
  <c r="L192" i="31" s="1"/>
  <c r="K193" i="31"/>
  <c r="K192" i="31" s="1"/>
  <c r="J193" i="31"/>
  <c r="J192" i="31" s="1"/>
  <c r="I193" i="31"/>
  <c r="I192" i="31" s="1"/>
  <c r="H192" i="31"/>
  <c r="G192" i="31"/>
  <c r="F193" i="31"/>
  <c r="F192" i="31" s="1"/>
  <c r="E193" i="31"/>
  <c r="E192" i="31" s="1"/>
  <c r="AD192" i="31"/>
  <c r="D192" i="31"/>
  <c r="N192" i="31" s="1"/>
  <c r="AD190" i="31"/>
  <c r="E190" i="31" s="1"/>
  <c r="M190" i="31" s="1"/>
  <c r="N190" i="31" s="1"/>
  <c r="L190" i="31"/>
  <c r="K190" i="31"/>
  <c r="J190" i="31"/>
  <c r="I190" i="31"/>
  <c r="F190" i="31"/>
  <c r="AD187" i="31"/>
  <c r="E187" i="31" s="1"/>
  <c r="L187" i="31"/>
  <c r="K187" i="31"/>
  <c r="I187" i="31"/>
  <c r="F187" i="31"/>
  <c r="AD184" i="31"/>
  <c r="E184" i="31" s="1"/>
  <c r="L184" i="31"/>
  <c r="K184" i="31"/>
  <c r="J184" i="31"/>
  <c r="I184" i="31"/>
  <c r="F184" i="31"/>
  <c r="AD177" i="31"/>
  <c r="E177" i="31" s="1"/>
  <c r="L177" i="31"/>
  <c r="K177" i="31"/>
  <c r="J177" i="31"/>
  <c r="I177" i="31"/>
  <c r="F177" i="31"/>
  <c r="AD170" i="31"/>
  <c r="L170" i="31"/>
  <c r="K170" i="31"/>
  <c r="K169" i="31" s="1"/>
  <c r="J170" i="31"/>
  <c r="I170" i="31"/>
  <c r="F170" i="31"/>
  <c r="L166" i="31"/>
  <c r="K166" i="31"/>
  <c r="J166" i="31"/>
  <c r="I166" i="31"/>
  <c r="F162" i="31"/>
  <c r="L162" i="31"/>
  <c r="K162" i="31"/>
  <c r="J162" i="31"/>
  <c r="G157" i="31"/>
  <c r="L157" i="31"/>
  <c r="K157" i="31"/>
  <c r="J157" i="31"/>
  <c r="I157" i="31"/>
  <c r="F157" i="31"/>
  <c r="AD153" i="31"/>
  <c r="E153" i="31" s="1"/>
  <c r="L153" i="31"/>
  <c r="K153" i="31"/>
  <c r="J153" i="31"/>
  <c r="I153" i="31"/>
  <c r="F153" i="31"/>
  <c r="K145" i="31"/>
  <c r="I145" i="31"/>
  <c r="D144" i="31"/>
  <c r="L137" i="31"/>
  <c r="K137" i="31"/>
  <c r="J137" i="31"/>
  <c r="I137" i="31"/>
  <c r="AD125" i="31"/>
  <c r="E125" i="31" s="1"/>
  <c r="L125" i="31"/>
  <c r="K125" i="31"/>
  <c r="J125" i="31"/>
  <c r="I125" i="31"/>
  <c r="F125" i="31"/>
  <c r="L123" i="31"/>
  <c r="K123" i="31"/>
  <c r="J123" i="31"/>
  <c r="F123" i="31"/>
  <c r="D122" i="31"/>
  <c r="D121" i="31" s="1"/>
  <c r="J114" i="31"/>
  <c r="I114" i="31"/>
  <c r="F114" i="31"/>
  <c r="F110" i="31"/>
  <c r="L110" i="31"/>
  <c r="K110" i="31"/>
  <c r="J110" i="31"/>
  <c r="I110" i="31"/>
  <c r="L104" i="31"/>
  <c r="K104" i="31"/>
  <c r="J104" i="31"/>
  <c r="I104" i="31"/>
  <c r="L95" i="31"/>
  <c r="K95" i="31"/>
  <c r="J95" i="31"/>
  <c r="I95" i="31"/>
  <c r="J88" i="31"/>
  <c r="L88" i="31"/>
  <c r="K88" i="31"/>
  <c r="AD85" i="31"/>
  <c r="E85" i="31" s="1"/>
  <c r="L85" i="31"/>
  <c r="K85" i="31"/>
  <c r="J85" i="31"/>
  <c r="I85" i="31"/>
  <c r="H85" i="31"/>
  <c r="G85" i="31"/>
  <c r="F85" i="31"/>
  <c r="D84" i="31"/>
  <c r="AD80" i="31"/>
  <c r="E80" i="31" s="1"/>
  <c r="M80" i="31" s="1"/>
  <c r="N80" i="31" s="1"/>
  <c r="L80" i="31"/>
  <c r="J80" i="31"/>
  <c r="I80" i="31"/>
  <c r="F80" i="31"/>
  <c r="N78" i="31"/>
  <c r="L78" i="31"/>
  <c r="K78" i="31"/>
  <c r="J78" i="31"/>
  <c r="I78" i="31"/>
  <c r="F78" i="31"/>
  <c r="E78" i="31"/>
  <c r="M78" i="31" s="1"/>
  <c r="AD76" i="31"/>
  <c r="E76" i="31" s="1"/>
  <c r="L76" i="31"/>
  <c r="K76" i="31"/>
  <c r="J76" i="31"/>
  <c r="I76" i="31"/>
  <c r="F76" i="31"/>
  <c r="D75" i="31"/>
  <c r="K68" i="31"/>
  <c r="L68" i="31"/>
  <c r="J68" i="31"/>
  <c r="I68" i="31"/>
  <c r="F68" i="31"/>
  <c r="L44" i="31"/>
  <c r="J44" i="31"/>
  <c r="I44" i="31"/>
  <c r="AD41" i="31"/>
  <c r="AD37" i="31"/>
  <c r="L35" i="31"/>
  <c r="J35" i="31"/>
  <c r="I35" i="31"/>
  <c r="AD32" i="31"/>
  <c r="AD31" i="31" s="1"/>
  <c r="AD23" i="31"/>
  <c r="AD19" i="31"/>
  <c r="AD15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L169" i="31" l="1"/>
  <c r="I169" i="31"/>
  <c r="F169" i="31"/>
  <c r="E170" i="31"/>
  <c r="E169" i="31" s="1"/>
  <c r="AD169" i="31"/>
  <c r="J169" i="31"/>
  <c r="G145" i="31"/>
  <c r="G162" i="31"/>
  <c r="AD38" i="31"/>
  <c r="AD36" i="31" s="1"/>
  <c r="AD14" i="31"/>
  <c r="E14" i="31" s="1"/>
  <c r="D143" i="31"/>
  <c r="D5" i="31"/>
  <c r="L145" i="31"/>
  <c r="L144" i="31" s="1"/>
  <c r="AD137" i="31"/>
  <c r="E137" i="31" s="1"/>
  <c r="AD166" i="31"/>
  <c r="E166" i="31" s="1"/>
  <c r="M166" i="31" s="1"/>
  <c r="N166" i="31" s="1"/>
  <c r="F95" i="31"/>
  <c r="I75" i="31"/>
  <c r="L114" i="31"/>
  <c r="I88" i="31"/>
  <c r="H122" i="31"/>
  <c r="H121" i="31" s="1"/>
  <c r="I6" i="31"/>
  <c r="M192" i="31"/>
  <c r="F88" i="31"/>
  <c r="E104" i="31"/>
  <c r="M104" i="31" s="1"/>
  <c r="N104" i="31" s="1"/>
  <c r="J75" i="31"/>
  <c r="L122" i="31"/>
  <c r="L121" i="31" s="1"/>
  <c r="K114" i="31"/>
  <c r="M193" i="31"/>
  <c r="M187" i="31"/>
  <c r="N187" i="31" s="1"/>
  <c r="S52" i="31"/>
  <c r="AD48" i="31"/>
  <c r="M153" i="31"/>
  <c r="N153" i="31" s="1"/>
  <c r="M177" i="31"/>
  <c r="N177" i="31" s="1"/>
  <c r="K14" i="31"/>
  <c r="L6" i="31"/>
  <c r="F145" i="31"/>
  <c r="M184" i="31"/>
  <c r="N184" i="31" s="1"/>
  <c r="L75" i="31"/>
  <c r="G122" i="31"/>
  <c r="G121" i="31" s="1"/>
  <c r="E145" i="31"/>
  <c r="AD157" i="31"/>
  <c r="E157" i="31" s="1"/>
  <c r="M157" i="31" s="1"/>
  <c r="N157" i="31" s="1"/>
  <c r="K122" i="31"/>
  <c r="K121" i="31" s="1"/>
  <c r="I162" i="31"/>
  <c r="H84" i="31"/>
  <c r="G75" i="31"/>
  <c r="K144" i="31"/>
  <c r="J6" i="31"/>
  <c r="AD162" i="31"/>
  <c r="E162" i="31" s="1"/>
  <c r="M162" i="31" s="1"/>
  <c r="N162" i="31" s="1"/>
  <c r="J84" i="31"/>
  <c r="H75" i="31"/>
  <c r="F75" i="31"/>
  <c r="H6" i="31"/>
  <c r="M85" i="31"/>
  <c r="N85" i="31" s="1"/>
  <c r="M76" i="31"/>
  <c r="N76" i="31" s="1"/>
  <c r="E75" i="31"/>
  <c r="M75" i="31" s="1"/>
  <c r="N75" i="31" s="1"/>
  <c r="M125" i="31"/>
  <c r="N125" i="31" s="1"/>
  <c r="E7" i="31"/>
  <c r="AD68" i="31"/>
  <c r="E68" i="31" s="1"/>
  <c r="AD75" i="31"/>
  <c r="I122" i="31"/>
  <c r="I121" i="31" s="1"/>
  <c r="S47" i="31"/>
  <c r="AD47" i="31" s="1"/>
  <c r="J122" i="31"/>
  <c r="J121" i="31" s="1"/>
  <c r="F137" i="31"/>
  <c r="E95" i="31"/>
  <c r="F104" i="31"/>
  <c r="AD110" i="31"/>
  <c r="E110" i="31" s="1"/>
  <c r="G84" i="31"/>
  <c r="E88" i="31"/>
  <c r="J145" i="31"/>
  <c r="F166" i="31"/>
  <c r="K80" i="31"/>
  <c r="K75" i="31" s="1"/>
  <c r="M170" i="31" l="1"/>
  <c r="M169" i="31" s="1"/>
  <c r="D4" i="31"/>
  <c r="S60" i="31"/>
  <c r="AD60" i="31" s="1"/>
  <c r="AD52" i="31"/>
  <c r="S56" i="31" s="1"/>
  <c r="AD56" i="31" s="1"/>
  <c r="M137" i="31"/>
  <c r="N137" i="31" s="1"/>
  <c r="F35" i="31"/>
  <c r="AD122" i="31"/>
  <c r="AD121" i="31" s="1"/>
  <c r="E123" i="31"/>
  <c r="E122" i="31" s="1"/>
  <c r="E114" i="31"/>
  <c r="L143" i="31"/>
  <c r="I144" i="31"/>
  <c r="I143" i="31" s="1"/>
  <c r="H144" i="31"/>
  <c r="H143" i="31" s="1"/>
  <c r="L84" i="31"/>
  <c r="L5" i="31" s="1"/>
  <c r="K143" i="31"/>
  <c r="I84" i="31"/>
  <c r="I5" i="31" s="1"/>
  <c r="I4" i="31" s="1"/>
  <c r="S42" i="31"/>
  <c r="AD42" i="31" s="1"/>
  <c r="K84" i="31"/>
  <c r="M195" i="31"/>
  <c r="N195" i="31" s="1"/>
  <c r="H5" i="31"/>
  <c r="AD144" i="31"/>
  <c r="AD143" i="31" s="1"/>
  <c r="J5" i="31"/>
  <c r="M88" i="31"/>
  <c r="N88" i="31" s="1"/>
  <c r="M145" i="31"/>
  <c r="N145" i="31" s="1"/>
  <c r="E144" i="31"/>
  <c r="J144" i="31"/>
  <c r="J143" i="31" s="1"/>
  <c r="M68" i="31"/>
  <c r="N68" i="31" s="1"/>
  <c r="M14" i="31"/>
  <c r="N14" i="31" s="1"/>
  <c r="S51" i="31"/>
  <c r="AD51" i="31" s="1"/>
  <c r="F84" i="31"/>
  <c r="F122" i="31"/>
  <c r="F121" i="31" s="1"/>
  <c r="N169" i="31"/>
  <c r="N170" i="31"/>
  <c r="M95" i="31"/>
  <c r="N95" i="31" s="1"/>
  <c r="M7" i="31"/>
  <c r="N7" i="31" s="1"/>
  <c r="M110" i="31"/>
  <c r="N110" i="31" s="1"/>
  <c r="G144" i="31"/>
  <c r="G143" i="31" s="1"/>
  <c r="F144" i="31"/>
  <c r="F143" i="31" s="1"/>
  <c r="L4" i="31" l="1"/>
  <c r="J4" i="31"/>
  <c r="H4" i="31"/>
  <c r="S64" i="31"/>
  <c r="AD64" i="31" s="1"/>
  <c r="AD84" i="31"/>
  <c r="AD40" i="31"/>
  <c r="AD35" i="31" s="1"/>
  <c r="E35" i="31" s="1"/>
  <c r="M35" i="31" s="1"/>
  <c r="N35" i="31" s="1"/>
  <c r="M123" i="31"/>
  <c r="N123" i="31" s="1"/>
  <c r="E84" i="31"/>
  <c r="M84" i="31" s="1"/>
  <c r="N84" i="31" s="1"/>
  <c r="M114" i="31"/>
  <c r="N114" i="31" s="1"/>
  <c r="K35" i="31"/>
  <c r="M144" i="31"/>
  <c r="E143" i="31"/>
  <c r="M122" i="31"/>
  <c r="N122" i="31" s="1"/>
  <c r="E121" i="31"/>
  <c r="M121" i="31" s="1"/>
  <c r="N121" i="31" s="1"/>
  <c r="AD46" i="31"/>
  <c r="S59" i="31"/>
  <c r="AD59" i="31" s="1"/>
  <c r="K44" i="31" l="1"/>
  <c r="G6" i="31"/>
  <c r="G5" i="31" s="1"/>
  <c r="G4" i="31" s="1"/>
  <c r="S55" i="31"/>
  <c r="AD55" i="31" s="1"/>
  <c r="AD50" i="31"/>
  <c r="M143" i="31"/>
  <c r="N143" i="31" s="1"/>
  <c r="N144" i="31"/>
  <c r="S63" i="31"/>
  <c r="AD63" i="31" s="1"/>
  <c r="K6" i="31" l="1"/>
  <c r="K5" i="31" s="1"/>
  <c r="K4" i="31" s="1"/>
  <c r="AD62" i="31"/>
  <c r="AD58" i="31"/>
  <c r="AD54" i="31"/>
  <c r="F44" i="31"/>
  <c r="AD44" i="31" l="1"/>
  <c r="E44" i="31" s="1"/>
  <c r="E6" i="31" s="1"/>
  <c r="F6" i="31"/>
  <c r="F5" i="31" l="1"/>
  <c r="F4" i="31" s="1"/>
  <c r="AD6" i="31"/>
  <c r="AD5" i="31" s="1"/>
  <c r="AD4" i="31" s="1"/>
  <c r="M44" i="31"/>
  <c r="N44" i="31" s="1"/>
  <c r="M6" i="31" l="1"/>
  <c r="N6" i="31" s="1"/>
  <c r="E5" i="31"/>
  <c r="E4" i="31" s="1"/>
  <c r="M4" i="31" l="1"/>
  <c r="N4" i="31" s="1"/>
  <c r="M5" i="31"/>
  <c r="N5" i="31" s="1"/>
  <c r="X190" i="4" l="1"/>
  <c r="X140" i="4" l="1"/>
  <c r="X101" i="4"/>
  <c r="X100" i="4"/>
  <c r="X98" i="4"/>
  <c r="X97" i="4"/>
  <c r="X95" i="4"/>
  <c r="X94" i="4"/>
  <c r="X91" i="4"/>
  <c r="X90" i="4"/>
  <c r="M123" i="4" l="1"/>
  <c r="X123" i="4" s="1"/>
  <c r="X107" i="4"/>
  <c r="X105" i="4" s="1"/>
  <c r="X99" i="4"/>
  <c r="X92" i="4" s="1"/>
  <c r="X96" i="4"/>
  <c r="X93" i="4"/>
  <c r="X89" i="4"/>
  <c r="M110" i="4"/>
  <c r="X110" i="4" s="1"/>
  <c r="M111" i="4"/>
  <c r="X111" i="4" s="1"/>
  <c r="M114" i="4"/>
  <c r="M119" i="4"/>
  <c r="M120" i="4"/>
  <c r="X120" i="4" s="1"/>
  <c r="M122" i="4"/>
  <c r="X122" i="4" s="1"/>
  <c r="X121" i="4" s="1"/>
  <c r="M113" i="4"/>
  <c r="M49" i="4"/>
  <c r="X49" i="4" s="1"/>
  <c r="X46" i="4"/>
  <c r="X40" i="4"/>
  <c r="X37" i="4"/>
  <c r="X36" i="4"/>
  <c r="X34" i="4"/>
  <c r="X33" i="4"/>
  <c r="X29" i="4"/>
  <c r="X35" i="4" l="1"/>
  <c r="X118" i="4"/>
  <c r="M117" i="4"/>
  <c r="X117" i="4" s="1"/>
  <c r="X109" i="4"/>
  <c r="M116" i="4"/>
  <c r="X116" i="4" s="1"/>
  <c r="X38" i="4"/>
  <c r="M52" i="4"/>
  <c r="X52" i="4" s="1"/>
  <c r="M55" i="4" s="1"/>
  <c r="X55" i="4" s="1"/>
  <c r="M53" i="4"/>
  <c r="X53" i="4" s="1"/>
  <c r="M56" i="4" s="1"/>
  <c r="X56" i="4" s="1"/>
  <c r="M58" i="4"/>
  <c r="X58" i="4" s="1"/>
  <c r="M62" i="4"/>
  <c r="X62" i="4" s="1"/>
  <c r="M50" i="4"/>
  <c r="X50" i="4" s="1"/>
  <c r="X48" i="4" s="1"/>
  <c r="M59" i="4"/>
  <c r="X59" i="4" s="1"/>
  <c r="M61" i="4"/>
  <c r="X61" i="4" s="1"/>
  <c r="X32" i="4"/>
  <c r="X31" i="4" l="1"/>
  <c r="X112" i="4"/>
  <c r="X115" i="4"/>
  <c r="X54" i="4"/>
  <c r="X51" i="4"/>
  <c r="X57" i="4"/>
  <c r="X60" i="4"/>
  <c r="X6" i="4"/>
  <c r="X108" i="4" l="1"/>
  <c r="X88" i="4" s="1"/>
  <c r="X47" i="4"/>
  <c r="X153" i="4" l="1"/>
  <c r="X152" i="4" s="1"/>
  <c r="X16" i="4"/>
  <c r="D14" i="18"/>
  <c r="D10" i="18"/>
  <c r="D8" i="18"/>
  <c r="D7" i="18" l="1"/>
  <c r="X185" i="4"/>
  <c r="X177" i="4"/>
  <c r="J23" i="18" l="1"/>
  <c r="J16" i="18"/>
  <c r="J12" i="18"/>
  <c r="J8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14" i="18"/>
  <c r="E10" i="18"/>
  <c r="E8" i="18"/>
  <c r="K16" i="18" l="1"/>
  <c r="J7" i="18"/>
  <c r="E7" i="18"/>
  <c r="X137" i="4" l="1"/>
  <c r="X136" i="4" s="1"/>
  <c r="X126" i="4"/>
  <c r="X65" i="4"/>
  <c r="X19" i="4"/>
  <c r="F18" i="4" l="1"/>
  <c r="G18" i="4" s="1"/>
  <c r="H18" i="4" s="1"/>
  <c r="E14" i="4" l="1"/>
  <c r="X68" i="4"/>
  <c r="F21" i="4"/>
  <c r="G21" i="4" s="1"/>
  <c r="H21" i="4" s="1"/>
  <c r="X131" i="4" l="1"/>
  <c r="X130" i="4"/>
  <c r="X129" i="4"/>
  <c r="X76" i="4"/>
  <c r="X74" i="4"/>
  <c r="E173" i="4" l="1"/>
  <c r="E209" i="4"/>
  <c r="E201" i="4"/>
  <c r="E198" i="4"/>
  <c r="H195" i="4"/>
  <c r="E194" i="4"/>
  <c r="H194" i="4" s="1"/>
  <c r="E189" i="4"/>
  <c r="E164" i="4"/>
  <c r="E168" i="4"/>
  <c r="E146" i="4"/>
  <c r="E152" i="4"/>
  <c r="E142" i="4"/>
  <c r="E84" i="4"/>
  <c r="E163" i="4" l="1"/>
  <c r="E145" i="4"/>
  <c r="E197" i="4"/>
  <c r="E172" i="4"/>
  <c r="E23" i="4"/>
  <c r="H199" i="4"/>
  <c r="H198" i="4"/>
  <c r="H165" i="4"/>
  <c r="H164" i="4"/>
  <c r="H161" i="4"/>
  <c r="H158" i="4"/>
  <c r="H143" i="4"/>
  <c r="H142" i="4"/>
  <c r="X151" i="4"/>
  <c r="X150" i="4" s="1"/>
  <c r="F150" i="4" s="1"/>
  <c r="G150" i="4" s="1"/>
  <c r="H150" i="4" s="1"/>
  <c r="E13" i="4" l="1"/>
  <c r="F210" i="4"/>
  <c r="F209" i="4" s="1"/>
  <c r="G209" i="4" s="1"/>
  <c r="H209" i="4" s="1"/>
  <c r="G210" i="4" l="1"/>
  <c r="H210" i="4" s="1"/>
  <c r="X202" i="4" l="1"/>
  <c r="F202" i="4" s="1"/>
  <c r="X189" i="4"/>
  <c r="F185" i="4"/>
  <c r="G185" i="4" s="1"/>
  <c r="H185" i="4" s="1"/>
  <c r="X181" i="4"/>
  <c r="F181" i="4" s="1"/>
  <c r="G181" i="4" s="1"/>
  <c r="H181" i="4" s="1"/>
  <c r="F177" i="4"/>
  <c r="G177" i="4" s="1"/>
  <c r="H177" i="4" s="1"/>
  <c r="X174" i="4"/>
  <c r="F174" i="4" s="1"/>
  <c r="G174" i="4" s="1"/>
  <c r="H174" i="4" s="1"/>
  <c r="E160" i="4"/>
  <c r="H160" i="4" s="1"/>
  <c r="E157" i="4"/>
  <c r="H157" i="4" s="1"/>
  <c r="X160" i="4"/>
  <c r="X158" i="4"/>
  <c r="X157" i="4" s="1"/>
  <c r="F161" i="4"/>
  <c r="X82" i="4"/>
  <c r="X81" i="4" s="1"/>
  <c r="F81" i="4" s="1"/>
  <c r="G81" i="4" s="1"/>
  <c r="H81" i="4" s="1"/>
  <c r="X79" i="4"/>
  <c r="X78" i="4" s="1"/>
  <c r="X132" i="4"/>
  <c r="X71" i="4"/>
  <c r="X134" i="4"/>
  <c r="X72" i="4"/>
  <c r="X73" i="4"/>
  <c r="X45" i="4"/>
  <c r="X44" i="4" s="1"/>
  <c r="F158" i="4" l="1"/>
  <c r="G158" i="4" s="1"/>
  <c r="F169" i="4"/>
  <c r="X64" i="4"/>
  <c r="F64" i="4" s="1"/>
  <c r="G64" i="4" s="1"/>
  <c r="H64" i="4" s="1"/>
  <c r="F160" i="4"/>
  <c r="G160" i="4" s="1"/>
  <c r="G161" i="4"/>
  <c r="F201" i="4"/>
  <c r="G201" i="4" s="1"/>
  <c r="H201" i="4" s="1"/>
  <c r="G202" i="4"/>
  <c r="H202" i="4" s="1"/>
  <c r="F157" i="4"/>
  <c r="G157" i="4" s="1"/>
  <c r="X139" i="4"/>
  <c r="F139" i="4" s="1"/>
  <c r="G139" i="4" s="1"/>
  <c r="H139" i="4" s="1"/>
  <c r="X125" i="4"/>
  <c r="X156" i="4"/>
  <c r="X173" i="4"/>
  <c r="F190" i="4"/>
  <c r="F173" i="4"/>
  <c r="G173" i="4" s="1"/>
  <c r="H173" i="4" s="1"/>
  <c r="E156" i="4"/>
  <c r="X70" i="4"/>
  <c r="F70" i="4" s="1"/>
  <c r="G70" i="4" s="1"/>
  <c r="H70" i="4" s="1"/>
  <c r="X128" i="4"/>
  <c r="F128" i="4" s="1"/>
  <c r="G128" i="4" s="1"/>
  <c r="H128" i="4" s="1"/>
  <c r="F168" i="4" l="1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8" i="4" l="1"/>
  <c r="G88" i="4" s="1"/>
  <c r="H88" i="4" s="1"/>
  <c r="F78" i="4"/>
  <c r="G78" i="4" s="1"/>
  <c r="H78" i="4" s="1"/>
  <c r="F136" i="4" l="1"/>
  <c r="G136" i="4" s="1"/>
  <c r="H136" i="4" s="1"/>
  <c r="X30" i="4" l="1"/>
  <c r="X28" i="4" s="1"/>
  <c r="X27" i="4" s="1"/>
  <c r="F27" i="4" l="1"/>
  <c r="G27" i="4" s="1"/>
  <c r="H27" i="4" s="1"/>
  <c r="X25" i="4" l="1"/>
  <c r="X11" i="4"/>
  <c r="F143" i="4"/>
  <c r="X209" i="4"/>
  <c r="X201" i="4"/>
  <c r="X200" i="4"/>
  <c r="X199" i="4" s="1"/>
  <c r="F199" i="4" s="1"/>
  <c r="X195" i="4"/>
  <c r="X168" i="4"/>
  <c r="X165" i="4"/>
  <c r="X142" i="4"/>
  <c r="F125" i="4" s="1"/>
  <c r="G125" i="4" s="1"/>
  <c r="H125" i="4" s="1"/>
  <c r="X86" i="4"/>
  <c r="F198" i="4" l="1"/>
  <c r="G199" i="4"/>
  <c r="F142" i="4"/>
  <c r="G142" i="4" s="1"/>
  <c r="G143" i="4"/>
  <c r="X164" i="4"/>
  <c r="F165" i="4"/>
  <c r="X194" i="4"/>
  <c r="X172" i="4" s="1"/>
  <c r="F195" i="4"/>
  <c r="X15" i="4"/>
  <c r="X14" i="4" s="1"/>
  <c r="X85" i="4"/>
  <c r="X24" i="4"/>
  <c r="X23" i="4" s="1"/>
  <c r="X198" i="4"/>
  <c r="X197" i="4" s="1"/>
  <c r="X163" i="4"/>
  <c r="F197" i="4" l="1"/>
  <c r="G197" i="4" s="1"/>
  <c r="H197" i="4" s="1"/>
  <c r="G198" i="4"/>
  <c r="F194" i="4"/>
  <c r="G195" i="4"/>
  <c r="F164" i="4"/>
  <c r="G165" i="4"/>
  <c r="F85" i="4"/>
  <c r="X84" i="4"/>
  <c r="F15" i="4"/>
  <c r="F14" i="4" s="1"/>
  <c r="F24" i="4"/>
  <c r="F11" i="4"/>
  <c r="G11" i="4" s="1"/>
  <c r="H11" i="4"/>
  <c r="X9" i="4"/>
  <c r="X13" i="4" l="1"/>
  <c r="F163" i="4"/>
  <c r="G163" i="4" s="1"/>
  <c r="H163" i="4" s="1"/>
  <c r="G164" i="4"/>
  <c r="F172" i="4"/>
  <c r="G172" i="4" s="1"/>
  <c r="H172" i="4" s="1"/>
  <c r="G194" i="4"/>
  <c r="F84" i="4"/>
  <c r="G84" i="4" s="1"/>
  <c r="H84" i="4" s="1"/>
  <c r="G85" i="4"/>
  <c r="H85" i="4" s="1"/>
  <c r="F23" i="4"/>
  <c r="G23" i="4" s="1"/>
  <c r="H23" i="4" s="1"/>
  <c r="G24" i="4"/>
  <c r="H24" i="4" s="1"/>
  <c r="G14" i="4"/>
  <c r="H14" i="4" s="1"/>
  <c r="G15" i="4"/>
  <c r="H15" i="4" s="1"/>
  <c r="F9" i="4"/>
  <c r="G9" i="4" s="1"/>
  <c r="H9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3" i="4"/>
  <c r="G13" i="4" s="1"/>
  <c r="H13" i="4" s="1"/>
  <c r="F7" i="18" l="1"/>
  <c r="X148" i="4"/>
  <c r="X147" i="4" s="1"/>
  <c r="X146" i="4" l="1"/>
  <c r="F153" i="4"/>
  <c r="F152" i="4" l="1"/>
  <c r="G152" i="4" s="1"/>
  <c r="H152" i="4" s="1"/>
  <c r="G153" i="4"/>
  <c r="H153" i="4" s="1"/>
  <c r="X145" i="4"/>
  <c r="F147" i="4"/>
  <c r="F146" i="4" l="1"/>
  <c r="G147" i="4"/>
  <c r="H147" i="4" s="1"/>
  <c r="F145" i="4" l="1"/>
  <c r="G145" i="4" s="1"/>
  <c r="H145" i="4" s="1"/>
  <c r="G146" i="4"/>
  <c r="H146" i="4" s="1"/>
  <c r="X8" i="4" l="1"/>
  <c r="X5" i="4" s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<sst xmlns="http://schemas.openxmlformats.org/spreadsheetml/2006/main" count="1708" uniqueCount="533">
  <si>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</si>
  <si>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</si>
  <si>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</si>
  <si>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</si>
  <si>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</si>
  <si>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</si>
  <si>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</si>
  <si>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</si>
  <si>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</si>
  <si>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</si>
  <si>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</si>
  <si>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</si>
  <si>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</si>
  <si>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</si>
  <si>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</si>
  <si>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</si>
  <si>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</si>
  <si>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</si>
  <si>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</si>
  <si>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</si>
  <si>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</si>
  <si>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</si>
  <si>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</si>
  <si>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</si>
  <si>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</si>
  <si>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</si>
  <si>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</si>
  <si>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</si>
  <si>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</si>
  <si>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</si>
  <si>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</si>
  <si>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</si>
  <si>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</si>
  <si>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</si>
  <si>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</si>
  <si>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</si>
  <si>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</si>
  <si>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</si>
  <si>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</si>
  <si>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</si>
  <si>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</si>
  <si>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</si>
  <si>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</si>
  <si>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</si>
  <si>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</si>
  <si>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</si>
  <si>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</si>
  <si>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</si>
  <si>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</si>
  <si>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</si>
  <si>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</si>
  <si>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</si>
  <si>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</si>
  <si>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</si>
  <si>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</si>
  <si>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</si>
  <si>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</si>
  <si>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</si>
  <si>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</si>
  <si>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</si>
  <si>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</si>
  <si>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</si>
  <si>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</si>
  <si>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</si>
  <si>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</si>
  <si>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</si>
  <si>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</si>
  <si>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</si>
  <si>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</si>
  <si>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</si>
  <si>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</si>
  <si>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</si>
  <si>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</si>
  <si>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</si>
  <si>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</si>
  <si>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</si>
  <si>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</si>
  <si>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</si>
  <si>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</si>
  <si>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</si>
  <si>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</si>
  <si>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</si>
  <si>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</si>
  <si>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</si>
  <si>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</si>
  <si>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</si>
  <si>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</si>
  <si>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</si>
  <si>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</si>
  <si>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</si>
  <si>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</si>
  <si>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</si>
  <si>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</si>
  <si>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</si>
  <si>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</si>
  <si>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</si>
  <si>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</si>
  <si>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</si>
  <si>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</si>
  <si>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</si>
  <si>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</si>
  <si>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</si>
  <si>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</si>
  <si>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</si>
  <si>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</si>
  <si>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</si>
  <si>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</si>
  <si>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</si>
  <si>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</si>
  <si>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</si>
  <si>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</si>
  <si>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</si>
  <si>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</si>
  <si>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</si>
  <si>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</si>
  <si>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</si>
  <si>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</si>
  <si>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</si>
  <si>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</si>
  <si>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</si>
  <si>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</si>
  <si>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</si>
  <si>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</si>
  <si>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</si>
  <si>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</si>
  <si>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</si>
  <si>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</si>
  <si>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</si>
  <si>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</si>
  <si>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</si>
  <si>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</si>
  <si>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</si>
  <si>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</si>
  <si>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</si>
  <si>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</si>
  <si>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</si>
  <si>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</si>
  <si>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</si>
  <si>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</si>
  <si>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</si>
  <si>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</si>
  <si>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</si>
  <si>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</si>
  <si>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</si>
  <si>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</si>
  <si>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</si>
  <si>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</si>
  <si>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</si>
  <si>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</si>
  <si>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</si>
  <si>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</si>
  <si>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</si>
  <si>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</si>
  <si>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</si>
  <si>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</si>
  <si>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</si>
  <si>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</si>
  <si>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</si>
  <si>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</si>
  <si>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</si>
  <si>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</si>
  <si>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</si>
  <si>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</si>
  <si>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</si>
  <si>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</si>
  <si>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</si>
  <si>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</si>
  <si>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</si>
  <si>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</si>
  <si>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</si>
  <si>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</si>
  <si>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</si>
  <si>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</si>
  <si>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</si>
  <si>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</si>
  <si>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</si>
  <si>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</si>
  <si>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</si>
  <si>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</si>
  <si>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</si>
  <si>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</si>
  <si>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</si>
  <si>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</si>
  <si>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</si>
  <si>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</si>
  <si>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</si>
  <si>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</si>
  <si>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</si>
  <si>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</si>
  <si>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</si>
  <si>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</si>
  <si>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</si>
  <si>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</si>
  <si>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</si>
  <si>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</si>
  <si>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</si>
  <si>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</si>
  <si>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</si>
  <si>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</si>
  <si>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</si>
  <si>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</si>
  <si>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</si>
  <si>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</si>
  <si>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</si>
  <si>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</si>
  <si>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</si>
  <si>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</si>
  <si>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</si>
  <si>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</si>
  <si>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</si>
  <si>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</si>
  <si>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</si>
  <si>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</si>
  <si>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</si>
  <si>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</si>
  <si>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</si>
  <si>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</si>
  <si>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</si>
  <si>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</si>
  <si>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</si>
  <si>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</si>
  <si>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</si>
  <si>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</si>
  <si>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</si>
  <si>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</si>
  <si>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</si>
  <si>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</si>
  <si>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</si>
  <si>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</si>
  <si>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</si>
  <si>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</si>
  <si>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</si>
  <si>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</si>
  <si>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</si>
  <si>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</si>
  <si>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</si>
  <si>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</si>
  <si>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</si>
  <si>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</si>
  <si>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</si>
  <si>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</si>
  <si>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</si>
  <si>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</si>
  <si>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</si>
  <si>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</si>
  <si>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</si>
  <si>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</si>
  <si>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</si>
  <si>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</si>
  <si>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</si>
  <si>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</si>
  <si>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</si>
  <si>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</si>
  <si>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</si>
  <si>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</si>
  <si>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</si>
  <si>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</si>
  <si>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</si>
  <si>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</si>
  <si>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</si>
  <si>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</si>
  <si>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</si>
  <si>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</si>
  <si>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</si>
  <si>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</si>
  <si>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</si>
  <si>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</si>
  <si>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</si>
  <si>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</si>
  <si>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</si>
  <si>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</si>
  <si>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</si>
  <si>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</si>
  <si>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</si>
  <si>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</si>
  <si>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</si>
  <si>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</si>
  <si>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</si>
  <si>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</si>
  <si>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</si>
  <si>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</si>
  <si>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</si>
  <si>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</si>
  <si>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</si>
  <si>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</si>
  <si>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</si>
  <si>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</si>
  <si>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</si>
  <si>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</si>
  <si>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</si>
  <si>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</si>
  <si>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</si>
  <si>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</si>
  <si>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</si>
  <si>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</si>
  <si>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</si>
  <si>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</si>
  <si>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</si>
  <si>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</si>
  <si>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</si>
  <si>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</si>
  <si>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</si>
  <si>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</si>
  <si>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</si>
  <si>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</si>
  <si>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</si>
  <si>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</si>
  <si>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2022년
본예산</t>
    <phoneticPr fontId="26" type="noConversion"/>
  </si>
  <si>
    <t>□ 2022년도 1차 추경예산 세 입 · 세 출 총  괄  표</t>
    <phoneticPr fontId="26" type="noConversion"/>
  </si>
  <si>
    <t>2022년
1차 추경예산</t>
    <phoneticPr fontId="26" type="noConversion"/>
  </si>
  <si>
    <t>6종</t>
    <phoneticPr fontId="7" type="noConversion"/>
  </si>
  <si>
    <t>&lt;2022년도 1차추경예산 세입내역&gt;</t>
    <phoneticPr fontId="7" type="noConversion"/>
  </si>
  <si>
    <t>2022년
본예산
(A)
(단위:천원)</t>
    <phoneticPr fontId="7" type="noConversion"/>
  </si>
  <si>
    <t>2022년
1차추경예산
(B)
(단위:천원)</t>
    <phoneticPr fontId="7" type="noConversion"/>
  </si>
  <si>
    <t>원</t>
    <phoneticPr fontId="7" type="noConversion"/>
  </si>
  <si>
    <t xml:space="preserve">           (사회재활교사)</t>
    <phoneticPr fontId="7" type="noConversion"/>
  </si>
  <si>
    <t xml:space="preserve">           (보조인력교사)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</si>
  <si>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</si>
  <si>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</si>
  <si>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</si>
  <si>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</si>
  <si>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</si>
  <si>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</si>
  <si>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</si>
  <si>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</si>
  <si>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</si>
  <si>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</si>
  <si>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1.경상보조금 (종사자1명)</t>
    <phoneticPr fontId="7" type="noConversion"/>
  </si>
  <si>
    <t>2.보조인력 인건비지원</t>
    <phoneticPr fontId="7" type="noConversion"/>
  </si>
  <si>
    <t>보조금</t>
    <phoneticPr fontId="7" type="noConversion"/>
  </si>
  <si>
    <t>보조금
(4종)</t>
    <phoneticPr fontId="7" type="noConversion"/>
  </si>
  <si>
    <t>&lt;2022년도 1차추경예산 세출내역&gt;</t>
    <phoneticPr fontId="7" type="noConversion"/>
  </si>
  <si>
    <t>2022년
본예산
(A)
(단위:천원)</t>
    <phoneticPr fontId="7" type="noConversion"/>
  </si>
  <si>
    <t>2022년 1차추경예산액(B)         (단위:천원)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</si>
  <si>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</si>
  <si>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</si>
  <si>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</si>
  <si>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</si>
  <si>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</si>
  <si>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</si>
  <si>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</si>
  <si>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</si>
  <si>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</si>
  <si>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</si>
  <si>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</si>
  <si>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</si>
  <si>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</si>
  <si>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</si>
  <si>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</si>
  <si>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</si>
  <si>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</si>
  <si>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</si>
  <si>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</si>
  <si>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</si>
  <si>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</si>
  <si>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</si>
  <si>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</si>
  <si>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</si>
  <si>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</si>
  <si>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</si>
  <si>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 xml:space="preserve">  - 경상보조인력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</si>
  <si>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</si>
  <si>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</si>
  <si>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</si>
  <si>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</si>
  <si>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</si>
  <si>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</si>
  <si>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</si>
  <si>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</si>
  <si>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</si>
  <si>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</si>
  <si>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</si>
  <si>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</si>
  <si>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</si>
  <si>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</si>
  <si>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</si>
  <si>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</si>
  <si>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* 야간근로자 특수건강검진(18명)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</si>
  <si>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</si>
  <si>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</si>
  <si>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</si>
  <si>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</si>
  <si>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</si>
  <si>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</si>
  <si>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</si>
  <si>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</si>
  <si>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</si>
  <si>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</si>
  <si>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</si>
  <si>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</si>
  <si>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</si>
  <si>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</si>
  <si>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</si>
  <si>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</si>
  <si>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</si>
  <si>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</si>
  <si>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</si>
  <si>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</si>
  <si>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</si>
  <si>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</si>
  <si>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</si>
  <si>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</si>
  <si>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</si>
  <si>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</si>
  <si>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</si>
  <si>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</si>
  <si>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</si>
  <si>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</si>
  <si>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</si>
  <si>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</si>
  <si>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</si>
  <si>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</si>
  <si>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</si>
  <si>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</si>
  <si>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</si>
  <si>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</si>
  <si>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</si>
  <si>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</si>
  <si>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</si>
  <si>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</si>
  <si>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</si>
  <si>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</si>
  <si>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</si>
  <si>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</si>
  <si>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</si>
  <si>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</si>
  <si>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</si>
  <si>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</si>
  <si>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</si>
  <si>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</si>
  <si>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</si>
  <si>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</si>
  <si>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 xml:space="preserve"> A.경상보조금 1명</t>
    <phoneticPr fontId="7" type="noConversion"/>
  </si>
  <si>
    <t xml:space="preserve"> B.보조인력 인건비지원</t>
    <phoneticPr fontId="7" type="noConversion"/>
  </si>
  <si>
    <t>4.야간근로수당</t>
    <phoneticPr fontId="7" type="noConversion"/>
  </si>
  <si>
    <t>5. 기타 제수당</t>
    <phoneticPr fontId="7" type="noConversion"/>
  </si>
  <si>
    <t xml:space="preserve"> B.기타</t>
    <phoneticPr fontId="7" type="noConversion"/>
  </si>
  <si>
    <t>보조</t>
    <phoneticPr fontId="7" type="noConversion"/>
  </si>
  <si>
    <t xml:space="preserve">  - 보조인력 인건비지원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</si>
  <si>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</si>
  <si>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</si>
  <si>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</si>
  <si>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</si>
  <si>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6종</t>
    <phoneticPr fontId="7" type="noConversion"/>
  </si>
  <si>
    <t>* 직원독감 예방접종</t>
    <phoneticPr fontId="7" type="noConversion"/>
  </si>
  <si>
    <t>후원</t>
    <phoneticPr fontId="7" type="noConversion"/>
  </si>
  <si>
    <t>* 직원연수 경비</t>
    <phoneticPr fontId="7" type="noConversion"/>
  </si>
  <si>
    <t>입소</t>
  </si>
  <si>
    <t>입소</t>
    <phoneticPr fontId="7" type="noConversion"/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</si>
  <si>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</si>
  <si>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</si>
  <si>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</si>
  <si>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</si>
  <si>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</si>
  <si>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</si>
  <si>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</si>
  <si>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보조</t>
  </si>
  <si>
    <t>* 사무용품비(문구류 )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</si>
  <si>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</si>
  <si>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</si>
  <si>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</si>
  <si>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</si>
  <si>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</si>
  <si>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신원보증보험갱신</t>
  </si>
  <si>
    <t>회</t>
  </si>
  <si>
    <t>* 차량보험료</t>
  </si>
  <si>
    <t>* 시설안전종합보험(화재보험 포함)</t>
  </si>
  <si>
    <t>* 차량유류대</t>
  </si>
  <si>
    <t>* 차량 정기검사/ 차량수리 및 정비비</t>
  </si>
  <si>
    <t>1. 직원 교육훈련비</t>
    <phoneticPr fontId="7" type="noConversion"/>
  </si>
  <si>
    <t xml:space="preserve"> * 국립재활원, 한장협, 경장협 등 </t>
  </si>
  <si>
    <t>2. 직원 식대</t>
    <phoneticPr fontId="7" type="noConversion"/>
  </si>
  <si>
    <t xml:space="preserve"> * 주부식비</t>
    <phoneticPr fontId="7" type="noConversion"/>
  </si>
  <si>
    <t>* 기타 시설물 관리유지비</t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</si>
  <si>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</si>
  <si>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</si>
  <si>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</si>
  <si>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</si>
  <si>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</si>
  <si>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</si>
  <si>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</si>
  <si>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</si>
  <si>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</si>
  <si>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</si>
  <si>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</si>
  <si>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</si>
  <si>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</si>
  <si>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</si>
  <si>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</si>
  <si>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>일상생활</t>
    <phoneticPr fontId="7" type="noConversion"/>
  </si>
  <si>
    <t>* 자치회의</t>
  </si>
  <si>
    <t>자치회의</t>
    <phoneticPr fontId="7" type="noConversion"/>
  </si>
  <si>
    <t>* 제주도나들이</t>
    <phoneticPr fontId="7" type="noConversion"/>
  </si>
  <si>
    <t>나들이</t>
    <phoneticPr fontId="7" type="noConversion"/>
  </si>
  <si>
    <t>* 영화관람</t>
  </si>
  <si>
    <t>* 스포츠관람</t>
    <phoneticPr fontId="7" type="noConversion"/>
  </si>
  <si>
    <t>문화생활</t>
    <phoneticPr fontId="7" type="noConversion"/>
  </si>
  <si>
    <t>* 등산프로그램</t>
    <phoneticPr fontId="7" type="noConversion"/>
  </si>
  <si>
    <t>운동지원</t>
    <phoneticPr fontId="7" type="noConversion"/>
  </si>
  <si>
    <t>* 송년회</t>
  </si>
  <si>
    <t>기타</t>
    <phoneticPr fontId="7" type="noConversion"/>
  </si>
  <si>
    <t>* 환경개선사업(6종)</t>
    <phoneticPr fontId="7" type="noConversion"/>
  </si>
  <si>
    <t>* 환경개선사업(6종)</t>
    <phoneticPr fontId="7" type="noConversion"/>
  </si>
  <si>
    <t>※ 체크카드환급 및 직원급식비</t>
  </si>
  <si>
    <t>합계:</t>
  </si>
  <si>
    <t>소계 :</t>
  </si>
  <si>
    <t>1. 입소비용 체크카드환급액</t>
    <phoneticPr fontId="7" type="noConversion"/>
  </si>
  <si>
    <t>2. 잡수입 체크카드환급금</t>
  </si>
  <si>
    <t>3. 후원금 체크카드환급금</t>
  </si>
  <si>
    <t>4. 직원 급식비</t>
    <phoneticPr fontId="7" type="noConversion"/>
  </si>
  <si>
    <t>* 직원 축일 및 생일 축하 문화상품권</t>
  </si>
  <si>
    <t>* 정수기 대여료 및 수질검사 등</t>
  </si>
  <si>
    <t>* 복사기 대여료</t>
  </si>
  <si>
    <t>* 우편물발송료 등 기타 공공요금</t>
  </si>
  <si>
    <t>* 주민세 등 기타 공과금</t>
  </si>
  <si>
    <t>* 청소기, 모니터 등 구입</t>
    <phoneticPr fontId="7" type="noConversion"/>
  </si>
  <si>
    <t>* 생활용품구입비(비누,치약, 화장지 등)</t>
  </si>
  <si>
    <t xml:space="preserve">* 요리프로그램 </t>
  </si>
  <si>
    <t>* 성교육</t>
  </si>
  <si>
    <t>* 입소비용 예금이자</t>
  </si>
  <si>
    <t>* 입소비용 체크카드 환급액</t>
  </si>
  <si>
    <t>* 후원금 예금이자</t>
  </si>
  <si>
    <t>* 후원금 체크카드 환급액</t>
  </si>
  <si>
    <t>* 잡수입 예금이자</t>
  </si>
  <si>
    <t>* 잡수입 체크카드 환급액</t>
  </si>
  <si>
    <t>* 법인전입금 예금이자</t>
  </si>
  <si>
    <t>법인</t>
  </si>
  <si>
    <t>입소</t>
    <phoneticPr fontId="7" type="noConversion"/>
  </si>
  <si>
    <t>법인</t>
    <phoneticPr fontId="7" type="noConversion"/>
  </si>
  <si>
    <t>원</t>
    <phoneticPr fontId="7" type="noConversion"/>
  </si>
  <si>
    <t xml:space="preserve"> 다.야간근로수당</t>
    <phoneticPr fontId="7" type="noConversion"/>
  </si>
  <si>
    <t xml:space="preserve"> 라.야간근로수당</t>
    <phoneticPr fontId="7" type="noConversion"/>
  </si>
  <si>
    <t>보조금   반환금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</si>
</sst>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3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41" fontId="51" fillId="0" borderId="11" xfId="8" applyNumberFormat="1" applyFont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49" fillId="0" borderId="41" xfId="22" applyNumberFormat="1" applyFont="1" applyFill="1" applyBorder="1" applyAlignment="1">
      <alignment vertical="center"/>
    </xf>
    <xf numFmtId="0" fontId="49" fillId="0" borderId="53" xfId="22" applyNumberFormat="1" applyFont="1" applyFill="1" applyBorder="1" applyAlignment="1">
      <alignment vertical="center"/>
    </xf>
    <xf numFmtId="176" fontId="49" fillId="0" borderId="30" xfId="22" applyNumberFormat="1" applyFont="1" applyFill="1" applyBorder="1" applyAlignment="1">
      <alignment vertical="center"/>
    </xf>
    <xf numFmtId="176" fontId="45" fillId="0" borderId="53" xfId="22" applyNumberFormat="1" applyFont="1" applyFill="1" applyBorder="1" applyAlignment="1">
      <alignment horizontal="right" vertical="center"/>
    </xf>
    <xf numFmtId="176" fontId="45" fillId="0" borderId="54" xfId="22" applyNumberFormat="1" applyFont="1" applyFill="1" applyBorder="1" applyAlignment="1">
      <alignment vertical="center"/>
    </xf>
    <xf numFmtId="0" fontId="45" fillId="0" borderId="33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right" vertical="center"/>
    </xf>
    <xf numFmtId="176" fontId="45" fillId="0" borderId="5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center" vertical="center"/>
    </xf>
    <xf numFmtId="0" fontId="45" fillId="0" borderId="38" xfId="22" applyNumberFormat="1" applyFont="1" applyFill="1" applyBorder="1" applyAlignment="1">
      <alignment vertical="center"/>
    </xf>
    <xf numFmtId="176" fontId="45" fillId="0" borderId="13" xfId="22" applyNumberFormat="1" applyFont="1" applyFill="1" applyBorder="1" applyAlignment="1">
      <alignment vertical="center"/>
    </xf>
    <xf numFmtId="0" fontId="45" fillId="0" borderId="13" xfId="22" applyNumberFormat="1" applyFont="1" applyFill="1" applyBorder="1" applyAlignment="1">
      <alignment vertical="center"/>
    </xf>
    <xf numFmtId="176" fontId="45" fillId="0" borderId="13" xfId="22" applyNumberFormat="1" applyFont="1" applyFill="1" applyBorder="1" applyAlignment="1">
      <alignment horizontal="center" vertical="center"/>
    </xf>
    <xf numFmtId="176" fontId="45" fillId="0" borderId="39" xfId="22" applyNumberFormat="1" applyFont="1" applyFill="1" applyBorder="1" applyAlignment="1">
      <alignment vertical="center"/>
    </xf>
    <xf numFmtId="42" fontId="45" fillId="0" borderId="0" xfId="22" applyNumberFormat="1" applyFont="1" applyFill="1" applyBorder="1" applyAlignment="1">
      <alignment horizontal="center" vertical="center"/>
    </xf>
    <xf numFmtId="178" fontId="45" fillId="0" borderId="0" xfId="22" applyNumberFormat="1" applyFont="1" applyFill="1" applyBorder="1" applyAlignment="1">
      <alignment horizontal="center" vertical="center"/>
    </xf>
    <xf numFmtId="180" fontId="45" fillId="0" borderId="0" xfId="21" applyNumberFormat="1" applyFont="1" applyFill="1" applyBorder="1" applyAlignment="1">
      <alignment horizontal="center" vertical="center"/>
    </xf>
    <xf numFmtId="178" fontId="52" fillId="0" borderId="0" xfId="0" applyNumberFormat="1" applyFont="1" applyBorder="1" applyAlignment="1">
      <alignment vertical="center"/>
    </xf>
    <xf numFmtId="198" fontId="45" fillId="0" borderId="0" xfId="22" applyNumberFormat="1" applyFont="1" applyFill="1" applyBorder="1" applyAlignment="1">
      <alignment vertical="center"/>
    </xf>
    <xf numFmtId="196" fontId="45" fillId="0" borderId="0" xfId="22" applyNumberFormat="1" applyFont="1" applyFill="1" applyBorder="1" applyAlignment="1">
      <alignment vertical="center"/>
    </xf>
    <xf numFmtId="0" fontId="45" fillId="0" borderId="30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horizontal="center" vertical="center"/>
    </xf>
    <xf numFmtId="176" fontId="48" fillId="0" borderId="0" xfId="22" applyNumberFormat="1" applyFont="1" applyFill="1" applyBorder="1" applyAlignment="1">
      <alignment vertical="center"/>
    </xf>
    <xf numFmtId="0" fontId="48" fillId="0" borderId="0" xfId="22" applyNumberFormat="1" applyFont="1" applyFill="1" applyBorder="1" applyAlignment="1">
      <alignment horizontal="center" vertical="center"/>
    </xf>
    <xf numFmtId="0" fontId="48" fillId="0" borderId="0" xfId="22" applyNumberFormat="1" applyFont="1" applyFill="1" applyBorder="1" applyAlignment="1">
      <alignment vertical="center"/>
    </xf>
    <xf numFmtId="176" fontId="45" fillId="0" borderId="30" xfId="22" applyNumberFormat="1" applyFont="1" applyFill="1" applyBorder="1" applyAlignment="1">
      <alignment vertical="center"/>
    </xf>
    <xf numFmtId="176" fontId="45" fillId="0" borderId="31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vertical="center" wrapText="1"/>
    </xf>
    <xf numFmtId="0" fontId="53" fillId="0" borderId="0" xfId="0" applyNumberFormat="1" applyFont="1" applyFill="1" applyBorder="1">
      <alignment vertical="center"/>
    </xf>
    <xf numFmtId="0" fontId="45" fillId="0" borderId="0" xfId="0" applyNumberFormat="1" applyFont="1" applyFill="1" applyAlignment="1">
      <alignment horizontal="right" vertical="center"/>
    </xf>
    <xf numFmtId="0" fontId="45" fillId="0" borderId="0" xfId="0" applyNumberFormat="1" applyFont="1" applyFill="1" applyAlignment="1">
      <alignment horizontal="center" vertical="center"/>
    </xf>
    <xf numFmtId="42" fontId="45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41" fontId="0" fillId="0" borderId="7" xfId="8" applyNumberFormat="1" applyFont="1" applyBorder="1">
      <alignment vertical="center"/>
    </xf>
    <xf numFmtId="182" fontId="0" fillId="0" borderId="56" xfId="8" applyNumberFormat="1" applyFont="1" applyBorder="1">
      <alignment vertical="center"/>
    </xf>
    <xf numFmtId="0" fontId="13" fillId="0" borderId="36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45" fillId="0" borderId="53" xfId="22" applyNumberFormat="1" applyFont="1" applyFill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activeCell="K30" sqref="K30"/>
    </sheetView>
  </sheetViews>
  <sheetFormatPr defaultRowHeight="16.5"/>
  <cols>
    <col min="1" max="1" width="1.44140625" style="160" customWidth="1"/>
    <col min="2" max="2" width="11.5546875" style="160" bestFit="1" customWidth="1"/>
    <col min="3" max="3" width="13.33203125" style="160" bestFit="1" customWidth="1"/>
    <col min="4" max="5" width="18" style="160" bestFit="1" customWidth="1"/>
    <col min="6" max="6" width="16" style="160" bestFit="1" customWidth="1"/>
    <col min="7" max="7" width="9.6640625" style="160" bestFit="1" customWidth="1"/>
    <col min="8" max="8" width="13.33203125" style="160" bestFit="1" customWidth="1"/>
    <col min="9" max="10" width="18" style="160" bestFit="1" customWidth="1"/>
    <col min="11" max="11" width="16" style="160" bestFit="1" customWidth="1"/>
    <col min="12" max="16384" width="8.88671875" style="160"/>
  </cols>
  <sheetData>
    <row r="1" spans="2:11" ht="9.9499999999999993" customHeight="1"/>
    <row r="2" spans="2:11" ht="26.25">
      <c r="B2" s="161" t="s">
        <v>308</v>
      </c>
      <c r="K2" s="162" t="s">
        <v>305</v>
      </c>
    </row>
    <row r="3" spans="2:11" ht="9.9499999999999993" customHeight="1" thickBot="1"/>
    <row r="4" spans="2:11" ht="30" customHeight="1">
      <c r="B4" s="546" t="s">
        <v>115</v>
      </c>
      <c r="C4" s="547"/>
      <c r="D4" s="547"/>
      <c r="E4" s="547"/>
      <c r="F4" s="548"/>
      <c r="G4" s="546" t="s">
        <v>116</v>
      </c>
      <c r="H4" s="547"/>
      <c r="I4" s="547"/>
      <c r="J4" s="547"/>
      <c r="K4" s="549"/>
    </row>
    <row r="5" spans="2:11" ht="16.5" customHeight="1">
      <c r="B5" s="550" t="s">
        <v>117</v>
      </c>
      <c r="C5" s="551"/>
      <c r="D5" s="554" t="s">
        <v>307</v>
      </c>
      <c r="E5" s="554" t="s">
        <v>309</v>
      </c>
      <c r="F5" s="556" t="s">
        <v>118</v>
      </c>
      <c r="G5" s="550" t="s">
        <v>117</v>
      </c>
      <c r="H5" s="551"/>
      <c r="I5" s="554" t="s">
        <v>307</v>
      </c>
      <c r="J5" s="554" t="s">
        <v>309</v>
      </c>
      <c r="K5" s="558" t="s">
        <v>118</v>
      </c>
    </row>
    <row r="6" spans="2:11" ht="22.5" customHeight="1" thickBot="1">
      <c r="B6" s="552"/>
      <c r="C6" s="553"/>
      <c r="D6" s="555"/>
      <c r="E6" s="555"/>
      <c r="F6" s="557"/>
      <c r="G6" s="552"/>
      <c r="H6" s="553"/>
      <c r="I6" s="555"/>
      <c r="J6" s="555"/>
      <c r="K6" s="559"/>
    </row>
    <row r="7" spans="2:11" ht="24.95" customHeight="1" thickTop="1">
      <c r="B7" s="540" t="s">
        <v>119</v>
      </c>
      <c r="C7" s="541"/>
      <c r="D7" s="402">
        <f>SUM(D8:D22)/2</f>
        <v>68759000</v>
      </c>
      <c r="E7" s="402">
        <f>SUM(E8:E22)/2</f>
        <v>90579000</v>
      </c>
      <c r="F7" s="403">
        <f>SUM(F8:F22)/2</f>
        <v>21820000</v>
      </c>
      <c r="G7" s="540" t="s">
        <v>119</v>
      </c>
      <c r="H7" s="541"/>
      <c r="I7" s="402">
        <f>SUM(I8:I27)/2</f>
        <v>68759000</v>
      </c>
      <c r="J7" s="402">
        <f>SUM(J8:J27)/2</f>
        <v>90579000</v>
      </c>
      <c r="K7" s="404">
        <f>SUM(K8:K27)/2</f>
        <v>21820000</v>
      </c>
    </row>
    <row r="8" spans="2:11" ht="24.95" customHeight="1">
      <c r="B8" s="542" t="s">
        <v>120</v>
      </c>
      <c r="C8" s="405" t="s">
        <v>303</v>
      </c>
      <c r="D8" s="406">
        <f>D9</f>
        <v>12000000</v>
      </c>
      <c r="E8" s="406">
        <f>E9</f>
        <v>6000000</v>
      </c>
      <c r="F8" s="407">
        <f>F9</f>
        <v>-6000000</v>
      </c>
      <c r="G8" s="542" t="s">
        <v>122</v>
      </c>
      <c r="H8" s="405" t="s">
        <v>303</v>
      </c>
      <c r="I8" s="493">
        <f>SUM(I9:I11)</f>
        <v>52659000</v>
      </c>
      <c r="J8" s="406">
        <f>SUM(J9:J11)</f>
        <v>78561000</v>
      </c>
      <c r="K8" s="411">
        <f>SUM(K9:K11)</f>
        <v>25902000</v>
      </c>
    </row>
    <row r="9" spans="2:11" ht="24.95" customHeight="1">
      <c r="B9" s="543"/>
      <c r="C9" s="163" t="s">
        <v>121</v>
      </c>
      <c r="D9" s="491">
        <v>12000000</v>
      </c>
      <c r="E9" s="164">
        <v>6000000</v>
      </c>
      <c r="F9" s="165">
        <f>E9-D9</f>
        <v>-6000000</v>
      </c>
      <c r="G9" s="544"/>
      <c r="H9" s="163" t="s">
        <v>123</v>
      </c>
      <c r="I9" s="491">
        <v>41888000</v>
      </c>
      <c r="J9" s="164">
        <v>68178000</v>
      </c>
      <c r="K9" s="166">
        <f>J9-I9</f>
        <v>26290000</v>
      </c>
    </row>
    <row r="10" spans="2:11" ht="24.95" customHeight="1">
      <c r="B10" s="542" t="s">
        <v>124</v>
      </c>
      <c r="C10" s="408" t="s">
        <v>303</v>
      </c>
      <c r="D10" s="409">
        <f>SUM(D11:D13)</f>
        <v>51067000</v>
      </c>
      <c r="E10" s="409">
        <f>SUM(E11:E13)</f>
        <v>79290000</v>
      </c>
      <c r="F10" s="410">
        <f>SUM(F11:F13)</f>
        <v>28223000</v>
      </c>
      <c r="G10" s="544"/>
      <c r="H10" s="163" t="s">
        <v>125</v>
      </c>
      <c r="I10" s="491">
        <v>190000</v>
      </c>
      <c r="J10" s="164">
        <v>160000</v>
      </c>
      <c r="K10" s="166">
        <f t="shared" ref="K10:K11" si="0">J10-I10</f>
        <v>-30000</v>
      </c>
    </row>
    <row r="11" spans="2:11" ht="24.95" customHeight="1">
      <c r="B11" s="544"/>
      <c r="C11" s="267" t="s">
        <v>263</v>
      </c>
      <c r="D11" s="164">
        <v>0</v>
      </c>
      <c r="E11" s="164">
        <v>0</v>
      </c>
      <c r="F11" s="165">
        <f t="shared" ref="F11:F22" si="1">E11-D11</f>
        <v>0</v>
      </c>
      <c r="G11" s="543"/>
      <c r="H11" s="163" t="s">
        <v>75</v>
      </c>
      <c r="I11" s="491">
        <v>10581000</v>
      </c>
      <c r="J11" s="164">
        <v>10223000</v>
      </c>
      <c r="K11" s="166">
        <f t="shared" si="0"/>
        <v>-358000</v>
      </c>
    </row>
    <row r="12" spans="2:11" ht="24.95" customHeight="1">
      <c r="B12" s="544"/>
      <c r="C12" s="267" t="s">
        <v>264</v>
      </c>
      <c r="D12" s="164">
        <v>5076000</v>
      </c>
      <c r="E12" s="164">
        <v>8230000</v>
      </c>
      <c r="F12" s="165">
        <f t="shared" si="1"/>
        <v>3154000</v>
      </c>
      <c r="G12" s="542" t="s">
        <v>76</v>
      </c>
      <c r="H12" s="408" t="s">
        <v>303</v>
      </c>
      <c r="I12" s="492">
        <f>SUM(I13:I15)</f>
        <v>1100000</v>
      </c>
      <c r="J12" s="409">
        <f>SUM(J13:J15)</f>
        <v>600000</v>
      </c>
      <c r="K12" s="412">
        <f>SUM(K13:K15)</f>
        <v>-500000</v>
      </c>
    </row>
    <row r="13" spans="2:11" ht="24.95" customHeight="1">
      <c r="B13" s="543"/>
      <c r="C13" s="267" t="s">
        <v>265</v>
      </c>
      <c r="D13" s="164">
        <v>45991000</v>
      </c>
      <c r="E13" s="164">
        <v>71060000</v>
      </c>
      <c r="F13" s="165">
        <f t="shared" si="1"/>
        <v>25069000</v>
      </c>
      <c r="G13" s="544"/>
      <c r="H13" s="163" t="s">
        <v>77</v>
      </c>
      <c r="I13" s="491">
        <v>0</v>
      </c>
      <c r="J13" s="164">
        <v>0</v>
      </c>
      <c r="K13" s="166">
        <f t="shared" ref="K13" si="2">J13-I13</f>
        <v>0</v>
      </c>
    </row>
    <row r="14" spans="2:11" ht="24.95" customHeight="1">
      <c r="B14" s="542" t="s">
        <v>78</v>
      </c>
      <c r="C14" s="408" t="s">
        <v>303</v>
      </c>
      <c r="D14" s="409">
        <f>SUM(D15:D16)</f>
        <v>1200000</v>
      </c>
      <c r="E14" s="409">
        <f>SUM(E15:E16)</f>
        <v>500000</v>
      </c>
      <c r="F14" s="410">
        <f>SUM(F15:F16)</f>
        <v>-700000</v>
      </c>
      <c r="G14" s="544"/>
      <c r="H14" s="163" t="s">
        <v>80</v>
      </c>
      <c r="I14" s="491">
        <v>1000000</v>
      </c>
      <c r="J14" s="164">
        <v>500000</v>
      </c>
      <c r="K14" s="166">
        <f t="shared" ref="K14:K15" si="3">J14-I14</f>
        <v>-500000</v>
      </c>
    </row>
    <row r="15" spans="2:11" ht="24.95" customHeight="1">
      <c r="B15" s="544"/>
      <c r="C15" s="163" t="s">
        <v>79</v>
      </c>
      <c r="D15" s="164">
        <v>0</v>
      </c>
      <c r="E15" s="164">
        <v>0</v>
      </c>
      <c r="F15" s="165">
        <f t="shared" si="1"/>
        <v>0</v>
      </c>
      <c r="G15" s="543"/>
      <c r="H15" s="163" t="s">
        <v>82</v>
      </c>
      <c r="I15" s="491">
        <v>100000</v>
      </c>
      <c r="J15" s="164">
        <v>100000</v>
      </c>
      <c r="K15" s="166">
        <f t="shared" si="3"/>
        <v>0</v>
      </c>
    </row>
    <row r="16" spans="2:11" ht="24.95" customHeight="1">
      <c r="B16" s="543"/>
      <c r="C16" s="163" t="s">
        <v>81</v>
      </c>
      <c r="D16" s="491">
        <v>1200000</v>
      </c>
      <c r="E16" s="164">
        <v>500000</v>
      </c>
      <c r="F16" s="165">
        <f t="shared" si="1"/>
        <v>-700000</v>
      </c>
      <c r="G16" s="542" t="s">
        <v>85</v>
      </c>
      <c r="H16" s="408" t="s">
        <v>303</v>
      </c>
      <c r="I16" s="492">
        <f>SUM(I17:I22)</f>
        <v>14970000</v>
      </c>
      <c r="J16" s="409">
        <f>SUM(J17:J22)</f>
        <v>11403000</v>
      </c>
      <c r="K16" s="412">
        <f>SUM(K17:K22)</f>
        <v>-3567000</v>
      </c>
    </row>
    <row r="17" spans="2:11" ht="24.95" customHeight="1">
      <c r="B17" s="542" t="s">
        <v>83</v>
      </c>
      <c r="C17" s="408" t="s">
        <v>303</v>
      </c>
      <c r="D17" s="409">
        <v>0</v>
      </c>
      <c r="E17" s="409">
        <v>0</v>
      </c>
      <c r="F17" s="410">
        <f>F18</f>
        <v>0</v>
      </c>
      <c r="G17" s="544"/>
      <c r="H17" s="163" t="s">
        <v>86</v>
      </c>
      <c r="I17" s="491">
        <v>10022000</v>
      </c>
      <c r="J17" s="164">
        <v>7312000</v>
      </c>
      <c r="K17" s="166">
        <f t="shared" ref="K17:K22" si="4">J17-I17</f>
        <v>-2710000</v>
      </c>
    </row>
    <row r="18" spans="2:11" ht="24.95" customHeight="1">
      <c r="B18" s="543"/>
      <c r="C18" s="163" t="s">
        <v>84</v>
      </c>
      <c r="D18" s="164">
        <v>0</v>
      </c>
      <c r="E18" s="164">
        <v>0</v>
      </c>
      <c r="F18" s="165">
        <f t="shared" si="1"/>
        <v>0</v>
      </c>
      <c r="G18" s="544"/>
      <c r="H18" s="163" t="s">
        <v>89</v>
      </c>
      <c r="I18" s="491">
        <v>468000</v>
      </c>
      <c r="J18" s="164">
        <v>446000</v>
      </c>
      <c r="K18" s="166">
        <f t="shared" si="4"/>
        <v>-22000</v>
      </c>
    </row>
    <row r="19" spans="2:11" ht="24.95" customHeight="1">
      <c r="B19" s="542" t="s">
        <v>87</v>
      </c>
      <c r="C19" s="408" t="s">
        <v>303</v>
      </c>
      <c r="D19" s="492">
        <f>D20</f>
        <v>3481000</v>
      </c>
      <c r="E19" s="492">
        <f>E20</f>
        <v>3554000</v>
      </c>
      <c r="F19" s="410">
        <f>F20</f>
        <v>73000</v>
      </c>
      <c r="G19" s="544"/>
      <c r="H19" s="163" t="s">
        <v>92</v>
      </c>
      <c r="I19" s="491">
        <v>800000</v>
      </c>
      <c r="J19" s="164">
        <v>920000</v>
      </c>
      <c r="K19" s="166">
        <f t="shared" si="4"/>
        <v>120000</v>
      </c>
    </row>
    <row r="20" spans="2:11" ht="24.95" customHeight="1">
      <c r="B20" s="543"/>
      <c r="C20" s="163" t="s">
        <v>88</v>
      </c>
      <c r="D20" s="491">
        <v>3481000</v>
      </c>
      <c r="E20" s="491">
        <v>3554000</v>
      </c>
      <c r="F20" s="165">
        <f t="shared" si="1"/>
        <v>73000</v>
      </c>
      <c r="G20" s="544"/>
      <c r="H20" s="163" t="s">
        <v>93</v>
      </c>
      <c r="I20" s="491">
        <v>260000</v>
      </c>
      <c r="J20" s="491">
        <v>260000</v>
      </c>
      <c r="K20" s="166">
        <f t="shared" si="4"/>
        <v>0</v>
      </c>
    </row>
    <row r="21" spans="2:11" ht="24.95" customHeight="1">
      <c r="B21" s="542" t="s">
        <v>90</v>
      </c>
      <c r="C21" s="408" t="s">
        <v>303</v>
      </c>
      <c r="D21" s="492">
        <f>D22</f>
        <v>1011000</v>
      </c>
      <c r="E21" s="492">
        <f>E22</f>
        <v>1235000</v>
      </c>
      <c r="F21" s="410">
        <f>F22</f>
        <v>224000</v>
      </c>
      <c r="G21" s="544"/>
      <c r="H21" s="163" t="s">
        <v>94</v>
      </c>
      <c r="I21" s="491">
        <v>180000</v>
      </c>
      <c r="J21" s="491">
        <v>180000</v>
      </c>
      <c r="K21" s="166">
        <f t="shared" si="4"/>
        <v>0</v>
      </c>
    </row>
    <row r="22" spans="2:11" ht="24.95" customHeight="1">
      <c r="B22" s="543"/>
      <c r="C22" s="163" t="s">
        <v>91</v>
      </c>
      <c r="D22" s="491">
        <v>1011000</v>
      </c>
      <c r="E22" s="491">
        <v>1235000</v>
      </c>
      <c r="F22" s="165">
        <f t="shared" si="1"/>
        <v>224000</v>
      </c>
      <c r="G22" s="543"/>
      <c r="H22" s="163" t="s">
        <v>95</v>
      </c>
      <c r="I22" s="491">
        <v>3240000</v>
      </c>
      <c r="J22" s="164">
        <v>2285000</v>
      </c>
      <c r="K22" s="166">
        <f t="shared" si="4"/>
        <v>-955000</v>
      </c>
    </row>
    <row r="23" spans="2:11" ht="24.95" customHeight="1">
      <c r="B23" s="536"/>
      <c r="C23" s="537"/>
      <c r="D23" s="537"/>
      <c r="E23" s="537"/>
      <c r="F23" s="537"/>
      <c r="G23" s="542" t="s">
        <v>96</v>
      </c>
      <c r="H23" s="408" t="s">
        <v>303</v>
      </c>
      <c r="I23" s="492">
        <f>I24</f>
        <v>0</v>
      </c>
      <c r="J23" s="409">
        <f>J24</f>
        <v>0</v>
      </c>
      <c r="K23" s="412">
        <f>K24</f>
        <v>0</v>
      </c>
    </row>
    <row r="24" spans="2:11" ht="24.95" customHeight="1">
      <c r="B24" s="536"/>
      <c r="C24" s="537"/>
      <c r="D24" s="537"/>
      <c r="E24" s="537"/>
      <c r="F24" s="537"/>
      <c r="G24" s="543"/>
      <c r="H24" s="163" t="s">
        <v>97</v>
      </c>
      <c r="I24" s="491">
        <v>0</v>
      </c>
      <c r="J24" s="164">
        <v>0</v>
      </c>
      <c r="K24" s="166">
        <f t="shared" ref="K24" si="5">J24-I24</f>
        <v>0</v>
      </c>
    </row>
    <row r="25" spans="2:11" ht="24.95" customHeight="1">
      <c r="B25" s="536"/>
      <c r="C25" s="537"/>
      <c r="D25" s="537"/>
      <c r="E25" s="537"/>
      <c r="F25" s="537"/>
      <c r="G25" s="542" t="s">
        <v>98</v>
      </c>
      <c r="H25" s="408" t="s">
        <v>303</v>
      </c>
      <c r="I25" s="492">
        <f>SUM(I26:I27)</f>
        <v>30000</v>
      </c>
      <c r="J25" s="492">
        <f>SUM(J26:J27)</f>
        <v>15000</v>
      </c>
      <c r="K25" s="412">
        <f>SUM(K26:K27)</f>
        <v>-15000</v>
      </c>
    </row>
    <row r="26" spans="2:11" ht="24.95" customHeight="1">
      <c r="B26" s="536"/>
      <c r="C26" s="537"/>
      <c r="D26" s="537"/>
      <c r="E26" s="537"/>
      <c r="F26" s="537"/>
      <c r="G26" s="544"/>
      <c r="H26" s="163" t="s">
        <v>99</v>
      </c>
      <c r="I26" s="491">
        <v>10000</v>
      </c>
      <c r="J26" s="164">
        <v>0</v>
      </c>
      <c r="K26" s="166">
        <f>J26-I26</f>
        <v>-10000</v>
      </c>
    </row>
    <row r="27" spans="2:11" ht="24.95" customHeight="1" thickBot="1">
      <c r="B27" s="538"/>
      <c r="C27" s="539"/>
      <c r="D27" s="539"/>
      <c r="E27" s="539"/>
      <c r="F27" s="539"/>
      <c r="G27" s="545"/>
      <c r="H27" s="535" t="s">
        <v>532</v>
      </c>
      <c r="I27" s="531">
        <v>20000</v>
      </c>
      <c r="J27" s="531">
        <v>15000</v>
      </c>
      <c r="K27" s="532">
        <f t="shared" ref="K27" si="6">J27-I27</f>
        <v>-5000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7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7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6"/>
  <sheetViews>
    <sheetView topLeftCell="B1" workbookViewId="0">
      <selection activeCell="K26" sqref="K2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1" t="s">
        <v>311</v>
      </c>
      <c r="B1" s="571"/>
      <c r="C1" s="571"/>
      <c r="D1" s="571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2" t="s">
        <v>62</v>
      </c>
      <c r="B2" s="573"/>
      <c r="C2" s="573"/>
      <c r="D2" s="573"/>
      <c r="E2" s="564" t="s">
        <v>312</v>
      </c>
      <c r="F2" s="564" t="s">
        <v>313</v>
      </c>
      <c r="G2" s="566" t="s">
        <v>23</v>
      </c>
      <c r="H2" s="566"/>
      <c r="I2" s="566" t="s">
        <v>54</v>
      </c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7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126</v>
      </c>
      <c r="D3" s="20" t="s">
        <v>127</v>
      </c>
      <c r="E3" s="565"/>
      <c r="F3" s="565"/>
      <c r="G3" s="129" t="s">
        <v>103</v>
      </c>
      <c r="H3" s="21" t="s">
        <v>4</v>
      </c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9"/>
      <c r="Z3" s="8"/>
    </row>
    <row r="4" spans="1:26" s="3" customFormat="1" ht="19.5" customHeight="1">
      <c r="A4" s="574" t="s">
        <v>24</v>
      </c>
      <c r="B4" s="575"/>
      <c r="C4" s="575"/>
      <c r="D4" s="576"/>
      <c r="E4" s="190">
        <f>SUM(E5,E9,E11,E13,E145,E156,E163,E172,E197)</f>
        <v>68759</v>
      </c>
      <c r="F4" s="190">
        <f>SUM(F5,F9,F11,F13,F145,F156,F163,F172,F197)</f>
        <v>90579</v>
      </c>
      <c r="G4" s="286">
        <f>SUM(G5,G9,G11,G13,G145,G156,G163,G172,G197)</f>
        <v>21820</v>
      </c>
      <c r="H4" s="191">
        <f t="shared" ref="H4" si="0">IF(E4=0,0,G4/E4)</f>
        <v>0.31734027545484955</v>
      </c>
      <c r="I4" s="22" t="s">
        <v>112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6">
        <f>SUM(X5,X9,X11,X13,X145,X156,X163,X172,X197)</f>
        <v>90579000</v>
      </c>
      <c r="Y4" s="24" t="s">
        <v>113</v>
      </c>
      <c r="Z4" s="8"/>
    </row>
    <row r="5" spans="1:26" ht="21" customHeight="1" thickBot="1">
      <c r="A5" s="27" t="s">
        <v>58</v>
      </c>
      <c r="B5" s="28" t="s">
        <v>58</v>
      </c>
      <c r="C5" s="168" t="s">
        <v>102</v>
      </c>
      <c r="D5" s="168" t="s">
        <v>102</v>
      </c>
      <c r="E5" s="489">
        <v>12000</v>
      </c>
      <c r="F5" s="184">
        <f>ROUND(X5/1000,0)</f>
        <v>6000</v>
      </c>
      <c r="G5" s="185">
        <f>F5-E5</f>
        <v>-6000</v>
      </c>
      <c r="H5" s="186">
        <f>IF(E5=0,0,G5/E5)</f>
        <v>-0.5</v>
      </c>
      <c r="I5" s="32" t="s">
        <v>111</v>
      </c>
      <c r="J5" s="123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X8+X7+X6</f>
        <v>6000000</v>
      </c>
      <c r="Y5" s="36" t="s">
        <v>25</v>
      </c>
    </row>
    <row r="6" spans="1:26" ht="21" customHeight="1">
      <c r="A6" s="37"/>
      <c r="B6" s="38"/>
      <c r="C6" s="39"/>
      <c r="D6" s="39"/>
      <c r="E6" s="426"/>
      <c r="F6" s="426"/>
      <c r="G6" s="427"/>
      <c r="H6" s="428"/>
      <c r="I6" s="281" t="s">
        <v>267</v>
      </c>
      <c r="J6" s="44"/>
      <c r="K6" s="45"/>
      <c r="L6" s="45"/>
      <c r="M6" s="289">
        <v>250000</v>
      </c>
      <c r="N6" s="289" t="s">
        <v>56</v>
      </c>
      <c r="O6" s="290" t="s">
        <v>57</v>
      </c>
      <c r="P6" s="424">
        <v>1</v>
      </c>
      <c r="Q6" s="289" t="s">
        <v>55</v>
      </c>
      <c r="R6" s="290" t="s">
        <v>57</v>
      </c>
      <c r="S6" s="46">
        <v>12</v>
      </c>
      <c r="T6" s="417" t="s">
        <v>0</v>
      </c>
      <c r="U6" s="417" t="s">
        <v>53</v>
      </c>
      <c r="V6" s="417"/>
      <c r="W6" s="289"/>
      <c r="X6" s="289">
        <f>M6*P6*S6</f>
        <v>3000000</v>
      </c>
      <c r="Y6" s="47" t="s">
        <v>56</v>
      </c>
    </row>
    <row r="7" spans="1:26" ht="21" customHeight="1">
      <c r="A7" s="37"/>
      <c r="B7" s="38"/>
      <c r="C7" s="39"/>
      <c r="D7" s="39"/>
      <c r="E7" s="426"/>
      <c r="F7" s="426"/>
      <c r="G7" s="427"/>
      <c r="H7" s="428"/>
      <c r="I7" s="281"/>
      <c r="J7" s="44"/>
      <c r="K7" s="45"/>
      <c r="L7" s="45"/>
      <c r="M7" s="289">
        <v>250000</v>
      </c>
      <c r="N7" s="289" t="s">
        <v>56</v>
      </c>
      <c r="O7" s="290" t="s">
        <v>57</v>
      </c>
      <c r="P7" s="463">
        <v>1</v>
      </c>
      <c r="Q7" s="289" t="s">
        <v>55</v>
      </c>
      <c r="R7" s="290" t="s">
        <v>57</v>
      </c>
      <c r="S7" s="46">
        <v>8</v>
      </c>
      <c r="T7" s="494" t="s">
        <v>0</v>
      </c>
      <c r="U7" s="494" t="s">
        <v>53</v>
      </c>
      <c r="V7" s="494"/>
      <c r="W7" s="289"/>
      <c r="X7" s="289">
        <f>M7*P7*S7</f>
        <v>2000000</v>
      </c>
      <c r="Y7" s="47" t="s">
        <v>56</v>
      </c>
    </row>
    <row r="8" spans="1:26" ht="21" customHeight="1">
      <c r="A8" s="37" t="s">
        <v>59</v>
      </c>
      <c r="B8" s="38" t="s">
        <v>101</v>
      </c>
      <c r="C8" s="39" t="s">
        <v>101</v>
      </c>
      <c r="D8" s="39" t="s">
        <v>101</v>
      </c>
      <c r="E8" s="40"/>
      <c r="F8" s="40"/>
      <c r="G8" s="41"/>
      <c r="H8" s="25"/>
      <c r="I8" s="281"/>
      <c r="J8" s="44"/>
      <c r="K8" s="45"/>
      <c r="L8" s="45"/>
      <c r="M8" s="194">
        <v>250000</v>
      </c>
      <c r="N8" s="194" t="s">
        <v>56</v>
      </c>
      <c r="O8" s="195" t="s">
        <v>57</v>
      </c>
      <c r="P8" s="117">
        <v>1</v>
      </c>
      <c r="Q8" s="194" t="s">
        <v>55</v>
      </c>
      <c r="R8" s="195" t="s">
        <v>57</v>
      </c>
      <c r="S8" s="46">
        <v>4</v>
      </c>
      <c r="T8" s="227" t="s">
        <v>0</v>
      </c>
      <c r="U8" s="227" t="s">
        <v>53</v>
      </c>
      <c r="V8" s="227"/>
      <c r="W8" s="194"/>
      <c r="X8" s="194">
        <f>M8*P8*S8</f>
        <v>1000000</v>
      </c>
      <c r="Y8" s="47" t="s">
        <v>56</v>
      </c>
    </row>
    <row r="9" spans="1:26" s="11" customFormat="1" ht="19.5" customHeight="1" thickBot="1">
      <c r="A9" s="27" t="s">
        <v>128</v>
      </c>
      <c r="B9" s="28" t="s">
        <v>130</v>
      </c>
      <c r="C9" s="28" t="s">
        <v>128</v>
      </c>
      <c r="D9" s="28" t="s">
        <v>128</v>
      </c>
      <c r="E9" s="184">
        <v>0</v>
      </c>
      <c r="F9" s="184">
        <f>ROUND(X9/1000,0)</f>
        <v>0</v>
      </c>
      <c r="G9" s="185">
        <f>F9-E9</f>
        <v>0</v>
      </c>
      <c r="H9" s="186">
        <f>IF(E9=0,0,G9/E9)</f>
        <v>0</v>
      </c>
      <c r="I9" s="32" t="s">
        <v>132</v>
      </c>
      <c r="J9" s="123"/>
      <c r="K9" s="33"/>
      <c r="L9" s="33"/>
      <c r="M9" s="33"/>
      <c r="N9" s="33"/>
      <c r="O9" s="33"/>
      <c r="P9" s="34"/>
      <c r="Q9" s="34" t="s">
        <v>60</v>
      </c>
      <c r="R9" s="34"/>
      <c r="S9" s="34"/>
      <c r="T9" s="34"/>
      <c r="U9" s="34"/>
      <c r="V9" s="34"/>
      <c r="W9" s="35"/>
      <c r="X9" s="35">
        <f>X10</f>
        <v>0</v>
      </c>
      <c r="Y9" s="36" t="s">
        <v>25</v>
      </c>
      <c r="Z9" s="6"/>
    </row>
    <row r="10" spans="1:26" ht="21" customHeight="1">
      <c r="A10" s="48" t="s">
        <v>129</v>
      </c>
      <c r="B10" s="49" t="s">
        <v>131</v>
      </c>
      <c r="C10" s="49" t="s">
        <v>129</v>
      </c>
      <c r="D10" s="49" t="s">
        <v>129</v>
      </c>
      <c r="E10" s="40"/>
      <c r="F10" s="40"/>
      <c r="G10" s="41"/>
      <c r="H10" s="25"/>
      <c r="I10" s="43" t="s">
        <v>266</v>
      </c>
      <c r="J10" s="44"/>
      <c r="K10" s="45"/>
      <c r="L10" s="45"/>
      <c r="M10" s="194"/>
      <c r="N10" s="194"/>
      <c r="O10" s="195"/>
      <c r="P10" s="194"/>
      <c r="Q10" s="194"/>
      <c r="R10" s="195"/>
      <c r="S10" s="46"/>
      <c r="T10" s="227"/>
      <c r="U10" s="227"/>
      <c r="V10" s="227"/>
      <c r="W10" s="194"/>
      <c r="X10" s="194">
        <v>0</v>
      </c>
      <c r="Y10" s="47" t="s">
        <v>56</v>
      </c>
    </row>
    <row r="11" spans="1:26" ht="21" customHeight="1" thickBot="1">
      <c r="A11" s="27" t="s">
        <v>134</v>
      </c>
      <c r="B11" s="28" t="s">
        <v>136</v>
      </c>
      <c r="C11" s="28" t="s">
        <v>134</v>
      </c>
      <c r="D11" s="28" t="s">
        <v>134</v>
      </c>
      <c r="E11" s="184">
        <v>0</v>
      </c>
      <c r="F11" s="184">
        <f>ROUND(X11/1000,0)</f>
        <v>0</v>
      </c>
      <c r="G11" s="185">
        <f>F11-E11</f>
        <v>0</v>
      </c>
      <c r="H11" s="186">
        <f>IF(E11=0,0,G11/E11)</f>
        <v>0</v>
      </c>
      <c r="I11" s="32" t="s">
        <v>199</v>
      </c>
      <c r="J11" s="123"/>
      <c r="K11" s="33"/>
      <c r="L11" s="33"/>
      <c r="M11" s="33"/>
      <c r="N11" s="33"/>
      <c r="O11" s="33"/>
      <c r="P11" s="34"/>
      <c r="Q11" s="34" t="s">
        <v>60</v>
      </c>
      <c r="R11" s="34"/>
      <c r="S11" s="34"/>
      <c r="T11" s="34"/>
      <c r="U11" s="34"/>
      <c r="V11" s="34"/>
      <c r="W11" s="35"/>
      <c r="X11" s="35">
        <f>X12</f>
        <v>0</v>
      </c>
      <c r="Y11" s="36" t="s">
        <v>25</v>
      </c>
    </row>
    <row r="12" spans="1:26" ht="21" customHeight="1">
      <c r="A12" s="48" t="s">
        <v>196</v>
      </c>
      <c r="B12" s="49" t="s">
        <v>197</v>
      </c>
      <c r="C12" s="49" t="s">
        <v>197</v>
      </c>
      <c r="D12" s="96" t="s">
        <v>197</v>
      </c>
      <c r="E12" s="199"/>
      <c r="F12" s="200">
        <v>0</v>
      </c>
      <c r="G12" s="201"/>
      <c r="H12" s="202"/>
      <c r="I12" s="203"/>
      <c r="J12" s="204"/>
      <c r="K12" s="205"/>
      <c r="L12" s="205"/>
      <c r="M12" s="205"/>
      <c r="N12" s="205"/>
      <c r="O12" s="205"/>
      <c r="P12" s="206"/>
      <c r="Q12" s="206"/>
      <c r="R12" s="206"/>
      <c r="S12" s="206"/>
      <c r="T12" s="206"/>
      <c r="U12" s="206"/>
      <c r="V12" s="206"/>
      <c r="W12" s="207"/>
      <c r="X12" s="207">
        <v>0</v>
      </c>
      <c r="Y12" s="255" t="s">
        <v>198</v>
      </c>
    </row>
    <row r="13" spans="1:26" s="11" customFormat="1" ht="19.5" customHeight="1">
      <c r="A13" s="27" t="s">
        <v>133</v>
      </c>
      <c r="B13" s="28" t="s">
        <v>133</v>
      </c>
      <c r="C13" s="562" t="s">
        <v>250</v>
      </c>
      <c r="D13" s="563"/>
      <c r="E13" s="237">
        <f>SUM(E14,E23,E84,E142)</f>
        <v>51067</v>
      </c>
      <c r="F13" s="237">
        <f>SUM(F14,F23,F84,F142)</f>
        <v>79290</v>
      </c>
      <c r="G13" s="238">
        <f t="shared" ref="G13:G15" si="1">F13-E13</f>
        <v>28223</v>
      </c>
      <c r="H13" s="239">
        <f t="shared" ref="H13:H15" si="2">IF(E13=0,0,G13/E13)</f>
        <v>0.5526661053126285</v>
      </c>
      <c r="I13" s="240" t="s">
        <v>251</v>
      </c>
      <c r="J13" s="241"/>
      <c r="K13" s="242"/>
      <c r="L13" s="242"/>
      <c r="M13" s="241"/>
      <c r="N13" s="241"/>
      <c r="O13" s="241"/>
      <c r="P13" s="241"/>
      <c r="Q13" s="241"/>
      <c r="R13" s="243"/>
      <c r="S13" s="243"/>
      <c r="T13" s="243"/>
      <c r="U13" s="243"/>
      <c r="V13" s="243"/>
      <c r="W13" s="243"/>
      <c r="X13" s="244">
        <f>SUM(X14,X23,X84,X142)</f>
        <v>79290000</v>
      </c>
      <c r="Y13" s="256" t="s">
        <v>25</v>
      </c>
      <c r="Z13" s="6"/>
    </row>
    <row r="14" spans="1:26" s="11" customFormat="1" ht="19.5" customHeight="1">
      <c r="A14" s="37" t="s">
        <v>135</v>
      </c>
      <c r="B14" s="38" t="s">
        <v>131</v>
      </c>
      <c r="C14" s="28" t="s">
        <v>137</v>
      </c>
      <c r="D14" s="254" t="s">
        <v>138</v>
      </c>
      <c r="E14" s="187">
        <f>SUM(E15:E21)</f>
        <v>0</v>
      </c>
      <c r="F14" s="187">
        <f>SUM(F15:F21)</f>
        <v>0</v>
      </c>
      <c r="G14" s="188">
        <f t="shared" si="1"/>
        <v>0</v>
      </c>
      <c r="H14" s="189">
        <f t="shared" si="2"/>
        <v>0</v>
      </c>
      <c r="I14" s="171" t="s">
        <v>139</v>
      </c>
      <c r="J14" s="172"/>
      <c r="K14" s="173"/>
      <c r="L14" s="173"/>
      <c r="M14" s="173"/>
      <c r="N14" s="173"/>
      <c r="O14" s="173"/>
      <c r="P14" s="174"/>
      <c r="Q14" s="174"/>
      <c r="R14" s="174"/>
      <c r="S14" s="174"/>
      <c r="T14" s="174"/>
      <c r="U14" s="174"/>
      <c r="V14" s="208" t="s">
        <v>200</v>
      </c>
      <c r="W14" s="209"/>
      <c r="X14" s="210">
        <f>SUM(X15,X18,X21)</f>
        <v>0</v>
      </c>
      <c r="Y14" s="257" t="s">
        <v>201</v>
      </c>
      <c r="Z14" s="6"/>
    </row>
    <row r="15" spans="1:26" s="11" customFormat="1" ht="19.5" customHeight="1">
      <c r="A15" s="37"/>
      <c r="B15" s="38"/>
      <c r="C15" s="38" t="s">
        <v>195</v>
      </c>
      <c r="D15" s="38" t="s">
        <v>194</v>
      </c>
      <c r="E15" s="198">
        <v>0</v>
      </c>
      <c r="F15" s="198">
        <f>ROUND(X15/1000,0)</f>
        <v>0</v>
      </c>
      <c r="G15" s="262">
        <f t="shared" si="1"/>
        <v>0</v>
      </c>
      <c r="H15" s="263">
        <f t="shared" si="2"/>
        <v>0</v>
      </c>
      <c r="I15" s="124" t="s">
        <v>192</v>
      </c>
      <c r="J15" s="195"/>
      <c r="K15" s="194"/>
      <c r="L15" s="194"/>
      <c r="M15" s="194"/>
      <c r="N15" s="227"/>
      <c r="O15" s="175"/>
      <c r="P15" s="194"/>
      <c r="Q15" s="44"/>
      <c r="R15" s="176"/>
      <c r="S15" s="179"/>
      <c r="T15" s="179"/>
      <c r="U15" s="227"/>
      <c r="V15" s="193" t="s">
        <v>193</v>
      </c>
      <c r="W15" s="126"/>
      <c r="X15" s="126">
        <f>SUM(X16:X16)</f>
        <v>0</v>
      </c>
      <c r="Y15" s="12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192"/>
      <c r="G16" s="41"/>
      <c r="H16" s="58"/>
      <c r="I16" s="282" t="s">
        <v>268</v>
      </c>
      <c r="J16" s="195"/>
      <c r="K16" s="194"/>
      <c r="L16" s="194"/>
      <c r="M16" s="194">
        <v>0</v>
      </c>
      <c r="N16" s="227" t="s">
        <v>25</v>
      </c>
      <c r="O16" s="175" t="s">
        <v>26</v>
      </c>
      <c r="P16" s="117">
        <v>0</v>
      </c>
      <c r="Q16" s="44" t="s">
        <v>109</v>
      </c>
      <c r="R16" s="176" t="s">
        <v>26</v>
      </c>
      <c r="S16" s="179">
        <v>0</v>
      </c>
      <c r="T16" s="179" t="s">
        <v>29</v>
      </c>
      <c r="U16" s="227" t="s">
        <v>26</v>
      </c>
      <c r="V16" s="231">
        <v>0.9</v>
      </c>
      <c r="W16" s="56" t="s">
        <v>27</v>
      </c>
      <c r="X16" s="56">
        <f>ROUND(M16*P16*S16*V16,-3)</f>
        <v>0</v>
      </c>
      <c r="Y16" s="47" t="s">
        <v>56</v>
      </c>
      <c r="Z16" s="6"/>
    </row>
    <row r="17" spans="1:26" s="11" customFormat="1" ht="19.5" customHeight="1">
      <c r="A17" s="50"/>
      <c r="B17" s="38"/>
      <c r="C17" s="38"/>
      <c r="D17" s="38"/>
      <c r="E17" s="40"/>
      <c r="F17" s="40"/>
      <c r="G17" s="41"/>
      <c r="H17" s="58"/>
      <c r="I17" s="282"/>
      <c r="J17" s="56"/>
      <c r="K17" s="178"/>
      <c r="L17" s="178"/>
      <c r="M17" s="289"/>
      <c r="N17" s="289"/>
      <c r="O17" s="175"/>
      <c r="P17" s="344"/>
      <c r="Q17" s="44"/>
      <c r="R17" s="177"/>
      <c r="S17" s="46"/>
      <c r="T17" s="343"/>
      <c r="U17" s="343"/>
      <c r="V17" s="231"/>
      <c r="W17" s="290"/>
      <c r="X17" s="56"/>
      <c r="Y17" s="47"/>
      <c r="Z17" s="6"/>
    </row>
    <row r="18" spans="1:26" s="11" customFormat="1" ht="19.5" customHeight="1" thickBot="1">
      <c r="A18" s="50"/>
      <c r="B18" s="38"/>
      <c r="C18" s="38"/>
      <c r="D18" s="28" t="s">
        <v>108</v>
      </c>
      <c r="E18" s="29">
        <v>0</v>
      </c>
      <c r="F18" s="211">
        <f>ROUND(X18/1000,0)</f>
        <v>0</v>
      </c>
      <c r="G18" s="30">
        <f t="shared" ref="G18" si="3">F18-E18</f>
        <v>0</v>
      </c>
      <c r="H18" s="106">
        <f t="shared" ref="H18" si="4">IF(E18=0,0,G18/E18)</f>
        <v>0</v>
      </c>
      <c r="I18" s="223" t="s">
        <v>454</v>
      </c>
      <c r="J18" s="222"/>
      <c r="K18" s="230"/>
      <c r="L18" s="230"/>
      <c r="M18" s="77"/>
      <c r="N18" s="77"/>
      <c r="O18" s="212"/>
      <c r="P18" s="77"/>
      <c r="Q18" s="213"/>
      <c r="R18" s="220"/>
      <c r="S18" s="221"/>
      <c r="T18" s="342"/>
      <c r="U18" s="342"/>
      <c r="V18" s="224" t="s">
        <v>193</v>
      </c>
      <c r="W18" s="225"/>
      <c r="X18" s="225">
        <v>0</v>
      </c>
      <c r="Y18" s="258" t="s">
        <v>56</v>
      </c>
      <c r="Z18" s="6"/>
    </row>
    <row r="19" spans="1:26" s="11" customFormat="1" ht="19.5" customHeight="1">
      <c r="A19" s="50"/>
      <c r="B19" s="38"/>
      <c r="C19" s="38"/>
      <c r="D19" s="38"/>
      <c r="E19" s="40"/>
      <c r="F19" s="40"/>
      <c r="G19" s="41"/>
      <c r="H19" s="58"/>
      <c r="I19" s="283" t="s">
        <v>269</v>
      </c>
      <c r="J19" s="290"/>
      <c r="K19" s="289"/>
      <c r="L19" s="289"/>
      <c r="M19" s="289">
        <v>0</v>
      </c>
      <c r="N19" s="289" t="s">
        <v>56</v>
      </c>
      <c r="O19" s="62" t="s">
        <v>57</v>
      </c>
      <c r="P19" s="269">
        <v>0.7</v>
      </c>
      <c r="Q19" s="289"/>
      <c r="R19" s="289"/>
      <c r="S19" s="289"/>
      <c r="T19" s="289"/>
      <c r="U19" s="289" t="s">
        <v>53</v>
      </c>
      <c r="V19" s="345" t="s">
        <v>69</v>
      </c>
      <c r="W19" s="60"/>
      <c r="X19" s="345">
        <f>ROUND(M19*P19,-3)</f>
        <v>0</v>
      </c>
      <c r="Y19" s="61" t="s">
        <v>25</v>
      </c>
      <c r="Z19" s="6"/>
    </row>
    <row r="20" spans="1:26" s="11" customFormat="1" ht="19.5" customHeight="1">
      <c r="A20" s="50"/>
      <c r="B20" s="38"/>
      <c r="C20" s="38"/>
      <c r="D20" s="49"/>
      <c r="E20" s="51"/>
      <c r="F20" s="51"/>
      <c r="G20" s="52"/>
      <c r="H20" s="73"/>
      <c r="I20" s="346"/>
      <c r="J20" s="60"/>
      <c r="K20" s="216"/>
      <c r="L20" s="216"/>
      <c r="M20" s="345"/>
      <c r="N20" s="345"/>
      <c r="O20" s="217"/>
      <c r="P20" s="345"/>
      <c r="Q20" s="114"/>
      <c r="R20" s="218"/>
      <c r="S20" s="70"/>
      <c r="T20" s="167"/>
      <c r="U20" s="167"/>
      <c r="V20" s="219"/>
      <c r="W20" s="346"/>
      <c r="X20" s="60"/>
      <c r="Y20" s="61"/>
      <c r="Z20" s="6"/>
    </row>
    <row r="21" spans="1:26" s="11" customFormat="1" ht="19.5" customHeight="1">
      <c r="A21" s="50"/>
      <c r="B21" s="38"/>
      <c r="C21" s="38"/>
      <c r="D21" s="28" t="s">
        <v>292</v>
      </c>
      <c r="E21" s="211">
        <v>0</v>
      </c>
      <c r="F21" s="211">
        <f>ROUND(X21/1000,0)</f>
        <v>0</v>
      </c>
      <c r="G21" s="264">
        <f t="shared" ref="G21" si="5">F21-E21</f>
        <v>0</v>
      </c>
      <c r="H21" s="106">
        <f t="shared" ref="H21" si="6">IF(E21=0,0,G21/E21)</f>
        <v>0</v>
      </c>
      <c r="I21" s="347" t="s">
        <v>295</v>
      </c>
      <c r="J21" s="348"/>
      <c r="K21" s="349"/>
      <c r="L21" s="349"/>
      <c r="M21" s="350"/>
      <c r="N21" s="350"/>
      <c r="O21" s="351"/>
      <c r="P21" s="350"/>
      <c r="Q21" s="352"/>
      <c r="R21" s="353"/>
      <c r="S21" s="354"/>
      <c r="T21" s="355"/>
      <c r="U21" s="355"/>
      <c r="V21" s="356" t="s">
        <v>296</v>
      </c>
      <c r="W21" s="357"/>
      <c r="X21" s="357">
        <v>0</v>
      </c>
      <c r="Y21" s="358" t="s">
        <v>297</v>
      </c>
      <c r="Z21" s="6"/>
    </row>
    <row r="22" spans="1:26" s="11" customFormat="1" ht="19.5" customHeight="1">
      <c r="A22" s="50"/>
      <c r="B22" s="38"/>
      <c r="C22" s="38"/>
      <c r="D22" s="49"/>
      <c r="E22" s="51"/>
      <c r="F22" s="51"/>
      <c r="G22" s="52"/>
      <c r="H22" s="73"/>
      <c r="I22" s="338"/>
      <c r="J22" s="340"/>
      <c r="K22" s="368"/>
      <c r="L22" s="368"/>
      <c r="M22" s="339"/>
      <c r="N22" s="339"/>
      <c r="O22" s="369"/>
      <c r="P22" s="339"/>
      <c r="Q22" s="370"/>
      <c r="R22" s="371"/>
      <c r="S22" s="372"/>
      <c r="T22" s="373"/>
      <c r="U22" s="373"/>
      <c r="V22" s="374"/>
      <c r="W22" s="375"/>
      <c r="X22" s="340"/>
      <c r="Y22" s="341"/>
      <c r="Z22" s="6"/>
    </row>
    <row r="23" spans="1:26" s="11" customFormat="1" ht="19.5" customHeight="1">
      <c r="A23" s="50"/>
      <c r="B23" s="38"/>
      <c r="C23" s="28" t="s">
        <v>141</v>
      </c>
      <c r="D23" s="254" t="s">
        <v>110</v>
      </c>
      <c r="E23" s="187">
        <f>SUM(E24:E83)</f>
        <v>5076</v>
      </c>
      <c r="F23" s="187">
        <f>SUM(F24:F83)</f>
        <v>8230</v>
      </c>
      <c r="G23" s="188">
        <f t="shared" ref="G23:G24" si="7">F23-E23</f>
        <v>3154</v>
      </c>
      <c r="H23" s="189">
        <f t="shared" ref="H23:H24" si="8">IF(E23=0,0,G23/E23)</f>
        <v>0.62135539795114259</v>
      </c>
      <c r="I23" s="171" t="s">
        <v>202</v>
      </c>
      <c r="J23" s="172"/>
      <c r="K23" s="173"/>
      <c r="L23" s="173"/>
      <c r="M23" s="173"/>
      <c r="N23" s="173"/>
      <c r="O23" s="173"/>
      <c r="P23" s="174"/>
      <c r="Q23" s="174"/>
      <c r="R23" s="174"/>
      <c r="S23" s="174"/>
      <c r="T23" s="174"/>
      <c r="U23" s="174"/>
      <c r="V23" s="208" t="s">
        <v>69</v>
      </c>
      <c r="W23" s="209"/>
      <c r="X23" s="209">
        <f>SUM(X24,X27,X64,X70,X78,X81)</f>
        <v>8230000</v>
      </c>
      <c r="Y23" s="257" t="s">
        <v>56</v>
      </c>
      <c r="Z23" s="6"/>
    </row>
    <row r="24" spans="1:26" s="11" customFormat="1" ht="19.5" customHeight="1">
      <c r="A24" s="50"/>
      <c r="B24" s="38"/>
      <c r="C24" s="38" t="s">
        <v>142</v>
      </c>
      <c r="D24" s="28" t="s">
        <v>194</v>
      </c>
      <c r="E24" s="29">
        <v>0</v>
      </c>
      <c r="F24" s="211">
        <f>ROUND(X24/1000,0)</f>
        <v>0</v>
      </c>
      <c r="G24" s="30">
        <f t="shared" si="7"/>
        <v>0</v>
      </c>
      <c r="H24" s="106">
        <f t="shared" si="8"/>
        <v>0</v>
      </c>
      <c r="I24" s="124" t="s">
        <v>192</v>
      </c>
      <c r="J24" s="136"/>
      <c r="K24" s="77"/>
      <c r="L24" s="77"/>
      <c r="M24" s="77"/>
      <c r="N24" s="226"/>
      <c r="O24" s="212"/>
      <c r="P24" s="77"/>
      <c r="Q24" s="213"/>
      <c r="R24" s="214"/>
      <c r="S24" s="215"/>
      <c r="T24" s="215"/>
      <c r="U24" s="226"/>
      <c r="V24" s="193" t="s">
        <v>193</v>
      </c>
      <c r="W24" s="126"/>
      <c r="X24" s="126">
        <f>SUM(X25:X25)</f>
        <v>0</v>
      </c>
      <c r="Y24" s="127" t="s">
        <v>56</v>
      </c>
      <c r="Z24" s="6"/>
    </row>
    <row r="25" spans="1:26" s="11" customFormat="1" ht="19.5" customHeight="1">
      <c r="A25" s="50"/>
      <c r="B25" s="38"/>
      <c r="C25" s="38"/>
      <c r="D25" s="38"/>
      <c r="E25" s="40"/>
      <c r="F25" s="40"/>
      <c r="G25" s="41"/>
      <c r="H25" s="58"/>
      <c r="I25" s="282" t="s">
        <v>268</v>
      </c>
      <c r="J25" s="290"/>
      <c r="K25" s="289"/>
      <c r="L25" s="289"/>
      <c r="M25" s="289">
        <v>0</v>
      </c>
      <c r="N25" s="414" t="s">
        <v>25</v>
      </c>
      <c r="O25" s="175" t="s">
        <v>26</v>
      </c>
      <c r="P25" s="415">
        <v>0</v>
      </c>
      <c r="Q25" s="44" t="s">
        <v>109</v>
      </c>
      <c r="R25" s="176" t="s">
        <v>26</v>
      </c>
      <c r="S25" s="179">
        <v>0</v>
      </c>
      <c r="T25" s="179" t="s">
        <v>29</v>
      </c>
      <c r="U25" s="414" t="s">
        <v>26</v>
      </c>
      <c r="V25" s="231">
        <v>7.0000000000000007E-2</v>
      </c>
      <c r="W25" s="56" t="s">
        <v>27</v>
      </c>
      <c r="X25" s="56">
        <f>ROUND(M25*P25*S25*V25,-3)</f>
        <v>0</v>
      </c>
      <c r="Y25" s="47" t="s">
        <v>56</v>
      </c>
      <c r="Z25" s="6"/>
    </row>
    <row r="26" spans="1:26" s="11" customFormat="1" ht="19.5" customHeight="1">
      <c r="A26" s="50"/>
      <c r="B26" s="38"/>
      <c r="C26" s="38"/>
      <c r="D26" s="49"/>
      <c r="E26" s="51"/>
      <c r="F26" s="51"/>
      <c r="G26" s="52"/>
      <c r="H26" s="73"/>
      <c r="I26" s="197"/>
      <c r="J26" s="60"/>
      <c r="K26" s="216"/>
      <c r="L26" s="216"/>
      <c r="M26" s="196"/>
      <c r="N26" s="196"/>
      <c r="O26" s="217"/>
      <c r="P26" s="196"/>
      <c r="Q26" s="114"/>
      <c r="R26" s="218"/>
      <c r="S26" s="70"/>
      <c r="T26" s="167"/>
      <c r="U26" s="167"/>
      <c r="V26" s="219"/>
      <c r="W26" s="197"/>
      <c r="X26" s="60"/>
      <c r="Y26" s="61"/>
      <c r="Z26" s="6"/>
    </row>
    <row r="27" spans="1:26" s="11" customFormat="1" ht="19.5" customHeight="1" thickBot="1">
      <c r="A27" s="50"/>
      <c r="B27" s="38"/>
      <c r="C27" s="38"/>
      <c r="D27" s="28" t="s">
        <v>203</v>
      </c>
      <c r="E27" s="490">
        <v>4130</v>
      </c>
      <c r="F27" s="211">
        <f>ROUND(X27/1000,0)</f>
        <v>6767</v>
      </c>
      <c r="G27" s="30">
        <f t="shared" ref="G27" si="9">F27-E27</f>
        <v>2637</v>
      </c>
      <c r="H27" s="106">
        <f t="shared" ref="H27" si="10">IF(E27=0,0,G27/E27)</f>
        <v>0.63849878934624693</v>
      </c>
      <c r="I27" s="223" t="s">
        <v>319</v>
      </c>
      <c r="J27" s="222"/>
      <c r="K27" s="230"/>
      <c r="L27" s="230"/>
      <c r="M27" s="77"/>
      <c r="N27" s="77"/>
      <c r="O27" s="212"/>
      <c r="P27" s="77"/>
      <c r="Q27" s="213"/>
      <c r="R27" s="220"/>
      <c r="S27" s="221"/>
      <c r="T27" s="226"/>
      <c r="U27" s="226"/>
      <c r="V27" s="224" t="s">
        <v>193</v>
      </c>
      <c r="W27" s="225"/>
      <c r="X27" s="225">
        <f>SUM(X28,X31,X44,X47,)</f>
        <v>6767000</v>
      </c>
      <c r="Y27" s="258" t="s">
        <v>56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198"/>
      <c r="G28" s="41"/>
      <c r="H28" s="58"/>
      <c r="I28" s="283" t="s">
        <v>269</v>
      </c>
      <c r="J28" s="290"/>
      <c r="K28" s="289"/>
      <c r="L28" s="289"/>
      <c r="M28" s="289"/>
      <c r="N28" s="289"/>
      <c r="O28" s="62"/>
      <c r="P28" s="269"/>
      <c r="Q28" s="289"/>
      <c r="R28" s="289"/>
      <c r="S28" s="289"/>
      <c r="T28" s="289"/>
      <c r="U28" s="289"/>
      <c r="V28" s="345" t="s">
        <v>69</v>
      </c>
      <c r="W28" s="60"/>
      <c r="X28" s="429">
        <f>SUM(X29:X30)</f>
        <v>4652000</v>
      </c>
      <c r="Y28" s="430" t="s">
        <v>314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198"/>
      <c r="G29" s="41"/>
      <c r="H29" s="58"/>
      <c r="I29" s="282" t="s">
        <v>315</v>
      </c>
      <c r="J29" s="290"/>
      <c r="K29" s="289"/>
      <c r="L29" s="289"/>
      <c r="M29" s="289">
        <v>27908000</v>
      </c>
      <c r="N29" s="289" t="s">
        <v>56</v>
      </c>
      <c r="O29" s="62" t="s">
        <v>57</v>
      </c>
      <c r="P29" s="269">
        <v>0.1</v>
      </c>
      <c r="Q29" s="289"/>
      <c r="R29" s="289"/>
      <c r="S29" s="289"/>
      <c r="T29" s="289"/>
      <c r="U29" s="289" t="s">
        <v>317</v>
      </c>
      <c r="V29" s="289"/>
      <c r="W29" s="56"/>
      <c r="X29" s="289">
        <f>ROUND(M29*P29,-3)</f>
        <v>2791000</v>
      </c>
      <c r="Y29" s="47" t="s">
        <v>314</v>
      </c>
      <c r="Z29" s="6"/>
    </row>
    <row r="30" spans="1:26" s="11" customFormat="1" ht="19.5" customHeight="1">
      <c r="A30" s="50"/>
      <c r="B30" s="38"/>
      <c r="C30" s="38"/>
      <c r="D30" s="38"/>
      <c r="E30" s="40"/>
      <c r="F30" s="40"/>
      <c r="G30" s="41"/>
      <c r="H30" s="58"/>
      <c r="I30" s="282" t="s">
        <v>316</v>
      </c>
      <c r="J30" s="195"/>
      <c r="K30" s="194"/>
      <c r="L30" s="194"/>
      <c r="M30" s="289">
        <v>18606000</v>
      </c>
      <c r="N30" s="194" t="s">
        <v>198</v>
      </c>
      <c r="O30" s="62" t="s">
        <v>208</v>
      </c>
      <c r="P30" s="269">
        <v>0.1</v>
      </c>
      <c r="Q30" s="194"/>
      <c r="R30" s="194"/>
      <c r="S30" s="194"/>
      <c r="T30" s="194"/>
      <c r="U30" s="194" t="s">
        <v>209</v>
      </c>
      <c r="V30" s="289"/>
      <c r="W30" s="56"/>
      <c r="X30" s="289">
        <f>ROUND(M30*P30,-3)</f>
        <v>1861000</v>
      </c>
      <c r="Y30" s="61" t="s">
        <v>25</v>
      </c>
      <c r="Z30" s="6"/>
    </row>
    <row r="31" spans="1:26" s="11" customFormat="1" ht="19.5" customHeight="1" thickBot="1">
      <c r="A31" s="50"/>
      <c r="B31" s="38"/>
      <c r="C31" s="38"/>
      <c r="D31" s="38"/>
      <c r="E31" s="40"/>
      <c r="F31" s="40"/>
      <c r="G31" s="41"/>
      <c r="H31" s="58"/>
      <c r="I31" s="283" t="s">
        <v>270</v>
      </c>
      <c r="J31" s="195"/>
      <c r="K31" s="194"/>
      <c r="L31" s="194"/>
      <c r="M31" s="289"/>
      <c r="N31" s="194"/>
      <c r="O31" s="194"/>
      <c r="P31" s="194"/>
      <c r="Q31" s="194"/>
      <c r="R31" s="194"/>
      <c r="S31" s="194"/>
      <c r="T31" s="194"/>
      <c r="U31" s="194"/>
      <c r="V31" s="54"/>
      <c r="W31" s="431"/>
      <c r="X31" s="54">
        <f>SUM(X32,X35,X38,X41)</f>
        <v>1049000</v>
      </c>
      <c r="Y31" s="258" t="s">
        <v>25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58"/>
      <c r="I32" s="282" t="s">
        <v>271</v>
      </c>
      <c r="J32" s="195"/>
      <c r="K32" s="194"/>
      <c r="L32" s="194"/>
      <c r="M32" s="289"/>
      <c r="N32" s="194"/>
      <c r="O32" s="62"/>
      <c r="P32" s="269"/>
      <c r="Q32" s="194"/>
      <c r="R32" s="194"/>
      <c r="S32" s="194"/>
      <c r="T32" s="194"/>
      <c r="U32" s="194"/>
      <c r="V32" s="345" t="s">
        <v>69</v>
      </c>
      <c r="W32" s="60"/>
      <c r="X32" s="345">
        <f>SUM(X33:X34)</f>
        <v>393000</v>
      </c>
      <c r="Y32" s="61" t="s">
        <v>314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58"/>
      <c r="I33" s="282" t="s">
        <v>315</v>
      </c>
      <c r="J33" s="290"/>
      <c r="K33" s="289"/>
      <c r="L33" s="289"/>
      <c r="M33" s="289">
        <v>2810000</v>
      </c>
      <c r="N33" s="289" t="s">
        <v>56</v>
      </c>
      <c r="O33" s="62" t="s">
        <v>57</v>
      </c>
      <c r="P33" s="269">
        <v>0.1</v>
      </c>
      <c r="Q33" s="289"/>
      <c r="R33" s="289"/>
      <c r="S33" s="289"/>
      <c r="T33" s="289"/>
      <c r="U33" s="289" t="s">
        <v>209</v>
      </c>
      <c r="V33" s="417"/>
      <c r="W33" s="417"/>
      <c r="X33" s="289">
        <f>ROUND(M33*P33,-3)</f>
        <v>281000</v>
      </c>
      <c r="Y33" s="47" t="s">
        <v>318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58"/>
      <c r="I34" s="282" t="s">
        <v>316</v>
      </c>
      <c r="J34" s="290"/>
      <c r="K34" s="289"/>
      <c r="L34" s="289"/>
      <c r="M34" s="289">
        <v>1117000</v>
      </c>
      <c r="N34" s="289" t="s">
        <v>56</v>
      </c>
      <c r="O34" s="62" t="s">
        <v>57</v>
      </c>
      <c r="P34" s="269">
        <v>0.1</v>
      </c>
      <c r="Q34" s="289"/>
      <c r="R34" s="289"/>
      <c r="S34" s="289"/>
      <c r="T34" s="289"/>
      <c r="U34" s="289" t="s">
        <v>209</v>
      </c>
      <c r="V34" s="417"/>
      <c r="W34" s="417"/>
      <c r="X34" s="289">
        <f>ROUND(M34*P34,-3)</f>
        <v>112000</v>
      </c>
      <c r="Y34" s="47" t="s">
        <v>318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58"/>
      <c r="I35" s="282" t="s">
        <v>272</v>
      </c>
      <c r="J35" s="195"/>
      <c r="K35" s="194"/>
      <c r="L35" s="194"/>
      <c r="M35" s="289"/>
      <c r="N35" s="194"/>
      <c r="O35" s="62"/>
      <c r="P35" s="269"/>
      <c r="Q35" s="194"/>
      <c r="R35" s="194"/>
      <c r="S35" s="194"/>
      <c r="T35" s="194"/>
      <c r="U35" s="194"/>
      <c r="V35" s="345" t="s">
        <v>69</v>
      </c>
      <c r="W35" s="60"/>
      <c r="X35" s="345">
        <f>SUM(X36:X37)</f>
        <v>48000</v>
      </c>
      <c r="Y35" s="61" t="s">
        <v>314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58"/>
      <c r="I36" s="282" t="s">
        <v>315</v>
      </c>
      <c r="J36" s="290"/>
      <c r="K36" s="289"/>
      <c r="L36" s="289"/>
      <c r="M36" s="289">
        <v>480000</v>
      </c>
      <c r="N36" s="289" t="s">
        <v>56</v>
      </c>
      <c r="O36" s="62" t="s">
        <v>57</v>
      </c>
      <c r="P36" s="269">
        <v>0.1</v>
      </c>
      <c r="Q36" s="289"/>
      <c r="R36" s="289"/>
      <c r="S36" s="289"/>
      <c r="T36" s="289"/>
      <c r="U36" s="289" t="s">
        <v>209</v>
      </c>
      <c r="V36" s="417"/>
      <c r="W36" s="417"/>
      <c r="X36" s="289">
        <f t="shared" ref="X36:X40" si="11">ROUND(M36*P36,-3)</f>
        <v>48000</v>
      </c>
      <c r="Y36" s="47" t="s">
        <v>318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58"/>
      <c r="I37" s="282" t="s">
        <v>316</v>
      </c>
      <c r="J37" s="290"/>
      <c r="K37" s="289"/>
      <c r="L37" s="289"/>
      <c r="M37" s="289">
        <v>0</v>
      </c>
      <c r="N37" s="289" t="s">
        <v>56</v>
      </c>
      <c r="O37" s="62" t="s">
        <v>57</v>
      </c>
      <c r="P37" s="269">
        <v>0.1</v>
      </c>
      <c r="Q37" s="289"/>
      <c r="R37" s="289"/>
      <c r="S37" s="289"/>
      <c r="T37" s="289"/>
      <c r="U37" s="289" t="s">
        <v>209</v>
      </c>
      <c r="V37" s="417"/>
      <c r="W37" s="417"/>
      <c r="X37" s="289">
        <f t="shared" si="11"/>
        <v>0</v>
      </c>
      <c r="Y37" s="47" t="s">
        <v>318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58"/>
      <c r="I38" s="282" t="s">
        <v>273</v>
      </c>
      <c r="J38" s="195"/>
      <c r="K38" s="194"/>
      <c r="L38" s="194"/>
      <c r="M38" s="289"/>
      <c r="N38" s="194"/>
      <c r="O38" s="62"/>
      <c r="P38" s="269"/>
      <c r="Q38" s="194"/>
      <c r="R38" s="194"/>
      <c r="S38" s="194"/>
      <c r="T38" s="194"/>
      <c r="U38" s="194"/>
      <c r="V38" s="345" t="s">
        <v>69</v>
      </c>
      <c r="W38" s="60"/>
      <c r="X38" s="345">
        <f>SUM(X39:X40)</f>
        <v>385000</v>
      </c>
      <c r="Y38" s="61" t="s">
        <v>314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58"/>
      <c r="I39" s="282" t="s">
        <v>315</v>
      </c>
      <c r="J39" s="290"/>
      <c r="K39" s="289"/>
      <c r="L39" s="289"/>
      <c r="M39" s="289">
        <v>3805000</v>
      </c>
      <c r="N39" s="289" t="s">
        <v>56</v>
      </c>
      <c r="O39" s="62" t="s">
        <v>57</v>
      </c>
      <c r="P39" s="269">
        <v>0.1</v>
      </c>
      <c r="Q39" s="289"/>
      <c r="R39" s="289"/>
      <c r="S39" s="289"/>
      <c r="T39" s="289"/>
      <c r="U39" s="289" t="s">
        <v>209</v>
      </c>
      <c r="V39" s="417"/>
      <c r="W39" s="417"/>
      <c r="X39" s="289">
        <f>ROUNDDOWN(M39*P39,-3)</f>
        <v>380000</v>
      </c>
      <c r="Y39" s="47" t="s">
        <v>318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58"/>
      <c r="I40" s="282" t="s">
        <v>316</v>
      </c>
      <c r="J40" s="290"/>
      <c r="K40" s="289"/>
      <c r="L40" s="289"/>
      <c r="M40" s="289">
        <v>51000</v>
      </c>
      <c r="N40" s="289" t="s">
        <v>56</v>
      </c>
      <c r="O40" s="62" t="s">
        <v>57</v>
      </c>
      <c r="P40" s="269">
        <v>0.1</v>
      </c>
      <c r="Q40" s="289"/>
      <c r="R40" s="289"/>
      <c r="S40" s="289"/>
      <c r="T40" s="289"/>
      <c r="U40" s="289" t="s">
        <v>209</v>
      </c>
      <c r="V40" s="417"/>
      <c r="W40" s="417"/>
      <c r="X40" s="289">
        <f t="shared" si="11"/>
        <v>5000</v>
      </c>
      <c r="Y40" s="47" t="s">
        <v>318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58"/>
      <c r="I41" s="282" t="s">
        <v>530</v>
      </c>
      <c r="J41" s="290"/>
      <c r="K41" s="289"/>
      <c r="L41" s="289"/>
      <c r="M41" s="289"/>
      <c r="N41" s="289"/>
      <c r="O41" s="62"/>
      <c r="P41" s="269"/>
      <c r="Q41" s="289"/>
      <c r="R41" s="289"/>
      <c r="S41" s="289"/>
      <c r="T41" s="289"/>
      <c r="U41" s="289"/>
      <c r="V41" s="345" t="s">
        <v>69</v>
      </c>
      <c r="W41" s="60"/>
      <c r="X41" s="345">
        <f>SUM(X42:X43)</f>
        <v>223000</v>
      </c>
      <c r="Y41" s="61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58"/>
      <c r="I42" s="282" t="s">
        <v>315</v>
      </c>
      <c r="J42" s="290"/>
      <c r="K42" s="289"/>
      <c r="L42" s="289"/>
      <c r="M42" s="289">
        <v>1336000</v>
      </c>
      <c r="N42" s="289" t="s">
        <v>56</v>
      </c>
      <c r="O42" s="62" t="s">
        <v>57</v>
      </c>
      <c r="P42" s="269">
        <v>0.1</v>
      </c>
      <c r="Q42" s="289"/>
      <c r="R42" s="289"/>
      <c r="S42" s="289"/>
      <c r="T42" s="289"/>
      <c r="U42" s="289" t="s">
        <v>53</v>
      </c>
      <c r="V42" s="529"/>
      <c r="W42" s="529"/>
      <c r="X42" s="289">
        <f t="shared" ref="X42:X43" si="12">ROUND(M42*P42,-3)</f>
        <v>134000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58"/>
      <c r="I43" s="282" t="s">
        <v>316</v>
      </c>
      <c r="J43" s="290"/>
      <c r="K43" s="289"/>
      <c r="L43" s="289"/>
      <c r="M43" s="289">
        <v>891000</v>
      </c>
      <c r="N43" s="289" t="s">
        <v>56</v>
      </c>
      <c r="O43" s="62" t="s">
        <v>57</v>
      </c>
      <c r="P43" s="269">
        <v>0.1</v>
      </c>
      <c r="Q43" s="289"/>
      <c r="R43" s="289"/>
      <c r="S43" s="289"/>
      <c r="T43" s="289"/>
      <c r="U43" s="289" t="s">
        <v>53</v>
      </c>
      <c r="V43" s="529"/>
      <c r="W43" s="529"/>
      <c r="X43" s="289">
        <f t="shared" si="12"/>
        <v>89000</v>
      </c>
      <c r="Y43" s="47" t="s">
        <v>56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58"/>
      <c r="I44" s="283" t="s">
        <v>274</v>
      </c>
      <c r="J44" s="195"/>
      <c r="K44" s="194"/>
      <c r="L44" s="194"/>
      <c r="M44" s="289"/>
      <c r="N44" s="194"/>
      <c r="O44" s="194"/>
      <c r="P44" s="194"/>
      <c r="Q44" s="194"/>
      <c r="R44" s="194"/>
      <c r="S44" s="194"/>
      <c r="T44" s="194"/>
      <c r="U44" s="194"/>
      <c r="V44" s="196" t="s">
        <v>210</v>
      </c>
      <c r="W44" s="60"/>
      <c r="X44" s="196">
        <f>SUM(X45:X46)</f>
        <v>475000</v>
      </c>
      <c r="Y44" s="61" t="s">
        <v>25</v>
      </c>
      <c r="Z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58"/>
      <c r="I45" s="282" t="s">
        <v>315</v>
      </c>
      <c r="J45" s="195"/>
      <c r="K45" s="194"/>
      <c r="L45" s="194"/>
      <c r="M45" s="289">
        <f>SUM(M29,M33,M36,M39,M42)</f>
        <v>36339000</v>
      </c>
      <c r="N45" s="44" t="s">
        <v>204</v>
      </c>
      <c r="O45" s="227" t="s">
        <v>205</v>
      </c>
      <c r="P45" s="64">
        <v>12</v>
      </c>
      <c r="Q45" s="175" t="s">
        <v>206</v>
      </c>
      <c r="R45" s="62" t="s">
        <v>208</v>
      </c>
      <c r="S45" s="269">
        <v>0.1</v>
      </c>
      <c r="T45" s="194"/>
      <c r="U45" s="194" t="s">
        <v>207</v>
      </c>
      <c r="V45" s="77"/>
      <c r="W45" s="77"/>
      <c r="X45" s="222">
        <f>ROUND(M45/P45*S45,-3)</f>
        <v>303000</v>
      </c>
      <c r="Y45" s="259" t="s">
        <v>198</v>
      </c>
      <c r="Z45" s="169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58"/>
      <c r="I46" s="282" t="s">
        <v>316</v>
      </c>
      <c r="J46" s="290"/>
      <c r="K46" s="289"/>
      <c r="L46" s="289"/>
      <c r="M46" s="289">
        <f>SUM(M30,M34,M37,M40,M43)</f>
        <v>20665000</v>
      </c>
      <c r="N46" s="44" t="s">
        <v>56</v>
      </c>
      <c r="O46" s="417" t="s">
        <v>205</v>
      </c>
      <c r="P46" s="64">
        <v>12</v>
      </c>
      <c r="Q46" s="175" t="s">
        <v>206</v>
      </c>
      <c r="R46" s="62" t="s">
        <v>57</v>
      </c>
      <c r="S46" s="269">
        <v>0.1</v>
      </c>
      <c r="T46" s="289"/>
      <c r="U46" s="289" t="s">
        <v>207</v>
      </c>
      <c r="V46" s="289"/>
      <c r="W46" s="289"/>
      <c r="X46" s="56">
        <f>ROUND(M46/P46*S46,-3)</f>
        <v>172000</v>
      </c>
      <c r="Y46" s="259" t="s">
        <v>56</v>
      </c>
      <c r="Z46" s="289"/>
      <c r="AA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58"/>
      <c r="I47" s="283" t="s">
        <v>275</v>
      </c>
      <c r="J47" s="195"/>
      <c r="K47" s="194"/>
      <c r="L47" s="194"/>
      <c r="M47" s="289"/>
      <c r="N47" s="44"/>
      <c r="O47" s="194"/>
      <c r="P47" s="194"/>
      <c r="Q47" s="194"/>
      <c r="R47" s="194"/>
      <c r="S47" s="194"/>
      <c r="T47" s="194"/>
      <c r="U47" s="194"/>
      <c r="V47" s="196" t="s">
        <v>210</v>
      </c>
      <c r="W47" s="60"/>
      <c r="X47" s="196">
        <f>SUM(X48,X51,X54,X57,X60)</f>
        <v>591000</v>
      </c>
      <c r="Y47" s="61" t="s">
        <v>25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58"/>
      <c r="I48" s="282" t="s">
        <v>276</v>
      </c>
      <c r="J48" s="195"/>
      <c r="K48" s="194"/>
      <c r="L48" s="194"/>
      <c r="M48" s="289"/>
      <c r="N48" s="44"/>
      <c r="O48" s="62"/>
      <c r="P48" s="228"/>
      <c r="Q48" s="227"/>
      <c r="R48" s="62"/>
      <c r="S48" s="269"/>
      <c r="T48" s="63"/>
      <c r="U48" s="227"/>
      <c r="V48" s="125"/>
      <c r="W48" s="126"/>
      <c r="X48" s="126">
        <f>SUM(X49:X50)</f>
        <v>257000</v>
      </c>
      <c r="Y48" s="127" t="s">
        <v>204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58"/>
      <c r="I49" s="282" t="s">
        <v>315</v>
      </c>
      <c r="J49" s="290"/>
      <c r="K49" s="289"/>
      <c r="L49" s="289"/>
      <c r="M49" s="289">
        <f>M45</f>
        <v>36339000</v>
      </c>
      <c r="N49" s="44" t="s">
        <v>56</v>
      </c>
      <c r="O49" s="62" t="s">
        <v>57</v>
      </c>
      <c r="P49" s="228">
        <v>0.09</v>
      </c>
      <c r="Q49" s="417">
        <v>2</v>
      </c>
      <c r="R49" s="62" t="s">
        <v>57</v>
      </c>
      <c r="S49" s="269">
        <v>0.1</v>
      </c>
      <c r="T49" s="63"/>
      <c r="U49" s="417" t="s">
        <v>207</v>
      </c>
      <c r="V49" s="289"/>
      <c r="W49" s="56"/>
      <c r="X49" s="56">
        <f>ROUND(M49*P49/Q49*S49,-3)</f>
        <v>164000</v>
      </c>
      <c r="Y49" s="47" t="s">
        <v>318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58"/>
      <c r="I50" s="282" t="s">
        <v>316</v>
      </c>
      <c r="J50" s="290"/>
      <c r="K50" s="289"/>
      <c r="L50" s="289"/>
      <c r="M50" s="289">
        <f>M46</f>
        <v>20665000</v>
      </c>
      <c r="N50" s="44" t="s">
        <v>56</v>
      </c>
      <c r="O50" s="62" t="s">
        <v>57</v>
      </c>
      <c r="P50" s="228">
        <v>0.09</v>
      </c>
      <c r="Q50" s="417">
        <v>2</v>
      </c>
      <c r="R50" s="62" t="s">
        <v>57</v>
      </c>
      <c r="S50" s="269">
        <v>0.1</v>
      </c>
      <c r="T50" s="63"/>
      <c r="U50" s="417" t="s">
        <v>207</v>
      </c>
      <c r="V50" s="289"/>
      <c r="W50" s="56"/>
      <c r="X50" s="56">
        <f>ROUND(M50*P50/Q50*S50,-3)</f>
        <v>93000</v>
      </c>
      <c r="Y50" s="47" t="s">
        <v>318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58"/>
      <c r="I51" s="282" t="s">
        <v>277</v>
      </c>
      <c r="J51" s="195"/>
      <c r="K51" s="194"/>
      <c r="L51" s="194"/>
      <c r="M51" s="289"/>
      <c r="N51" s="44"/>
      <c r="O51" s="62"/>
      <c r="P51" s="229"/>
      <c r="Q51" s="227"/>
      <c r="R51" s="62"/>
      <c r="S51" s="269"/>
      <c r="T51" s="63"/>
      <c r="U51" s="227"/>
      <c r="V51" s="345"/>
      <c r="W51" s="60"/>
      <c r="X51" s="60">
        <f>SUM(X52:X53)</f>
        <v>199000</v>
      </c>
      <c r="Y51" s="61" t="s">
        <v>204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58"/>
      <c r="I52" s="282" t="s">
        <v>315</v>
      </c>
      <c r="J52" s="290"/>
      <c r="K52" s="289"/>
      <c r="L52" s="289"/>
      <c r="M52" s="289">
        <f>M45</f>
        <v>36339000</v>
      </c>
      <c r="N52" s="44" t="s">
        <v>56</v>
      </c>
      <c r="O52" s="62" t="s">
        <v>57</v>
      </c>
      <c r="P52" s="229">
        <v>6.9900000000000004E-2</v>
      </c>
      <c r="Q52" s="417">
        <v>2</v>
      </c>
      <c r="R52" s="62" t="s">
        <v>57</v>
      </c>
      <c r="S52" s="269">
        <v>0.1</v>
      </c>
      <c r="T52" s="63"/>
      <c r="U52" s="417"/>
      <c r="V52" s="289"/>
      <c r="W52" s="56"/>
      <c r="X52" s="56">
        <f>ROUND(M52*P52/Q52*S52,-3)</f>
        <v>127000</v>
      </c>
      <c r="Y52" s="47" t="s">
        <v>318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58"/>
      <c r="I53" s="282" t="s">
        <v>316</v>
      </c>
      <c r="J53" s="290"/>
      <c r="K53" s="289"/>
      <c r="L53" s="289"/>
      <c r="M53" s="289">
        <f>M46</f>
        <v>20665000</v>
      </c>
      <c r="N53" s="44" t="s">
        <v>56</v>
      </c>
      <c r="O53" s="62" t="s">
        <v>57</v>
      </c>
      <c r="P53" s="229">
        <v>6.9900000000000004E-2</v>
      </c>
      <c r="Q53" s="417">
        <v>2</v>
      </c>
      <c r="R53" s="62" t="s">
        <v>57</v>
      </c>
      <c r="S53" s="269">
        <v>0.1</v>
      </c>
      <c r="T53" s="63"/>
      <c r="U53" s="417"/>
      <c r="V53" s="289"/>
      <c r="W53" s="56"/>
      <c r="X53" s="56">
        <f>ROUND(M53*P53/Q53*S53,-3)</f>
        <v>72000</v>
      </c>
      <c r="Y53" s="47" t="s">
        <v>318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58"/>
      <c r="I54" s="282" t="s">
        <v>278</v>
      </c>
      <c r="J54" s="195"/>
      <c r="K54" s="194"/>
      <c r="L54" s="194"/>
      <c r="M54" s="289"/>
      <c r="N54" s="44"/>
      <c r="O54" s="62"/>
      <c r="P54" s="66"/>
      <c r="Q54" s="67"/>
      <c r="R54" s="62"/>
      <c r="S54" s="65"/>
      <c r="T54" s="68"/>
      <c r="U54" s="227"/>
      <c r="V54" s="345"/>
      <c r="W54" s="60"/>
      <c r="X54" s="60">
        <f>SUM(X55:X56)</f>
        <v>25000</v>
      </c>
      <c r="Y54" s="61" t="s">
        <v>56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58"/>
      <c r="I55" s="282" t="s">
        <v>315</v>
      </c>
      <c r="J55" s="290"/>
      <c r="K55" s="289"/>
      <c r="L55" s="289"/>
      <c r="M55" s="289">
        <f t="shared" ref="M55:M56" si="13">X52</f>
        <v>127000</v>
      </c>
      <c r="N55" s="44" t="s">
        <v>56</v>
      </c>
      <c r="O55" s="62" t="s">
        <v>57</v>
      </c>
      <c r="P55" s="66">
        <v>0.1227</v>
      </c>
      <c r="Q55" s="67"/>
      <c r="R55" s="62"/>
      <c r="S55" s="65"/>
      <c r="T55" s="68"/>
      <c r="U55" s="417"/>
      <c r="V55" s="289"/>
      <c r="W55" s="56"/>
      <c r="X55" s="56">
        <f>ROUND(M55*P55,-3)</f>
        <v>16000</v>
      </c>
      <c r="Y55" s="47" t="s">
        <v>318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58"/>
      <c r="I56" s="282" t="s">
        <v>316</v>
      </c>
      <c r="J56" s="290"/>
      <c r="K56" s="289"/>
      <c r="L56" s="289"/>
      <c r="M56" s="289">
        <f t="shared" si="13"/>
        <v>72000</v>
      </c>
      <c r="N56" s="44" t="s">
        <v>56</v>
      </c>
      <c r="O56" s="62" t="s">
        <v>57</v>
      </c>
      <c r="P56" s="66">
        <v>0.1227</v>
      </c>
      <c r="Q56" s="67"/>
      <c r="R56" s="62"/>
      <c r="S56" s="65"/>
      <c r="T56" s="68"/>
      <c r="U56" s="417"/>
      <c r="V56" s="289"/>
      <c r="W56" s="56"/>
      <c r="X56" s="56">
        <f>ROUND(M56*P56,-3)</f>
        <v>9000</v>
      </c>
      <c r="Y56" s="47" t="s">
        <v>318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58"/>
      <c r="I57" s="282" t="s">
        <v>279</v>
      </c>
      <c r="J57" s="195"/>
      <c r="K57" s="194"/>
      <c r="L57" s="194"/>
      <c r="M57" s="289"/>
      <c r="N57" s="44"/>
      <c r="O57" s="62"/>
      <c r="P57" s="66"/>
      <c r="Q57" s="62"/>
      <c r="R57" s="62"/>
      <c r="S57" s="269"/>
      <c r="T57" s="63"/>
      <c r="U57" s="227"/>
      <c r="V57" s="345"/>
      <c r="W57" s="60"/>
      <c r="X57" s="60">
        <f>SUM(X58:X59)</f>
        <v>66000</v>
      </c>
      <c r="Y57" s="61" t="s">
        <v>56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58"/>
      <c r="I58" s="282" t="s">
        <v>315</v>
      </c>
      <c r="J58" s="290"/>
      <c r="K58" s="289"/>
      <c r="L58" s="289"/>
      <c r="M58" s="289">
        <f>M45</f>
        <v>36339000</v>
      </c>
      <c r="N58" s="44" t="s">
        <v>56</v>
      </c>
      <c r="O58" s="62" t="s">
        <v>57</v>
      </c>
      <c r="P58" s="66">
        <v>1.15E-2</v>
      </c>
      <c r="Q58" s="62"/>
      <c r="R58" s="62" t="s">
        <v>57</v>
      </c>
      <c r="S58" s="269">
        <v>0.1</v>
      </c>
      <c r="T58" s="63"/>
      <c r="U58" s="417" t="s">
        <v>207</v>
      </c>
      <c r="V58" s="289"/>
      <c r="W58" s="56"/>
      <c r="X58" s="56">
        <f>ROUND(M58*P58*S58,-3)</f>
        <v>42000</v>
      </c>
      <c r="Y58" s="47" t="s">
        <v>318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58"/>
      <c r="I59" s="282" t="s">
        <v>316</v>
      </c>
      <c r="J59" s="290"/>
      <c r="K59" s="289"/>
      <c r="L59" s="289"/>
      <c r="M59" s="289">
        <f>M46</f>
        <v>20665000</v>
      </c>
      <c r="N59" s="44" t="s">
        <v>56</v>
      </c>
      <c r="O59" s="62" t="s">
        <v>57</v>
      </c>
      <c r="P59" s="66">
        <v>1.15E-2</v>
      </c>
      <c r="Q59" s="62"/>
      <c r="R59" s="62" t="s">
        <v>57</v>
      </c>
      <c r="S59" s="269">
        <v>0.1</v>
      </c>
      <c r="T59" s="63"/>
      <c r="U59" s="417" t="s">
        <v>207</v>
      </c>
      <c r="V59" s="289"/>
      <c r="W59" s="56"/>
      <c r="X59" s="56">
        <f>ROUND(M59*P59*S59,-3)</f>
        <v>24000</v>
      </c>
      <c r="Y59" s="47" t="s">
        <v>318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58"/>
      <c r="I60" s="282" t="s">
        <v>280</v>
      </c>
      <c r="J60" s="195"/>
      <c r="K60" s="194"/>
      <c r="L60" s="194"/>
      <c r="M60" s="289"/>
      <c r="N60" s="44"/>
      <c r="O60" s="62"/>
      <c r="P60" s="265"/>
      <c r="Q60" s="62"/>
      <c r="R60" s="62"/>
      <c r="S60" s="269"/>
      <c r="T60" s="63"/>
      <c r="U60" s="227"/>
      <c r="V60" s="345"/>
      <c r="W60" s="60"/>
      <c r="X60" s="60">
        <f>SUM(X61:X62)</f>
        <v>44000</v>
      </c>
      <c r="Y60" s="61" t="s">
        <v>56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58"/>
      <c r="I61" s="282" t="s">
        <v>315</v>
      </c>
      <c r="J61" s="290"/>
      <c r="K61" s="289"/>
      <c r="L61" s="289"/>
      <c r="M61" s="289">
        <f>M45</f>
        <v>36339000</v>
      </c>
      <c r="N61" s="44" t="s">
        <v>56</v>
      </c>
      <c r="O61" s="62" t="s">
        <v>57</v>
      </c>
      <c r="P61" s="265">
        <v>7.6E-3</v>
      </c>
      <c r="Q61" s="62"/>
      <c r="R61" s="62" t="s">
        <v>57</v>
      </c>
      <c r="S61" s="269">
        <v>0.1</v>
      </c>
      <c r="T61" s="63"/>
      <c r="U61" s="417" t="s">
        <v>207</v>
      </c>
      <c r="V61" s="289"/>
      <c r="W61" s="56"/>
      <c r="X61" s="56">
        <f>ROUND(M61*P61*S61,-3)</f>
        <v>28000</v>
      </c>
      <c r="Y61" s="47" t="s">
        <v>318</v>
      </c>
      <c r="Z61" s="6"/>
    </row>
    <row r="62" spans="1:26" s="11" customFormat="1" ht="19.5" customHeight="1">
      <c r="A62" s="50"/>
      <c r="B62" s="38"/>
      <c r="C62" s="38"/>
      <c r="D62" s="38"/>
      <c r="E62" s="40"/>
      <c r="F62" s="40"/>
      <c r="G62" s="41"/>
      <c r="H62" s="58"/>
      <c r="I62" s="282" t="s">
        <v>316</v>
      </c>
      <c r="J62" s="290"/>
      <c r="K62" s="289"/>
      <c r="L62" s="289"/>
      <c r="M62" s="289">
        <f>M46</f>
        <v>20665000</v>
      </c>
      <c r="N62" s="44" t="s">
        <v>56</v>
      </c>
      <c r="O62" s="62" t="s">
        <v>57</v>
      </c>
      <c r="P62" s="265">
        <v>7.6E-3</v>
      </c>
      <c r="Q62" s="62"/>
      <c r="R62" s="62" t="s">
        <v>57</v>
      </c>
      <c r="S62" s="269">
        <v>0.1</v>
      </c>
      <c r="T62" s="63"/>
      <c r="U62" s="417" t="s">
        <v>207</v>
      </c>
      <c r="V62" s="289"/>
      <c r="W62" s="56"/>
      <c r="X62" s="56">
        <f>ROUND(M62*P62*S62,-3)</f>
        <v>16000</v>
      </c>
      <c r="Y62" s="47" t="s">
        <v>318</v>
      </c>
      <c r="Z62" s="6"/>
    </row>
    <row r="63" spans="1:26" s="11" customFormat="1" ht="19.5" customHeight="1">
      <c r="A63" s="50"/>
      <c r="B63" s="38"/>
      <c r="C63" s="38"/>
      <c r="D63" s="49"/>
      <c r="E63" s="51"/>
      <c r="F63" s="51"/>
      <c r="G63" s="52"/>
      <c r="H63" s="73"/>
      <c r="I63" s="197"/>
      <c r="J63" s="60"/>
      <c r="K63" s="216"/>
      <c r="L63" s="216"/>
      <c r="M63" s="196"/>
      <c r="N63" s="196"/>
      <c r="O63" s="217"/>
      <c r="P63" s="196"/>
      <c r="Q63" s="114"/>
      <c r="R63" s="218"/>
      <c r="S63" s="70"/>
      <c r="T63" s="167"/>
      <c r="U63" s="167"/>
      <c r="V63" s="219"/>
      <c r="W63" s="197"/>
      <c r="X63" s="60"/>
      <c r="Y63" s="61"/>
      <c r="Z63" s="6"/>
    </row>
    <row r="64" spans="1:26" s="11" customFormat="1" ht="19.5" customHeight="1" thickBot="1">
      <c r="A64" s="50"/>
      <c r="B64" s="38"/>
      <c r="C64" s="38"/>
      <c r="D64" s="28" t="s">
        <v>211</v>
      </c>
      <c r="E64" s="29">
        <v>946</v>
      </c>
      <c r="F64" s="211">
        <f>ROUND(X64/1000,0)</f>
        <v>970</v>
      </c>
      <c r="G64" s="30">
        <f t="shared" ref="G64" si="14">F64-E64</f>
        <v>24</v>
      </c>
      <c r="H64" s="106">
        <f t="shared" ref="H64" si="15">IF(E64=0,0,G64/E64)</f>
        <v>2.5369978858350951E-2</v>
      </c>
      <c r="I64" s="223" t="s">
        <v>212</v>
      </c>
      <c r="J64" s="222"/>
      <c r="K64" s="230"/>
      <c r="L64" s="230"/>
      <c r="M64" s="77"/>
      <c r="N64" s="77"/>
      <c r="O64" s="212"/>
      <c r="P64" s="77"/>
      <c r="Q64" s="213"/>
      <c r="R64" s="220"/>
      <c r="S64" s="221"/>
      <c r="T64" s="226"/>
      <c r="U64" s="226"/>
      <c r="V64" s="224" t="s">
        <v>193</v>
      </c>
      <c r="W64" s="225"/>
      <c r="X64" s="225">
        <f>SUM(X65:X68)</f>
        <v>970000</v>
      </c>
      <c r="Y64" s="258" t="s">
        <v>56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58"/>
      <c r="I65" s="195" t="s">
        <v>213</v>
      </c>
      <c r="J65" s="56"/>
      <c r="K65" s="178"/>
      <c r="L65" s="178"/>
      <c r="M65" s="268">
        <v>2425000</v>
      </c>
      <c r="N65" s="268" t="s">
        <v>25</v>
      </c>
      <c r="O65" s="360" t="s">
        <v>26</v>
      </c>
      <c r="P65" s="361">
        <v>4</v>
      </c>
      <c r="Q65" s="362" t="s">
        <v>55</v>
      </c>
      <c r="R65" s="323" t="s">
        <v>298</v>
      </c>
      <c r="S65" s="363">
        <v>0.1</v>
      </c>
      <c r="T65" s="326"/>
      <c r="U65" s="324" t="s">
        <v>299</v>
      </c>
      <c r="V65" s="570"/>
      <c r="W65" s="570"/>
      <c r="X65" s="56">
        <f>ROUNDDOWN(M65*P65*S65,-3)</f>
        <v>970000</v>
      </c>
      <c r="Y65" s="47" t="s">
        <v>204</v>
      </c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58"/>
      <c r="I66" s="279"/>
      <c r="J66" s="56"/>
      <c r="K66" s="178"/>
      <c r="L66" s="178"/>
      <c r="M66" s="278"/>
      <c r="N66" s="278"/>
      <c r="O66" s="45"/>
      <c r="P66" s="277"/>
      <c r="Q66" s="278"/>
      <c r="R66" s="62"/>
      <c r="S66" s="269"/>
      <c r="T66" s="278"/>
      <c r="U66" s="278"/>
      <c r="V66" s="277"/>
      <c r="W66" s="277"/>
      <c r="X66" s="56"/>
      <c r="Y66" s="47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58"/>
      <c r="I67" s="338" t="s">
        <v>300</v>
      </c>
      <c r="J67" s="273"/>
      <c r="K67" s="359"/>
      <c r="L67" s="359"/>
      <c r="M67" s="268"/>
      <c r="N67" s="268"/>
      <c r="O67" s="360"/>
      <c r="P67" s="268"/>
      <c r="Q67" s="362"/>
      <c r="R67" s="366"/>
      <c r="S67" s="367"/>
      <c r="T67" s="324"/>
      <c r="U67" s="324"/>
      <c r="V67" s="364"/>
      <c r="W67" s="272"/>
      <c r="X67" s="273"/>
      <c r="Y67" s="297"/>
      <c r="Z67" s="6"/>
    </row>
    <row r="68" spans="1:26" s="11" customFormat="1" ht="19.5" customHeight="1">
      <c r="A68" s="50"/>
      <c r="B68" s="38"/>
      <c r="C68" s="38"/>
      <c r="D68" s="38"/>
      <c r="E68" s="40"/>
      <c r="F68" s="40"/>
      <c r="G68" s="41"/>
      <c r="H68" s="58"/>
      <c r="I68" s="275" t="s">
        <v>302</v>
      </c>
      <c r="J68" s="273"/>
      <c r="K68" s="359"/>
      <c r="L68" s="359"/>
      <c r="M68" s="268">
        <v>0</v>
      </c>
      <c r="N68" s="268" t="s">
        <v>25</v>
      </c>
      <c r="O68" s="360" t="s">
        <v>26</v>
      </c>
      <c r="P68" s="365">
        <v>0.5</v>
      </c>
      <c r="Q68" s="362"/>
      <c r="R68" s="366"/>
      <c r="S68" s="367"/>
      <c r="T68" s="324"/>
      <c r="U68" s="324"/>
      <c r="V68" s="364"/>
      <c r="W68" s="272" t="s">
        <v>27</v>
      </c>
      <c r="X68" s="273">
        <f>M68*P68</f>
        <v>0</v>
      </c>
      <c r="Y68" s="297" t="s">
        <v>297</v>
      </c>
      <c r="Z68" s="6"/>
    </row>
    <row r="69" spans="1:26" s="11" customFormat="1" ht="19.5" customHeight="1">
      <c r="A69" s="50"/>
      <c r="B69" s="38"/>
      <c r="C69" s="38"/>
      <c r="D69" s="49"/>
      <c r="E69" s="51"/>
      <c r="F69" s="51"/>
      <c r="G69" s="52"/>
      <c r="H69" s="73"/>
      <c r="I69" s="197"/>
      <c r="J69" s="60"/>
      <c r="K69" s="216"/>
      <c r="L69" s="216"/>
      <c r="M69" s="196"/>
      <c r="N69" s="196"/>
      <c r="O69" s="217"/>
      <c r="P69" s="196"/>
      <c r="Q69" s="114"/>
      <c r="R69" s="218"/>
      <c r="S69" s="70"/>
      <c r="T69" s="167"/>
      <c r="U69" s="167"/>
      <c r="V69" s="219"/>
      <c r="W69" s="197"/>
      <c r="X69" s="60"/>
      <c r="Y69" s="61"/>
      <c r="Z69" s="6"/>
    </row>
    <row r="70" spans="1:26" s="11" customFormat="1" ht="19.5" customHeight="1" thickBot="1">
      <c r="A70" s="50"/>
      <c r="B70" s="38"/>
      <c r="C70" s="38"/>
      <c r="D70" s="28" t="s">
        <v>214</v>
      </c>
      <c r="E70" s="29">
        <v>0</v>
      </c>
      <c r="F70" s="211">
        <f>ROUND(X70/1000,0)</f>
        <v>493</v>
      </c>
      <c r="G70" s="30">
        <f t="shared" ref="G70" si="16">F70-E70</f>
        <v>493</v>
      </c>
      <c r="H70" s="106">
        <f t="shared" ref="H70" si="17">IF(E70=0,0,G70/E70)</f>
        <v>0</v>
      </c>
      <c r="I70" s="223" t="s">
        <v>216</v>
      </c>
      <c r="J70" s="222"/>
      <c r="K70" s="230"/>
      <c r="L70" s="230"/>
      <c r="M70" s="77"/>
      <c r="N70" s="77"/>
      <c r="O70" s="212"/>
      <c r="P70" s="77"/>
      <c r="Q70" s="213"/>
      <c r="R70" s="220"/>
      <c r="S70" s="221"/>
      <c r="T70" s="226"/>
      <c r="U70" s="226"/>
      <c r="V70" s="224" t="s">
        <v>193</v>
      </c>
      <c r="W70" s="225"/>
      <c r="X70" s="225">
        <f>SUM(X71:X76)</f>
        <v>493000</v>
      </c>
      <c r="Y70" s="258" t="s">
        <v>56</v>
      </c>
      <c r="Z70" s="6"/>
    </row>
    <row r="71" spans="1:26" s="11" customFormat="1" ht="19.5" customHeight="1">
      <c r="A71" s="50"/>
      <c r="B71" s="38"/>
      <c r="C71" s="38"/>
      <c r="D71" s="38" t="s">
        <v>215</v>
      </c>
      <c r="E71" s="40"/>
      <c r="F71" s="40"/>
      <c r="G71" s="41"/>
      <c r="H71" s="58"/>
      <c r="I71" s="55" t="s">
        <v>217</v>
      </c>
      <c r="J71" s="195"/>
      <c r="K71" s="194"/>
      <c r="L71" s="194"/>
      <c r="M71" s="194">
        <v>500</v>
      </c>
      <c r="N71" s="194" t="s">
        <v>204</v>
      </c>
      <c r="O71" s="195" t="s">
        <v>208</v>
      </c>
      <c r="P71" s="232">
        <v>4</v>
      </c>
      <c r="Q71" s="233">
        <v>365</v>
      </c>
      <c r="R71" s="194" t="s">
        <v>218</v>
      </c>
      <c r="S71" s="270">
        <v>0.3</v>
      </c>
      <c r="T71" s="194"/>
      <c r="U71" s="194" t="s">
        <v>207</v>
      </c>
      <c r="V71" s="194"/>
      <c r="W71" s="56"/>
      <c r="X71" s="56">
        <f>ROUND(M71*P71*Q71*S71,-3)</f>
        <v>219000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58"/>
      <c r="I72" s="55" t="s">
        <v>219</v>
      </c>
      <c r="J72" s="195"/>
      <c r="K72" s="194"/>
      <c r="L72" s="194"/>
      <c r="M72" s="194">
        <v>5000</v>
      </c>
      <c r="N72" s="194" t="s">
        <v>204</v>
      </c>
      <c r="O72" s="195" t="s">
        <v>208</v>
      </c>
      <c r="P72" s="232">
        <v>4</v>
      </c>
      <c r="Q72" s="233">
        <v>12</v>
      </c>
      <c r="R72" s="194" t="s">
        <v>206</v>
      </c>
      <c r="S72" s="270">
        <v>0.3</v>
      </c>
      <c r="T72" s="194"/>
      <c r="U72" s="194" t="s">
        <v>207</v>
      </c>
      <c r="V72" s="194"/>
      <c r="W72" s="56"/>
      <c r="X72" s="56">
        <f t="shared" ref="X72:X73" si="18">ROUNDUP(M72*P72*Q72*S72,-3)</f>
        <v>72000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58"/>
      <c r="I73" s="55" t="s">
        <v>220</v>
      </c>
      <c r="J73" s="195"/>
      <c r="K73" s="194"/>
      <c r="L73" s="194"/>
      <c r="M73" s="194">
        <v>20000</v>
      </c>
      <c r="N73" s="194" t="s">
        <v>204</v>
      </c>
      <c r="O73" s="195" t="s">
        <v>208</v>
      </c>
      <c r="P73" s="232">
        <v>4</v>
      </c>
      <c r="Q73" s="233">
        <v>4</v>
      </c>
      <c r="R73" s="194" t="s">
        <v>221</v>
      </c>
      <c r="S73" s="270">
        <v>0.3</v>
      </c>
      <c r="T73" s="194"/>
      <c r="U73" s="194" t="s">
        <v>207</v>
      </c>
      <c r="V73" s="194"/>
      <c r="W73" s="56"/>
      <c r="X73" s="56">
        <f t="shared" si="18"/>
        <v>96000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58"/>
      <c r="I74" s="55" t="s">
        <v>455</v>
      </c>
      <c r="J74" s="195"/>
      <c r="K74" s="194"/>
      <c r="L74" s="194"/>
      <c r="M74" s="194">
        <v>12000</v>
      </c>
      <c r="N74" s="194" t="s">
        <v>204</v>
      </c>
      <c r="O74" s="195" t="s">
        <v>208</v>
      </c>
      <c r="P74" s="232">
        <v>4</v>
      </c>
      <c r="Q74" s="233">
        <v>4</v>
      </c>
      <c r="R74" s="194" t="s">
        <v>221</v>
      </c>
      <c r="S74" s="270">
        <v>0.3</v>
      </c>
      <c r="T74" s="194"/>
      <c r="U74" s="194" t="s">
        <v>207</v>
      </c>
      <c r="V74" s="194"/>
      <c r="W74" s="56"/>
      <c r="X74" s="56">
        <f>ROUND(M74*P74*Q74*S74,-3)</f>
        <v>58000</v>
      </c>
      <c r="Y74" s="47" t="s">
        <v>25</v>
      </c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58"/>
      <c r="I75" s="55" t="s">
        <v>222</v>
      </c>
      <c r="J75" s="195"/>
      <c r="K75" s="194"/>
      <c r="L75" s="194"/>
      <c r="M75" s="194"/>
      <c r="N75" s="194"/>
      <c r="O75" s="195"/>
      <c r="P75" s="232"/>
      <c r="Q75" s="233"/>
      <c r="R75" s="194"/>
      <c r="S75" s="194">
        <v>0.3</v>
      </c>
      <c r="T75" s="194"/>
      <c r="U75" s="194"/>
      <c r="V75" s="194"/>
      <c r="W75" s="56"/>
      <c r="X75" s="56"/>
      <c r="Y75" s="47"/>
      <c r="Z75" s="6"/>
    </row>
    <row r="76" spans="1:26" s="11" customFormat="1" ht="19.5" customHeight="1">
      <c r="A76" s="50"/>
      <c r="B76" s="38"/>
      <c r="C76" s="38"/>
      <c r="D76" s="38"/>
      <c r="E76" s="40"/>
      <c r="F76" s="40"/>
      <c r="G76" s="41"/>
      <c r="H76" s="58"/>
      <c r="I76" s="55" t="s">
        <v>223</v>
      </c>
      <c r="J76" s="195"/>
      <c r="K76" s="194"/>
      <c r="L76" s="194"/>
      <c r="M76" s="194">
        <v>40000</v>
      </c>
      <c r="N76" s="194" t="s">
        <v>204</v>
      </c>
      <c r="O76" s="195" t="s">
        <v>208</v>
      </c>
      <c r="P76" s="232">
        <v>4</v>
      </c>
      <c r="Q76" s="233">
        <v>1</v>
      </c>
      <c r="R76" s="194" t="s">
        <v>221</v>
      </c>
      <c r="S76" s="270">
        <v>0.3</v>
      </c>
      <c r="T76" s="194"/>
      <c r="U76" s="194" t="s">
        <v>207</v>
      </c>
      <c r="V76" s="194"/>
      <c r="W76" s="56"/>
      <c r="X76" s="56">
        <f>ROUND(M76*P76*Q76*S76,-3)</f>
        <v>48000</v>
      </c>
      <c r="Y76" s="47" t="s">
        <v>25</v>
      </c>
      <c r="Z76" s="6"/>
    </row>
    <row r="77" spans="1:26" s="11" customFormat="1" ht="19.5" customHeight="1">
      <c r="A77" s="50"/>
      <c r="B77" s="38"/>
      <c r="C77" s="38"/>
      <c r="D77" s="49"/>
      <c r="E77" s="51"/>
      <c r="F77" s="51"/>
      <c r="G77" s="52"/>
      <c r="H77" s="73"/>
      <c r="I77" s="197"/>
      <c r="J77" s="60"/>
      <c r="K77" s="216"/>
      <c r="L77" s="216"/>
      <c r="M77" s="196"/>
      <c r="N77" s="196"/>
      <c r="O77" s="217"/>
      <c r="P77" s="196"/>
      <c r="Q77" s="114"/>
      <c r="R77" s="218"/>
      <c r="S77" s="70"/>
      <c r="T77" s="167"/>
      <c r="U77" s="167"/>
      <c r="V77" s="219"/>
      <c r="W77" s="197"/>
      <c r="X77" s="60"/>
      <c r="Y77" s="61"/>
      <c r="Z77" s="6"/>
    </row>
    <row r="78" spans="1:26" s="11" customFormat="1" ht="19.5" customHeight="1" thickBot="1">
      <c r="A78" s="50"/>
      <c r="B78" s="38"/>
      <c r="C78" s="38"/>
      <c r="D78" s="28" t="s">
        <v>224</v>
      </c>
      <c r="E78" s="29">
        <v>0</v>
      </c>
      <c r="F78" s="211">
        <f>ROUND(X78/1000,0)</f>
        <v>0</v>
      </c>
      <c r="G78" s="30">
        <f t="shared" ref="G78" si="19">F78-E78</f>
        <v>0</v>
      </c>
      <c r="H78" s="106">
        <f t="shared" ref="H78" si="20">IF(E78=0,0,G78/E78)</f>
        <v>0</v>
      </c>
      <c r="I78" s="223" t="s">
        <v>320</v>
      </c>
      <c r="J78" s="222"/>
      <c r="K78" s="230"/>
      <c r="L78" s="230"/>
      <c r="M78" s="77"/>
      <c r="N78" s="77"/>
      <c r="O78" s="212"/>
      <c r="P78" s="77"/>
      <c r="Q78" s="213"/>
      <c r="R78" s="220"/>
      <c r="S78" s="221"/>
      <c r="T78" s="226"/>
      <c r="U78" s="226"/>
      <c r="V78" s="224" t="s">
        <v>193</v>
      </c>
      <c r="W78" s="225"/>
      <c r="X78" s="225">
        <f>X79</f>
        <v>0</v>
      </c>
      <c r="Y78" s="258" t="s">
        <v>56</v>
      </c>
      <c r="Z78" s="6"/>
    </row>
    <row r="79" spans="1:26" s="11" customFormat="1" ht="19.5" customHeight="1">
      <c r="A79" s="50"/>
      <c r="B79" s="38"/>
      <c r="C79" s="38"/>
      <c r="D79" s="38" t="s">
        <v>321</v>
      </c>
      <c r="E79" s="40"/>
      <c r="F79" s="40"/>
      <c r="G79" s="41"/>
      <c r="H79" s="58"/>
      <c r="I79" s="282" t="s">
        <v>281</v>
      </c>
      <c r="J79" s="195"/>
      <c r="K79" s="194"/>
      <c r="L79" s="194"/>
      <c r="M79" s="235">
        <v>0</v>
      </c>
      <c r="N79" s="57" t="s">
        <v>204</v>
      </c>
      <c r="O79" s="57" t="s">
        <v>208</v>
      </c>
      <c r="P79" s="65">
        <v>0.1</v>
      </c>
      <c r="Q79" s="233"/>
      <c r="R79" s="57"/>
      <c r="S79" s="234"/>
      <c r="T79" s="57"/>
      <c r="U79" s="57" t="s">
        <v>209</v>
      </c>
      <c r="V79" s="194"/>
      <c r="W79" s="56"/>
      <c r="X79" s="194">
        <f>M79*P79</f>
        <v>0</v>
      </c>
      <c r="Y79" s="47" t="s">
        <v>204</v>
      </c>
      <c r="Z79" s="6"/>
    </row>
    <row r="80" spans="1:26" s="11" customFormat="1" ht="19.5" customHeight="1">
      <c r="A80" s="50"/>
      <c r="B80" s="38"/>
      <c r="C80" s="38"/>
      <c r="D80" s="49"/>
      <c r="E80" s="51"/>
      <c r="F80" s="51"/>
      <c r="G80" s="52"/>
      <c r="H80" s="73"/>
      <c r="I80" s="197"/>
      <c r="J80" s="60"/>
      <c r="K80" s="216"/>
      <c r="L80" s="216"/>
      <c r="M80" s="196"/>
      <c r="N80" s="196"/>
      <c r="O80" s="217"/>
      <c r="P80" s="196"/>
      <c r="Q80" s="114"/>
      <c r="R80" s="218"/>
      <c r="S80" s="196"/>
      <c r="T80" s="167"/>
      <c r="U80" s="167"/>
      <c r="V80" s="219"/>
      <c r="W80" s="197"/>
      <c r="X80" s="60"/>
      <c r="Y80" s="61"/>
      <c r="Z80" s="6"/>
    </row>
    <row r="81" spans="1:26" s="11" customFormat="1" ht="19.5" customHeight="1">
      <c r="A81" s="50"/>
      <c r="B81" s="38"/>
      <c r="C81" s="38"/>
      <c r="D81" s="38" t="s">
        <v>225</v>
      </c>
      <c r="E81" s="40">
        <v>0</v>
      </c>
      <c r="F81" s="211">
        <f>ROUND(X81/1000,0)</f>
        <v>0</v>
      </c>
      <c r="G81" s="41">
        <f t="shared" ref="G81" si="21">F81-E81</f>
        <v>0</v>
      </c>
      <c r="H81" s="58">
        <f t="shared" ref="H81" si="22">IF(E81=0,0,G81/E81)</f>
        <v>0</v>
      </c>
      <c r="I81" s="59" t="s">
        <v>228</v>
      </c>
      <c r="J81" s="56"/>
      <c r="K81" s="178"/>
      <c r="L81" s="178"/>
      <c r="M81" s="194"/>
      <c r="N81" s="194"/>
      <c r="O81" s="175"/>
      <c r="P81" s="194"/>
      <c r="Q81" s="44"/>
      <c r="R81" s="177"/>
      <c r="S81" s="46"/>
      <c r="T81" s="227"/>
      <c r="U81" s="227"/>
      <c r="V81" s="196" t="s">
        <v>227</v>
      </c>
      <c r="W81" s="60"/>
      <c r="X81" s="196">
        <f>SUM(X82:X82)</f>
        <v>0</v>
      </c>
      <c r="Y81" s="61" t="s">
        <v>25</v>
      </c>
      <c r="Z81" s="6"/>
    </row>
    <row r="82" spans="1:26" s="11" customFormat="1" ht="19.5" customHeight="1">
      <c r="A82" s="50"/>
      <c r="B82" s="38"/>
      <c r="C82" s="38"/>
      <c r="D82" s="38" t="s">
        <v>226</v>
      </c>
      <c r="E82" s="40"/>
      <c r="F82" s="40"/>
      <c r="G82" s="41"/>
      <c r="H82" s="58"/>
      <c r="I82" s="272" t="s">
        <v>301</v>
      </c>
      <c r="J82" s="56"/>
      <c r="K82" s="178"/>
      <c r="L82" s="178"/>
      <c r="M82" s="235">
        <v>0</v>
      </c>
      <c r="N82" s="57" t="s">
        <v>204</v>
      </c>
      <c r="O82" s="57" t="s">
        <v>208</v>
      </c>
      <c r="P82" s="65">
        <v>0.2</v>
      </c>
      <c r="Q82" s="233"/>
      <c r="R82" s="57"/>
      <c r="S82" s="234"/>
      <c r="T82" s="57"/>
      <c r="U82" s="57" t="s">
        <v>209</v>
      </c>
      <c r="V82" s="194"/>
      <c r="W82" s="56"/>
      <c r="X82" s="194">
        <f>ROUND(M82*P82,-3)</f>
        <v>0</v>
      </c>
      <c r="Y82" s="47" t="s">
        <v>204</v>
      </c>
      <c r="Z82" s="6"/>
    </row>
    <row r="83" spans="1:26" s="11" customFormat="1" ht="19.5" customHeight="1">
      <c r="A83" s="50"/>
      <c r="B83" s="71"/>
      <c r="C83" s="72"/>
      <c r="D83" s="49"/>
      <c r="E83" s="51"/>
      <c r="F83" s="51"/>
      <c r="G83" s="52"/>
      <c r="H83" s="73"/>
      <c r="I83" s="197"/>
      <c r="J83" s="196"/>
      <c r="K83" s="74"/>
      <c r="L83" s="74"/>
      <c r="M83" s="196"/>
      <c r="N83" s="196"/>
      <c r="O83" s="197"/>
      <c r="P83" s="196"/>
      <c r="Q83" s="196"/>
      <c r="R83" s="197"/>
      <c r="S83" s="197"/>
      <c r="T83" s="197"/>
      <c r="U83" s="197"/>
      <c r="V83" s="197"/>
      <c r="W83" s="197"/>
      <c r="X83" s="196"/>
      <c r="Y83" s="61"/>
      <c r="Z83" s="6"/>
    </row>
    <row r="84" spans="1:26" ht="21" customHeight="1">
      <c r="A84" s="37"/>
      <c r="B84" s="38"/>
      <c r="C84" s="38" t="s">
        <v>144</v>
      </c>
      <c r="D84" s="254" t="s">
        <v>110</v>
      </c>
      <c r="E84" s="187">
        <f>SUM(E85:E141)</f>
        <v>45991</v>
      </c>
      <c r="F84" s="187">
        <f>SUM(F85:F141)</f>
        <v>71060</v>
      </c>
      <c r="G84" s="188">
        <f t="shared" ref="G84:G85" si="23">F84-E84</f>
        <v>25069</v>
      </c>
      <c r="H84" s="189">
        <f t="shared" ref="H84:H85" si="24">IF(E84=0,0,G84/E84)</f>
        <v>0.54508490791676634</v>
      </c>
      <c r="I84" s="171" t="s">
        <v>145</v>
      </c>
      <c r="J84" s="172"/>
      <c r="K84" s="173"/>
      <c r="L84" s="173"/>
      <c r="M84" s="173"/>
      <c r="N84" s="173"/>
      <c r="O84" s="173"/>
      <c r="P84" s="174"/>
      <c r="Q84" s="174"/>
      <c r="R84" s="174"/>
      <c r="S84" s="174"/>
      <c r="T84" s="174"/>
      <c r="U84" s="174"/>
      <c r="V84" s="208" t="s">
        <v>69</v>
      </c>
      <c r="W84" s="209"/>
      <c r="X84" s="210">
        <f>SUM(X85,X88,X125,X128,X136,X139)</f>
        <v>71060000</v>
      </c>
      <c r="Y84" s="257" t="s">
        <v>56</v>
      </c>
    </row>
    <row r="85" spans="1:26" ht="21" customHeight="1">
      <c r="A85" s="37"/>
      <c r="B85" s="38"/>
      <c r="C85" s="38" t="s">
        <v>195</v>
      </c>
      <c r="D85" s="28" t="s">
        <v>194</v>
      </c>
      <c r="E85" s="211">
        <v>0</v>
      </c>
      <c r="F85" s="211">
        <f>ROUND(X85/1000,0)</f>
        <v>0</v>
      </c>
      <c r="G85" s="264">
        <f t="shared" si="23"/>
        <v>0</v>
      </c>
      <c r="H85" s="154">
        <f t="shared" si="24"/>
        <v>0</v>
      </c>
      <c r="I85" s="124" t="s">
        <v>192</v>
      </c>
      <c r="J85" s="136"/>
      <c r="K85" s="77"/>
      <c r="L85" s="77"/>
      <c r="M85" s="77"/>
      <c r="N85" s="226"/>
      <c r="O85" s="212"/>
      <c r="P85" s="77"/>
      <c r="Q85" s="213"/>
      <c r="R85" s="214"/>
      <c r="S85" s="215"/>
      <c r="T85" s="215"/>
      <c r="U85" s="226"/>
      <c r="V85" s="193" t="s">
        <v>193</v>
      </c>
      <c r="W85" s="126"/>
      <c r="X85" s="126">
        <f>SUM(X86:X86)</f>
        <v>0</v>
      </c>
      <c r="Y85" s="127" t="s">
        <v>56</v>
      </c>
    </row>
    <row r="86" spans="1:26" ht="21" customHeight="1">
      <c r="A86" s="37"/>
      <c r="B86" s="38"/>
      <c r="C86" s="38"/>
      <c r="D86" s="38"/>
      <c r="E86" s="40"/>
      <c r="F86" s="40"/>
      <c r="G86" s="41"/>
      <c r="H86" s="58"/>
      <c r="I86" s="282" t="s">
        <v>268</v>
      </c>
      <c r="J86" s="290"/>
      <c r="K86" s="289"/>
      <c r="L86" s="289"/>
      <c r="M86" s="289">
        <v>0</v>
      </c>
      <c r="N86" s="414" t="s">
        <v>25</v>
      </c>
      <c r="O86" s="175" t="s">
        <v>26</v>
      </c>
      <c r="P86" s="415">
        <v>0</v>
      </c>
      <c r="Q86" s="44" t="s">
        <v>109</v>
      </c>
      <c r="R86" s="176" t="s">
        <v>26</v>
      </c>
      <c r="S86" s="179">
        <v>0</v>
      </c>
      <c r="T86" s="179" t="s">
        <v>29</v>
      </c>
      <c r="U86" s="414" t="s">
        <v>26</v>
      </c>
      <c r="V86" s="231">
        <v>0.03</v>
      </c>
      <c r="W86" s="56" t="s">
        <v>27</v>
      </c>
      <c r="X86" s="56">
        <f>ROUND(M86*P86*S86*V86,-3)</f>
        <v>0</v>
      </c>
      <c r="Y86" s="47" t="s">
        <v>140</v>
      </c>
    </row>
    <row r="87" spans="1:26" ht="21" customHeight="1">
      <c r="A87" s="37"/>
      <c r="B87" s="38"/>
      <c r="C87" s="38"/>
      <c r="D87" s="49"/>
      <c r="E87" s="51"/>
      <c r="F87" s="51"/>
      <c r="G87" s="52"/>
      <c r="H87" s="73"/>
      <c r="I87" s="59"/>
      <c r="J87" s="60"/>
      <c r="K87" s="216"/>
      <c r="L87" s="216"/>
      <c r="M87" s="196"/>
      <c r="N87" s="196"/>
      <c r="O87" s="217"/>
      <c r="P87" s="196"/>
      <c r="Q87" s="114"/>
      <c r="R87" s="218"/>
      <c r="S87" s="70"/>
      <c r="T87" s="167"/>
      <c r="U87" s="167"/>
      <c r="V87" s="219"/>
      <c r="W87" s="197"/>
      <c r="X87" s="60"/>
      <c r="Y87" s="61"/>
    </row>
    <row r="88" spans="1:26" ht="21" customHeight="1" thickBot="1">
      <c r="A88" s="37"/>
      <c r="B88" s="38"/>
      <c r="C88" s="38"/>
      <c r="D88" s="28" t="s">
        <v>203</v>
      </c>
      <c r="E88" s="29">
        <v>37173</v>
      </c>
      <c r="F88" s="211">
        <f>ROUND(X88/1000,0)</f>
        <v>60881</v>
      </c>
      <c r="G88" s="30">
        <f t="shared" ref="G88" si="25">F88-E88</f>
        <v>23708</v>
      </c>
      <c r="H88" s="106">
        <f t="shared" ref="H88" si="26">IF(E88=0,0,G88/E88)</f>
        <v>0.63777472896995135</v>
      </c>
      <c r="I88" s="223" t="s">
        <v>319</v>
      </c>
      <c r="J88" s="222"/>
      <c r="K88" s="230"/>
      <c r="L88" s="230"/>
      <c r="M88" s="77"/>
      <c r="N88" s="77"/>
      <c r="O88" s="212"/>
      <c r="P88" s="77"/>
      <c r="Q88" s="213"/>
      <c r="R88" s="220"/>
      <c r="S88" s="221"/>
      <c r="T88" s="418"/>
      <c r="U88" s="418"/>
      <c r="V88" s="224" t="s">
        <v>193</v>
      </c>
      <c r="W88" s="225"/>
      <c r="X88" s="225">
        <f>SUM(X89,X92,X105,X108,)</f>
        <v>60881000</v>
      </c>
      <c r="Y88" s="258" t="s">
        <v>56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58"/>
      <c r="I89" s="283" t="s">
        <v>269</v>
      </c>
      <c r="J89" s="290"/>
      <c r="K89" s="289"/>
      <c r="L89" s="289"/>
      <c r="M89" s="289"/>
      <c r="N89" s="289"/>
      <c r="O89" s="62"/>
      <c r="P89" s="269"/>
      <c r="Q89" s="289"/>
      <c r="R89" s="289"/>
      <c r="S89" s="289"/>
      <c r="T89" s="289"/>
      <c r="U89" s="289"/>
      <c r="V89" s="345" t="s">
        <v>69</v>
      </c>
      <c r="W89" s="60"/>
      <c r="X89" s="429">
        <f>SUM(X90:X91)</f>
        <v>41862000</v>
      </c>
      <c r="Y89" s="430" t="s">
        <v>314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58"/>
      <c r="I90" s="282" t="s">
        <v>315</v>
      </c>
      <c r="J90" s="290"/>
      <c r="K90" s="289"/>
      <c r="L90" s="289"/>
      <c r="M90" s="289">
        <v>27908000</v>
      </c>
      <c r="N90" s="289" t="s">
        <v>56</v>
      </c>
      <c r="O90" s="62" t="s">
        <v>57</v>
      </c>
      <c r="P90" s="269">
        <v>0.9</v>
      </c>
      <c r="Q90" s="289"/>
      <c r="R90" s="289"/>
      <c r="S90" s="289"/>
      <c r="T90" s="289"/>
      <c r="U90" s="289" t="s">
        <v>317</v>
      </c>
      <c r="V90" s="289"/>
      <c r="W90" s="56"/>
      <c r="X90" s="289">
        <f>ROUND(M90*P90,-3)</f>
        <v>25117000</v>
      </c>
      <c r="Y90" s="47" t="s">
        <v>314</v>
      </c>
    </row>
    <row r="91" spans="1:26" ht="21" customHeight="1">
      <c r="A91" s="37"/>
      <c r="B91" s="38"/>
      <c r="C91" s="38"/>
      <c r="D91" s="38"/>
      <c r="E91" s="40"/>
      <c r="F91" s="40"/>
      <c r="G91" s="41"/>
      <c r="H91" s="58"/>
      <c r="I91" s="282" t="s">
        <v>316</v>
      </c>
      <c r="J91" s="290"/>
      <c r="K91" s="289"/>
      <c r="L91" s="289"/>
      <c r="M91" s="289">
        <v>18606000</v>
      </c>
      <c r="N91" s="289" t="s">
        <v>56</v>
      </c>
      <c r="O91" s="62" t="s">
        <v>57</v>
      </c>
      <c r="P91" s="269">
        <v>0.9</v>
      </c>
      <c r="Q91" s="289"/>
      <c r="R91" s="289"/>
      <c r="S91" s="289"/>
      <c r="T91" s="289"/>
      <c r="U91" s="289" t="s">
        <v>209</v>
      </c>
      <c r="V91" s="289"/>
      <c r="W91" s="56"/>
      <c r="X91" s="289">
        <f>ROUND(M91*P91,-3)</f>
        <v>16745000</v>
      </c>
      <c r="Y91" s="61" t="s">
        <v>25</v>
      </c>
    </row>
    <row r="92" spans="1:26" ht="21" customHeight="1" thickBot="1">
      <c r="A92" s="37"/>
      <c r="B92" s="38"/>
      <c r="C92" s="38"/>
      <c r="D92" s="38"/>
      <c r="E92" s="40"/>
      <c r="F92" s="40"/>
      <c r="G92" s="41"/>
      <c r="H92" s="58"/>
      <c r="I92" s="283" t="s">
        <v>270</v>
      </c>
      <c r="J92" s="290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54"/>
      <c r="W92" s="431"/>
      <c r="X92" s="54">
        <f>SUM(X93,X96,X99,X102)</f>
        <v>9441000</v>
      </c>
      <c r="Y92" s="258" t="s">
        <v>25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58"/>
      <c r="I93" s="282" t="s">
        <v>271</v>
      </c>
      <c r="J93" s="290"/>
      <c r="K93" s="289"/>
      <c r="L93" s="289"/>
      <c r="M93" s="289"/>
      <c r="N93" s="289"/>
      <c r="O93" s="62"/>
      <c r="P93" s="269"/>
      <c r="Q93" s="289"/>
      <c r="R93" s="289"/>
      <c r="S93" s="289"/>
      <c r="T93" s="289"/>
      <c r="U93" s="289"/>
      <c r="V93" s="345" t="s">
        <v>69</v>
      </c>
      <c r="W93" s="60"/>
      <c r="X93" s="345">
        <f>SUM(X94:X95)</f>
        <v>3534000</v>
      </c>
      <c r="Y93" s="61" t="s">
        <v>314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58"/>
      <c r="I94" s="282" t="s">
        <v>315</v>
      </c>
      <c r="J94" s="290"/>
      <c r="K94" s="289"/>
      <c r="L94" s="289"/>
      <c r="M94" s="289">
        <v>2810000</v>
      </c>
      <c r="N94" s="289" t="s">
        <v>56</v>
      </c>
      <c r="O94" s="62" t="s">
        <v>57</v>
      </c>
      <c r="P94" s="269">
        <v>0.9</v>
      </c>
      <c r="Q94" s="289"/>
      <c r="R94" s="289"/>
      <c r="S94" s="289"/>
      <c r="T94" s="289"/>
      <c r="U94" s="289" t="s">
        <v>209</v>
      </c>
      <c r="V94" s="417"/>
      <c r="W94" s="417"/>
      <c r="X94" s="289">
        <f>ROUND(M94*P94,-3)</f>
        <v>2529000</v>
      </c>
      <c r="Y94" s="47" t="s">
        <v>318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58"/>
      <c r="I95" s="282" t="s">
        <v>316</v>
      </c>
      <c r="J95" s="290"/>
      <c r="K95" s="289"/>
      <c r="L95" s="289"/>
      <c r="M95" s="289">
        <v>1117000</v>
      </c>
      <c r="N95" s="289" t="s">
        <v>56</v>
      </c>
      <c r="O95" s="62" t="s">
        <v>57</v>
      </c>
      <c r="P95" s="269">
        <v>0.9</v>
      </c>
      <c r="Q95" s="289"/>
      <c r="R95" s="289"/>
      <c r="S95" s="289"/>
      <c r="T95" s="289"/>
      <c r="U95" s="289" t="s">
        <v>209</v>
      </c>
      <c r="V95" s="417"/>
      <c r="W95" s="417"/>
      <c r="X95" s="289">
        <f>ROUND(M95*P95,-3)</f>
        <v>1005000</v>
      </c>
      <c r="Y95" s="47" t="s">
        <v>318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58"/>
      <c r="I96" s="282" t="s">
        <v>272</v>
      </c>
      <c r="J96" s="290"/>
      <c r="K96" s="289"/>
      <c r="L96" s="289"/>
      <c r="M96" s="289"/>
      <c r="N96" s="289"/>
      <c r="O96" s="62"/>
      <c r="P96" s="269"/>
      <c r="Q96" s="289"/>
      <c r="R96" s="289"/>
      <c r="S96" s="289"/>
      <c r="T96" s="289"/>
      <c r="U96" s="289"/>
      <c r="V96" s="345" t="s">
        <v>69</v>
      </c>
      <c r="W96" s="60"/>
      <c r="X96" s="345">
        <f>SUM(X97:X98)</f>
        <v>432000</v>
      </c>
      <c r="Y96" s="61" t="s">
        <v>314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58"/>
      <c r="I97" s="282" t="s">
        <v>315</v>
      </c>
      <c r="J97" s="290"/>
      <c r="K97" s="289"/>
      <c r="L97" s="289"/>
      <c r="M97" s="289">
        <v>480000</v>
      </c>
      <c r="N97" s="289" t="s">
        <v>56</v>
      </c>
      <c r="O97" s="62" t="s">
        <v>57</v>
      </c>
      <c r="P97" s="269">
        <v>0.9</v>
      </c>
      <c r="Q97" s="289"/>
      <c r="R97" s="289"/>
      <c r="S97" s="289"/>
      <c r="T97" s="289"/>
      <c r="U97" s="289" t="s">
        <v>209</v>
      </c>
      <c r="V97" s="417"/>
      <c r="W97" s="417"/>
      <c r="X97" s="289">
        <f t="shared" ref="X97:X98" si="27">ROUND(M97*P97,-3)</f>
        <v>432000</v>
      </c>
      <c r="Y97" s="47" t="s">
        <v>318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58"/>
      <c r="I98" s="282" t="s">
        <v>316</v>
      </c>
      <c r="J98" s="290"/>
      <c r="K98" s="289"/>
      <c r="L98" s="289"/>
      <c r="M98" s="289">
        <v>0</v>
      </c>
      <c r="N98" s="289" t="s">
        <v>56</v>
      </c>
      <c r="O98" s="62" t="s">
        <v>57</v>
      </c>
      <c r="P98" s="269">
        <v>0.9</v>
      </c>
      <c r="Q98" s="289"/>
      <c r="R98" s="289"/>
      <c r="S98" s="289"/>
      <c r="T98" s="289"/>
      <c r="U98" s="289" t="s">
        <v>209</v>
      </c>
      <c r="V98" s="417"/>
      <c r="W98" s="417"/>
      <c r="X98" s="289">
        <f t="shared" si="27"/>
        <v>0</v>
      </c>
      <c r="Y98" s="47" t="s">
        <v>318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58"/>
      <c r="I99" s="282" t="s">
        <v>273</v>
      </c>
      <c r="J99" s="290"/>
      <c r="K99" s="289"/>
      <c r="L99" s="289"/>
      <c r="M99" s="289"/>
      <c r="N99" s="289"/>
      <c r="O99" s="62"/>
      <c r="P99" s="269"/>
      <c r="Q99" s="289"/>
      <c r="R99" s="289"/>
      <c r="S99" s="289"/>
      <c r="T99" s="289"/>
      <c r="U99" s="289"/>
      <c r="V99" s="345" t="s">
        <v>69</v>
      </c>
      <c r="W99" s="60"/>
      <c r="X99" s="345">
        <f>SUM(X100:X101)</f>
        <v>3471000</v>
      </c>
      <c r="Y99" s="61" t="s">
        <v>314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58"/>
      <c r="I100" s="282" t="s">
        <v>315</v>
      </c>
      <c r="J100" s="290"/>
      <c r="K100" s="289"/>
      <c r="L100" s="289"/>
      <c r="M100" s="289">
        <v>3805000</v>
      </c>
      <c r="N100" s="289" t="s">
        <v>56</v>
      </c>
      <c r="O100" s="62" t="s">
        <v>57</v>
      </c>
      <c r="P100" s="269">
        <v>0.9</v>
      </c>
      <c r="Q100" s="289"/>
      <c r="R100" s="289"/>
      <c r="S100" s="289"/>
      <c r="T100" s="289"/>
      <c r="U100" s="289" t="s">
        <v>209</v>
      </c>
      <c r="V100" s="417"/>
      <c r="W100" s="417"/>
      <c r="X100" s="424">
        <f t="shared" ref="X100:X101" si="28">ROUND(M100*P100,-3)</f>
        <v>3425000</v>
      </c>
      <c r="Y100" s="47" t="s">
        <v>318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58"/>
      <c r="I101" s="282" t="s">
        <v>316</v>
      </c>
      <c r="J101" s="290"/>
      <c r="K101" s="289"/>
      <c r="L101" s="289"/>
      <c r="M101" s="289">
        <v>51000</v>
      </c>
      <c r="N101" s="289" t="s">
        <v>56</v>
      </c>
      <c r="O101" s="62" t="s">
        <v>57</v>
      </c>
      <c r="P101" s="269">
        <v>0.9</v>
      </c>
      <c r="Q101" s="289"/>
      <c r="R101" s="289"/>
      <c r="S101" s="289"/>
      <c r="T101" s="289"/>
      <c r="U101" s="289" t="s">
        <v>209</v>
      </c>
      <c r="V101" s="417"/>
      <c r="W101" s="417"/>
      <c r="X101" s="289">
        <f t="shared" si="28"/>
        <v>46000</v>
      </c>
      <c r="Y101" s="47" t="s">
        <v>318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58"/>
      <c r="I102" s="282" t="s">
        <v>531</v>
      </c>
      <c r="J102" s="290"/>
      <c r="K102" s="289"/>
      <c r="L102" s="289"/>
      <c r="M102" s="289"/>
      <c r="N102" s="289"/>
      <c r="O102" s="62"/>
      <c r="P102" s="269"/>
      <c r="Q102" s="289"/>
      <c r="R102" s="289"/>
      <c r="S102" s="289"/>
      <c r="T102" s="289"/>
      <c r="U102" s="289"/>
      <c r="V102" s="345" t="s">
        <v>69</v>
      </c>
      <c r="W102" s="60"/>
      <c r="X102" s="345">
        <f>SUM(X103:X104)</f>
        <v>2004000</v>
      </c>
      <c r="Y102" s="61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58"/>
      <c r="I103" s="282" t="s">
        <v>315</v>
      </c>
      <c r="J103" s="290"/>
      <c r="K103" s="289"/>
      <c r="L103" s="289"/>
      <c r="M103" s="289">
        <v>1336000</v>
      </c>
      <c r="N103" s="289" t="s">
        <v>56</v>
      </c>
      <c r="O103" s="62" t="s">
        <v>57</v>
      </c>
      <c r="P103" s="269">
        <v>0.9</v>
      </c>
      <c r="Q103" s="289"/>
      <c r="R103" s="289"/>
      <c r="S103" s="289"/>
      <c r="T103" s="289"/>
      <c r="U103" s="289" t="s">
        <v>53</v>
      </c>
      <c r="V103" s="529"/>
      <c r="W103" s="529"/>
      <c r="X103" s="463">
        <f t="shared" ref="X103:X104" si="29">ROUND(M103*P103,-3)</f>
        <v>1202000</v>
      </c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58"/>
      <c r="I104" s="282" t="s">
        <v>316</v>
      </c>
      <c r="J104" s="290"/>
      <c r="K104" s="289"/>
      <c r="L104" s="289"/>
      <c r="M104" s="289">
        <v>891000</v>
      </c>
      <c r="N104" s="289" t="s">
        <v>56</v>
      </c>
      <c r="O104" s="62" t="s">
        <v>57</v>
      </c>
      <c r="P104" s="269">
        <v>0.9</v>
      </c>
      <c r="Q104" s="289"/>
      <c r="R104" s="289"/>
      <c r="S104" s="289"/>
      <c r="T104" s="289"/>
      <c r="U104" s="289" t="s">
        <v>53</v>
      </c>
      <c r="V104" s="529"/>
      <c r="W104" s="529"/>
      <c r="X104" s="289">
        <f t="shared" si="29"/>
        <v>802000</v>
      </c>
      <c r="Y104" s="47" t="s">
        <v>56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58"/>
      <c r="I105" s="283" t="s">
        <v>274</v>
      </c>
      <c r="J105" s="290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345" t="s">
        <v>69</v>
      </c>
      <c r="W105" s="60"/>
      <c r="X105" s="345">
        <f>SUM(X106:X107)</f>
        <v>4275000</v>
      </c>
      <c r="Y105" s="61" t="s">
        <v>25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58"/>
      <c r="I106" s="282" t="s">
        <v>315</v>
      </c>
      <c r="J106" s="290"/>
      <c r="K106" s="289"/>
      <c r="L106" s="289"/>
      <c r="M106" s="289">
        <f>SUM(M90,M94,M97,M100,M103)</f>
        <v>36339000</v>
      </c>
      <c r="N106" s="44" t="s">
        <v>56</v>
      </c>
      <c r="O106" s="417" t="s">
        <v>205</v>
      </c>
      <c r="P106" s="64">
        <v>12</v>
      </c>
      <c r="Q106" s="175" t="s">
        <v>206</v>
      </c>
      <c r="R106" s="62" t="s">
        <v>57</v>
      </c>
      <c r="S106" s="269">
        <v>0.9</v>
      </c>
      <c r="T106" s="289"/>
      <c r="U106" s="289" t="s">
        <v>207</v>
      </c>
      <c r="V106" s="77"/>
      <c r="W106" s="77"/>
      <c r="X106" s="222">
        <f>ROUND(M106/P106*S106,-3)</f>
        <v>2725000</v>
      </c>
      <c r="Y106" s="259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58"/>
      <c r="I107" s="282" t="s">
        <v>316</v>
      </c>
      <c r="J107" s="290"/>
      <c r="K107" s="289"/>
      <c r="L107" s="289"/>
      <c r="M107" s="289">
        <f>SUM(M91,M95,M98,M101,M104)</f>
        <v>20665000</v>
      </c>
      <c r="N107" s="44" t="s">
        <v>56</v>
      </c>
      <c r="O107" s="417" t="s">
        <v>205</v>
      </c>
      <c r="P107" s="64">
        <v>12</v>
      </c>
      <c r="Q107" s="175" t="s">
        <v>206</v>
      </c>
      <c r="R107" s="62" t="s">
        <v>57</v>
      </c>
      <c r="S107" s="269">
        <v>0.9</v>
      </c>
      <c r="T107" s="289"/>
      <c r="U107" s="289" t="s">
        <v>207</v>
      </c>
      <c r="V107" s="289"/>
      <c r="W107" s="289"/>
      <c r="X107" s="56">
        <f>ROUNDUP(M107/P107*S107,-3)</f>
        <v>1550000</v>
      </c>
      <c r="Y107" s="259" t="s">
        <v>56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58"/>
      <c r="I108" s="283" t="s">
        <v>275</v>
      </c>
      <c r="J108" s="290"/>
      <c r="K108" s="289"/>
      <c r="L108" s="289"/>
      <c r="M108" s="289"/>
      <c r="N108" s="44"/>
      <c r="O108" s="289"/>
      <c r="P108" s="289"/>
      <c r="Q108" s="289"/>
      <c r="R108" s="289"/>
      <c r="S108" s="289"/>
      <c r="T108" s="289"/>
      <c r="U108" s="289"/>
      <c r="V108" s="345" t="s">
        <v>69</v>
      </c>
      <c r="W108" s="60"/>
      <c r="X108" s="345">
        <f>SUM(X109,X112,X115,X118,X121)</f>
        <v>5303000</v>
      </c>
      <c r="Y108" s="61" t="s">
        <v>25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58"/>
      <c r="I109" s="282" t="s">
        <v>276</v>
      </c>
      <c r="J109" s="290"/>
      <c r="K109" s="289"/>
      <c r="L109" s="289"/>
      <c r="M109" s="289"/>
      <c r="N109" s="44"/>
      <c r="O109" s="62"/>
      <c r="P109" s="228"/>
      <c r="Q109" s="417"/>
      <c r="R109" s="62"/>
      <c r="S109" s="269"/>
      <c r="T109" s="63"/>
      <c r="U109" s="417"/>
      <c r="V109" s="125"/>
      <c r="W109" s="126"/>
      <c r="X109" s="126">
        <f>SUM(X110:X111)</f>
        <v>2309000</v>
      </c>
      <c r="Y109" s="127" t="s">
        <v>56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58"/>
      <c r="I110" s="282" t="s">
        <v>315</v>
      </c>
      <c r="J110" s="290"/>
      <c r="K110" s="289"/>
      <c r="L110" s="289"/>
      <c r="M110" s="289">
        <f>M106</f>
        <v>36339000</v>
      </c>
      <c r="N110" s="44" t="s">
        <v>56</v>
      </c>
      <c r="O110" s="62" t="s">
        <v>57</v>
      </c>
      <c r="P110" s="228">
        <v>0.09</v>
      </c>
      <c r="Q110" s="417">
        <v>2</v>
      </c>
      <c r="R110" s="62" t="s">
        <v>57</v>
      </c>
      <c r="S110" s="269">
        <v>0.9</v>
      </c>
      <c r="T110" s="63"/>
      <c r="U110" s="417" t="s">
        <v>207</v>
      </c>
      <c r="V110" s="289"/>
      <c r="W110" s="56"/>
      <c r="X110" s="56">
        <f>ROUNDUP(M110*P110/Q110*S110,-3)</f>
        <v>1472000</v>
      </c>
      <c r="Y110" s="47" t="s">
        <v>318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58"/>
      <c r="I111" s="282" t="s">
        <v>316</v>
      </c>
      <c r="J111" s="290"/>
      <c r="K111" s="289"/>
      <c r="L111" s="289"/>
      <c r="M111" s="289">
        <f>M107</f>
        <v>20665000</v>
      </c>
      <c r="N111" s="44" t="s">
        <v>56</v>
      </c>
      <c r="O111" s="62" t="s">
        <v>57</v>
      </c>
      <c r="P111" s="228">
        <v>0.09</v>
      </c>
      <c r="Q111" s="417">
        <v>2</v>
      </c>
      <c r="R111" s="62" t="s">
        <v>57</v>
      </c>
      <c r="S111" s="269">
        <v>0.9</v>
      </c>
      <c r="T111" s="63"/>
      <c r="U111" s="417" t="s">
        <v>207</v>
      </c>
      <c r="V111" s="289"/>
      <c r="W111" s="56"/>
      <c r="X111" s="118">
        <f>ROUND(M111*P111/Q111*S111,-3)</f>
        <v>837000</v>
      </c>
      <c r="Y111" s="47" t="s">
        <v>318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58"/>
      <c r="I112" s="282" t="s">
        <v>277</v>
      </c>
      <c r="J112" s="290"/>
      <c r="K112" s="289"/>
      <c r="L112" s="289"/>
      <c r="M112" s="289"/>
      <c r="N112" s="44"/>
      <c r="O112" s="62"/>
      <c r="P112" s="229"/>
      <c r="Q112" s="417"/>
      <c r="R112" s="62"/>
      <c r="S112" s="269"/>
      <c r="T112" s="63"/>
      <c r="U112" s="417"/>
      <c r="V112" s="345"/>
      <c r="W112" s="60"/>
      <c r="X112" s="60">
        <f>SUM(X113:X114)</f>
        <v>1794000</v>
      </c>
      <c r="Y112" s="61" t="s">
        <v>56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58"/>
      <c r="I113" s="282" t="s">
        <v>315</v>
      </c>
      <c r="J113" s="290"/>
      <c r="K113" s="289"/>
      <c r="L113" s="289"/>
      <c r="M113" s="289">
        <f>M106</f>
        <v>36339000</v>
      </c>
      <c r="N113" s="44" t="s">
        <v>56</v>
      </c>
      <c r="O113" s="62" t="s">
        <v>57</v>
      </c>
      <c r="P113" s="229">
        <v>6.9900000000000004E-2</v>
      </c>
      <c r="Q113" s="417">
        <v>2</v>
      </c>
      <c r="R113" s="62" t="s">
        <v>57</v>
      </c>
      <c r="S113" s="269">
        <v>0.9</v>
      </c>
      <c r="T113" s="63"/>
      <c r="U113" s="417"/>
      <c r="V113" s="289"/>
      <c r="W113" s="56"/>
      <c r="X113" s="118">
        <f>ROUNDUP(M113*P113/Q113*S113,-3)</f>
        <v>1144000</v>
      </c>
      <c r="Y113" s="47" t="s">
        <v>318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58"/>
      <c r="I114" s="282" t="s">
        <v>316</v>
      </c>
      <c r="J114" s="290"/>
      <c r="K114" s="289"/>
      <c r="L114" s="289"/>
      <c r="M114" s="289">
        <f>M107</f>
        <v>20665000</v>
      </c>
      <c r="N114" s="44" t="s">
        <v>56</v>
      </c>
      <c r="O114" s="62" t="s">
        <v>57</v>
      </c>
      <c r="P114" s="229">
        <v>6.9900000000000004E-2</v>
      </c>
      <c r="Q114" s="417">
        <v>2</v>
      </c>
      <c r="R114" s="62" t="s">
        <v>57</v>
      </c>
      <c r="S114" s="269">
        <v>0.9</v>
      </c>
      <c r="T114" s="63"/>
      <c r="U114" s="417"/>
      <c r="V114" s="289"/>
      <c r="W114" s="56"/>
      <c r="X114" s="118">
        <f>ROUND(M114*P114/Q114*S114,-3)</f>
        <v>650000</v>
      </c>
      <c r="Y114" s="47" t="s">
        <v>318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58"/>
      <c r="I115" s="282" t="s">
        <v>278</v>
      </c>
      <c r="J115" s="290"/>
      <c r="K115" s="289"/>
      <c r="L115" s="289"/>
      <c r="M115" s="289"/>
      <c r="N115" s="44"/>
      <c r="O115" s="62"/>
      <c r="P115" s="66"/>
      <c r="Q115" s="67"/>
      <c r="R115" s="62"/>
      <c r="S115" s="65"/>
      <c r="T115" s="68"/>
      <c r="U115" s="417"/>
      <c r="V115" s="345"/>
      <c r="W115" s="60"/>
      <c r="X115" s="60">
        <f>SUM(X116:X117)</f>
        <v>220000</v>
      </c>
      <c r="Y115" s="61" t="s">
        <v>56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58"/>
      <c r="I116" s="282" t="s">
        <v>315</v>
      </c>
      <c r="J116" s="290"/>
      <c r="K116" s="289"/>
      <c r="L116" s="289"/>
      <c r="M116" s="289">
        <f t="shared" ref="M116:M117" si="30">X113</f>
        <v>1144000</v>
      </c>
      <c r="N116" s="44" t="s">
        <v>56</v>
      </c>
      <c r="O116" s="62" t="s">
        <v>57</v>
      </c>
      <c r="P116" s="66">
        <v>0.1227</v>
      </c>
      <c r="Q116" s="67"/>
      <c r="R116" s="62"/>
      <c r="S116" s="65"/>
      <c r="T116" s="68"/>
      <c r="U116" s="417"/>
      <c r="V116" s="289"/>
      <c r="W116" s="56"/>
      <c r="X116" s="56">
        <f>ROUND(M116*P116,-3)</f>
        <v>140000</v>
      </c>
      <c r="Y116" s="47" t="s">
        <v>318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58"/>
      <c r="I117" s="282" t="s">
        <v>316</v>
      </c>
      <c r="J117" s="290"/>
      <c r="K117" s="289"/>
      <c r="L117" s="289"/>
      <c r="M117" s="289">
        <f t="shared" si="30"/>
        <v>650000</v>
      </c>
      <c r="N117" s="44" t="s">
        <v>56</v>
      </c>
      <c r="O117" s="62" t="s">
        <v>57</v>
      </c>
      <c r="P117" s="66">
        <v>0.1227</v>
      </c>
      <c r="Q117" s="67"/>
      <c r="R117" s="62"/>
      <c r="S117" s="65"/>
      <c r="T117" s="68"/>
      <c r="U117" s="417"/>
      <c r="V117" s="289"/>
      <c r="W117" s="56"/>
      <c r="X117" s="56">
        <f>ROUNDUP(M117*P117,-3)</f>
        <v>80000</v>
      </c>
      <c r="Y117" s="47" t="s">
        <v>318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58"/>
      <c r="I118" s="282" t="s">
        <v>279</v>
      </c>
      <c r="J118" s="290"/>
      <c r="K118" s="289"/>
      <c r="L118" s="289"/>
      <c r="M118" s="289"/>
      <c r="N118" s="44"/>
      <c r="O118" s="62"/>
      <c r="P118" s="66"/>
      <c r="Q118" s="62"/>
      <c r="R118" s="62"/>
      <c r="S118" s="269"/>
      <c r="T118" s="63"/>
      <c r="U118" s="417"/>
      <c r="V118" s="345"/>
      <c r="W118" s="60"/>
      <c r="X118" s="60">
        <f>SUM(X119:X120)</f>
        <v>590000</v>
      </c>
      <c r="Y118" s="61" t="s">
        <v>56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58"/>
      <c r="I119" s="282" t="s">
        <v>315</v>
      </c>
      <c r="J119" s="290"/>
      <c r="K119" s="289"/>
      <c r="L119" s="289"/>
      <c r="M119" s="289">
        <f>M106</f>
        <v>36339000</v>
      </c>
      <c r="N119" s="44" t="s">
        <v>56</v>
      </c>
      <c r="O119" s="62" t="s">
        <v>57</v>
      </c>
      <c r="P119" s="66">
        <v>1.15E-2</v>
      </c>
      <c r="Q119" s="62"/>
      <c r="R119" s="62" t="s">
        <v>57</v>
      </c>
      <c r="S119" s="269">
        <v>0.9</v>
      </c>
      <c r="T119" s="63"/>
      <c r="U119" s="417" t="s">
        <v>207</v>
      </c>
      <c r="V119" s="289"/>
      <c r="W119" s="56"/>
      <c r="X119" s="56">
        <f>ROUND(M119*P119*S119,-3)</f>
        <v>376000</v>
      </c>
      <c r="Y119" s="47" t="s">
        <v>318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58"/>
      <c r="I120" s="282" t="s">
        <v>316</v>
      </c>
      <c r="J120" s="290"/>
      <c r="K120" s="289"/>
      <c r="L120" s="289"/>
      <c r="M120" s="289">
        <f>M107</f>
        <v>20665000</v>
      </c>
      <c r="N120" s="44" t="s">
        <v>56</v>
      </c>
      <c r="O120" s="62" t="s">
        <v>57</v>
      </c>
      <c r="P120" s="66">
        <v>1.15E-2</v>
      </c>
      <c r="Q120" s="62"/>
      <c r="R120" s="62" t="s">
        <v>57</v>
      </c>
      <c r="S120" s="269">
        <v>0.9</v>
      </c>
      <c r="T120" s="63"/>
      <c r="U120" s="417" t="s">
        <v>207</v>
      </c>
      <c r="V120" s="289"/>
      <c r="W120" s="56"/>
      <c r="X120" s="56">
        <f>ROUNDUP(M120*P120*S120,-3)</f>
        <v>214000</v>
      </c>
      <c r="Y120" s="47" t="s">
        <v>318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58"/>
      <c r="I121" s="282" t="s">
        <v>280</v>
      </c>
      <c r="J121" s="290"/>
      <c r="K121" s="289"/>
      <c r="L121" s="289"/>
      <c r="M121" s="289"/>
      <c r="N121" s="44"/>
      <c r="O121" s="62"/>
      <c r="P121" s="265"/>
      <c r="Q121" s="62"/>
      <c r="R121" s="62"/>
      <c r="S121" s="269"/>
      <c r="T121" s="63"/>
      <c r="U121" s="417"/>
      <c r="V121" s="345"/>
      <c r="W121" s="60"/>
      <c r="X121" s="60">
        <f>SUM(X122:X123)</f>
        <v>390000</v>
      </c>
      <c r="Y121" s="61" t="s">
        <v>56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58"/>
      <c r="I122" s="282" t="s">
        <v>315</v>
      </c>
      <c r="J122" s="290"/>
      <c r="K122" s="289"/>
      <c r="L122" s="289"/>
      <c r="M122" s="289">
        <f>M106</f>
        <v>36339000</v>
      </c>
      <c r="N122" s="44" t="s">
        <v>56</v>
      </c>
      <c r="O122" s="62" t="s">
        <v>57</v>
      </c>
      <c r="P122" s="265">
        <v>7.6E-3</v>
      </c>
      <c r="Q122" s="62"/>
      <c r="R122" s="62" t="s">
        <v>57</v>
      </c>
      <c r="S122" s="269">
        <v>0.9</v>
      </c>
      <c r="T122" s="63"/>
      <c r="U122" s="417" t="s">
        <v>207</v>
      </c>
      <c r="V122" s="289"/>
      <c r="W122" s="56"/>
      <c r="X122" s="56">
        <f>ROUND(M122*P122*S122,-3)</f>
        <v>249000</v>
      </c>
      <c r="Y122" s="47" t="s">
        <v>318</v>
      </c>
    </row>
    <row r="123" spans="1:25" ht="21" customHeight="1">
      <c r="A123" s="37"/>
      <c r="B123" s="38"/>
      <c r="C123" s="38"/>
      <c r="D123" s="38"/>
      <c r="E123" s="40"/>
      <c r="F123" s="40"/>
      <c r="G123" s="41"/>
      <c r="H123" s="58"/>
      <c r="I123" s="282" t="s">
        <v>316</v>
      </c>
      <c r="J123" s="290"/>
      <c r="K123" s="289"/>
      <c r="L123" s="289"/>
      <c r="M123" s="289">
        <f>M107</f>
        <v>20665000</v>
      </c>
      <c r="N123" s="44" t="s">
        <v>56</v>
      </c>
      <c r="O123" s="62" t="s">
        <v>57</v>
      </c>
      <c r="P123" s="265">
        <v>7.6E-3</v>
      </c>
      <c r="Q123" s="62"/>
      <c r="R123" s="62" t="s">
        <v>57</v>
      </c>
      <c r="S123" s="269">
        <v>0.9</v>
      </c>
      <c r="T123" s="63"/>
      <c r="U123" s="417" t="s">
        <v>207</v>
      </c>
      <c r="V123" s="289"/>
      <c r="W123" s="56"/>
      <c r="X123" s="118">
        <f>ROUND(M123*P123*S123,-3)</f>
        <v>141000</v>
      </c>
      <c r="Y123" s="47" t="s">
        <v>318</v>
      </c>
    </row>
    <row r="124" spans="1:25" ht="21" customHeight="1">
      <c r="A124" s="37"/>
      <c r="B124" s="38"/>
      <c r="C124" s="38"/>
      <c r="D124" s="49"/>
      <c r="E124" s="51"/>
      <c r="F124" s="51"/>
      <c r="G124" s="52"/>
      <c r="H124" s="73"/>
      <c r="I124" s="59"/>
      <c r="J124" s="60"/>
      <c r="K124" s="216"/>
      <c r="L124" s="216"/>
      <c r="M124" s="196"/>
      <c r="N124" s="196"/>
      <c r="O124" s="217"/>
      <c r="P124" s="196"/>
      <c r="Q124" s="114"/>
      <c r="R124" s="218"/>
      <c r="S124" s="70"/>
      <c r="T124" s="167"/>
      <c r="U124" s="167"/>
      <c r="V124" s="219"/>
      <c r="W124" s="197"/>
      <c r="X124" s="60"/>
      <c r="Y124" s="61"/>
    </row>
    <row r="125" spans="1:25" ht="21" customHeight="1" thickBot="1">
      <c r="A125" s="37"/>
      <c r="B125" s="38"/>
      <c r="C125" s="38"/>
      <c r="D125" s="28" t="s">
        <v>211</v>
      </c>
      <c r="E125" s="29">
        <v>8518</v>
      </c>
      <c r="F125" s="211">
        <f>ROUND(X125/1000,0)</f>
        <v>8730</v>
      </c>
      <c r="G125" s="30">
        <f t="shared" ref="G125" si="31">F125-E125</f>
        <v>212</v>
      </c>
      <c r="H125" s="106">
        <f t="shared" ref="H125" si="32">IF(E125=0,0,G125/E125)</f>
        <v>2.4888471472176567E-2</v>
      </c>
      <c r="I125" s="223" t="s">
        <v>212</v>
      </c>
      <c r="J125" s="222"/>
      <c r="K125" s="230"/>
      <c r="L125" s="230"/>
      <c r="M125" s="77"/>
      <c r="N125" s="77"/>
      <c r="O125" s="212"/>
      <c r="P125" s="77"/>
      <c r="Q125" s="213"/>
      <c r="R125" s="220"/>
      <c r="S125" s="221"/>
      <c r="T125" s="226"/>
      <c r="U125" s="226"/>
      <c r="V125" s="224" t="s">
        <v>193</v>
      </c>
      <c r="W125" s="225"/>
      <c r="X125" s="225">
        <f>SUM(X126:X126)</f>
        <v>8730000</v>
      </c>
      <c r="Y125" s="258" t="s">
        <v>56</v>
      </c>
    </row>
    <row r="126" spans="1:25" ht="21" customHeight="1">
      <c r="A126" s="37"/>
      <c r="B126" s="38"/>
      <c r="C126" s="38"/>
      <c r="D126" s="38"/>
      <c r="E126" s="40"/>
      <c r="F126" s="40"/>
      <c r="G126" s="41"/>
      <c r="H126" s="58"/>
      <c r="I126" s="290" t="s">
        <v>213</v>
      </c>
      <c r="J126" s="56"/>
      <c r="K126" s="178"/>
      <c r="L126" s="178"/>
      <c r="M126" s="268">
        <v>2425000</v>
      </c>
      <c r="N126" s="268" t="s">
        <v>25</v>
      </c>
      <c r="O126" s="360" t="s">
        <v>26</v>
      </c>
      <c r="P126" s="361">
        <v>4</v>
      </c>
      <c r="Q126" s="362" t="s">
        <v>55</v>
      </c>
      <c r="R126" s="323" t="s">
        <v>298</v>
      </c>
      <c r="S126" s="363">
        <v>0.9</v>
      </c>
      <c r="T126" s="326"/>
      <c r="U126" s="324" t="s">
        <v>299</v>
      </c>
      <c r="V126" s="570"/>
      <c r="W126" s="570"/>
      <c r="X126" s="56">
        <f>ROUND(M126*P126*S126,-3)</f>
        <v>8730000</v>
      </c>
      <c r="Y126" s="47" t="s">
        <v>56</v>
      </c>
    </row>
    <row r="127" spans="1:25" ht="21" customHeight="1">
      <c r="A127" s="37"/>
      <c r="B127" s="38"/>
      <c r="C127" s="38"/>
      <c r="D127" s="49"/>
      <c r="E127" s="51"/>
      <c r="F127" s="51"/>
      <c r="G127" s="52"/>
      <c r="H127" s="73"/>
      <c r="I127" s="59"/>
      <c r="J127" s="60"/>
      <c r="K127" s="216"/>
      <c r="L127" s="216"/>
      <c r="M127" s="196"/>
      <c r="N127" s="196"/>
      <c r="O127" s="217"/>
      <c r="P127" s="196"/>
      <c r="Q127" s="114"/>
      <c r="R127" s="218"/>
      <c r="S127" s="70"/>
      <c r="T127" s="167"/>
      <c r="U127" s="167"/>
      <c r="V127" s="219"/>
      <c r="W127" s="197"/>
      <c r="X127" s="60"/>
      <c r="Y127" s="61"/>
    </row>
    <row r="128" spans="1:25" ht="21" customHeight="1" thickBot="1">
      <c r="A128" s="37"/>
      <c r="B128" s="38"/>
      <c r="C128" s="38"/>
      <c r="D128" s="28" t="s">
        <v>214</v>
      </c>
      <c r="E128" s="29">
        <v>0</v>
      </c>
      <c r="F128" s="211">
        <f>ROUND(X128/1000,0)</f>
        <v>1149</v>
      </c>
      <c r="G128" s="30">
        <f t="shared" ref="G128" si="33">F128-E128</f>
        <v>1149</v>
      </c>
      <c r="H128" s="106">
        <f t="shared" ref="H128" si="34">IF(E128=0,0,G128/E128)</f>
        <v>0</v>
      </c>
      <c r="I128" s="223" t="s">
        <v>216</v>
      </c>
      <c r="J128" s="222"/>
      <c r="K128" s="230"/>
      <c r="L128" s="230"/>
      <c r="M128" s="77"/>
      <c r="N128" s="77"/>
      <c r="O128" s="212"/>
      <c r="P128" s="77"/>
      <c r="Q128" s="213"/>
      <c r="R128" s="220"/>
      <c r="S128" s="221"/>
      <c r="T128" s="226"/>
      <c r="U128" s="226"/>
      <c r="V128" s="224" t="s">
        <v>193</v>
      </c>
      <c r="W128" s="225"/>
      <c r="X128" s="225">
        <f>SUM(X129:X134)</f>
        <v>1149000</v>
      </c>
      <c r="Y128" s="258" t="s">
        <v>56</v>
      </c>
    </row>
    <row r="129" spans="1:26" ht="21" customHeight="1">
      <c r="A129" s="37"/>
      <c r="B129" s="38"/>
      <c r="C129" s="38"/>
      <c r="D129" s="38" t="s">
        <v>215</v>
      </c>
      <c r="E129" s="40"/>
      <c r="F129" s="40"/>
      <c r="G129" s="41"/>
      <c r="H129" s="58"/>
      <c r="I129" s="55" t="s">
        <v>217</v>
      </c>
      <c r="J129" s="195"/>
      <c r="K129" s="194"/>
      <c r="L129" s="194"/>
      <c r="M129" s="194">
        <v>500</v>
      </c>
      <c r="N129" s="194" t="s">
        <v>204</v>
      </c>
      <c r="O129" s="195" t="s">
        <v>208</v>
      </c>
      <c r="P129" s="232">
        <v>4</v>
      </c>
      <c r="Q129" s="233">
        <v>365</v>
      </c>
      <c r="R129" s="194" t="s">
        <v>218</v>
      </c>
      <c r="S129" s="270">
        <v>0.7</v>
      </c>
      <c r="T129" s="194"/>
      <c r="U129" s="194" t="s">
        <v>207</v>
      </c>
      <c r="V129" s="194"/>
      <c r="W129" s="56"/>
      <c r="X129" s="56">
        <f>ROUND(M129*P129*Q129*S129,-3)</f>
        <v>511000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58"/>
      <c r="I130" s="55" t="s">
        <v>219</v>
      </c>
      <c r="J130" s="195"/>
      <c r="K130" s="194"/>
      <c r="L130" s="194"/>
      <c r="M130" s="194">
        <v>5000</v>
      </c>
      <c r="N130" s="194" t="s">
        <v>204</v>
      </c>
      <c r="O130" s="195" t="s">
        <v>208</v>
      </c>
      <c r="P130" s="232">
        <v>4</v>
      </c>
      <c r="Q130" s="233">
        <v>12</v>
      </c>
      <c r="R130" s="194" t="s">
        <v>206</v>
      </c>
      <c r="S130" s="270">
        <v>0.7</v>
      </c>
      <c r="T130" s="194"/>
      <c r="U130" s="194" t="s">
        <v>207</v>
      </c>
      <c r="V130" s="194"/>
      <c r="W130" s="56"/>
      <c r="X130" s="56">
        <f>ROUND(M130*P130*Q130*S130,-3)</f>
        <v>168000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58"/>
      <c r="I131" s="55" t="s">
        <v>220</v>
      </c>
      <c r="J131" s="195"/>
      <c r="K131" s="194"/>
      <c r="L131" s="194"/>
      <c r="M131" s="194">
        <v>20000</v>
      </c>
      <c r="N131" s="194" t="s">
        <v>204</v>
      </c>
      <c r="O131" s="195" t="s">
        <v>208</v>
      </c>
      <c r="P131" s="232">
        <v>4</v>
      </c>
      <c r="Q131" s="233">
        <v>4</v>
      </c>
      <c r="R131" s="194" t="s">
        <v>221</v>
      </c>
      <c r="S131" s="270">
        <v>0.7</v>
      </c>
      <c r="T131" s="194"/>
      <c r="U131" s="194" t="s">
        <v>207</v>
      </c>
      <c r="V131" s="194"/>
      <c r="W131" s="56"/>
      <c r="X131" s="56">
        <f>ROUND(M131*P131*Q131*S131,-3)</f>
        <v>224000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58"/>
      <c r="I132" s="55" t="s">
        <v>455</v>
      </c>
      <c r="J132" s="195"/>
      <c r="K132" s="194"/>
      <c r="L132" s="194"/>
      <c r="M132" s="194">
        <v>12000</v>
      </c>
      <c r="N132" s="194" t="s">
        <v>204</v>
      </c>
      <c r="O132" s="195" t="s">
        <v>208</v>
      </c>
      <c r="P132" s="232">
        <v>4</v>
      </c>
      <c r="Q132" s="233">
        <v>4</v>
      </c>
      <c r="R132" s="194" t="s">
        <v>221</v>
      </c>
      <c r="S132" s="270">
        <v>0.7</v>
      </c>
      <c r="T132" s="194"/>
      <c r="U132" s="194" t="s">
        <v>207</v>
      </c>
      <c r="V132" s="194"/>
      <c r="W132" s="56"/>
      <c r="X132" s="56">
        <f>ROUND(M132*P132*Q132*S132,-3)</f>
        <v>134000</v>
      </c>
      <c r="Y132" s="47" t="s">
        <v>25</v>
      </c>
    </row>
    <row r="133" spans="1:26" ht="21" customHeight="1">
      <c r="A133" s="37"/>
      <c r="B133" s="38"/>
      <c r="C133" s="38"/>
      <c r="D133" s="38"/>
      <c r="E133" s="40"/>
      <c r="F133" s="40"/>
      <c r="G133" s="41"/>
      <c r="H133" s="58"/>
      <c r="I133" s="55" t="s">
        <v>222</v>
      </c>
      <c r="J133" s="195"/>
      <c r="K133" s="194"/>
      <c r="L133" s="194"/>
      <c r="M133" s="194"/>
      <c r="N133" s="194"/>
      <c r="O133" s="195"/>
      <c r="P133" s="232"/>
      <c r="Q133" s="233"/>
      <c r="R133" s="194"/>
      <c r="S133" s="194"/>
      <c r="T133" s="194"/>
      <c r="U133" s="194"/>
      <c r="V133" s="194"/>
      <c r="W133" s="56"/>
      <c r="X133" s="56"/>
      <c r="Y133" s="47"/>
    </row>
    <row r="134" spans="1:26" ht="21" customHeight="1">
      <c r="A134" s="37"/>
      <c r="B134" s="38"/>
      <c r="C134" s="38"/>
      <c r="D134" s="38"/>
      <c r="E134" s="40"/>
      <c r="F134" s="40"/>
      <c r="G134" s="41"/>
      <c r="H134" s="58"/>
      <c r="I134" s="55" t="s">
        <v>223</v>
      </c>
      <c r="J134" s="195"/>
      <c r="K134" s="194"/>
      <c r="L134" s="194"/>
      <c r="M134" s="194">
        <v>40000</v>
      </c>
      <c r="N134" s="194" t="s">
        <v>204</v>
      </c>
      <c r="O134" s="195" t="s">
        <v>208</v>
      </c>
      <c r="P134" s="232">
        <v>4</v>
      </c>
      <c r="Q134" s="233">
        <v>1</v>
      </c>
      <c r="R134" s="194" t="s">
        <v>221</v>
      </c>
      <c r="S134" s="270">
        <v>0.7</v>
      </c>
      <c r="T134" s="194"/>
      <c r="U134" s="194" t="s">
        <v>207</v>
      </c>
      <c r="V134" s="194"/>
      <c r="W134" s="56"/>
      <c r="X134" s="56">
        <f>ROUNDUP(M134*P134*Q134*S134,-3)</f>
        <v>112000</v>
      </c>
      <c r="Y134" s="47" t="s">
        <v>25</v>
      </c>
    </row>
    <row r="135" spans="1:26" ht="21" customHeight="1">
      <c r="A135" s="37"/>
      <c r="B135" s="38"/>
      <c r="C135" s="38"/>
      <c r="D135" s="49"/>
      <c r="E135" s="51"/>
      <c r="F135" s="51"/>
      <c r="G135" s="52"/>
      <c r="H135" s="73"/>
      <c r="I135" s="59"/>
      <c r="J135" s="60"/>
      <c r="K135" s="216"/>
      <c r="L135" s="216"/>
      <c r="M135" s="196"/>
      <c r="N135" s="196"/>
      <c r="O135" s="217"/>
      <c r="P135" s="196"/>
      <c r="Q135" s="114"/>
      <c r="R135" s="218"/>
      <c r="S135" s="70"/>
      <c r="T135" s="167"/>
      <c r="U135" s="167"/>
      <c r="V135" s="219"/>
      <c r="W135" s="197"/>
      <c r="X135" s="60"/>
      <c r="Y135" s="61"/>
    </row>
    <row r="136" spans="1:26" ht="21" customHeight="1" thickBot="1">
      <c r="A136" s="37"/>
      <c r="B136" s="38"/>
      <c r="C136" s="38"/>
      <c r="D136" s="28" t="s">
        <v>224</v>
      </c>
      <c r="E136" s="29">
        <v>0</v>
      </c>
      <c r="F136" s="211">
        <f>ROUND(X136/1000,0)</f>
        <v>0</v>
      </c>
      <c r="G136" s="30">
        <f t="shared" ref="G136" si="35">F136-E136</f>
        <v>0</v>
      </c>
      <c r="H136" s="106">
        <f t="shared" ref="H136" si="36">IF(E136=0,0,G136/E136)</f>
        <v>0</v>
      </c>
      <c r="I136" s="223" t="s">
        <v>320</v>
      </c>
      <c r="J136" s="222"/>
      <c r="K136" s="230"/>
      <c r="L136" s="230"/>
      <c r="M136" s="77"/>
      <c r="N136" s="77"/>
      <c r="O136" s="212"/>
      <c r="P136" s="77"/>
      <c r="Q136" s="213"/>
      <c r="R136" s="220"/>
      <c r="S136" s="221"/>
      <c r="T136" s="342"/>
      <c r="U136" s="342"/>
      <c r="V136" s="224" t="s">
        <v>193</v>
      </c>
      <c r="W136" s="225"/>
      <c r="X136" s="225">
        <f>X137</f>
        <v>0</v>
      </c>
      <c r="Y136" s="258" t="s">
        <v>56</v>
      </c>
    </row>
    <row r="137" spans="1:26" ht="21" customHeight="1">
      <c r="A137" s="37"/>
      <c r="B137" s="38"/>
      <c r="C137" s="38"/>
      <c r="D137" s="38" t="s">
        <v>321</v>
      </c>
      <c r="E137" s="40"/>
      <c r="F137" s="40"/>
      <c r="G137" s="41"/>
      <c r="H137" s="58"/>
      <c r="I137" s="282" t="s">
        <v>281</v>
      </c>
      <c r="J137" s="290"/>
      <c r="K137" s="289"/>
      <c r="L137" s="289"/>
      <c r="M137" s="235"/>
      <c r="N137" s="57" t="s">
        <v>56</v>
      </c>
      <c r="O137" s="57" t="s">
        <v>57</v>
      </c>
      <c r="P137" s="65">
        <v>0.9</v>
      </c>
      <c r="Q137" s="233"/>
      <c r="R137" s="57"/>
      <c r="S137" s="234"/>
      <c r="T137" s="57"/>
      <c r="U137" s="57" t="s">
        <v>53</v>
      </c>
      <c r="V137" s="289"/>
      <c r="W137" s="56"/>
      <c r="X137" s="289">
        <f>M137*P137</f>
        <v>0</v>
      </c>
      <c r="Y137" s="47" t="s">
        <v>56</v>
      </c>
    </row>
    <row r="138" spans="1:26" ht="21" customHeight="1">
      <c r="A138" s="37"/>
      <c r="B138" s="38"/>
      <c r="C138" s="38"/>
      <c r="D138" s="49"/>
      <c r="E138" s="51"/>
      <c r="F138" s="51"/>
      <c r="G138" s="52"/>
      <c r="H138" s="73"/>
      <c r="I138" s="346"/>
      <c r="J138" s="60"/>
      <c r="K138" s="216"/>
      <c r="L138" s="216"/>
      <c r="M138" s="345"/>
      <c r="N138" s="345"/>
      <c r="O138" s="217"/>
      <c r="P138" s="345"/>
      <c r="Q138" s="114"/>
      <c r="R138" s="218"/>
      <c r="S138" s="345"/>
      <c r="T138" s="167"/>
      <c r="U138" s="167"/>
      <c r="V138" s="219"/>
      <c r="W138" s="346"/>
      <c r="X138" s="60"/>
      <c r="Y138" s="61"/>
    </row>
    <row r="139" spans="1:26" ht="21" customHeight="1">
      <c r="A139" s="37"/>
      <c r="B139" s="38"/>
      <c r="C139" s="38"/>
      <c r="D139" s="38" t="s">
        <v>325</v>
      </c>
      <c r="E139" s="40">
        <v>300</v>
      </c>
      <c r="F139" s="211">
        <f>ROUND(X139/1000,0)</f>
        <v>300</v>
      </c>
      <c r="G139" s="41">
        <f t="shared" ref="G139" si="37">F139-E139</f>
        <v>0</v>
      </c>
      <c r="H139" s="58">
        <f t="shared" ref="H139" si="38">IF(E139=0,0,G139/E139)</f>
        <v>0</v>
      </c>
      <c r="I139" s="59" t="s">
        <v>324</v>
      </c>
      <c r="J139" s="56"/>
      <c r="K139" s="178"/>
      <c r="L139" s="178"/>
      <c r="M139" s="194"/>
      <c r="N139" s="194"/>
      <c r="O139" s="175"/>
      <c r="P139" s="194"/>
      <c r="Q139" s="44"/>
      <c r="R139" s="177"/>
      <c r="S139" s="46"/>
      <c r="T139" s="227"/>
      <c r="U139" s="227"/>
      <c r="V139" s="196" t="s">
        <v>227</v>
      </c>
      <c r="W139" s="60"/>
      <c r="X139" s="196">
        <f>SUM(X140:X140)</f>
        <v>300000</v>
      </c>
      <c r="Y139" s="61" t="s">
        <v>25</v>
      </c>
    </row>
    <row r="140" spans="1:26" ht="21" customHeight="1">
      <c r="A140" s="37"/>
      <c r="B140" s="38"/>
      <c r="C140" s="38"/>
      <c r="D140" s="38" t="s">
        <v>226</v>
      </c>
      <c r="E140" s="40"/>
      <c r="F140" s="40"/>
      <c r="G140" s="41"/>
      <c r="H140" s="58"/>
      <c r="I140" s="282" t="s">
        <v>282</v>
      </c>
      <c r="J140" s="290"/>
      <c r="K140" s="289"/>
      <c r="L140" s="289"/>
      <c r="M140" s="235">
        <v>300000</v>
      </c>
      <c r="N140" s="57" t="s">
        <v>56</v>
      </c>
      <c r="O140" s="57" t="s">
        <v>57</v>
      </c>
      <c r="P140" s="236">
        <v>1</v>
      </c>
      <c r="Q140" s="233"/>
      <c r="R140" s="57"/>
      <c r="S140" s="234"/>
      <c r="T140" s="57"/>
      <c r="U140" s="57" t="s">
        <v>209</v>
      </c>
      <c r="V140" s="289"/>
      <c r="W140" s="56"/>
      <c r="X140" s="289">
        <f>ROUND(M140*P140,-3)</f>
        <v>300000</v>
      </c>
      <c r="Y140" s="47" t="s">
        <v>56</v>
      </c>
    </row>
    <row r="141" spans="1:26" ht="21" customHeight="1">
      <c r="A141" s="37"/>
      <c r="B141" s="38"/>
      <c r="C141" s="38"/>
      <c r="D141" s="38"/>
      <c r="E141" s="40"/>
      <c r="F141" s="40"/>
      <c r="G141" s="41"/>
      <c r="H141" s="58"/>
      <c r="I141" s="55"/>
      <c r="J141" s="195"/>
      <c r="K141" s="194"/>
      <c r="L141" s="194"/>
      <c r="M141" s="194"/>
      <c r="N141" s="44"/>
      <c r="O141" s="62"/>
      <c r="P141" s="66"/>
      <c r="Q141" s="62"/>
      <c r="R141" s="62"/>
      <c r="S141" s="65"/>
      <c r="T141" s="63"/>
      <c r="U141" s="227"/>
      <c r="V141" s="194"/>
      <c r="W141" s="56"/>
      <c r="X141" s="56"/>
      <c r="Y141" s="47"/>
    </row>
    <row r="142" spans="1:26" ht="21" customHeight="1">
      <c r="A142" s="37"/>
      <c r="B142" s="38"/>
      <c r="C142" s="28" t="s">
        <v>146</v>
      </c>
      <c r="D142" s="254" t="s">
        <v>110</v>
      </c>
      <c r="E142" s="187">
        <f>E143</f>
        <v>0</v>
      </c>
      <c r="F142" s="187">
        <f>F143</f>
        <v>0</v>
      </c>
      <c r="G142" s="188">
        <f t="shared" ref="G142:G143" si="39">F142-E142</f>
        <v>0</v>
      </c>
      <c r="H142" s="189">
        <f t="shared" ref="H142:H143" si="40">IF(E142=0,0,G142/E142)</f>
        <v>0</v>
      </c>
      <c r="I142" s="171" t="s">
        <v>145</v>
      </c>
      <c r="J142" s="172"/>
      <c r="K142" s="173"/>
      <c r="L142" s="173"/>
      <c r="M142" s="173"/>
      <c r="N142" s="173"/>
      <c r="O142" s="173"/>
      <c r="P142" s="174"/>
      <c r="Q142" s="174"/>
      <c r="R142" s="174"/>
      <c r="S142" s="174"/>
      <c r="T142" s="174"/>
      <c r="U142" s="174"/>
      <c r="V142" s="208" t="s">
        <v>69</v>
      </c>
      <c r="W142" s="209"/>
      <c r="X142" s="209">
        <f>SUM(X143:X143)</f>
        <v>0</v>
      </c>
      <c r="Y142" s="257" t="s">
        <v>56</v>
      </c>
    </row>
    <row r="143" spans="1:26" ht="21" customHeight="1">
      <c r="A143" s="37"/>
      <c r="B143" s="38"/>
      <c r="C143" s="38" t="s">
        <v>142</v>
      </c>
      <c r="D143" s="38" t="s">
        <v>147</v>
      </c>
      <c r="E143" s="40">
        <v>0</v>
      </c>
      <c r="F143" s="40">
        <f>ROUND(X143/1000,0)</f>
        <v>0</v>
      </c>
      <c r="G143" s="264">
        <f t="shared" si="39"/>
        <v>0</v>
      </c>
      <c r="H143" s="154">
        <f t="shared" si="40"/>
        <v>0</v>
      </c>
      <c r="I143" s="55"/>
      <c r="J143" s="195"/>
      <c r="K143" s="194"/>
      <c r="L143" s="194"/>
      <c r="M143" s="194"/>
      <c r="N143" s="227"/>
      <c r="O143" s="175"/>
      <c r="P143" s="194"/>
      <c r="Q143" s="44"/>
      <c r="R143" s="176"/>
      <c r="S143" s="179"/>
      <c r="T143" s="179"/>
      <c r="U143" s="227"/>
      <c r="V143" s="107"/>
      <c r="W143" s="56"/>
      <c r="X143" s="56">
        <v>0</v>
      </c>
      <c r="Y143" s="47" t="s">
        <v>143</v>
      </c>
    </row>
    <row r="144" spans="1:26" s="11" customFormat="1" ht="19.5" customHeight="1">
      <c r="A144" s="260"/>
      <c r="B144" s="72"/>
      <c r="C144" s="72"/>
      <c r="D144" s="49"/>
      <c r="E144" s="51"/>
      <c r="F144" s="51"/>
      <c r="G144" s="52"/>
      <c r="H144" s="73"/>
      <c r="I144" s="59"/>
      <c r="J144" s="196"/>
      <c r="K144" s="74"/>
      <c r="L144" s="74"/>
      <c r="M144" s="75"/>
      <c r="N144" s="196"/>
      <c r="O144" s="74"/>
      <c r="P144" s="196"/>
      <c r="Q144" s="196"/>
      <c r="R144" s="196"/>
      <c r="S144" s="196"/>
      <c r="T144" s="196"/>
      <c r="U144" s="196"/>
      <c r="V144" s="196"/>
      <c r="W144" s="196"/>
      <c r="X144" s="196"/>
      <c r="Y144" s="61"/>
      <c r="Z144" s="6"/>
    </row>
    <row r="145" spans="1:25" ht="21" customHeight="1">
      <c r="A145" s="27" t="s">
        <v>71</v>
      </c>
      <c r="B145" s="28" t="s">
        <v>30</v>
      </c>
      <c r="C145" s="562" t="s">
        <v>252</v>
      </c>
      <c r="D145" s="563"/>
      <c r="E145" s="237">
        <f>SUM(E146,E152)</f>
        <v>1200</v>
      </c>
      <c r="F145" s="237">
        <f>SUM(F146,F152)</f>
        <v>500</v>
      </c>
      <c r="G145" s="238">
        <f t="shared" ref="G145" si="41">F145-E145</f>
        <v>-700</v>
      </c>
      <c r="H145" s="239">
        <f t="shared" ref="H145" si="42">IF(E145=0,0,G145/E145)</f>
        <v>-0.58333333333333337</v>
      </c>
      <c r="I145" s="240" t="s">
        <v>253</v>
      </c>
      <c r="J145" s="241"/>
      <c r="K145" s="242"/>
      <c r="L145" s="242"/>
      <c r="M145" s="241"/>
      <c r="N145" s="241"/>
      <c r="O145" s="241"/>
      <c r="P145" s="241"/>
      <c r="Q145" s="241" t="s">
        <v>65</v>
      </c>
      <c r="R145" s="243"/>
      <c r="S145" s="243"/>
      <c r="T145" s="243"/>
      <c r="U145" s="243"/>
      <c r="V145" s="243"/>
      <c r="W145" s="243"/>
      <c r="X145" s="244">
        <f>X146+X152</f>
        <v>500000</v>
      </c>
      <c r="Y145" s="256" t="s">
        <v>25</v>
      </c>
    </row>
    <row r="146" spans="1:25" ht="21" customHeight="1">
      <c r="A146" s="37" t="s">
        <v>131</v>
      </c>
      <c r="B146" s="38" t="s">
        <v>131</v>
      </c>
      <c r="C146" s="28" t="s">
        <v>148</v>
      </c>
      <c r="D146" s="254" t="s">
        <v>258</v>
      </c>
      <c r="E146" s="187">
        <f>E147+E150</f>
        <v>0</v>
      </c>
      <c r="F146" s="187">
        <f>F147+F150</f>
        <v>0</v>
      </c>
      <c r="G146" s="188">
        <f t="shared" ref="G146:G147" si="43">F146-E146</f>
        <v>0</v>
      </c>
      <c r="H146" s="189">
        <f t="shared" ref="H146:H147" si="44">IF(E146=0,0,G146/E146)</f>
        <v>0</v>
      </c>
      <c r="I146" s="171" t="s">
        <v>259</v>
      </c>
      <c r="J146" s="172"/>
      <c r="K146" s="173"/>
      <c r="L146" s="173"/>
      <c r="M146" s="173"/>
      <c r="N146" s="173"/>
      <c r="O146" s="173"/>
      <c r="P146" s="174"/>
      <c r="Q146" s="174"/>
      <c r="R146" s="174"/>
      <c r="S146" s="174"/>
      <c r="T146" s="174"/>
      <c r="U146" s="174"/>
      <c r="V146" s="208" t="s">
        <v>247</v>
      </c>
      <c r="W146" s="209"/>
      <c r="X146" s="210">
        <f>SUM(X147,X150)</f>
        <v>0</v>
      </c>
      <c r="Y146" s="257" t="s">
        <v>246</v>
      </c>
    </row>
    <row r="147" spans="1:25" ht="21.75" customHeight="1">
      <c r="A147" s="37"/>
      <c r="B147" s="38"/>
      <c r="C147" s="38" t="s">
        <v>149</v>
      </c>
      <c r="D147" s="28" t="s">
        <v>150</v>
      </c>
      <c r="E147" s="29">
        <v>0</v>
      </c>
      <c r="F147" s="40">
        <f>ROUND(X147/1000,0)</f>
        <v>0</v>
      </c>
      <c r="G147" s="264">
        <f t="shared" si="43"/>
        <v>0</v>
      </c>
      <c r="H147" s="154">
        <f t="shared" si="44"/>
        <v>0</v>
      </c>
      <c r="I147" s="124" t="s">
        <v>151</v>
      </c>
      <c r="J147" s="13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561" t="s">
        <v>69</v>
      </c>
      <c r="W147" s="561"/>
      <c r="X147" s="126">
        <f>SUM(X148:X148)</f>
        <v>0</v>
      </c>
      <c r="Y147" s="127" t="s">
        <v>63</v>
      </c>
    </row>
    <row r="148" spans="1:25" ht="18" customHeight="1">
      <c r="A148" s="37"/>
      <c r="B148" s="38"/>
      <c r="C148" s="38"/>
      <c r="D148" s="38"/>
      <c r="E148" s="40"/>
      <c r="F148" s="40"/>
      <c r="G148" s="41"/>
      <c r="H148" s="25"/>
      <c r="I148" s="55" t="s">
        <v>100</v>
      </c>
      <c r="J148" s="195"/>
      <c r="K148" s="194"/>
      <c r="L148" s="194"/>
      <c r="M148" s="194">
        <v>0</v>
      </c>
      <c r="N148" s="227" t="s">
        <v>66</v>
      </c>
      <c r="O148" s="62" t="s">
        <v>67</v>
      </c>
      <c r="P148" s="57">
        <v>12</v>
      </c>
      <c r="Q148" s="62" t="s">
        <v>114</v>
      </c>
      <c r="R148" s="69"/>
      <c r="S148" s="63"/>
      <c r="T148" s="63"/>
      <c r="U148" s="227" t="s">
        <v>68</v>
      </c>
      <c r="V148" s="194"/>
      <c r="W148" s="56"/>
      <c r="X148" s="118">
        <f>M148*P148</f>
        <v>0</v>
      </c>
      <c r="Y148" s="47" t="s">
        <v>63</v>
      </c>
    </row>
    <row r="149" spans="1:25" ht="18" customHeight="1">
      <c r="A149" s="37"/>
      <c r="B149" s="38"/>
      <c r="C149" s="38"/>
      <c r="D149" s="49"/>
      <c r="E149" s="51"/>
      <c r="F149" s="51"/>
      <c r="G149" s="52"/>
      <c r="H149" s="170"/>
      <c r="I149" s="59"/>
      <c r="J149" s="197"/>
      <c r="K149" s="196"/>
      <c r="L149" s="196"/>
      <c r="M149" s="196"/>
      <c r="N149" s="167"/>
      <c r="O149" s="180"/>
      <c r="P149" s="181"/>
      <c r="Q149" s="180"/>
      <c r="R149" s="182"/>
      <c r="S149" s="183"/>
      <c r="T149" s="183"/>
      <c r="U149" s="167"/>
      <c r="V149" s="196"/>
      <c r="W149" s="60"/>
      <c r="X149" s="60"/>
      <c r="Y149" s="61"/>
    </row>
    <row r="150" spans="1:25" ht="18" customHeight="1">
      <c r="A150" s="37"/>
      <c r="B150" s="38"/>
      <c r="C150" s="38"/>
      <c r="D150" s="28" t="s">
        <v>248</v>
      </c>
      <c r="E150" s="29">
        <v>0</v>
      </c>
      <c r="F150" s="40">
        <f>ROUND(X150/1000,0)</f>
        <v>0</v>
      </c>
      <c r="G150" s="30">
        <f t="shared" ref="G150" si="45">F150-E150</f>
        <v>0</v>
      </c>
      <c r="H150" s="31">
        <f t="shared" ref="H150" si="46">IF(E150=0,0,G150/E150)</f>
        <v>0</v>
      </c>
      <c r="I150" s="124" t="s">
        <v>151</v>
      </c>
      <c r="J150" s="13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561" t="s">
        <v>69</v>
      </c>
      <c r="W150" s="561"/>
      <c r="X150" s="126">
        <f>X151</f>
        <v>0</v>
      </c>
      <c r="Y150" s="127" t="s">
        <v>56</v>
      </c>
    </row>
    <row r="151" spans="1:25" ht="18" customHeight="1">
      <c r="A151" s="37"/>
      <c r="B151" s="38"/>
      <c r="C151" s="49"/>
      <c r="D151" s="49"/>
      <c r="E151" s="51"/>
      <c r="F151" s="51"/>
      <c r="G151" s="52"/>
      <c r="H151" s="170"/>
      <c r="I151" s="55" t="s">
        <v>249</v>
      </c>
      <c r="J151" s="195"/>
      <c r="K151" s="194"/>
      <c r="L151" s="194"/>
      <c r="M151" s="194">
        <v>0</v>
      </c>
      <c r="N151" s="227" t="s">
        <v>56</v>
      </c>
      <c r="O151" s="62" t="s">
        <v>57</v>
      </c>
      <c r="P151" s="57">
        <v>12</v>
      </c>
      <c r="Q151" s="62" t="s">
        <v>0</v>
      </c>
      <c r="R151" s="69"/>
      <c r="S151" s="63"/>
      <c r="T151" s="63"/>
      <c r="U151" s="227" t="s">
        <v>53</v>
      </c>
      <c r="V151" s="194"/>
      <c r="W151" s="56"/>
      <c r="X151" s="56">
        <f>M151*P151</f>
        <v>0</v>
      </c>
      <c r="Y151" s="47" t="s">
        <v>56</v>
      </c>
    </row>
    <row r="152" spans="1:25" ht="25.5" customHeight="1">
      <c r="A152" s="37"/>
      <c r="B152" s="38"/>
      <c r="C152" s="38" t="s">
        <v>152</v>
      </c>
      <c r="D152" s="254" t="s">
        <v>110</v>
      </c>
      <c r="E152" s="187">
        <f>E153</f>
        <v>1200</v>
      </c>
      <c r="F152" s="187">
        <f>F153</f>
        <v>500</v>
      </c>
      <c r="G152" s="188">
        <f t="shared" ref="G152:G153" si="47">F152-E152</f>
        <v>-700</v>
      </c>
      <c r="H152" s="189">
        <f t="shared" ref="H152:H153" si="48">IF(E152=0,0,G152/E152)</f>
        <v>-0.58333333333333337</v>
      </c>
      <c r="I152" s="171" t="s">
        <v>154</v>
      </c>
      <c r="J152" s="172"/>
      <c r="K152" s="173"/>
      <c r="L152" s="173"/>
      <c r="M152" s="173"/>
      <c r="N152" s="173"/>
      <c r="O152" s="173"/>
      <c r="P152" s="174"/>
      <c r="Q152" s="174"/>
      <c r="R152" s="174"/>
      <c r="S152" s="174"/>
      <c r="T152" s="174"/>
      <c r="U152" s="174"/>
      <c r="V152" s="208" t="s">
        <v>69</v>
      </c>
      <c r="W152" s="209"/>
      <c r="X152" s="209">
        <f>X153</f>
        <v>500000</v>
      </c>
      <c r="Y152" s="257" t="s">
        <v>56</v>
      </c>
    </row>
    <row r="153" spans="1:25" ht="21" customHeight="1">
      <c r="A153" s="37"/>
      <c r="B153" s="38"/>
      <c r="C153" s="38" t="s">
        <v>149</v>
      </c>
      <c r="D153" s="38" t="s">
        <v>153</v>
      </c>
      <c r="E153" s="40">
        <v>1200</v>
      </c>
      <c r="F153" s="40">
        <f>ROUND(X153/1000,0)</f>
        <v>500</v>
      </c>
      <c r="G153" s="264">
        <f t="shared" si="47"/>
        <v>-700</v>
      </c>
      <c r="H153" s="154">
        <f t="shared" si="48"/>
        <v>-0.58333333333333337</v>
      </c>
      <c r="I153" s="124" t="s">
        <v>306</v>
      </c>
      <c r="J153" s="13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561" t="s">
        <v>69</v>
      </c>
      <c r="W153" s="561"/>
      <c r="X153" s="126">
        <f>SUM(X154:X154)</f>
        <v>500000</v>
      </c>
      <c r="Y153" s="12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2"/>
      <c r="H154" s="263"/>
      <c r="I154" s="55" t="s">
        <v>72</v>
      </c>
      <c r="J154" s="290"/>
      <c r="K154" s="289"/>
      <c r="L154" s="289"/>
      <c r="M154" s="289"/>
      <c r="N154" s="414"/>
      <c r="O154" s="62"/>
      <c r="P154" s="57"/>
      <c r="Q154" s="62"/>
      <c r="R154" s="69"/>
      <c r="S154" s="63"/>
      <c r="T154" s="63"/>
      <c r="U154" s="414" t="s">
        <v>53</v>
      </c>
      <c r="V154" s="289"/>
      <c r="W154" s="56"/>
      <c r="X154" s="56">
        <v>500000</v>
      </c>
      <c r="Y154" s="47" t="s">
        <v>63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0"/>
      <c r="I155" s="59"/>
      <c r="J155" s="197"/>
      <c r="K155" s="196"/>
      <c r="L155" s="196"/>
      <c r="M155" s="196"/>
      <c r="N155" s="167"/>
      <c r="O155" s="180"/>
      <c r="P155" s="181"/>
      <c r="Q155" s="180"/>
      <c r="R155" s="182"/>
      <c r="S155" s="183"/>
      <c r="T155" s="183"/>
      <c r="U155" s="167"/>
      <c r="V155" s="196"/>
      <c r="W155" s="60"/>
      <c r="X155" s="60"/>
      <c r="Y155" s="61"/>
    </row>
    <row r="156" spans="1:25" ht="21" customHeight="1">
      <c r="A156" s="27" t="s">
        <v>155</v>
      </c>
      <c r="B156" s="28" t="s">
        <v>155</v>
      </c>
      <c r="C156" s="562" t="s">
        <v>252</v>
      </c>
      <c r="D156" s="563"/>
      <c r="E156" s="237">
        <f>E157+E160</f>
        <v>0</v>
      </c>
      <c r="F156" s="237">
        <f>F157+F160</f>
        <v>0</v>
      </c>
      <c r="G156" s="238">
        <f t="shared" ref="G156:G158" si="49">F156-E156</f>
        <v>0</v>
      </c>
      <c r="H156" s="239">
        <f t="shared" ref="H156:H158" si="50">IF(E156=0,0,G156/E156)</f>
        <v>0</v>
      </c>
      <c r="I156" s="240" t="s">
        <v>254</v>
      </c>
      <c r="J156" s="241"/>
      <c r="K156" s="242"/>
      <c r="L156" s="242"/>
      <c r="M156" s="241"/>
      <c r="N156" s="241"/>
      <c r="O156" s="241"/>
      <c r="P156" s="241"/>
      <c r="Q156" s="241" t="s">
        <v>64</v>
      </c>
      <c r="R156" s="243"/>
      <c r="S156" s="243"/>
      <c r="T156" s="243"/>
      <c r="U156" s="243"/>
      <c r="V156" s="243"/>
      <c r="W156" s="243"/>
      <c r="X156" s="244">
        <f>X157+X160</f>
        <v>0</v>
      </c>
      <c r="Y156" s="256" t="s">
        <v>25</v>
      </c>
    </row>
    <row r="157" spans="1:25" ht="21" customHeight="1">
      <c r="A157" s="37"/>
      <c r="B157" s="38"/>
      <c r="C157" s="28" t="s">
        <v>156</v>
      </c>
      <c r="D157" s="254" t="s">
        <v>110</v>
      </c>
      <c r="E157" s="187">
        <f>E158</f>
        <v>0</v>
      </c>
      <c r="F157" s="187">
        <f>F158</f>
        <v>0</v>
      </c>
      <c r="G157" s="188">
        <f t="shared" si="49"/>
        <v>0</v>
      </c>
      <c r="H157" s="189">
        <f t="shared" si="50"/>
        <v>0</v>
      </c>
      <c r="I157" s="171" t="s">
        <v>159</v>
      </c>
      <c r="J157" s="172"/>
      <c r="K157" s="173"/>
      <c r="L157" s="173"/>
      <c r="M157" s="173"/>
      <c r="N157" s="173"/>
      <c r="O157" s="173"/>
      <c r="P157" s="174"/>
      <c r="Q157" s="174"/>
      <c r="R157" s="174"/>
      <c r="S157" s="174"/>
      <c r="T157" s="174"/>
      <c r="U157" s="174"/>
      <c r="V157" s="208" t="s">
        <v>69</v>
      </c>
      <c r="W157" s="209"/>
      <c r="X157" s="210">
        <f>X158</f>
        <v>0</v>
      </c>
      <c r="Y157" s="257" t="s">
        <v>56</v>
      </c>
    </row>
    <row r="158" spans="1:25" ht="21" customHeight="1">
      <c r="A158" s="37"/>
      <c r="B158" s="38"/>
      <c r="C158" s="38" t="s">
        <v>157</v>
      </c>
      <c r="D158" s="28" t="s">
        <v>161</v>
      </c>
      <c r="E158" s="29">
        <v>0</v>
      </c>
      <c r="F158" s="40">
        <f>ROUND(X158/1000,0)</f>
        <v>0</v>
      </c>
      <c r="G158" s="30">
        <f t="shared" si="49"/>
        <v>0</v>
      </c>
      <c r="H158" s="31">
        <f t="shared" si="50"/>
        <v>0</v>
      </c>
      <c r="I158" s="124" t="s">
        <v>159</v>
      </c>
      <c r="J158" s="13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561" t="s">
        <v>69</v>
      </c>
      <c r="W158" s="561"/>
      <c r="X158" s="126">
        <f>X159</f>
        <v>0</v>
      </c>
      <c r="Y158" s="127" t="s">
        <v>56</v>
      </c>
    </row>
    <row r="159" spans="1:25" ht="21" customHeight="1">
      <c r="A159" s="37"/>
      <c r="B159" s="38"/>
      <c r="C159" s="38" t="s">
        <v>155</v>
      </c>
      <c r="D159" s="38" t="s">
        <v>155</v>
      </c>
      <c r="E159" s="40"/>
      <c r="F159" s="40"/>
      <c r="G159" s="41"/>
      <c r="H159" s="25"/>
      <c r="I159" s="55" t="s">
        <v>160</v>
      </c>
      <c r="J159" s="195"/>
      <c r="K159" s="194"/>
      <c r="L159" s="194"/>
      <c r="M159" s="194"/>
      <c r="N159" s="227"/>
      <c r="O159" s="62"/>
      <c r="P159" s="57"/>
      <c r="Q159" s="62"/>
      <c r="R159" s="69"/>
      <c r="S159" s="63"/>
      <c r="T159" s="63"/>
      <c r="U159" s="227"/>
      <c r="V159" s="194"/>
      <c r="W159" s="56"/>
      <c r="X159" s="56">
        <v>0</v>
      </c>
      <c r="Y159" s="47" t="s">
        <v>56</v>
      </c>
    </row>
    <row r="160" spans="1:25" ht="21" customHeight="1">
      <c r="A160" s="37"/>
      <c r="B160" s="38"/>
      <c r="C160" s="28" t="s">
        <v>146</v>
      </c>
      <c r="D160" s="254" t="s">
        <v>110</v>
      </c>
      <c r="E160" s="187">
        <f>E161</f>
        <v>0</v>
      </c>
      <c r="F160" s="187">
        <f>F161</f>
        <v>0</v>
      </c>
      <c r="G160" s="188">
        <f t="shared" ref="G160:G161" si="51">F160-E160</f>
        <v>0</v>
      </c>
      <c r="H160" s="189">
        <f t="shared" ref="H160:H161" si="52">IF(E160=0,0,G160/E160)</f>
        <v>0</v>
      </c>
      <c r="I160" s="171" t="s">
        <v>162</v>
      </c>
      <c r="J160" s="172"/>
      <c r="K160" s="173"/>
      <c r="L160" s="173"/>
      <c r="M160" s="173"/>
      <c r="N160" s="173"/>
      <c r="O160" s="173"/>
      <c r="P160" s="174"/>
      <c r="Q160" s="174"/>
      <c r="R160" s="174"/>
      <c r="S160" s="174"/>
      <c r="T160" s="174"/>
      <c r="U160" s="174"/>
      <c r="V160" s="208" t="s">
        <v>69</v>
      </c>
      <c r="W160" s="209"/>
      <c r="X160" s="209">
        <f>X161</f>
        <v>0</v>
      </c>
      <c r="Y160" s="257" t="s">
        <v>56</v>
      </c>
    </row>
    <row r="161" spans="1:27" ht="21" customHeight="1">
      <c r="A161" s="37"/>
      <c r="B161" s="38"/>
      <c r="C161" s="38" t="s">
        <v>155</v>
      </c>
      <c r="D161" s="38" t="s">
        <v>158</v>
      </c>
      <c r="E161" s="40">
        <v>0</v>
      </c>
      <c r="F161" s="40">
        <f>ROUND(X161/1000,0)</f>
        <v>0</v>
      </c>
      <c r="G161" s="30">
        <f t="shared" si="51"/>
        <v>0</v>
      </c>
      <c r="H161" s="31">
        <f t="shared" si="52"/>
        <v>0</v>
      </c>
      <c r="I161" s="55" t="s">
        <v>163</v>
      </c>
      <c r="J161" s="195"/>
      <c r="K161" s="194"/>
      <c r="L161" s="194"/>
      <c r="M161" s="194"/>
      <c r="N161" s="227"/>
      <c r="O161" s="62"/>
      <c r="P161" s="57"/>
      <c r="Q161" s="62"/>
      <c r="R161" s="69"/>
      <c r="S161" s="63"/>
      <c r="T161" s="63"/>
      <c r="U161" s="227"/>
      <c r="V161" s="194"/>
      <c r="W161" s="56"/>
      <c r="X161" s="56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0"/>
      <c r="I162" s="59"/>
      <c r="J162" s="197"/>
      <c r="K162" s="196"/>
      <c r="L162" s="196"/>
      <c r="M162" s="196"/>
      <c r="N162" s="167"/>
      <c r="O162" s="180"/>
      <c r="P162" s="181"/>
      <c r="Q162" s="180"/>
      <c r="R162" s="182"/>
      <c r="S162" s="183"/>
      <c r="T162" s="183"/>
      <c r="U162" s="167"/>
      <c r="V162" s="196"/>
      <c r="W162" s="60"/>
      <c r="X162" s="60"/>
      <c r="Y162" s="61"/>
    </row>
    <row r="163" spans="1:27" ht="21" customHeight="1">
      <c r="A163" s="27" t="s">
        <v>73</v>
      </c>
      <c r="B163" s="28" t="s">
        <v>13</v>
      </c>
      <c r="C163" s="562" t="s">
        <v>252</v>
      </c>
      <c r="D163" s="563"/>
      <c r="E163" s="237">
        <f>SUM(E164,E168)</f>
        <v>0</v>
      </c>
      <c r="F163" s="237">
        <f>SUM(F164,F168)</f>
        <v>0</v>
      </c>
      <c r="G163" s="238">
        <f t="shared" ref="G163:G165" si="53">F163-E163</f>
        <v>0</v>
      </c>
      <c r="H163" s="239">
        <f t="shared" ref="H163:H165" si="54">IF(E163=0,0,G163/E163)</f>
        <v>0</v>
      </c>
      <c r="I163" s="240" t="s">
        <v>255</v>
      </c>
      <c r="J163" s="241"/>
      <c r="K163" s="242"/>
      <c r="L163" s="242"/>
      <c r="M163" s="241"/>
      <c r="N163" s="241"/>
      <c r="O163" s="241"/>
      <c r="P163" s="241"/>
      <c r="Q163" s="241" t="s">
        <v>64</v>
      </c>
      <c r="R163" s="243"/>
      <c r="S163" s="243"/>
      <c r="T163" s="243"/>
      <c r="U163" s="243"/>
      <c r="V163" s="243"/>
      <c r="W163" s="243"/>
      <c r="X163" s="244">
        <f>X165+X168</f>
        <v>0</v>
      </c>
      <c r="Y163" s="256" t="s">
        <v>25</v>
      </c>
      <c r="Z163" s="17"/>
      <c r="AA163" s="18"/>
    </row>
    <row r="164" spans="1:27" ht="21" customHeight="1">
      <c r="A164" s="37"/>
      <c r="B164" s="38"/>
      <c r="C164" s="28" t="s">
        <v>164</v>
      </c>
      <c r="D164" s="254" t="s">
        <v>258</v>
      </c>
      <c r="E164" s="187">
        <f>E165</f>
        <v>0</v>
      </c>
      <c r="F164" s="187">
        <f>F165</f>
        <v>0</v>
      </c>
      <c r="G164" s="188">
        <f t="shared" si="53"/>
        <v>0</v>
      </c>
      <c r="H164" s="189">
        <f t="shared" si="54"/>
        <v>0</v>
      </c>
      <c r="I164" s="171" t="s">
        <v>260</v>
      </c>
      <c r="J164" s="172"/>
      <c r="K164" s="173"/>
      <c r="L164" s="173"/>
      <c r="M164" s="173"/>
      <c r="N164" s="173"/>
      <c r="O164" s="173"/>
      <c r="P164" s="174"/>
      <c r="Q164" s="174"/>
      <c r="R164" s="174"/>
      <c r="S164" s="174"/>
      <c r="T164" s="174"/>
      <c r="U164" s="174"/>
      <c r="V164" s="208" t="s">
        <v>247</v>
      </c>
      <c r="W164" s="209"/>
      <c r="X164" s="210">
        <f>SUM(X165:X165)</f>
        <v>0</v>
      </c>
      <c r="Y164" s="257" t="s">
        <v>246</v>
      </c>
      <c r="Z164" s="17"/>
      <c r="AA164" s="18"/>
    </row>
    <row r="165" spans="1:27" ht="21" customHeight="1">
      <c r="A165" s="37"/>
      <c r="B165" s="38"/>
      <c r="C165" s="38" t="s">
        <v>165</v>
      </c>
      <c r="D165" s="28" t="s">
        <v>166</v>
      </c>
      <c r="E165" s="29">
        <v>0</v>
      </c>
      <c r="F165" s="40">
        <f>ROUND(X165/1000,0)</f>
        <v>0</v>
      </c>
      <c r="G165" s="30">
        <f t="shared" si="53"/>
        <v>0</v>
      </c>
      <c r="H165" s="31">
        <f t="shared" si="54"/>
        <v>0</v>
      </c>
      <c r="I165" s="124" t="s">
        <v>170</v>
      </c>
      <c r="J165" s="13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561" t="s">
        <v>69</v>
      </c>
      <c r="W165" s="561"/>
      <c r="X165" s="126">
        <f>SUM(X167:X167)</f>
        <v>0</v>
      </c>
      <c r="Y165" s="127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5" t="s">
        <v>231</v>
      </c>
      <c r="J166" s="195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227"/>
      <c r="W166" s="227"/>
      <c r="X166" s="56"/>
      <c r="Y166" s="47" t="s">
        <v>232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5"/>
      <c r="J167" s="195"/>
      <c r="K167" s="194"/>
      <c r="L167" s="194"/>
      <c r="M167" s="194"/>
      <c r="N167" s="227"/>
      <c r="O167" s="62"/>
      <c r="P167" s="57"/>
      <c r="Q167" s="62"/>
      <c r="R167" s="69"/>
      <c r="S167" s="63"/>
      <c r="T167" s="63"/>
      <c r="U167" s="227"/>
      <c r="V167" s="194"/>
      <c r="W167" s="56"/>
      <c r="X167" s="56"/>
      <c r="Y167" s="47"/>
      <c r="Z167" s="17"/>
      <c r="AA167" s="18"/>
    </row>
    <row r="168" spans="1:27" ht="21" customHeight="1">
      <c r="A168" s="37"/>
      <c r="B168" s="38"/>
      <c r="C168" s="28" t="s">
        <v>167</v>
      </c>
      <c r="D168" s="254" t="s">
        <v>258</v>
      </c>
      <c r="E168" s="187">
        <f>E169</f>
        <v>0</v>
      </c>
      <c r="F168" s="187">
        <f>F169</f>
        <v>0</v>
      </c>
      <c r="G168" s="188">
        <f t="shared" ref="G168:G169" si="55">F168-E168</f>
        <v>0</v>
      </c>
      <c r="H168" s="189">
        <f t="shared" ref="H168:H169" si="56">IF(E168=0,0,G168/E168)</f>
        <v>0</v>
      </c>
      <c r="I168" s="171" t="s">
        <v>261</v>
      </c>
      <c r="J168" s="172"/>
      <c r="K168" s="173"/>
      <c r="L168" s="173"/>
      <c r="M168" s="173"/>
      <c r="N168" s="173"/>
      <c r="O168" s="173"/>
      <c r="P168" s="174"/>
      <c r="Q168" s="174"/>
      <c r="R168" s="174"/>
      <c r="S168" s="174"/>
      <c r="T168" s="174"/>
      <c r="U168" s="174"/>
      <c r="V168" s="208" t="s">
        <v>247</v>
      </c>
      <c r="W168" s="209"/>
      <c r="X168" s="209">
        <f>SUM(X169:X169)</f>
        <v>0</v>
      </c>
      <c r="Y168" s="257" t="s">
        <v>246</v>
      </c>
      <c r="Z168" s="17"/>
      <c r="AA168" s="18"/>
    </row>
    <row r="169" spans="1:27" ht="21" customHeight="1">
      <c r="A169" s="37"/>
      <c r="B169" s="38"/>
      <c r="C169" s="38" t="s">
        <v>165</v>
      </c>
      <c r="D169" s="38" t="s">
        <v>166</v>
      </c>
      <c r="E169" s="40">
        <v>0</v>
      </c>
      <c r="F169" s="40">
        <f>ROUND(X169/1000,0)</f>
        <v>0</v>
      </c>
      <c r="G169" s="30">
        <f t="shared" si="55"/>
        <v>0</v>
      </c>
      <c r="H169" s="31">
        <f t="shared" si="56"/>
        <v>0</v>
      </c>
      <c r="I169" s="124" t="s">
        <v>171</v>
      </c>
      <c r="J169" s="128"/>
      <c r="K169" s="194"/>
      <c r="L169" s="194"/>
      <c r="M169" s="194"/>
      <c r="N169" s="227"/>
      <c r="O169" s="62"/>
      <c r="P169" s="57"/>
      <c r="Q169" s="62"/>
      <c r="R169" s="69"/>
      <c r="S169" s="63"/>
      <c r="T169" s="63"/>
      <c r="U169" s="227"/>
      <c r="V169" s="561" t="s">
        <v>69</v>
      </c>
      <c r="W169" s="561"/>
      <c r="X169" s="126">
        <v>0</v>
      </c>
      <c r="Y169" s="127" t="s">
        <v>56</v>
      </c>
    </row>
    <row r="170" spans="1:27" ht="21" customHeight="1">
      <c r="A170" s="37"/>
      <c r="B170" s="38"/>
      <c r="C170" s="38" t="s">
        <v>229</v>
      </c>
      <c r="D170" s="38" t="s">
        <v>230</v>
      </c>
      <c r="E170" s="40"/>
      <c r="F170" s="40"/>
      <c r="G170" s="41"/>
      <c r="H170" s="25"/>
      <c r="I170" s="55"/>
      <c r="J170" s="290"/>
      <c r="K170" s="289"/>
      <c r="L170" s="289"/>
      <c r="M170" s="289"/>
      <c r="N170" s="289"/>
      <c r="O170" s="289"/>
      <c r="P170" s="289"/>
      <c r="Q170" s="44"/>
      <c r="R170" s="44"/>
      <c r="S170" s="44"/>
      <c r="T170" s="289"/>
      <c r="U170" s="289"/>
      <c r="V170" s="289"/>
      <c r="W170" s="56"/>
      <c r="X170" s="56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0"/>
      <c r="I171" s="59"/>
      <c r="J171" s="197"/>
      <c r="K171" s="196"/>
      <c r="L171" s="196"/>
      <c r="M171" s="196"/>
      <c r="N171" s="167"/>
      <c r="O171" s="180"/>
      <c r="P171" s="181"/>
      <c r="Q171" s="180"/>
      <c r="R171" s="182"/>
      <c r="S171" s="183"/>
      <c r="T171" s="183"/>
      <c r="U171" s="167"/>
      <c r="V171" s="196"/>
      <c r="W171" s="60"/>
      <c r="X171" s="60"/>
      <c r="Y171" s="61"/>
    </row>
    <row r="172" spans="1:27" ht="21" customHeight="1">
      <c r="A172" s="27" t="s">
        <v>14</v>
      </c>
      <c r="B172" s="28" t="s">
        <v>14</v>
      </c>
      <c r="C172" s="562" t="s">
        <v>252</v>
      </c>
      <c r="D172" s="563"/>
      <c r="E172" s="237">
        <f>SUM(E173,E189,E194)</f>
        <v>3481</v>
      </c>
      <c r="F172" s="237">
        <f>SUM(F173,F189,F194)</f>
        <v>3554</v>
      </c>
      <c r="G172" s="238">
        <f t="shared" ref="G172:G174" si="57">F172-E172</f>
        <v>73</v>
      </c>
      <c r="H172" s="239">
        <f t="shared" ref="H172:H174" si="58">IF(E172=0,0,G172/E172)</f>
        <v>2.0970985349037633E-2</v>
      </c>
      <c r="I172" s="240" t="s">
        <v>256</v>
      </c>
      <c r="J172" s="241"/>
      <c r="K172" s="242"/>
      <c r="L172" s="242"/>
      <c r="M172" s="241"/>
      <c r="N172" s="241"/>
      <c r="O172" s="241"/>
      <c r="P172" s="241"/>
      <c r="Q172" s="241" t="s">
        <v>64</v>
      </c>
      <c r="R172" s="243"/>
      <c r="S172" s="243"/>
      <c r="T172" s="243"/>
      <c r="U172" s="243"/>
      <c r="V172" s="243"/>
      <c r="W172" s="243"/>
      <c r="X172" s="244">
        <f>SUM(X173,X189,X194)</f>
        <v>3554000</v>
      </c>
      <c r="Y172" s="256" t="s">
        <v>25</v>
      </c>
    </row>
    <row r="173" spans="1:27" ht="21" customHeight="1">
      <c r="A173" s="37"/>
      <c r="B173" s="38"/>
      <c r="C173" s="28" t="s">
        <v>172</v>
      </c>
      <c r="D173" s="254" t="s">
        <v>258</v>
      </c>
      <c r="E173" s="187">
        <f>SUM(E174,E177,E181,E185)</f>
        <v>3051</v>
      </c>
      <c r="F173" s="187">
        <f>SUM(F174,F177,F181,F185)</f>
        <v>3079</v>
      </c>
      <c r="G173" s="188">
        <f t="shared" si="57"/>
        <v>28</v>
      </c>
      <c r="H173" s="189">
        <f t="shared" si="58"/>
        <v>9.1773189118321864E-3</v>
      </c>
      <c r="I173" s="171" t="s">
        <v>262</v>
      </c>
      <c r="J173" s="172"/>
      <c r="K173" s="173"/>
      <c r="L173" s="173"/>
      <c r="M173" s="173"/>
      <c r="N173" s="173"/>
      <c r="O173" s="173"/>
      <c r="P173" s="174"/>
      <c r="Q173" s="174"/>
      <c r="R173" s="174"/>
      <c r="S173" s="174"/>
      <c r="T173" s="174"/>
      <c r="U173" s="174"/>
      <c r="V173" s="208" t="s">
        <v>247</v>
      </c>
      <c r="W173" s="209"/>
      <c r="X173" s="210">
        <f>SUM(X174,X177,X181,X185)</f>
        <v>3079000</v>
      </c>
      <c r="Y173" s="257" t="s">
        <v>246</v>
      </c>
    </row>
    <row r="174" spans="1:27" ht="21" customHeight="1">
      <c r="A174" s="37"/>
      <c r="B174" s="38"/>
      <c r="C174" s="38" t="s">
        <v>173</v>
      </c>
      <c r="D174" s="28" t="s">
        <v>235</v>
      </c>
      <c r="E174" s="29">
        <v>2200</v>
      </c>
      <c r="F174" s="40">
        <f>ROUND(X174/1000,0)</f>
        <v>2205</v>
      </c>
      <c r="G174" s="30">
        <f t="shared" si="57"/>
        <v>5</v>
      </c>
      <c r="H174" s="31">
        <f t="shared" si="58"/>
        <v>2.2727272727272726E-3</v>
      </c>
      <c r="I174" s="124" t="s">
        <v>234</v>
      </c>
      <c r="J174" s="13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561" t="s">
        <v>69</v>
      </c>
      <c r="W174" s="561"/>
      <c r="X174" s="126">
        <f>ROUND(SUM(W175:X176),-3)</f>
        <v>2205000</v>
      </c>
      <c r="Y174" s="127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2" t="s">
        <v>283</v>
      </c>
      <c r="J175" s="195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227"/>
      <c r="W175" s="227"/>
      <c r="X175" s="433">
        <v>2205044</v>
      </c>
      <c r="Y175" s="47" t="s">
        <v>232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0"/>
      <c r="I176" s="283" t="s">
        <v>284</v>
      </c>
      <c r="J176" s="197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67"/>
      <c r="W176" s="167"/>
      <c r="X176" s="60">
        <v>0</v>
      </c>
      <c r="Y176" s="61" t="s">
        <v>232</v>
      </c>
    </row>
    <row r="177" spans="1:25" ht="21" customHeight="1">
      <c r="A177" s="37"/>
      <c r="B177" s="38"/>
      <c r="C177" s="38"/>
      <c r="D177" s="28" t="s">
        <v>174</v>
      </c>
      <c r="E177" s="29">
        <v>0</v>
      </c>
      <c r="F177" s="40">
        <f>ROUND(X177/1000,0)</f>
        <v>0</v>
      </c>
      <c r="G177" s="30">
        <f t="shared" ref="G177" si="59">F177-E177</f>
        <v>0</v>
      </c>
      <c r="H177" s="31">
        <f t="shared" ref="H177" si="60">IF(E177=0,0,G177/E177)</f>
        <v>0</v>
      </c>
      <c r="I177" s="124" t="s">
        <v>236</v>
      </c>
      <c r="J177" s="13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561" t="s">
        <v>69</v>
      </c>
      <c r="W177" s="561"/>
      <c r="X177" s="126">
        <f>ROUNDUP(SUM(W178:X179),-3)</f>
        <v>0</v>
      </c>
      <c r="Y177" s="127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2" t="s">
        <v>285</v>
      </c>
      <c r="J178" s="195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227"/>
      <c r="W178" s="227"/>
      <c r="X178" s="56">
        <v>0</v>
      </c>
      <c r="Y178" s="47" t="s">
        <v>232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2" t="s">
        <v>286</v>
      </c>
      <c r="J179" s="195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227"/>
      <c r="W179" s="227"/>
      <c r="X179" s="56">
        <v>0</v>
      </c>
      <c r="Y179" s="47" t="s">
        <v>232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0"/>
      <c r="I180" s="59"/>
      <c r="J180" s="197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67"/>
      <c r="W180" s="167"/>
      <c r="X180" s="60"/>
      <c r="Y180" s="61"/>
    </row>
    <row r="181" spans="1:25" ht="21" customHeight="1">
      <c r="A181" s="37"/>
      <c r="B181" s="38"/>
      <c r="C181" s="38"/>
      <c r="D181" s="28" t="s">
        <v>238</v>
      </c>
      <c r="E181" s="29">
        <v>1</v>
      </c>
      <c r="F181" s="29">
        <f>ROUND(X181/1000,0)</f>
        <v>1</v>
      </c>
      <c r="G181" s="30">
        <f t="shared" ref="G181" si="61">F181-E181</f>
        <v>0</v>
      </c>
      <c r="H181" s="31">
        <f t="shared" ref="H181" si="62">IF(E181=0,0,G181/E181)</f>
        <v>0</v>
      </c>
      <c r="I181" s="124" t="s">
        <v>239</v>
      </c>
      <c r="J181" s="13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561" t="s">
        <v>69</v>
      </c>
      <c r="W181" s="561"/>
      <c r="X181" s="126">
        <f>ROUND(SUM(W182:X183),-3)</f>
        <v>1000</v>
      </c>
      <c r="Y181" s="127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2" t="s">
        <v>287</v>
      </c>
      <c r="J182" s="195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227"/>
      <c r="W182" s="227"/>
      <c r="X182" s="433">
        <v>1055</v>
      </c>
      <c r="Y182" s="47" t="s">
        <v>232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2" t="s">
        <v>288</v>
      </c>
      <c r="J183" s="195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227"/>
      <c r="W183" s="227"/>
      <c r="X183" s="56">
        <v>0</v>
      </c>
      <c r="Y183" s="47" t="s">
        <v>232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0"/>
      <c r="I184" s="59"/>
      <c r="J184" s="197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67"/>
      <c r="W184" s="167"/>
      <c r="X184" s="60"/>
      <c r="Y184" s="61"/>
    </row>
    <row r="185" spans="1:25" ht="21" customHeight="1">
      <c r="A185" s="37"/>
      <c r="B185" s="38"/>
      <c r="C185" s="38"/>
      <c r="D185" s="38" t="s">
        <v>237</v>
      </c>
      <c r="E185" s="40">
        <v>850</v>
      </c>
      <c r="F185" s="29">
        <f>ROUND(X185/1000,0)</f>
        <v>873</v>
      </c>
      <c r="G185" s="30">
        <f t="shared" ref="G185" si="63">F185-E185</f>
        <v>23</v>
      </c>
      <c r="H185" s="31">
        <f t="shared" ref="H185" si="64">IF(E185=0,0,G185/E185)</f>
        <v>2.7058823529411764E-2</v>
      </c>
      <c r="I185" s="124" t="s">
        <v>241</v>
      </c>
      <c r="J185" s="13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561" t="s">
        <v>69</v>
      </c>
      <c r="W185" s="561"/>
      <c r="X185" s="126">
        <f>ROUNDUP(SUM(W186:X187),-3)</f>
        <v>873000</v>
      </c>
      <c r="Y185" s="127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2" t="s">
        <v>289</v>
      </c>
      <c r="J186" s="195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227"/>
      <c r="W186" s="227"/>
      <c r="X186" s="434">
        <v>872098</v>
      </c>
      <c r="Y186" s="47" t="s">
        <v>232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2" t="s">
        <v>290</v>
      </c>
      <c r="J187" s="195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227"/>
      <c r="W187" s="227"/>
      <c r="X187" s="56">
        <v>0</v>
      </c>
      <c r="Y187" s="47" t="s">
        <v>232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5"/>
      <c r="J188" s="195"/>
      <c r="K188" s="194"/>
      <c r="L188" s="194"/>
      <c r="M188" s="194"/>
      <c r="N188" s="227"/>
      <c r="O188" s="62"/>
      <c r="P188" s="57"/>
      <c r="Q188" s="62"/>
      <c r="R188" s="69"/>
      <c r="S188" s="63"/>
      <c r="T188" s="63"/>
      <c r="U188" s="227"/>
      <c r="V188" s="194"/>
      <c r="W188" s="56"/>
      <c r="X188" s="56"/>
      <c r="Y188" s="47"/>
    </row>
    <row r="189" spans="1:25" ht="21" customHeight="1">
      <c r="A189" s="37"/>
      <c r="B189" s="38"/>
      <c r="C189" s="28" t="s">
        <v>172</v>
      </c>
      <c r="D189" s="254" t="s">
        <v>110</v>
      </c>
      <c r="E189" s="187">
        <f>E190</f>
        <v>430</v>
      </c>
      <c r="F189" s="187">
        <f>F190</f>
        <v>475</v>
      </c>
      <c r="G189" s="188">
        <f t="shared" ref="G189:G190" si="65">F189-E189</f>
        <v>45</v>
      </c>
      <c r="H189" s="189">
        <f t="shared" ref="H189:H190" si="66">IF(E189=0,0,G189/E189)</f>
        <v>0.10465116279069768</v>
      </c>
      <c r="I189" s="171" t="s">
        <v>176</v>
      </c>
      <c r="J189" s="172"/>
      <c r="K189" s="173"/>
      <c r="L189" s="173"/>
      <c r="M189" s="173"/>
      <c r="N189" s="173"/>
      <c r="O189" s="173"/>
      <c r="P189" s="174"/>
      <c r="Q189" s="174"/>
      <c r="R189" s="174"/>
      <c r="S189" s="174"/>
      <c r="T189" s="174"/>
      <c r="U189" s="174"/>
      <c r="V189" s="208" t="s">
        <v>69</v>
      </c>
      <c r="W189" s="209"/>
      <c r="X189" s="209">
        <f>X190</f>
        <v>475000</v>
      </c>
      <c r="Y189" s="257" t="s">
        <v>56</v>
      </c>
    </row>
    <row r="190" spans="1:25" ht="21" customHeight="1">
      <c r="A190" s="37"/>
      <c r="B190" s="38"/>
      <c r="C190" s="38" t="s">
        <v>173</v>
      </c>
      <c r="D190" s="38" t="s">
        <v>175</v>
      </c>
      <c r="E190" s="40">
        <v>430</v>
      </c>
      <c r="F190" s="40">
        <f>ROUND(X190/1000,0)</f>
        <v>475</v>
      </c>
      <c r="G190" s="30">
        <f t="shared" si="65"/>
        <v>45</v>
      </c>
      <c r="H190" s="31">
        <f t="shared" si="66"/>
        <v>0.10465116279069768</v>
      </c>
      <c r="I190" s="284" t="s">
        <v>291</v>
      </c>
      <c r="J190" s="13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561"/>
      <c r="W190" s="561"/>
      <c r="X190" s="126">
        <f>ROUNDUP(SUM(W191:X192),-3)</f>
        <v>475000</v>
      </c>
      <c r="Y190" s="127" t="s">
        <v>56</v>
      </c>
    </row>
    <row r="191" spans="1:25" ht="21" customHeight="1">
      <c r="A191" s="37"/>
      <c r="B191" s="38"/>
      <c r="C191" s="38" t="s">
        <v>168</v>
      </c>
      <c r="D191" s="38" t="s">
        <v>169</v>
      </c>
      <c r="E191" s="40"/>
      <c r="F191" s="40"/>
      <c r="G191" s="41"/>
      <c r="H191" s="58"/>
      <c r="I191" s="282" t="s">
        <v>322</v>
      </c>
      <c r="J191" s="195"/>
      <c r="K191" s="194"/>
      <c r="L191" s="194"/>
      <c r="M191" s="194"/>
      <c r="N191" s="194"/>
      <c r="O191" s="194"/>
      <c r="P191" s="194"/>
      <c r="Q191" s="44"/>
      <c r="R191" s="44"/>
      <c r="S191" s="44"/>
      <c r="T191" s="194"/>
      <c r="U191" s="194"/>
      <c r="V191" s="194"/>
      <c r="W191" s="56"/>
      <c r="X191" s="433">
        <v>474473</v>
      </c>
      <c r="Y191" s="47" t="s">
        <v>105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58"/>
      <c r="I192" s="282" t="s">
        <v>323</v>
      </c>
      <c r="J192" s="290"/>
      <c r="K192" s="289"/>
      <c r="L192" s="289"/>
      <c r="M192" s="289"/>
      <c r="N192" s="289"/>
      <c r="O192" s="289"/>
      <c r="P192" s="289"/>
      <c r="Q192" s="44"/>
      <c r="R192" s="44"/>
      <c r="S192" s="44"/>
      <c r="T192" s="289"/>
      <c r="U192" s="289"/>
      <c r="V192" s="289"/>
      <c r="W192" s="56"/>
      <c r="X192" s="56">
        <v>0</v>
      </c>
      <c r="Y192" s="47" t="s">
        <v>105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58"/>
      <c r="I193" s="55"/>
      <c r="J193" s="195"/>
      <c r="K193" s="194"/>
      <c r="L193" s="194"/>
      <c r="M193" s="194"/>
      <c r="N193" s="194"/>
      <c r="O193" s="194"/>
      <c r="P193" s="194"/>
      <c r="Q193" s="44"/>
      <c r="R193" s="44"/>
      <c r="S193" s="44"/>
      <c r="T193" s="194"/>
      <c r="U193" s="194"/>
      <c r="V193" s="194"/>
      <c r="W193" s="56"/>
      <c r="X193" s="56"/>
      <c r="Y193" s="47"/>
    </row>
    <row r="194" spans="1:47" ht="21" customHeight="1">
      <c r="A194" s="37"/>
      <c r="B194" s="38"/>
      <c r="C194" s="28" t="s">
        <v>177</v>
      </c>
      <c r="D194" s="254" t="s">
        <v>110</v>
      </c>
      <c r="E194" s="187">
        <f>E195</f>
        <v>0</v>
      </c>
      <c r="F194" s="187">
        <f>F195</f>
        <v>0</v>
      </c>
      <c r="G194" s="188">
        <f t="shared" ref="G194:G195" si="67">F194-E194</f>
        <v>0</v>
      </c>
      <c r="H194" s="189">
        <f t="shared" ref="H194:H195" si="68">IF(E194=0,0,G194/E194)</f>
        <v>0</v>
      </c>
      <c r="I194" s="171" t="s">
        <v>180</v>
      </c>
      <c r="J194" s="172"/>
      <c r="K194" s="173"/>
      <c r="L194" s="173"/>
      <c r="M194" s="173"/>
      <c r="N194" s="173"/>
      <c r="O194" s="173"/>
      <c r="P194" s="174"/>
      <c r="Q194" s="174"/>
      <c r="R194" s="174"/>
      <c r="S194" s="174"/>
      <c r="T194" s="174"/>
      <c r="U194" s="174"/>
      <c r="V194" s="208" t="s">
        <v>69</v>
      </c>
      <c r="W194" s="209"/>
      <c r="X194" s="209">
        <f>ROUND(SUM(W195:X196),-3)</f>
        <v>0</v>
      </c>
      <c r="Y194" s="257" t="s">
        <v>56</v>
      </c>
    </row>
    <row r="195" spans="1:47" ht="21" customHeight="1">
      <c r="A195" s="37"/>
      <c r="B195" s="38"/>
      <c r="C195" s="38" t="s">
        <v>178</v>
      </c>
      <c r="D195" s="38" t="s">
        <v>179</v>
      </c>
      <c r="E195" s="40">
        <v>0</v>
      </c>
      <c r="F195" s="40">
        <f>ROUND(X195/1000,0)</f>
        <v>0</v>
      </c>
      <c r="G195" s="30">
        <f t="shared" si="67"/>
        <v>0</v>
      </c>
      <c r="H195" s="31">
        <f t="shared" si="68"/>
        <v>0</v>
      </c>
      <c r="I195" s="55"/>
      <c r="J195" s="195"/>
      <c r="K195" s="194"/>
      <c r="L195" s="194"/>
      <c r="M195" s="194"/>
      <c r="N195" s="227"/>
      <c r="O195" s="62"/>
      <c r="P195" s="57"/>
      <c r="Q195" s="62"/>
      <c r="R195" s="69"/>
      <c r="S195" s="63"/>
      <c r="T195" s="63"/>
      <c r="U195" s="227"/>
      <c r="V195" s="194"/>
      <c r="W195" s="56"/>
      <c r="X195" s="56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3"/>
      <c r="I196" s="59"/>
      <c r="J196" s="197"/>
      <c r="K196" s="196"/>
      <c r="L196" s="196"/>
      <c r="M196" s="196"/>
      <c r="N196" s="196"/>
      <c r="O196" s="196"/>
      <c r="P196" s="196"/>
      <c r="Q196" s="114"/>
      <c r="R196" s="114"/>
      <c r="S196" s="114"/>
      <c r="T196" s="196"/>
      <c r="U196" s="196"/>
      <c r="V196" s="196"/>
      <c r="W196" s="60"/>
      <c r="X196" s="60">
        <v>0</v>
      </c>
      <c r="Y196" s="61" t="s">
        <v>56</v>
      </c>
    </row>
    <row r="197" spans="1:47" s="4" customFormat="1" ht="21" customHeight="1">
      <c r="A197" s="37" t="s">
        <v>74</v>
      </c>
      <c r="B197" s="76" t="s">
        <v>16</v>
      </c>
      <c r="C197" s="562" t="s">
        <v>252</v>
      </c>
      <c r="D197" s="563"/>
      <c r="E197" s="237">
        <f>SUM(E198,E201,E209)</f>
        <v>1011</v>
      </c>
      <c r="F197" s="237">
        <f>SUM(F198,F201,F209)</f>
        <v>1235</v>
      </c>
      <c r="G197" s="238">
        <f t="shared" ref="G197:G199" si="69">F197-E197</f>
        <v>224</v>
      </c>
      <c r="H197" s="239">
        <f t="shared" ref="H197:H199" si="70">IF(E197=0,0,G197/E197)</f>
        <v>0.22156280909990109</v>
      </c>
      <c r="I197" s="240" t="s">
        <v>257</v>
      </c>
      <c r="J197" s="241"/>
      <c r="K197" s="242"/>
      <c r="L197" s="242"/>
      <c r="M197" s="241"/>
      <c r="N197" s="241"/>
      <c r="O197" s="241"/>
      <c r="P197" s="241"/>
      <c r="Q197" s="241" t="s">
        <v>64</v>
      </c>
      <c r="R197" s="243"/>
      <c r="S197" s="243"/>
      <c r="T197" s="243"/>
      <c r="U197" s="243"/>
      <c r="V197" s="243"/>
      <c r="W197" s="243"/>
      <c r="X197" s="253">
        <f>SUM(X198,X201,X209)</f>
        <v>1235000</v>
      </c>
      <c r="Y197" s="261" t="s">
        <v>246</v>
      </c>
      <c r="Z197" s="245"/>
      <c r="AA197" s="246"/>
      <c r="AB197" s="246"/>
      <c r="AC197" s="247"/>
      <c r="AD197" s="248"/>
      <c r="AE197" s="249"/>
      <c r="AF197" s="250"/>
      <c r="AG197" s="251"/>
      <c r="AH197" s="251"/>
      <c r="AI197" s="250"/>
      <c r="AJ197" s="250"/>
      <c r="AK197" s="250"/>
      <c r="AL197" s="250"/>
      <c r="AM197" s="250"/>
      <c r="AN197" s="249"/>
      <c r="AO197" s="249"/>
      <c r="AP197" s="249"/>
      <c r="AQ197" s="249"/>
      <c r="AR197" s="249"/>
      <c r="AS197" s="249"/>
      <c r="AT197" s="252"/>
      <c r="AU197" s="250"/>
    </row>
    <row r="198" spans="1:47" ht="21" customHeight="1">
      <c r="A198" s="37"/>
      <c r="B198" s="82"/>
      <c r="C198" s="28" t="s">
        <v>181</v>
      </c>
      <c r="D198" s="254" t="s">
        <v>110</v>
      </c>
      <c r="E198" s="187">
        <f>E199</f>
        <v>0</v>
      </c>
      <c r="F198" s="187">
        <f>F199</f>
        <v>0</v>
      </c>
      <c r="G198" s="188">
        <f t="shared" si="69"/>
        <v>0</v>
      </c>
      <c r="H198" s="189">
        <f t="shared" si="70"/>
        <v>0</v>
      </c>
      <c r="I198" s="171" t="s">
        <v>190</v>
      </c>
      <c r="J198" s="172"/>
      <c r="K198" s="173"/>
      <c r="L198" s="173"/>
      <c r="M198" s="173"/>
      <c r="N198" s="173"/>
      <c r="O198" s="173"/>
      <c r="P198" s="174"/>
      <c r="Q198" s="174"/>
      <c r="R198" s="174"/>
      <c r="S198" s="174"/>
      <c r="T198" s="174"/>
      <c r="U198" s="174"/>
      <c r="V198" s="208" t="s">
        <v>69</v>
      </c>
      <c r="W198" s="209"/>
      <c r="X198" s="210">
        <f>SUM(X199:X199)</f>
        <v>0</v>
      </c>
      <c r="Y198" s="257" t="s">
        <v>56</v>
      </c>
    </row>
    <row r="199" spans="1:47" s="11" customFormat="1" ht="19.5" customHeight="1">
      <c r="A199" s="50"/>
      <c r="B199" s="84"/>
      <c r="C199" s="38" t="s">
        <v>182</v>
      </c>
      <c r="D199" s="28" t="s">
        <v>183</v>
      </c>
      <c r="E199" s="29">
        <v>0</v>
      </c>
      <c r="F199" s="40">
        <f>ROUND(X199/1000,0)</f>
        <v>0</v>
      </c>
      <c r="G199" s="30">
        <f t="shared" si="69"/>
        <v>0</v>
      </c>
      <c r="H199" s="31">
        <f t="shared" si="70"/>
        <v>0</v>
      </c>
      <c r="I199" s="124" t="s">
        <v>190</v>
      </c>
      <c r="J199" s="13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561" t="s">
        <v>69</v>
      </c>
      <c r="W199" s="561"/>
      <c r="X199" s="126">
        <f>SUM(X200:X200)</f>
        <v>0</v>
      </c>
      <c r="Y199" s="127" t="s">
        <v>56</v>
      </c>
      <c r="Z199" s="6"/>
    </row>
    <row r="200" spans="1:47" s="11" customFormat="1" ht="19.5" customHeight="1">
      <c r="A200" s="50"/>
      <c r="B200" s="78"/>
      <c r="C200" s="38"/>
      <c r="D200" s="38"/>
      <c r="E200" s="40"/>
      <c r="F200" s="40"/>
      <c r="G200" s="41"/>
      <c r="H200" s="25"/>
      <c r="I200" s="55"/>
      <c r="J200" s="195"/>
      <c r="K200" s="194"/>
      <c r="L200" s="194"/>
      <c r="M200" s="194"/>
      <c r="N200" s="227"/>
      <c r="O200" s="62"/>
      <c r="P200" s="57"/>
      <c r="Q200" s="62"/>
      <c r="R200" s="69"/>
      <c r="S200" s="63"/>
      <c r="T200" s="63"/>
      <c r="U200" s="227"/>
      <c r="V200" s="194"/>
      <c r="W200" s="56"/>
      <c r="X200" s="56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78"/>
      <c r="C201" s="28" t="s">
        <v>184</v>
      </c>
      <c r="D201" s="254" t="s">
        <v>110</v>
      </c>
      <c r="E201" s="187">
        <f>E202</f>
        <v>30</v>
      </c>
      <c r="F201" s="187">
        <f>F202</f>
        <v>21</v>
      </c>
      <c r="G201" s="188">
        <f t="shared" ref="G201:G202" si="71">F201-E201</f>
        <v>-9</v>
      </c>
      <c r="H201" s="189">
        <f t="shared" ref="H201:H202" si="72">IF(E201=0,0,G201/E201)</f>
        <v>-0.3</v>
      </c>
      <c r="I201" s="171" t="s">
        <v>191</v>
      </c>
      <c r="J201" s="172"/>
      <c r="K201" s="173"/>
      <c r="L201" s="173"/>
      <c r="M201" s="173"/>
      <c r="N201" s="173"/>
      <c r="O201" s="173"/>
      <c r="P201" s="174"/>
      <c r="Q201" s="174"/>
      <c r="R201" s="174"/>
      <c r="S201" s="174"/>
      <c r="T201" s="174"/>
      <c r="U201" s="174"/>
      <c r="V201" s="208" t="s">
        <v>69</v>
      </c>
      <c r="W201" s="209"/>
      <c r="X201" s="209">
        <f>SUM(X202:X202)</f>
        <v>21000</v>
      </c>
      <c r="Y201" s="257" t="s">
        <v>56</v>
      </c>
      <c r="Z201" s="6"/>
    </row>
    <row r="202" spans="1:47" s="11" customFormat="1" ht="19.5" customHeight="1">
      <c r="A202" s="50"/>
      <c r="B202" s="78"/>
      <c r="C202" s="38" t="s">
        <v>185</v>
      </c>
      <c r="D202" s="38" t="s">
        <v>186</v>
      </c>
      <c r="E202" s="40">
        <v>30</v>
      </c>
      <c r="F202" s="40">
        <f>ROUND(X202/1000,0)</f>
        <v>21</v>
      </c>
      <c r="G202" s="30">
        <f t="shared" si="71"/>
        <v>-9</v>
      </c>
      <c r="H202" s="31">
        <f t="shared" si="72"/>
        <v>-0.3</v>
      </c>
      <c r="I202" s="124" t="s">
        <v>243</v>
      </c>
      <c r="J202" s="13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561"/>
      <c r="W202" s="561"/>
      <c r="X202" s="126">
        <f>ROUND(SUM(W203:X207),-3)</f>
        <v>21000</v>
      </c>
      <c r="Y202" s="127" t="s">
        <v>56</v>
      </c>
      <c r="Z202" s="6"/>
    </row>
    <row r="203" spans="1:47" s="11" customFormat="1" ht="19.5" customHeight="1">
      <c r="A203" s="50"/>
      <c r="B203" s="78"/>
      <c r="C203" s="38" t="s">
        <v>131</v>
      </c>
      <c r="D203" s="38" t="s">
        <v>187</v>
      </c>
      <c r="E203" s="40"/>
      <c r="F203" s="40"/>
      <c r="G203" s="41"/>
      <c r="H203" s="58"/>
      <c r="I203" s="55" t="s">
        <v>326</v>
      </c>
      <c r="J203" s="195"/>
      <c r="K203" s="194"/>
      <c r="L203" s="194"/>
      <c r="M203" s="194"/>
      <c r="N203" s="194"/>
      <c r="O203" s="194"/>
      <c r="P203" s="194"/>
      <c r="Q203" s="44"/>
      <c r="R203" s="44"/>
      <c r="S203" s="44"/>
      <c r="T203" s="194"/>
      <c r="U203" s="194"/>
      <c r="V203" s="194"/>
      <c r="W203" s="56"/>
      <c r="X203" s="56">
        <v>15000</v>
      </c>
      <c r="Y203" s="47" t="s">
        <v>56</v>
      </c>
      <c r="Z203" s="6"/>
    </row>
    <row r="204" spans="1:47" s="11" customFormat="1" ht="19.5" customHeight="1">
      <c r="A204" s="50"/>
      <c r="B204" s="78"/>
      <c r="C204" s="38"/>
      <c r="D204" s="38"/>
      <c r="E204" s="40"/>
      <c r="F204" s="40"/>
      <c r="G204" s="41"/>
      <c r="H204" s="58"/>
      <c r="I204" s="55" t="s">
        <v>233</v>
      </c>
      <c r="J204" s="195"/>
      <c r="K204" s="194"/>
      <c r="L204" s="194"/>
      <c r="M204" s="194"/>
      <c r="N204" s="194"/>
      <c r="O204" s="194"/>
      <c r="P204" s="194"/>
      <c r="Q204" s="44"/>
      <c r="R204" s="44"/>
      <c r="S204" s="44"/>
      <c r="T204" s="194"/>
      <c r="U204" s="194"/>
      <c r="V204" s="194"/>
      <c r="W204" s="56"/>
      <c r="X204" s="56">
        <v>3000</v>
      </c>
      <c r="Y204" s="47" t="s">
        <v>56</v>
      </c>
      <c r="Z204" s="6"/>
    </row>
    <row r="205" spans="1:47" s="11" customFormat="1" ht="19.5" customHeight="1">
      <c r="A205" s="50"/>
      <c r="B205" s="78"/>
      <c r="C205" s="38"/>
      <c r="D205" s="38"/>
      <c r="E205" s="40"/>
      <c r="F205" s="40"/>
      <c r="G205" s="41"/>
      <c r="H205" s="58"/>
      <c r="I205" s="55" t="s">
        <v>244</v>
      </c>
      <c r="J205" s="195"/>
      <c r="K205" s="194"/>
      <c r="L205" s="194"/>
      <c r="M205" s="194"/>
      <c r="N205" s="194"/>
      <c r="O205" s="194"/>
      <c r="P205" s="194"/>
      <c r="Q205" s="44"/>
      <c r="R205" s="44"/>
      <c r="S205" s="44"/>
      <c r="T205" s="194"/>
      <c r="U205" s="194"/>
      <c r="V205" s="194"/>
      <c r="W205" s="56"/>
      <c r="X205" s="56">
        <v>1000</v>
      </c>
      <c r="Y205" s="47" t="s">
        <v>56</v>
      </c>
      <c r="Z205" s="6"/>
    </row>
    <row r="206" spans="1:47" s="11" customFormat="1" ht="19.5" customHeight="1">
      <c r="A206" s="50"/>
      <c r="B206" s="78"/>
      <c r="C206" s="38"/>
      <c r="D206" s="38"/>
      <c r="E206" s="40"/>
      <c r="F206" s="40"/>
      <c r="G206" s="41"/>
      <c r="H206" s="58"/>
      <c r="I206" s="55" t="s">
        <v>240</v>
      </c>
      <c r="J206" s="195"/>
      <c r="K206" s="194"/>
      <c r="L206" s="194"/>
      <c r="M206" s="194"/>
      <c r="N206" s="194"/>
      <c r="O206" s="194"/>
      <c r="P206" s="194"/>
      <c r="Q206" s="44"/>
      <c r="R206" s="44"/>
      <c r="S206" s="44"/>
      <c r="T206" s="194"/>
      <c r="U206" s="194"/>
      <c r="V206" s="194"/>
      <c r="W206" s="56"/>
      <c r="X206" s="56">
        <v>0</v>
      </c>
      <c r="Y206" s="47" t="s">
        <v>56</v>
      </c>
      <c r="Z206" s="6"/>
    </row>
    <row r="207" spans="1:47" s="11" customFormat="1" ht="19.5" customHeight="1">
      <c r="A207" s="50"/>
      <c r="B207" s="78"/>
      <c r="C207" s="38"/>
      <c r="D207" s="38"/>
      <c r="E207" s="40"/>
      <c r="F207" s="40"/>
      <c r="G207" s="41"/>
      <c r="H207" s="58"/>
      <c r="I207" s="55" t="s">
        <v>242</v>
      </c>
      <c r="J207" s="195"/>
      <c r="K207" s="194"/>
      <c r="L207" s="194"/>
      <c r="M207" s="194"/>
      <c r="N207" s="194"/>
      <c r="O207" s="194"/>
      <c r="P207" s="194"/>
      <c r="Q207" s="44"/>
      <c r="R207" s="44"/>
      <c r="S207" s="44"/>
      <c r="T207" s="194"/>
      <c r="U207" s="194"/>
      <c r="V207" s="194"/>
      <c r="W207" s="56"/>
      <c r="X207" s="56">
        <v>2000</v>
      </c>
      <c r="Y207" s="47" t="s">
        <v>56</v>
      </c>
      <c r="Z207" s="6"/>
    </row>
    <row r="208" spans="1:47" s="11" customFormat="1" ht="19.5" customHeight="1">
      <c r="A208" s="50"/>
      <c r="B208" s="78"/>
      <c r="C208" s="38"/>
      <c r="D208" s="38"/>
      <c r="E208" s="40"/>
      <c r="F208" s="40"/>
      <c r="G208" s="41"/>
      <c r="H208" s="58"/>
      <c r="I208" s="55"/>
      <c r="J208" s="195"/>
      <c r="K208" s="194"/>
      <c r="L208" s="194"/>
      <c r="M208" s="194"/>
      <c r="N208" s="194"/>
      <c r="O208" s="194"/>
      <c r="P208" s="194"/>
      <c r="Q208" s="44"/>
      <c r="R208" s="44"/>
      <c r="S208" s="44"/>
      <c r="T208" s="194"/>
      <c r="U208" s="194"/>
      <c r="V208" s="194"/>
      <c r="W208" s="56"/>
      <c r="X208" s="56"/>
      <c r="Y208" s="47"/>
      <c r="Z208" s="6"/>
    </row>
    <row r="209" spans="1:26" s="11" customFormat="1" ht="19.5" customHeight="1">
      <c r="A209" s="50"/>
      <c r="B209" s="78"/>
      <c r="C209" s="28" t="s">
        <v>146</v>
      </c>
      <c r="D209" s="254" t="s">
        <v>258</v>
      </c>
      <c r="E209" s="187">
        <f>E210</f>
        <v>981</v>
      </c>
      <c r="F209" s="187">
        <f>F210</f>
        <v>1214</v>
      </c>
      <c r="G209" s="188">
        <f t="shared" ref="G209:G210" si="73">F209-E209</f>
        <v>233</v>
      </c>
      <c r="H209" s="189">
        <f t="shared" ref="H209:H210" si="74">IF(E209=0,0,G209/E209)</f>
        <v>0.23751274209989806</v>
      </c>
      <c r="I209" s="171" t="s">
        <v>245</v>
      </c>
      <c r="J209" s="172"/>
      <c r="K209" s="173"/>
      <c r="L209" s="173"/>
      <c r="M209" s="173"/>
      <c r="N209" s="173"/>
      <c r="O209" s="173"/>
      <c r="P209" s="174"/>
      <c r="Q209" s="174"/>
      <c r="R209" s="174"/>
      <c r="S209" s="174"/>
      <c r="T209" s="174"/>
      <c r="U209" s="174"/>
      <c r="V209" s="208" t="s">
        <v>247</v>
      </c>
      <c r="W209" s="209"/>
      <c r="X209" s="209">
        <f>SUM(X210:X210)</f>
        <v>1214000</v>
      </c>
      <c r="Y209" s="257" t="s">
        <v>246</v>
      </c>
      <c r="Z209" s="6"/>
    </row>
    <row r="210" spans="1:26" s="11" customFormat="1" ht="19.5" customHeight="1">
      <c r="A210" s="50"/>
      <c r="B210" s="78"/>
      <c r="C210" s="38" t="s">
        <v>188</v>
      </c>
      <c r="D210" s="38" t="s">
        <v>189</v>
      </c>
      <c r="E210" s="40">
        <v>981</v>
      </c>
      <c r="F210" s="40">
        <f>ROUND(X210/1000,0)</f>
        <v>1214</v>
      </c>
      <c r="G210" s="30">
        <f t="shared" si="73"/>
        <v>233</v>
      </c>
      <c r="H210" s="31">
        <f t="shared" si="74"/>
        <v>0.23751274209989806</v>
      </c>
      <c r="I210" s="495" t="s">
        <v>503</v>
      </c>
      <c r="J210" s="496"/>
      <c r="K210" s="497"/>
      <c r="L210" s="497"/>
      <c r="M210" s="497"/>
      <c r="N210" s="497"/>
      <c r="O210" s="497"/>
      <c r="P210" s="497"/>
      <c r="Q210" s="497" t="s">
        <v>504</v>
      </c>
      <c r="R210" s="497"/>
      <c r="S210" s="497"/>
      <c r="T210" s="497"/>
      <c r="U210" s="497"/>
      <c r="V210" s="560" t="s">
        <v>505</v>
      </c>
      <c r="W210" s="560"/>
      <c r="X210" s="498">
        <f>SUM(X211:X215)</f>
        <v>1214000</v>
      </c>
      <c r="Y210" s="499" t="s">
        <v>25</v>
      </c>
      <c r="Z210" s="6"/>
    </row>
    <row r="211" spans="1:26" s="11" customFormat="1" ht="19.5" customHeight="1">
      <c r="A211" s="50"/>
      <c r="B211" s="78"/>
      <c r="C211" s="38"/>
      <c r="D211" s="38"/>
      <c r="E211" s="40"/>
      <c r="F211" s="40"/>
      <c r="G211" s="41"/>
      <c r="H211" s="25"/>
      <c r="I211" s="500" t="s">
        <v>506</v>
      </c>
      <c r="J211" s="501"/>
      <c r="K211" s="502"/>
      <c r="L211" s="502"/>
      <c r="M211" s="502"/>
      <c r="N211" s="502"/>
      <c r="O211" s="502"/>
      <c r="P211" s="502"/>
      <c r="Q211" s="502"/>
      <c r="R211" s="502"/>
      <c r="S211" s="502"/>
      <c r="T211" s="502"/>
      <c r="U211" s="502"/>
      <c r="V211" s="502"/>
      <c r="W211" s="503"/>
      <c r="X211" s="503">
        <v>10000</v>
      </c>
      <c r="Y211" s="504" t="s">
        <v>25</v>
      </c>
      <c r="Z211" s="6"/>
    </row>
    <row r="212" spans="1:26" s="11" customFormat="1" ht="19.5" customHeight="1">
      <c r="A212" s="50"/>
      <c r="B212" s="78"/>
      <c r="C212" s="38"/>
      <c r="D212" s="38"/>
      <c r="E212" s="40"/>
      <c r="F212" s="40"/>
      <c r="G212" s="41"/>
      <c r="H212" s="25"/>
      <c r="I212" s="500" t="s">
        <v>507</v>
      </c>
      <c r="J212" s="501"/>
      <c r="K212" s="502"/>
      <c r="L212" s="502"/>
      <c r="M212" s="502"/>
      <c r="N212" s="502"/>
      <c r="O212" s="502"/>
      <c r="P212" s="502"/>
      <c r="Q212" s="502"/>
      <c r="R212" s="502"/>
      <c r="S212" s="502"/>
      <c r="T212" s="502"/>
      <c r="U212" s="502"/>
      <c r="V212" s="502"/>
      <c r="W212" s="503"/>
      <c r="X212" s="503">
        <v>2000</v>
      </c>
      <c r="Y212" s="504" t="s">
        <v>25</v>
      </c>
      <c r="Z212" s="6"/>
    </row>
    <row r="213" spans="1:26" s="11" customFormat="1" ht="19.5" customHeight="1">
      <c r="A213" s="50"/>
      <c r="B213" s="78"/>
      <c r="C213" s="38"/>
      <c r="D213" s="38"/>
      <c r="E213" s="40"/>
      <c r="F213" s="40"/>
      <c r="G213" s="41"/>
      <c r="H213" s="25"/>
      <c r="I213" s="500" t="s">
        <v>508</v>
      </c>
      <c r="J213" s="502"/>
      <c r="K213" s="502"/>
      <c r="L213" s="502"/>
      <c r="M213" s="502"/>
      <c r="N213" s="502"/>
      <c r="O213" s="502"/>
      <c r="P213" s="502"/>
      <c r="Q213" s="502"/>
      <c r="R213" s="502"/>
      <c r="S213" s="502"/>
      <c r="T213" s="502"/>
      <c r="U213" s="502"/>
      <c r="V213" s="502"/>
      <c r="W213" s="502"/>
      <c r="X213" s="502">
        <v>2000</v>
      </c>
      <c r="Y213" s="504" t="s">
        <v>25</v>
      </c>
      <c r="Z213" s="6"/>
    </row>
    <row r="214" spans="1:26" s="11" customFormat="1" ht="19.5" customHeight="1">
      <c r="A214" s="50"/>
      <c r="B214" s="78"/>
      <c r="C214" s="38"/>
      <c r="D214" s="38"/>
      <c r="E214" s="40"/>
      <c r="F214" s="40"/>
      <c r="G214" s="41"/>
      <c r="H214" s="25"/>
      <c r="I214" s="500" t="s">
        <v>509</v>
      </c>
      <c r="J214" s="502"/>
      <c r="K214" s="502"/>
      <c r="L214" s="502"/>
      <c r="M214" s="502">
        <v>60000</v>
      </c>
      <c r="N214" s="502" t="s">
        <v>25</v>
      </c>
      <c r="O214" s="501" t="s">
        <v>57</v>
      </c>
      <c r="P214" s="502">
        <v>1</v>
      </c>
      <c r="Q214" s="501" t="s">
        <v>55</v>
      </c>
      <c r="R214" s="501" t="s">
        <v>26</v>
      </c>
      <c r="S214" s="502">
        <v>12</v>
      </c>
      <c r="T214" s="502" t="s">
        <v>0</v>
      </c>
      <c r="U214" s="505" t="s">
        <v>27</v>
      </c>
      <c r="V214" s="505"/>
      <c r="W214" s="501"/>
      <c r="X214" s="502">
        <f>M214*P214*S214</f>
        <v>720000</v>
      </c>
      <c r="Y214" s="504" t="s">
        <v>25</v>
      </c>
      <c r="Z214" s="6"/>
    </row>
    <row r="215" spans="1:26" s="11" customFormat="1" ht="19.5" customHeight="1" thickBot="1">
      <c r="A215" s="86"/>
      <c r="B215" s="87"/>
      <c r="C215" s="87"/>
      <c r="D215" s="88"/>
      <c r="E215" s="89"/>
      <c r="F215" s="89"/>
      <c r="G215" s="90"/>
      <c r="H215" s="91"/>
      <c r="I215" s="506"/>
      <c r="J215" s="507"/>
      <c r="K215" s="507"/>
      <c r="L215" s="507"/>
      <c r="M215" s="507">
        <v>48000</v>
      </c>
      <c r="N215" s="507" t="s">
        <v>56</v>
      </c>
      <c r="O215" s="508" t="s">
        <v>26</v>
      </c>
      <c r="P215" s="507">
        <v>1</v>
      </c>
      <c r="Q215" s="508" t="s">
        <v>55</v>
      </c>
      <c r="R215" s="508" t="s">
        <v>57</v>
      </c>
      <c r="S215" s="507">
        <v>10</v>
      </c>
      <c r="T215" s="507" t="s">
        <v>0</v>
      </c>
      <c r="U215" s="509" t="s">
        <v>53</v>
      </c>
      <c r="V215" s="509"/>
      <c r="W215" s="508"/>
      <c r="X215" s="507">
        <f>M215*P215*S215</f>
        <v>480000</v>
      </c>
      <c r="Y215" s="510" t="s">
        <v>56</v>
      </c>
      <c r="Z215" s="6"/>
    </row>
    <row r="226" spans="26:26" ht="19.5" customHeight="1">
      <c r="Z226" s="6" t="s">
        <v>61</v>
      </c>
    </row>
  </sheetData>
  <mergeCells count="29">
    <mergeCell ref="A1:D1"/>
    <mergeCell ref="A2:D2"/>
    <mergeCell ref="E2:E3"/>
    <mergeCell ref="A4:D4"/>
    <mergeCell ref="C172:D172"/>
    <mergeCell ref="C197:D197"/>
    <mergeCell ref="V199:W199"/>
    <mergeCell ref="F2:F3"/>
    <mergeCell ref="C13:D13"/>
    <mergeCell ref="C145:D145"/>
    <mergeCell ref="C156:D156"/>
    <mergeCell ref="V158:W158"/>
    <mergeCell ref="C163:D163"/>
    <mergeCell ref="G2:H2"/>
    <mergeCell ref="I2:Y3"/>
    <mergeCell ref="V147:W147"/>
    <mergeCell ref="V165:W165"/>
    <mergeCell ref="V65:W65"/>
    <mergeCell ref="V126:W126"/>
    <mergeCell ref="V210:W210"/>
    <mergeCell ref="V150:W150"/>
    <mergeCell ref="V169:W169"/>
    <mergeCell ref="V177:W177"/>
    <mergeCell ref="V190:W190"/>
    <mergeCell ref="V181:W181"/>
    <mergeCell ref="V185:W185"/>
    <mergeCell ref="V202:W202"/>
    <mergeCell ref="V153:W153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9"/>
  <sheetViews>
    <sheetView zoomScale="70" zoomScaleNormal="70" workbookViewId="0">
      <pane ySplit="5" topLeftCell="A45" activePane="bottomLeft" state="frozen"/>
      <selection pane="bottomLeft" activeCell="F4" sqref="F4:H4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5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.109375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1" t="s">
        <v>331</v>
      </c>
      <c r="B1" s="571"/>
      <c r="C1" s="571"/>
      <c r="D1" s="571"/>
      <c r="E1" s="92"/>
      <c r="F1" s="92"/>
      <c r="G1" s="92"/>
      <c r="H1" s="92"/>
      <c r="I1" s="92"/>
      <c r="J1" s="92"/>
      <c r="K1" s="92"/>
      <c r="L1" s="92"/>
      <c r="M1" s="92"/>
      <c r="N1" s="139"/>
      <c r="O1" s="53"/>
      <c r="P1" s="53"/>
      <c r="Q1" s="53"/>
      <c r="R1" s="53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s="3" customFormat="1" ht="27" customHeight="1">
      <c r="A2" s="572" t="s">
        <v>22</v>
      </c>
      <c r="B2" s="573"/>
      <c r="C2" s="573"/>
      <c r="D2" s="564" t="s">
        <v>332</v>
      </c>
      <c r="E2" s="579" t="s">
        <v>333</v>
      </c>
      <c r="F2" s="580"/>
      <c r="G2" s="580"/>
      <c r="H2" s="580"/>
      <c r="I2" s="580"/>
      <c r="J2" s="580"/>
      <c r="K2" s="580"/>
      <c r="L2" s="581"/>
      <c r="M2" s="566" t="s">
        <v>23</v>
      </c>
      <c r="N2" s="566"/>
      <c r="O2" s="582" t="s">
        <v>334</v>
      </c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3"/>
      <c r="AE2" s="584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5"/>
      <c r="E3" s="146" t="s">
        <v>335</v>
      </c>
      <c r="F3" s="146" t="s">
        <v>329</v>
      </c>
      <c r="G3" s="146" t="s">
        <v>330</v>
      </c>
      <c r="H3" s="146" t="s">
        <v>451</v>
      </c>
      <c r="I3" s="146" t="s">
        <v>336</v>
      </c>
      <c r="J3" s="146" t="s">
        <v>337</v>
      </c>
      <c r="K3" s="146" t="s">
        <v>338</v>
      </c>
      <c r="L3" s="146" t="s">
        <v>339</v>
      </c>
      <c r="M3" s="129" t="s">
        <v>340</v>
      </c>
      <c r="N3" s="93" t="s">
        <v>4</v>
      </c>
      <c r="O3" s="585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7"/>
    </row>
    <row r="4" spans="1:31" s="11" customFormat="1" ht="21" customHeight="1">
      <c r="A4" s="588" t="s">
        <v>31</v>
      </c>
      <c r="B4" s="589"/>
      <c r="C4" s="589"/>
      <c r="D4" s="303">
        <f t="shared" ref="D4:J4" si="0">SUM(D5,D121,D143,D192,D195)</f>
        <v>68759</v>
      </c>
      <c r="E4" s="303">
        <f t="shared" si="0"/>
        <v>90579</v>
      </c>
      <c r="F4" s="303">
        <f t="shared" ca="1" si="0"/>
        <v>77363</v>
      </c>
      <c r="G4" s="303">
        <f t="shared" si="0"/>
        <v>1642</v>
      </c>
      <c r="H4" s="303">
        <f t="shared" si="0"/>
        <v>300</v>
      </c>
      <c r="I4" s="303">
        <f t="shared" si="0"/>
        <v>976</v>
      </c>
      <c r="J4" s="303">
        <f t="shared" si="0"/>
        <v>8208</v>
      </c>
      <c r="K4" s="303">
        <f>SUM(K5,K121,K143,,K192,K195)</f>
        <v>1</v>
      </c>
      <c r="L4" s="303">
        <f>SUM(L5,L121,L143,L192,L195)</f>
        <v>2089</v>
      </c>
      <c r="M4" s="304">
        <f>E4-D4</f>
        <v>21820</v>
      </c>
      <c r="N4" s="305">
        <f>IF(D4=0,0,M4/D4)</f>
        <v>0.31734027545484955</v>
      </c>
      <c r="O4" s="306" t="s">
        <v>341</v>
      </c>
      <c r="P4" s="307"/>
      <c r="Q4" s="307"/>
      <c r="R4" s="307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>
        <f>SUM(AD5,AD121,AD143,AD192,AD195)</f>
        <v>90579000</v>
      </c>
      <c r="AE4" s="309" t="s">
        <v>25</v>
      </c>
    </row>
    <row r="5" spans="1:31" s="11" customFormat="1" ht="21" customHeight="1">
      <c r="A5" s="98" t="s">
        <v>6</v>
      </c>
      <c r="B5" s="590" t="s">
        <v>7</v>
      </c>
      <c r="C5" s="591"/>
      <c r="D5" s="310">
        <f t="shared" ref="D5:L5" si="1">SUM(D6,D75,D84)</f>
        <v>52659</v>
      </c>
      <c r="E5" s="310">
        <f t="shared" si="1"/>
        <v>78561</v>
      </c>
      <c r="F5" s="310">
        <f>SUM(F6,F75,F84)</f>
        <v>72548</v>
      </c>
      <c r="G5" s="310">
        <f t="shared" si="1"/>
        <v>0</v>
      </c>
      <c r="H5" s="310">
        <f t="shared" si="1"/>
        <v>300</v>
      </c>
      <c r="I5" s="310">
        <f t="shared" si="1"/>
        <v>80</v>
      </c>
      <c r="J5" s="310">
        <f t="shared" si="1"/>
        <v>3543</v>
      </c>
      <c r="K5" s="310">
        <f t="shared" si="1"/>
        <v>1</v>
      </c>
      <c r="L5" s="310">
        <f t="shared" si="1"/>
        <v>2089</v>
      </c>
      <c r="M5" s="311">
        <f>E5-D5</f>
        <v>25902</v>
      </c>
      <c r="N5" s="312">
        <f>IF(D5=0,0,M5/D5)</f>
        <v>0.49188172961886856</v>
      </c>
      <c r="O5" s="313" t="s">
        <v>294</v>
      </c>
      <c r="P5" s="313"/>
      <c r="Q5" s="313"/>
      <c r="R5" s="313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>
        <f>SUM(AD6,AD75,AD84)</f>
        <v>78561000</v>
      </c>
      <c r="AE5" s="315" t="s">
        <v>25</v>
      </c>
    </row>
    <row r="6" spans="1:31" s="11" customFormat="1" ht="21" customHeight="1">
      <c r="A6" s="37"/>
      <c r="B6" s="28" t="s">
        <v>8</v>
      </c>
      <c r="C6" s="316" t="s">
        <v>5</v>
      </c>
      <c r="D6" s="416">
        <f t="shared" ref="D6:L6" si="2">SUM(D7,D11,D14,D35,D44,D68)</f>
        <v>41888</v>
      </c>
      <c r="E6" s="317">
        <f t="shared" si="2"/>
        <v>68178</v>
      </c>
      <c r="F6" s="317">
        <f t="shared" si="2"/>
        <v>67648</v>
      </c>
      <c r="G6" s="317">
        <f t="shared" si="2"/>
        <v>0</v>
      </c>
      <c r="H6" s="317">
        <f t="shared" si="2"/>
        <v>300</v>
      </c>
      <c r="I6" s="317">
        <f t="shared" si="2"/>
        <v>80</v>
      </c>
      <c r="J6" s="317">
        <f t="shared" si="2"/>
        <v>150</v>
      </c>
      <c r="K6" s="317">
        <f t="shared" si="2"/>
        <v>0</v>
      </c>
      <c r="L6" s="317">
        <f t="shared" si="2"/>
        <v>0</v>
      </c>
      <c r="M6" s="318">
        <f>E6-D6</f>
        <v>26290</v>
      </c>
      <c r="N6" s="319">
        <f>IF(D6=0,0,M6/D6)</f>
        <v>0.62762605042016806</v>
      </c>
      <c r="O6" s="320" t="s">
        <v>304</v>
      </c>
      <c r="P6" s="320"/>
      <c r="Q6" s="320"/>
      <c r="R6" s="320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>
        <f>SUM(AD7,AD11,AD14,AD35,AD44,AD68)</f>
        <v>68178000</v>
      </c>
      <c r="AE6" s="322" t="s">
        <v>25</v>
      </c>
    </row>
    <row r="7" spans="1:31" s="11" customFormat="1" ht="21" customHeight="1">
      <c r="A7" s="37"/>
      <c r="B7" s="38"/>
      <c r="C7" s="28" t="s">
        <v>32</v>
      </c>
      <c r="D7" s="132">
        <v>26844</v>
      </c>
      <c r="E7" s="100">
        <f>ROUND(AD7/1000,0)</f>
        <v>46514</v>
      </c>
      <c r="F7" s="100">
        <f>SUMIF($AB$8:$AB$10,"보조",$AD$8:$AD$10)/1000</f>
        <v>46514</v>
      </c>
      <c r="G7" s="100">
        <f>SUMIF($AB$8:$AB$10,"4종",$AD$8:$AD$10)/1000</f>
        <v>0</v>
      </c>
      <c r="H7" s="100">
        <f>SUMIF($AB$8:$AB$10,"6종",$AD$8:$AD$10)/1000</f>
        <v>0</v>
      </c>
      <c r="I7" s="100">
        <f>SUMIF($AB$8:$AB$10,"후원",$AD$8:$AD$10)/1000</f>
        <v>0</v>
      </c>
      <c r="J7" s="100">
        <f>SUMIF($AB$8:$AB$10,"입소",$AD$8:$AD$10)/1000</f>
        <v>0</v>
      </c>
      <c r="K7" s="100">
        <f>SUMIF($AB$8:$AB$10,"법인",$AD$8:$AD$10)/1000</f>
        <v>0</v>
      </c>
      <c r="L7" s="100">
        <f>SUMIF($AB$8:$AB$10,"잡수",$AD$8:$AD$10)/1000</f>
        <v>0</v>
      </c>
      <c r="M7" s="99">
        <f>E7-D7</f>
        <v>19670</v>
      </c>
      <c r="N7" s="276">
        <f>IF(D7=0,0,M7/D7)</f>
        <v>0.73275219788407098</v>
      </c>
      <c r="O7" s="102" t="s">
        <v>342</v>
      </c>
      <c r="P7" s="102"/>
      <c r="Q7" s="149"/>
      <c r="R7" s="149"/>
      <c r="S7" s="149"/>
      <c r="T7" s="148"/>
      <c r="U7" s="148"/>
      <c r="V7" s="148"/>
      <c r="W7" s="85" t="s">
        <v>60</v>
      </c>
      <c r="X7" s="85"/>
      <c r="Y7" s="85"/>
      <c r="Z7" s="85"/>
      <c r="AA7" s="85"/>
      <c r="AB7" s="85"/>
      <c r="AC7" s="104"/>
      <c r="AD7" s="104">
        <f>SUM(AD8:AD9)</f>
        <v>46514000</v>
      </c>
      <c r="AE7" s="105" t="s">
        <v>343</v>
      </c>
    </row>
    <row r="8" spans="1:31" s="11" customFormat="1" ht="21" customHeight="1">
      <c r="A8" s="37"/>
      <c r="B8" s="38"/>
      <c r="C8" s="38"/>
      <c r="D8" s="437"/>
      <c r="E8" s="438"/>
      <c r="F8" s="438"/>
      <c r="G8" s="438"/>
      <c r="H8" s="438"/>
      <c r="I8" s="438"/>
      <c r="J8" s="438"/>
      <c r="K8" s="438"/>
      <c r="L8" s="438"/>
      <c r="M8" s="94"/>
      <c r="N8" s="58"/>
      <c r="O8" s="375" t="s">
        <v>327</v>
      </c>
      <c r="P8" s="375"/>
      <c r="Q8" s="375"/>
      <c r="R8" s="375"/>
      <c r="S8" s="272"/>
      <c r="T8" s="268"/>
      <c r="U8" s="268"/>
      <c r="V8" s="268"/>
      <c r="W8" s="268"/>
      <c r="X8" s="268"/>
      <c r="Y8" s="268"/>
      <c r="Z8" s="268"/>
      <c r="AA8" s="339"/>
      <c r="AB8" s="339" t="s">
        <v>344</v>
      </c>
      <c r="AC8" s="340"/>
      <c r="AD8" s="397">
        <v>27908000</v>
      </c>
      <c r="AE8" s="341" t="s">
        <v>343</v>
      </c>
    </row>
    <row r="9" spans="1:31" s="11" customFormat="1" ht="21" customHeight="1">
      <c r="A9" s="37"/>
      <c r="B9" s="38"/>
      <c r="C9" s="38"/>
      <c r="D9" s="130"/>
      <c r="E9" s="94"/>
      <c r="F9" s="94"/>
      <c r="G9" s="94"/>
      <c r="H9" s="94"/>
      <c r="I9" s="94"/>
      <c r="J9" s="94"/>
      <c r="K9" s="94"/>
      <c r="L9" s="94"/>
      <c r="M9" s="94"/>
      <c r="N9" s="58"/>
      <c r="O9" s="375" t="s">
        <v>328</v>
      </c>
      <c r="P9" s="375"/>
      <c r="Q9" s="375"/>
      <c r="R9" s="375"/>
      <c r="S9" s="272"/>
      <c r="T9" s="268"/>
      <c r="U9" s="268"/>
      <c r="V9" s="268"/>
      <c r="W9" s="268"/>
      <c r="X9" s="268"/>
      <c r="Y9" s="268"/>
      <c r="Z9" s="268"/>
      <c r="AA9" s="339"/>
      <c r="AB9" s="339" t="s">
        <v>437</v>
      </c>
      <c r="AC9" s="340"/>
      <c r="AD9" s="397">
        <v>18606000</v>
      </c>
      <c r="AE9" s="341" t="s">
        <v>343</v>
      </c>
    </row>
    <row r="10" spans="1:31" s="11" customFormat="1" ht="21" customHeight="1">
      <c r="A10" s="37"/>
      <c r="B10" s="38"/>
      <c r="C10" s="38"/>
      <c r="D10" s="130"/>
      <c r="E10" s="94"/>
      <c r="F10" s="94"/>
      <c r="G10" s="94"/>
      <c r="H10" s="94"/>
      <c r="I10" s="94"/>
      <c r="J10" s="94"/>
      <c r="K10" s="94"/>
      <c r="L10" s="94"/>
      <c r="M10" s="94"/>
      <c r="N10" s="58"/>
      <c r="O10" s="290"/>
      <c r="P10" s="290"/>
      <c r="Q10" s="290"/>
      <c r="R10" s="290"/>
      <c r="S10" s="290"/>
      <c r="T10" s="289"/>
      <c r="U10" s="289"/>
      <c r="V10" s="345"/>
      <c r="W10" s="345"/>
      <c r="X10" s="345"/>
      <c r="Y10" s="345"/>
      <c r="Z10" s="345"/>
      <c r="AA10" s="345"/>
      <c r="AB10" s="345"/>
      <c r="AC10" s="60"/>
      <c r="AD10" s="60"/>
      <c r="AE10" s="61"/>
    </row>
    <row r="11" spans="1:31" s="11" customFormat="1" ht="21" customHeight="1">
      <c r="A11" s="37"/>
      <c r="B11" s="38"/>
      <c r="C11" s="28" t="s">
        <v>349</v>
      </c>
      <c r="D11" s="132">
        <v>0</v>
      </c>
      <c r="E11" s="100">
        <f>ROUND(AD11/1000,0)</f>
        <v>0</v>
      </c>
      <c r="F11" s="100">
        <f>SUMIF($AB$12:$AB$13,"보조",$AD$12:$AD$13)/1000</f>
        <v>0</v>
      </c>
      <c r="G11" s="100">
        <f>SUMIF($AB$12:$AB$13,"4종",$AD$12:$AD$13)/1000</f>
        <v>0</v>
      </c>
      <c r="H11" s="100">
        <f>SUMIF($AB$12:$AB$13,"6종",$AD$12:$AD$13)/1000</f>
        <v>0</v>
      </c>
      <c r="I11" s="100">
        <f>SUMIF($AB$12:$AB$13,"후원",$AD$12:$AD$13)/1000</f>
        <v>0</v>
      </c>
      <c r="J11" s="100">
        <f>SUMIF($AB$12:$AB$13,"입소",$AD$12:$AD$13)/1000</f>
        <v>0</v>
      </c>
      <c r="K11" s="100">
        <f>SUMIF($AB$12:$AB$13,"법인",$AD$12:$AD$13)/1000</f>
        <v>0</v>
      </c>
      <c r="L11" s="100">
        <f>SUMIF($AB$12:$AB$13,"잡수",$AD$12:$AD$13)/1000</f>
        <v>0</v>
      </c>
      <c r="M11" s="109">
        <f>E11-D11</f>
        <v>0</v>
      </c>
      <c r="N11" s="106">
        <f>IF(D11=0,0,M11/D11)</f>
        <v>0</v>
      </c>
      <c r="O11" s="83" t="s">
        <v>350</v>
      </c>
      <c r="P11" s="422"/>
      <c r="Q11" s="151"/>
      <c r="R11" s="151"/>
      <c r="S11" s="151"/>
      <c r="T11" s="150"/>
      <c r="U11" s="150"/>
      <c r="V11" s="148"/>
      <c r="W11" s="85" t="s">
        <v>351</v>
      </c>
      <c r="X11" s="85"/>
      <c r="Y11" s="85"/>
      <c r="Z11" s="85"/>
      <c r="AA11" s="85"/>
      <c r="AB11" s="85"/>
      <c r="AC11" s="104"/>
      <c r="AD11" s="104">
        <v>0</v>
      </c>
      <c r="AE11" s="105" t="s">
        <v>352</v>
      </c>
    </row>
    <row r="12" spans="1:31" s="11" customFormat="1" ht="21" customHeight="1">
      <c r="A12" s="37"/>
      <c r="B12" s="38"/>
      <c r="C12" s="38"/>
      <c r="D12" s="130"/>
      <c r="E12" s="94"/>
      <c r="F12" s="94"/>
      <c r="G12" s="94"/>
      <c r="H12" s="94"/>
      <c r="I12" s="94"/>
      <c r="J12" s="94"/>
      <c r="K12" s="94"/>
      <c r="L12" s="94"/>
      <c r="M12" s="94"/>
      <c r="N12" s="58"/>
      <c r="O12" s="149"/>
      <c r="P12" s="149"/>
      <c r="Q12" s="149"/>
      <c r="R12" s="149"/>
      <c r="S12" s="149"/>
      <c r="T12" s="148"/>
      <c r="U12" s="148"/>
      <c r="V12" s="148"/>
      <c r="W12" s="148"/>
      <c r="X12" s="148"/>
      <c r="Y12" s="148"/>
      <c r="Z12" s="148"/>
      <c r="AA12" s="148"/>
      <c r="AB12" s="148"/>
      <c r="AC12" s="42"/>
      <c r="AD12" s="42"/>
      <c r="AE12" s="26"/>
    </row>
    <row r="13" spans="1:31" s="11" customFormat="1" ht="21" customHeight="1">
      <c r="A13" s="37"/>
      <c r="B13" s="38"/>
      <c r="C13" s="38"/>
      <c r="D13" s="130"/>
      <c r="E13" s="94"/>
      <c r="F13" s="94"/>
      <c r="G13" s="94"/>
      <c r="H13" s="94"/>
      <c r="I13" s="94"/>
      <c r="J13" s="94"/>
      <c r="K13" s="94"/>
      <c r="L13" s="94"/>
      <c r="M13" s="94"/>
      <c r="N13" s="58"/>
      <c r="O13" s="290"/>
      <c r="P13" s="290"/>
      <c r="Q13" s="290"/>
      <c r="R13" s="290"/>
      <c r="S13" s="289"/>
      <c r="T13" s="289"/>
      <c r="U13" s="290"/>
      <c r="V13" s="289"/>
      <c r="W13" s="289"/>
      <c r="X13" s="290"/>
      <c r="Y13" s="79"/>
      <c r="Z13" s="289"/>
      <c r="AA13" s="289"/>
      <c r="AB13" s="289"/>
      <c r="AC13" s="56"/>
      <c r="AD13" s="289"/>
      <c r="AE13" s="47"/>
    </row>
    <row r="14" spans="1:31" s="11" customFormat="1" ht="21" customHeight="1">
      <c r="A14" s="37"/>
      <c r="B14" s="38"/>
      <c r="C14" s="28" t="s">
        <v>33</v>
      </c>
      <c r="D14" s="132">
        <v>8003</v>
      </c>
      <c r="E14" s="100">
        <f>ROUND(AD14/1000,0)</f>
        <v>10490</v>
      </c>
      <c r="F14" s="100">
        <f>SUMIF($AB$15:$AB$34,"보조",$AD$15:$AD$34)/1000</f>
        <v>10490</v>
      </c>
      <c r="G14" s="100">
        <f>SUMIF($AB$15:$AB$34,"4종",$AD$15:$AD$34)/1000</f>
        <v>0</v>
      </c>
      <c r="H14" s="100">
        <f>SUMIF($AB$15:$AB$34,"6종",$AD$15:$AD$34)/1000</f>
        <v>0</v>
      </c>
      <c r="I14" s="100">
        <f>SUMIF($AB$15:$AB$34,"후원",$AD$15:$AD$34)/1000</f>
        <v>0</v>
      </c>
      <c r="J14" s="100">
        <f>SUMIF($AB$15:$AB$34,"입소",$AD$15:$AD$34)/1000</f>
        <v>0</v>
      </c>
      <c r="K14" s="100">
        <f>SUMIF($AB$15:$AB$34,"법인",$AD$15:$AD$34)/1000</f>
        <v>0</v>
      </c>
      <c r="L14" s="100">
        <f>SUMIF($AB$15:$AB$34,"잡수",$AD$15:$AD$34)/1000</f>
        <v>0</v>
      </c>
      <c r="M14" s="99">
        <f>E14-D14</f>
        <v>2487</v>
      </c>
      <c r="N14" s="106">
        <f>IF(D14=0,0,M14/D14)</f>
        <v>0.3107584655754092</v>
      </c>
      <c r="O14" s="83" t="s">
        <v>34</v>
      </c>
      <c r="P14" s="422"/>
      <c r="Q14" s="151"/>
      <c r="R14" s="151"/>
      <c r="S14" s="151"/>
      <c r="T14" s="150"/>
      <c r="U14" s="150"/>
      <c r="V14" s="150"/>
      <c r="W14" s="421" t="s">
        <v>351</v>
      </c>
      <c r="X14" s="421"/>
      <c r="Y14" s="421"/>
      <c r="Z14" s="421"/>
      <c r="AA14" s="421"/>
      <c r="AB14" s="421"/>
      <c r="AC14" s="144"/>
      <c r="AD14" s="144">
        <f>명절휴가비+가족수당+연장근로수당+AD27+AD31</f>
        <v>10490000</v>
      </c>
      <c r="AE14" s="143" t="s">
        <v>343</v>
      </c>
    </row>
    <row r="15" spans="1:31" s="11" customFormat="1" ht="21" customHeight="1">
      <c r="A15" s="37"/>
      <c r="B15" s="38"/>
      <c r="C15" s="38"/>
      <c r="D15" s="435"/>
      <c r="E15" s="436"/>
      <c r="F15" s="436"/>
      <c r="G15" s="436"/>
      <c r="H15" s="436"/>
      <c r="I15" s="436"/>
      <c r="J15" s="436"/>
      <c r="K15" s="436"/>
      <c r="L15" s="436"/>
      <c r="M15" s="94"/>
      <c r="N15" s="58"/>
      <c r="O15" s="375" t="s">
        <v>353</v>
      </c>
      <c r="P15" s="272"/>
      <c r="Q15" s="272"/>
      <c r="R15" s="272"/>
      <c r="S15" s="272"/>
      <c r="T15" s="268"/>
      <c r="U15" s="268"/>
      <c r="V15" s="268"/>
      <c r="W15" s="339" t="s">
        <v>354</v>
      </c>
      <c r="X15" s="339"/>
      <c r="Y15" s="339"/>
      <c r="Z15" s="339"/>
      <c r="AA15" s="339"/>
      <c r="AB15" s="339"/>
      <c r="AC15" s="340" t="s">
        <v>355</v>
      </c>
      <c r="AD15" s="340">
        <f>ROUND(SUM(AD16:AD17),-3)</f>
        <v>3927000</v>
      </c>
      <c r="AE15" s="341" t="s">
        <v>343</v>
      </c>
    </row>
    <row r="16" spans="1:31" s="11" customFormat="1" ht="21" customHeight="1">
      <c r="A16" s="37"/>
      <c r="B16" s="38"/>
      <c r="C16" s="38"/>
      <c r="D16" s="437"/>
      <c r="E16" s="438"/>
      <c r="F16" s="438"/>
      <c r="G16" s="438"/>
      <c r="H16" s="438"/>
      <c r="I16" s="438"/>
      <c r="J16" s="438"/>
      <c r="K16" s="438"/>
      <c r="L16" s="438"/>
      <c r="M16" s="94"/>
      <c r="N16" s="58"/>
      <c r="O16" s="272" t="s">
        <v>432</v>
      </c>
      <c r="P16" s="272"/>
      <c r="Q16" s="272"/>
      <c r="R16" s="272"/>
      <c r="S16" s="272"/>
      <c r="T16" s="268"/>
      <c r="U16" s="268"/>
      <c r="V16" s="268"/>
      <c r="W16" s="268"/>
      <c r="X16" s="268"/>
      <c r="Y16" s="268"/>
      <c r="Z16" s="268"/>
      <c r="AA16" s="268"/>
      <c r="AB16" s="268" t="s">
        <v>344</v>
      </c>
      <c r="AC16" s="273"/>
      <c r="AD16" s="118">
        <v>2810000</v>
      </c>
      <c r="AE16" s="297" t="s">
        <v>343</v>
      </c>
    </row>
    <row r="17" spans="1:31" s="11" customFormat="1" ht="21" customHeight="1">
      <c r="A17" s="37"/>
      <c r="B17" s="38"/>
      <c r="C17" s="38"/>
      <c r="D17" s="130"/>
      <c r="E17" s="94"/>
      <c r="F17" s="94"/>
      <c r="G17" s="94"/>
      <c r="H17" s="94"/>
      <c r="I17" s="94"/>
      <c r="J17" s="94"/>
      <c r="K17" s="94"/>
      <c r="L17" s="94"/>
      <c r="M17" s="94"/>
      <c r="N17" s="58"/>
      <c r="O17" s="272" t="s">
        <v>433</v>
      </c>
      <c r="P17" s="272"/>
      <c r="Q17" s="272"/>
      <c r="R17" s="272"/>
      <c r="S17" s="272"/>
      <c r="T17" s="268"/>
      <c r="U17" s="268"/>
      <c r="V17" s="268"/>
      <c r="W17" s="268"/>
      <c r="X17" s="268"/>
      <c r="Y17" s="268"/>
      <c r="Z17" s="268"/>
      <c r="AA17" s="268"/>
      <c r="AB17" s="268" t="s">
        <v>437</v>
      </c>
      <c r="AC17" s="273"/>
      <c r="AD17" s="118">
        <v>1117000</v>
      </c>
      <c r="AE17" s="297" t="s">
        <v>343</v>
      </c>
    </row>
    <row r="18" spans="1:31" s="11" customFormat="1" ht="21" customHeight="1">
      <c r="A18" s="37"/>
      <c r="B18" s="38"/>
      <c r="C18" s="38"/>
      <c r="D18" s="130"/>
      <c r="E18" s="94"/>
      <c r="F18" s="94"/>
      <c r="G18" s="94"/>
      <c r="H18" s="94"/>
      <c r="I18" s="94"/>
      <c r="J18" s="94"/>
      <c r="K18" s="94"/>
      <c r="L18" s="94"/>
      <c r="M18" s="94"/>
      <c r="N18" s="58"/>
      <c r="O18" s="272"/>
      <c r="P18" s="272"/>
      <c r="Q18" s="272"/>
      <c r="R18" s="272"/>
      <c r="S18" s="272"/>
      <c r="T18" s="268"/>
      <c r="U18" s="268"/>
      <c r="V18" s="268"/>
      <c r="W18" s="268"/>
      <c r="X18" s="268"/>
      <c r="Y18" s="268"/>
      <c r="Z18" s="268"/>
      <c r="AA18" s="268"/>
      <c r="AB18" s="268"/>
      <c r="AC18" s="273"/>
      <c r="AD18" s="273"/>
      <c r="AE18" s="297"/>
    </row>
    <row r="19" spans="1:31" s="11" customFormat="1" ht="21" customHeight="1">
      <c r="A19" s="37"/>
      <c r="B19" s="38"/>
      <c r="C19" s="38"/>
      <c r="D19" s="130"/>
      <c r="E19" s="94"/>
      <c r="F19" s="94"/>
      <c r="G19" s="94"/>
      <c r="H19" s="94"/>
      <c r="I19" s="94"/>
      <c r="J19" s="94"/>
      <c r="K19" s="94"/>
      <c r="L19" s="94"/>
      <c r="M19" s="94"/>
      <c r="N19" s="58"/>
      <c r="O19" s="375" t="s">
        <v>356</v>
      </c>
      <c r="P19" s="272"/>
      <c r="Q19" s="272"/>
      <c r="R19" s="272"/>
      <c r="S19" s="272"/>
      <c r="T19" s="268"/>
      <c r="U19" s="268"/>
      <c r="V19" s="268"/>
      <c r="W19" s="339" t="s">
        <v>354</v>
      </c>
      <c r="X19" s="339"/>
      <c r="Y19" s="339"/>
      <c r="Z19" s="339"/>
      <c r="AA19" s="339"/>
      <c r="AB19" s="339"/>
      <c r="AC19" s="340" t="s">
        <v>355</v>
      </c>
      <c r="AD19" s="340">
        <f>SUM(AD20:AD21)</f>
        <v>480000</v>
      </c>
      <c r="AE19" s="341" t="s">
        <v>343</v>
      </c>
    </row>
    <row r="20" spans="1:31" s="11" customFormat="1" ht="21" customHeight="1">
      <c r="A20" s="37"/>
      <c r="B20" s="38"/>
      <c r="C20" s="38"/>
      <c r="D20" s="130"/>
      <c r="E20" s="94"/>
      <c r="F20" s="94"/>
      <c r="G20" s="94"/>
      <c r="H20" s="94"/>
      <c r="I20" s="94"/>
      <c r="J20" s="94"/>
      <c r="K20" s="94"/>
      <c r="L20" s="94"/>
      <c r="M20" s="94"/>
      <c r="N20" s="58"/>
      <c r="O20" s="272" t="s">
        <v>432</v>
      </c>
      <c r="P20" s="272"/>
      <c r="Q20" s="272"/>
      <c r="R20" s="272"/>
      <c r="S20" s="272"/>
      <c r="T20" s="268"/>
      <c r="U20" s="268"/>
      <c r="V20" s="268"/>
      <c r="W20" s="268"/>
      <c r="X20" s="268"/>
      <c r="Y20" s="268"/>
      <c r="Z20" s="268"/>
      <c r="AA20" s="268"/>
      <c r="AB20" s="268" t="s">
        <v>344</v>
      </c>
      <c r="AC20" s="273"/>
      <c r="AD20" s="273">
        <v>480000</v>
      </c>
      <c r="AE20" s="297" t="s">
        <v>343</v>
      </c>
    </row>
    <row r="21" spans="1:31" s="11" customFormat="1" ht="21" customHeight="1">
      <c r="A21" s="37"/>
      <c r="B21" s="38"/>
      <c r="C21" s="38"/>
      <c r="D21" s="130"/>
      <c r="E21" s="94"/>
      <c r="F21" s="94"/>
      <c r="G21" s="94"/>
      <c r="H21" s="94"/>
      <c r="I21" s="94"/>
      <c r="J21" s="94"/>
      <c r="K21" s="94"/>
      <c r="L21" s="94"/>
      <c r="M21" s="94"/>
      <c r="N21" s="58"/>
      <c r="O21" s="272" t="s">
        <v>433</v>
      </c>
      <c r="P21" s="272"/>
      <c r="Q21" s="272"/>
      <c r="R21" s="272"/>
      <c r="S21" s="272"/>
      <c r="T21" s="268"/>
      <c r="U21" s="268"/>
      <c r="V21" s="268"/>
      <c r="W21" s="268"/>
      <c r="X21" s="268"/>
      <c r="Y21" s="268"/>
      <c r="Z21" s="268"/>
      <c r="AA21" s="268"/>
      <c r="AB21" s="268" t="s">
        <v>437</v>
      </c>
      <c r="AC21" s="273"/>
      <c r="AD21" s="273">
        <v>0</v>
      </c>
      <c r="AE21" s="297" t="s">
        <v>343</v>
      </c>
    </row>
    <row r="22" spans="1:31" s="11" customFormat="1" ht="21" customHeight="1">
      <c r="A22" s="37"/>
      <c r="B22" s="38"/>
      <c r="C22" s="38"/>
      <c r="D22" s="130"/>
      <c r="E22" s="94"/>
      <c r="F22" s="94"/>
      <c r="G22" s="94"/>
      <c r="H22" s="94"/>
      <c r="I22" s="94"/>
      <c r="J22" s="94"/>
      <c r="K22" s="94"/>
      <c r="L22" s="94"/>
      <c r="M22" s="94"/>
      <c r="N22" s="58"/>
      <c r="O22" s="272"/>
      <c r="P22" s="272"/>
      <c r="Q22" s="272"/>
      <c r="R22" s="272"/>
      <c r="S22" s="272"/>
      <c r="T22" s="268"/>
      <c r="U22" s="268"/>
      <c r="V22" s="268"/>
      <c r="W22" s="268"/>
      <c r="X22" s="268"/>
      <c r="Y22" s="268"/>
      <c r="Z22" s="268"/>
      <c r="AA22" s="268"/>
      <c r="AB22" s="268"/>
      <c r="AC22" s="273"/>
      <c r="AD22" s="273"/>
      <c r="AE22" s="297"/>
    </row>
    <row r="23" spans="1:31" s="11" customFormat="1" ht="21" customHeight="1">
      <c r="A23" s="37"/>
      <c r="B23" s="38"/>
      <c r="C23" s="38"/>
      <c r="D23" s="130"/>
      <c r="E23" s="94"/>
      <c r="F23" s="94"/>
      <c r="G23" s="94"/>
      <c r="H23" s="94"/>
      <c r="I23" s="94"/>
      <c r="J23" s="94"/>
      <c r="K23" s="94"/>
      <c r="L23" s="94"/>
      <c r="M23" s="94"/>
      <c r="N23" s="58"/>
      <c r="O23" s="375" t="s">
        <v>357</v>
      </c>
      <c r="P23" s="272"/>
      <c r="Q23" s="272"/>
      <c r="R23" s="272"/>
      <c r="S23" s="272"/>
      <c r="T23" s="268"/>
      <c r="U23" s="268"/>
      <c r="V23" s="268"/>
      <c r="W23" s="339" t="s">
        <v>354</v>
      </c>
      <c r="X23" s="339"/>
      <c r="Y23" s="339"/>
      <c r="Z23" s="339"/>
      <c r="AA23" s="339"/>
      <c r="AB23" s="339"/>
      <c r="AC23" s="340" t="s">
        <v>355</v>
      </c>
      <c r="AD23" s="340">
        <f>ROUND(SUM(AD24:AD25),-3)</f>
        <v>3856000</v>
      </c>
      <c r="AE23" s="341" t="s">
        <v>343</v>
      </c>
    </row>
    <row r="24" spans="1:31" s="11" customFormat="1" ht="21" customHeight="1">
      <c r="A24" s="37"/>
      <c r="B24" s="38"/>
      <c r="C24" s="38"/>
      <c r="D24" s="130"/>
      <c r="E24" s="94"/>
      <c r="F24" s="94"/>
      <c r="G24" s="94"/>
      <c r="H24" s="94"/>
      <c r="I24" s="94"/>
      <c r="J24" s="94"/>
      <c r="K24" s="94"/>
      <c r="L24" s="94"/>
      <c r="M24" s="94"/>
      <c r="N24" s="58"/>
      <c r="O24" s="272" t="s">
        <v>432</v>
      </c>
      <c r="P24" s="272"/>
      <c r="Q24" s="272"/>
      <c r="R24" s="272"/>
      <c r="S24" s="272"/>
      <c r="T24" s="268"/>
      <c r="U24" s="268"/>
      <c r="V24" s="268"/>
      <c r="W24" s="268"/>
      <c r="X24" s="268"/>
      <c r="Y24" s="268"/>
      <c r="Z24" s="268"/>
      <c r="AA24" s="268"/>
      <c r="AB24" s="268" t="s">
        <v>344</v>
      </c>
      <c r="AC24" s="273"/>
      <c r="AD24" s="118">
        <v>3805000</v>
      </c>
      <c r="AE24" s="297" t="s">
        <v>343</v>
      </c>
    </row>
    <row r="25" spans="1:31" s="11" customFormat="1" ht="21" customHeight="1">
      <c r="A25" s="37"/>
      <c r="B25" s="38"/>
      <c r="C25" s="38"/>
      <c r="D25" s="130"/>
      <c r="E25" s="94"/>
      <c r="F25" s="94"/>
      <c r="G25" s="94"/>
      <c r="H25" s="94"/>
      <c r="I25" s="94"/>
      <c r="J25" s="94"/>
      <c r="K25" s="94"/>
      <c r="L25" s="94"/>
      <c r="M25" s="94"/>
      <c r="N25" s="58"/>
      <c r="O25" s="272" t="s">
        <v>433</v>
      </c>
      <c r="P25" s="272"/>
      <c r="Q25" s="272"/>
      <c r="R25" s="272"/>
      <c r="S25" s="272"/>
      <c r="T25" s="268"/>
      <c r="U25" s="268"/>
      <c r="V25" s="268"/>
      <c r="W25" s="268"/>
      <c r="X25" s="268"/>
      <c r="Y25" s="268"/>
      <c r="Z25" s="268"/>
      <c r="AA25" s="268"/>
      <c r="AB25" s="268" t="s">
        <v>437</v>
      </c>
      <c r="AC25" s="273"/>
      <c r="AD25" s="118">
        <v>51000</v>
      </c>
      <c r="AE25" s="297" t="s">
        <v>343</v>
      </c>
    </row>
    <row r="26" spans="1:31" s="11" customFormat="1" ht="21" customHeight="1">
      <c r="A26" s="37"/>
      <c r="B26" s="38"/>
      <c r="C26" s="38"/>
      <c r="D26" s="130"/>
      <c r="E26" s="94"/>
      <c r="F26" s="94"/>
      <c r="G26" s="94"/>
      <c r="H26" s="94"/>
      <c r="I26" s="94"/>
      <c r="J26" s="94"/>
      <c r="K26" s="94"/>
      <c r="L26" s="94"/>
      <c r="M26" s="94"/>
      <c r="N26" s="58"/>
      <c r="O26" s="272"/>
      <c r="P26" s="272"/>
      <c r="Q26" s="272"/>
      <c r="R26" s="272"/>
      <c r="S26" s="272"/>
      <c r="T26" s="268"/>
      <c r="U26" s="268"/>
      <c r="V26" s="268"/>
      <c r="W26" s="268"/>
      <c r="X26" s="268"/>
      <c r="Y26" s="268"/>
      <c r="Z26" s="268"/>
      <c r="AA26" s="268"/>
      <c r="AB26" s="268"/>
      <c r="AC26" s="273"/>
      <c r="AD26" s="118"/>
      <c r="AE26" s="297"/>
    </row>
    <row r="27" spans="1:31" s="11" customFormat="1" ht="21" customHeight="1">
      <c r="A27" s="37"/>
      <c r="B27" s="38"/>
      <c r="C27" s="38"/>
      <c r="D27" s="130"/>
      <c r="E27" s="94"/>
      <c r="F27" s="94"/>
      <c r="G27" s="94"/>
      <c r="H27" s="94"/>
      <c r="I27" s="94"/>
      <c r="J27" s="94"/>
      <c r="K27" s="94"/>
      <c r="L27" s="94"/>
      <c r="M27" s="94"/>
      <c r="N27" s="58"/>
      <c r="O27" s="375" t="s">
        <v>434</v>
      </c>
      <c r="P27" s="272"/>
      <c r="Q27" s="272"/>
      <c r="R27" s="272"/>
      <c r="S27" s="272"/>
      <c r="T27" s="268"/>
      <c r="U27" s="268"/>
      <c r="V27" s="268"/>
      <c r="W27" s="339" t="s">
        <v>354</v>
      </c>
      <c r="X27" s="339"/>
      <c r="Y27" s="339"/>
      <c r="Z27" s="339"/>
      <c r="AA27" s="339"/>
      <c r="AB27" s="339"/>
      <c r="AC27" s="340" t="s">
        <v>355</v>
      </c>
      <c r="AD27" s="340">
        <f>ROUND(SUM(AD28:AD29),-3)</f>
        <v>2227000</v>
      </c>
      <c r="AE27" s="341" t="s">
        <v>343</v>
      </c>
    </row>
    <row r="28" spans="1:31" s="11" customFormat="1" ht="21" customHeight="1">
      <c r="A28" s="37"/>
      <c r="B28" s="38"/>
      <c r="C28" s="38"/>
      <c r="D28" s="130"/>
      <c r="E28" s="94"/>
      <c r="F28" s="94"/>
      <c r="G28" s="94"/>
      <c r="H28" s="94"/>
      <c r="I28" s="94"/>
      <c r="J28" s="94"/>
      <c r="K28" s="94"/>
      <c r="L28" s="94"/>
      <c r="M28" s="94"/>
      <c r="N28" s="58"/>
      <c r="O28" s="272" t="s">
        <v>432</v>
      </c>
      <c r="P28" s="272"/>
      <c r="Q28" s="272"/>
      <c r="R28" s="272"/>
      <c r="S28" s="272"/>
      <c r="T28" s="268"/>
      <c r="U28" s="268"/>
      <c r="V28" s="268"/>
      <c r="W28" s="268"/>
      <c r="X28" s="268"/>
      <c r="Y28" s="268"/>
      <c r="Z28" s="268"/>
      <c r="AA28" s="268"/>
      <c r="AB28" s="268" t="s">
        <v>344</v>
      </c>
      <c r="AC28" s="273"/>
      <c r="AD28" s="118">
        <v>1336000</v>
      </c>
      <c r="AE28" s="297" t="s">
        <v>343</v>
      </c>
    </row>
    <row r="29" spans="1:31" s="11" customFormat="1" ht="21" customHeight="1">
      <c r="A29" s="37"/>
      <c r="B29" s="38"/>
      <c r="C29" s="38"/>
      <c r="D29" s="130"/>
      <c r="E29" s="94"/>
      <c r="F29" s="94"/>
      <c r="G29" s="94"/>
      <c r="H29" s="94"/>
      <c r="I29" s="94"/>
      <c r="J29" s="94"/>
      <c r="K29" s="94"/>
      <c r="L29" s="94"/>
      <c r="M29" s="94"/>
      <c r="N29" s="58"/>
      <c r="O29" s="272" t="s">
        <v>433</v>
      </c>
      <c r="P29" s="272"/>
      <c r="Q29" s="272"/>
      <c r="R29" s="272"/>
      <c r="S29" s="272"/>
      <c r="T29" s="268"/>
      <c r="U29" s="268"/>
      <c r="V29" s="268"/>
      <c r="W29" s="268"/>
      <c r="X29" s="268"/>
      <c r="Y29" s="268"/>
      <c r="Z29" s="268"/>
      <c r="AA29" s="268"/>
      <c r="AB29" s="268" t="s">
        <v>437</v>
      </c>
      <c r="AC29" s="273"/>
      <c r="AD29" s="118">
        <v>891000</v>
      </c>
      <c r="AE29" s="297" t="s">
        <v>343</v>
      </c>
    </row>
    <row r="30" spans="1:31" s="11" customFormat="1" ht="21" customHeight="1">
      <c r="A30" s="37"/>
      <c r="B30" s="38"/>
      <c r="C30" s="38"/>
      <c r="D30" s="130"/>
      <c r="E30" s="94"/>
      <c r="F30" s="94"/>
      <c r="G30" s="94"/>
      <c r="H30" s="94"/>
      <c r="I30" s="94"/>
      <c r="J30" s="94"/>
      <c r="K30" s="94"/>
      <c r="L30" s="94"/>
      <c r="M30" s="94"/>
      <c r="N30" s="58"/>
      <c r="O30" s="272"/>
      <c r="P30" s="272"/>
      <c r="Q30" s="272"/>
      <c r="R30" s="272"/>
      <c r="S30" s="272"/>
      <c r="T30" s="268"/>
      <c r="U30" s="268"/>
      <c r="V30" s="268"/>
      <c r="W30" s="268"/>
      <c r="X30" s="268"/>
      <c r="Y30" s="268"/>
      <c r="Z30" s="268"/>
      <c r="AA30" s="268"/>
      <c r="AB30" s="268"/>
      <c r="AC30" s="273"/>
      <c r="AD30" s="118"/>
      <c r="AE30" s="297"/>
    </row>
    <row r="31" spans="1:31" s="11" customFormat="1" ht="21" customHeight="1">
      <c r="A31" s="37"/>
      <c r="B31" s="38"/>
      <c r="C31" s="38"/>
      <c r="D31" s="130"/>
      <c r="E31" s="94"/>
      <c r="F31" s="94"/>
      <c r="G31" s="94"/>
      <c r="H31" s="94"/>
      <c r="I31" s="94"/>
      <c r="J31" s="94"/>
      <c r="K31" s="94"/>
      <c r="L31" s="94"/>
      <c r="M31" s="94"/>
      <c r="N31" s="58"/>
      <c r="O31" s="375" t="s">
        <v>435</v>
      </c>
      <c r="P31" s="272"/>
      <c r="Q31" s="272"/>
      <c r="R31" s="272"/>
      <c r="S31" s="272"/>
      <c r="T31" s="268"/>
      <c r="U31" s="268"/>
      <c r="V31" s="268"/>
      <c r="W31" s="339" t="s">
        <v>354</v>
      </c>
      <c r="X31" s="339"/>
      <c r="Y31" s="339"/>
      <c r="Z31" s="339"/>
      <c r="AA31" s="339"/>
      <c r="AB31" s="339"/>
      <c r="AC31" s="340" t="s">
        <v>355</v>
      </c>
      <c r="AD31" s="340">
        <f>SUM(AD32:AD33)</f>
        <v>0</v>
      </c>
      <c r="AE31" s="341" t="s">
        <v>343</v>
      </c>
    </row>
    <row r="32" spans="1:31" s="11" customFormat="1" ht="21" customHeight="1">
      <c r="A32" s="37"/>
      <c r="B32" s="38"/>
      <c r="C32" s="38"/>
      <c r="D32" s="130"/>
      <c r="E32" s="94"/>
      <c r="F32" s="94"/>
      <c r="G32" s="94"/>
      <c r="H32" s="94"/>
      <c r="I32" s="94"/>
      <c r="J32" s="94"/>
      <c r="K32" s="94"/>
      <c r="L32" s="94"/>
      <c r="M32" s="94"/>
      <c r="N32" s="58"/>
      <c r="O32" s="272" t="s">
        <v>358</v>
      </c>
      <c r="P32" s="272"/>
      <c r="Q32" s="272"/>
      <c r="R32" s="272"/>
      <c r="S32" s="289">
        <v>0</v>
      </c>
      <c r="T32" s="289" t="s">
        <v>343</v>
      </c>
      <c r="U32" s="290" t="s">
        <v>345</v>
      </c>
      <c r="V32" s="289">
        <v>1</v>
      </c>
      <c r="W32" s="289" t="s">
        <v>359</v>
      </c>
      <c r="X32" s="290" t="s">
        <v>345</v>
      </c>
      <c r="Y32" s="292">
        <v>9</v>
      </c>
      <c r="Z32" s="417" t="s">
        <v>346</v>
      </c>
      <c r="AA32" s="417" t="s">
        <v>347</v>
      </c>
      <c r="AB32" s="268" t="s">
        <v>348</v>
      </c>
      <c r="AC32" s="273"/>
      <c r="AD32" s="118">
        <f>S32*V32*Y32</f>
        <v>0</v>
      </c>
      <c r="AE32" s="297" t="s">
        <v>343</v>
      </c>
    </row>
    <row r="33" spans="1:31" s="11" customFormat="1" ht="21" customHeight="1">
      <c r="A33" s="37"/>
      <c r="B33" s="38"/>
      <c r="C33" s="38"/>
      <c r="D33" s="130"/>
      <c r="E33" s="94"/>
      <c r="F33" s="94"/>
      <c r="G33" s="94"/>
      <c r="H33" s="94"/>
      <c r="I33" s="94"/>
      <c r="J33" s="94"/>
      <c r="K33" s="94"/>
      <c r="L33" s="94"/>
      <c r="M33" s="94"/>
      <c r="N33" s="58"/>
      <c r="O33" s="272" t="s">
        <v>436</v>
      </c>
      <c r="P33" s="272"/>
      <c r="Q33" s="272"/>
      <c r="R33" s="272"/>
      <c r="S33" s="289"/>
      <c r="T33" s="289"/>
      <c r="U33" s="290"/>
      <c r="V33" s="289"/>
      <c r="W33" s="289"/>
      <c r="X33" s="290"/>
      <c r="Y33" s="292"/>
      <c r="Z33" s="417"/>
      <c r="AA33" s="417"/>
      <c r="AB33" s="268" t="s">
        <v>348</v>
      </c>
      <c r="AC33" s="273"/>
      <c r="AD33" s="118">
        <v>0</v>
      </c>
      <c r="AE33" s="297" t="s">
        <v>343</v>
      </c>
    </row>
    <row r="34" spans="1:31" s="11" customFormat="1" ht="21" customHeight="1">
      <c r="A34" s="37"/>
      <c r="B34" s="38"/>
      <c r="C34" s="38"/>
      <c r="D34" s="130"/>
      <c r="E34" s="94"/>
      <c r="F34" s="94"/>
      <c r="G34" s="94"/>
      <c r="H34" s="94"/>
      <c r="I34" s="94"/>
      <c r="J34" s="94"/>
      <c r="K34" s="94"/>
      <c r="L34" s="94"/>
      <c r="M34" s="94"/>
      <c r="N34" s="58"/>
      <c r="O34" s="272"/>
      <c r="P34" s="272"/>
      <c r="Q34" s="272"/>
      <c r="R34" s="272"/>
      <c r="S34" s="268"/>
      <c r="T34" s="327"/>
      <c r="U34" s="377"/>
      <c r="V34" s="327"/>
      <c r="W34" s="378"/>
      <c r="X34" s="378"/>
      <c r="Y34" s="268"/>
      <c r="Z34" s="268"/>
      <c r="AA34" s="268"/>
      <c r="AB34" s="268"/>
      <c r="AC34" s="268"/>
      <c r="AD34" s="268"/>
      <c r="AE34" s="297"/>
    </row>
    <row r="35" spans="1:31" s="11" customFormat="1" ht="21" customHeight="1">
      <c r="A35" s="37"/>
      <c r="B35" s="38"/>
      <c r="C35" s="28" t="s">
        <v>9</v>
      </c>
      <c r="D35" s="132">
        <v>2904</v>
      </c>
      <c r="E35" s="100">
        <f>ROUND(AD35/1000,0)</f>
        <v>4750</v>
      </c>
      <c r="F35" s="100">
        <f>SUMIF($AB$36:$AB$43,"보조",$AD$36:$AD$43)/1000</f>
        <v>4750</v>
      </c>
      <c r="G35" s="100">
        <f>SUMIF($AB$36:$AB$43,"4종",$AD$36:$AD$43)/1000</f>
        <v>0</v>
      </c>
      <c r="H35" s="100">
        <f>SUMIF($AB$36:$AB$43,"6종",$AD$36:$AD$43)/1000</f>
        <v>0</v>
      </c>
      <c r="I35" s="100">
        <f>SUMIF($AB$36:$AB$43,"후원",$AD$36:$AD$43)/1000</f>
        <v>0</v>
      </c>
      <c r="J35" s="100">
        <f>SUMIF($AB$36:$AB$43,"입소",$AD$36:$AD$43)/1000</f>
        <v>0</v>
      </c>
      <c r="K35" s="100">
        <f>SUMIF($AB$36:$AB$43,"법인",$AD$36:$AD$43)/1000</f>
        <v>0</v>
      </c>
      <c r="L35" s="100">
        <f>SUMIF($AB$36:$AB$43,"잡수",$AD$36:$AD$43)/1000</f>
        <v>0</v>
      </c>
      <c r="M35" s="99">
        <f>E35-D35</f>
        <v>1846</v>
      </c>
      <c r="N35" s="106">
        <f>IF(D35=0,0,M35/D35)</f>
        <v>0.63567493112947659</v>
      </c>
      <c r="O35" s="83" t="s">
        <v>35</v>
      </c>
      <c r="P35" s="422"/>
      <c r="Q35" s="151"/>
      <c r="R35" s="151"/>
      <c r="S35" s="151"/>
      <c r="T35" s="150"/>
      <c r="U35" s="150"/>
      <c r="V35" s="150"/>
      <c r="W35" s="421" t="s">
        <v>354</v>
      </c>
      <c r="X35" s="421"/>
      <c r="Y35" s="421"/>
      <c r="Z35" s="421"/>
      <c r="AA35" s="421"/>
      <c r="AB35" s="421"/>
      <c r="AC35" s="144" t="s">
        <v>355</v>
      </c>
      <c r="AD35" s="144">
        <f>SUM(AD36,AD40)</f>
        <v>4750000</v>
      </c>
      <c r="AE35" s="143" t="s">
        <v>343</v>
      </c>
    </row>
    <row r="36" spans="1:31" s="11" customFormat="1" ht="21" customHeight="1">
      <c r="A36" s="37"/>
      <c r="B36" s="38"/>
      <c r="C36" s="38"/>
      <c r="D36" s="435"/>
      <c r="E36" s="436"/>
      <c r="F36" s="436"/>
      <c r="G36" s="436"/>
      <c r="H36" s="436"/>
      <c r="I36" s="436"/>
      <c r="J36" s="436"/>
      <c r="K36" s="436"/>
      <c r="L36" s="436"/>
      <c r="M36" s="101"/>
      <c r="N36" s="58"/>
      <c r="O36" s="375" t="s">
        <v>439</v>
      </c>
      <c r="P36" s="272"/>
      <c r="Q36" s="272"/>
      <c r="R36" s="272"/>
      <c r="S36" s="272"/>
      <c r="T36" s="268"/>
      <c r="U36" s="268"/>
      <c r="V36" s="268"/>
      <c r="W36" s="339" t="s">
        <v>354</v>
      </c>
      <c r="X36" s="339"/>
      <c r="Y36" s="339"/>
      <c r="Z36" s="339"/>
      <c r="AA36" s="339"/>
      <c r="AB36" s="339"/>
      <c r="AC36" s="340"/>
      <c r="AD36" s="340">
        <f>SUM(AD37:AD38)</f>
        <v>4750000</v>
      </c>
      <c r="AE36" s="341" t="s">
        <v>343</v>
      </c>
    </row>
    <row r="37" spans="1:31" s="11" customFormat="1" ht="21" customHeight="1">
      <c r="A37" s="37"/>
      <c r="B37" s="38"/>
      <c r="C37" s="38"/>
      <c r="D37" s="437"/>
      <c r="E37" s="438"/>
      <c r="F37" s="438"/>
      <c r="G37" s="438"/>
      <c r="H37" s="438"/>
      <c r="I37" s="438"/>
      <c r="J37" s="438"/>
      <c r="K37" s="438"/>
      <c r="L37" s="438"/>
      <c r="M37" s="101"/>
      <c r="N37" s="58"/>
      <c r="O37" s="272" t="s">
        <v>360</v>
      </c>
      <c r="P37" s="272"/>
      <c r="Q37" s="272"/>
      <c r="R37" s="272"/>
      <c r="S37" s="268">
        <f>SUM(AD8,AD16,AD20,AD24,AD28)</f>
        <v>36339000</v>
      </c>
      <c r="T37" s="324" t="s">
        <v>343</v>
      </c>
      <c r="U37" s="324" t="s">
        <v>361</v>
      </c>
      <c r="V37" s="379">
        <v>12</v>
      </c>
      <c r="W37" s="323" t="s">
        <v>346</v>
      </c>
      <c r="X37" s="268"/>
      <c r="Y37" s="268"/>
      <c r="Z37" s="268"/>
      <c r="AA37" s="268" t="s">
        <v>347</v>
      </c>
      <c r="AB37" s="268" t="s">
        <v>344</v>
      </c>
      <c r="AC37" s="273"/>
      <c r="AD37" s="118">
        <f>ROUND(S37/V37,-3)</f>
        <v>3028000</v>
      </c>
      <c r="AE37" s="297" t="s">
        <v>343</v>
      </c>
    </row>
    <row r="38" spans="1:31" s="11" customFormat="1" ht="21" customHeight="1">
      <c r="A38" s="37"/>
      <c r="B38" s="38"/>
      <c r="C38" s="38"/>
      <c r="D38" s="133"/>
      <c r="E38" s="94"/>
      <c r="F38" s="94"/>
      <c r="G38" s="94"/>
      <c r="H38" s="94"/>
      <c r="I38" s="94"/>
      <c r="J38" s="94"/>
      <c r="K38" s="94"/>
      <c r="L38" s="94"/>
      <c r="M38" s="101"/>
      <c r="N38" s="58"/>
      <c r="O38" s="272" t="s">
        <v>438</v>
      </c>
      <c r="P38" s="272"/>
      <c r="Q38" s="272"/>
      <c r="R38" s="272"/>
      <c r="S38" s="268">
        <f>SUM(AD9,AD17,AD21,AD25,AD29)</f>
        <v>20665000</v>
      </c>
      <c r="T38" s="324" t="s">
        <v>343</v>
      </c>
      <c r="U38" s="324" t="s">
        <v>361</v>
      </c>
      <c r="V38" s="379">
        <v>12</v>
      </c>
      <c r="W38" s="323" t="s">
        <v>346</v>
      </c>
      <c r="X38" s="268"/>
      <c r="Y38" s="268"/>
      <c r="Z38" s="268"/>
      <c r="AA38" s="268" t="s">
        <v>347</v>
      </c>
      <c r="AB38" s="268" t="s">
        <v>344</v>
      </c>
      <c r="AC38" s="273"/>
      <c r="AD38" s="118">
        <f>ROUND(S38/V38,-3)</f>
        <v>1722000</v>
      </c>
      <c r="AE38" s="297" t="s">
        <v>343</v>
      </c>
    </row>
    <row r="39" spans="1:31" s="11" customFormat="1" ht="21" customHeight="1">
      <c r="A39" s="37"/>
      <c r="B39" s="38"/>
      <c r="C39" s="38"/>
      <c r="D39" s="133"/>
      <c r="E39" s="94"/>
      <c r="F39" s="94"/>
      <c r="G39" s="94"/>
      <c r="H39" s="94"/>
      <c r="I39" s="94"/>
      <c r="J39" s="94"/>
      <c r="K39" s="94"/>
      <c r="L39" s="94"/>
      <c r="M39" s="101"/>
      <c r="N39" s="58"/>
      <c r="O39" s="272"/>
      <c r="P39" s="272"/>
      <c r="Q39" s="272"/>
      <c r="R39" s="272"/>
      <c r="S39" s="268"/>
      <c r="T39" s="324"/>
      <c r="U39" s="324"/>
      <c r="V39" s="379"/>
      <c r="W39" s="323"/>
      <c r="X39" s="268"/>
      <c r="Y39" s="268"/>
      <c r="Z39" s="268"/>
      <c r="AA39" s="268"/>
      <c r="AB39" s="268"/>
      <c r="AC39" s="273"/>
      <c r="AD39" s="118"/>
      <c r="AE39" s="297"/>
    </row>
    <row r="40" spans="1:31" s="11" customFormat="1" ht="21" customHeight="1">
      <c r="A40" s="37"/>
      <c r="B40" s="38"/>
      <c r="C40" s="38"/>
      <c r="D40" s="133"/>
      <c r="E40" s="94"/>
      <c r="F40" s="94"/>
      <c r="G40" s="94"/>
      <c r="H40" s="94"/>
      <c r="I40" s="94"/>
      <c r="J40" s="94"/>
      <c r="K40" s="94"/>
      <c r="L40" s="94"/>
      <c r="M40" s="101"/>
      <c r="N40" s="58"/>
      <c r="O40" s="375" t="s">
        <v>440</v>
      </c>
      <c r="P40" s="272"/>
      <c r="Q40" s="272"/>
      <c r="R40" s="272"/>
      <c r="S40" s="272"/>
      <c r="T40" s="268"/>
      <c r="U40" s="268"/>
      <c r="V40" s="268"/>
      <c r="W40" s="339" t="s">
        <v>362</v>
      </c>
      <c r="X40" s="339"/>
      <c r="Y40" s="339"/>
      <c r="Z40" s="339"/>
      <c r="AA40" s="339"/>
      <c r="AB40" s="339"/>
      <c r="AC40" s="340" t="s">
        <v>363</v>
      </c>
      <c r="AD40" s="340">
        <f>SUM(AD41:AD42)</f>
        <v>0</v>
      </c>
      <c r="AE40" s="341" t="s">
        <v>364</v>
      </c>
    </row>
    <row r="41" spans="1:31" s="11" customFormat="1" ht="21" customHeight="1">
      <c r="A41" s="37"/>
      <c r="B41" s="38"/>
      <c r="C41" s="38"/>
      <c r="D41" s="133"/>
      <c r="E41" s="94"/>
      <c r="F41" s="94"/>
      <c r="G41" s="94"/>
      <c r="H41" s="94"/>
      <c r="I41" s="94"/>
      <c r="J41" s="94"/>
      <c r="K41" s="94"/>
      <c r="L41" s="94"/>
      <c r="M41" s="101"/>
      <c r="N41" s="58"/>
      <c r="O41" s="425" t="s">
        <v>441</v>
      </c>
      <c r="P41" s="425"/>
      <c r="Q41" s="425"/>
      <c r="R41" s="425"/>
      <c r="S41" s="424">
        <v>0</v>
      </c>
      <c r="T41" s="287" t="s">
        <v>343</v>
      </c>
      <c r="U41" s="287" t="s">
        <v>361</v>
      </c>
      <c r="V41" s="439">
        <v>12</v>
      </c>
      <c r="W41" s="386" t="s">
        <v>346</v>
      </c>
      <c r="X41" s="424"/>
      <c r="Y41" s="424"/>
      <c r="Z41" s="424"/>
      <c r="AA41" s="424" t="s">
        <v>347</v>
      </c>
      <c r="AB41" s="424" t="s">
        <v>348</v>
      </c>
      <c r="AC41" s="118"/>
      <c r="AD41" s="118">
        <f>ROUNDUP(S41/V41,-3)</f>
        <v>0</v>
      </c>
      <c r="AE41" s="119" t="s">
        <v>343</v>
      </c>
    </row>
    <row r="42" spans="1:31" s="11" customFormat="1" ht="21" customHeight="1">
      <c r="A42" s="37"/>
      <c r="B42" s="38"/>
      <c r="C42" s="38"/>
      <c r="D42" s="133"/>
      <c r="E42" s="94"/>
      <c r="F42" s="94"/>
      <c r="G42" s="94"/>
      <c r="H42" s="94"/>
      <c r="I42" s="94"/>
      <c r="J42" s="94"/>
      <c r="K42" s="94"/>
      <c r="L42" s="94"/>
      <c r="M42" s="101"/>
      <c r="N42" s="58"/>
      <c r="O42" s="425" t="s">
        <v>365</v>
      </c>
      <c r="P42" s="425"/>
      <c r="Q42" s="425"/>
      <c r="R42" s="425"/>
      <c r="S42" s="424">
        <f>($K$7+$K$14)*1000</f>
        <v>0</v>
      </c>
      <c r="T42" s="287" t="s">
        <v>343</v>
      </c>
      <c r="U42" s="287" t="s">
        <v>361</v>
      </c>
      <c r="V42" s="439">
        <v>12</v>
      </c>
      <c r="W42" s="386" t="s">
        <v>346</v>
      </c>
      <c r="X42" s="424"/>
      <c r="Y42" s="424"/>
      <c r="Z42" s="424"/>
      <c r="AA42" s="424" t="s">
        <v>347</v>
      </c>
      <c r="AB42" s="424" t="s">
        <v>348</v>
      </c>
      <c r="AC42" s="118"/>
      <c r="AD42" s="118">
        <f>ROUND(S42/V42,-3)</f>
        <v>0</v>
      </c>
      <c r="AE42" s="119" t="s">
        <v>343</v>
      </c>
    </row>
    <row r="43" spans="1:31" s="11" customFormat="1" ht="21" customHeight="1">
      <c r="A43" s="37"/>
      <c r="B43" s="38"/>
      <c r="C43" s="38"/>
      <c r="D43" s="134"/>
      <c r="E43" s="94"/>
      <c r="F43" s="94"/>
      <c r="G43" s="94"/>
      <c r="H43" s="94"/>
      <c r="I43" s="94"/>
      <c r="J43" s="94"/>
      <c r="K43" s="94"/>
      <c r="L43" s="94"/>
      <c r="M43" s="101"/>
      <c r="N43" s="58"/>
      <c r="O43" s="290"/>
      <c r="P43" s="149"/>
      <c r="Q43" s="149"/>
      <c r="R43" s="149"/>
      <c r="S43" s="149"/>
      <c r="T43" s="148"/>
      <c r="U43" s="148"/>
      <c r="V43" s="148"/>
      <c r="W43" s="148"/>
      <c r="X43" s="148"/>
      <c r="Y43" s="148"/>
      <c r="Z43" s="148"/>
      <c r="AA43" s="148"/>
      <c r="AB43" s="424"/>
      <c r="AC43" s="42"/>
      <c r="AD43" s="56"/>
      <c r="AE43" s="26"/>
    </row>
    <row r="44" spans="1:31" s="11" customFormat="1" ht="21" customHeight="1">
      <c r="A44" s="37"/>
      <c r="B44" s="38"/>
      <c r="C44" s="108" t="s">
        <v>366</v>
      </c>
      <c r="D44" s="132">
        <v>3552</v>
      </c>
      <c r="E44" s="100">
        <f>ROUND(AD44/1000,0)</f>
        <v>5894</v>
      </c>
      <c r="F44" s="100">
        <f>SUMIF($AB$45:$AB$67,"보조",$AD$45:$AD$67)/1000</f>
        <v>5894</v>
      </c>
      <c r="G44" s="100">
        <f>SUMIF($AB$45:$AB$67,"4종",$AD$45:$AD$67)/1000</f>
        <v>0</v>
      </c>
      <c r="H44" s="100">
        <f>SUMIF($AB$45:$AB$67,"6종",$AD$45:$AD$67)/1000</f>
        <v>0</v>
      </c>
      <c r="I44" s="100">
        <f>SUMIF($AB$45:$AB$67,"후원",$AD$45:$AD$67)/1000</f>
        <v>0</v>
      </c>
      <c r="J44" s="100">
        <f>SUMIF($AB$45:$AB$67,"입소",$AD$45:$AD$67)/1000</f>
        <v>0</v>
      </c>
      <c r="K44" s="100">
        <f>SUMIF($AB$45:$AB$67,"법인",$AD$45:$AD$67)/1000</f>
        <v>0</v>
      </c>
      <c r="L44" s="100">
        <f>SUMIF($AB$45:$AB$67,"잡수",$AD$45:$AD$67)/1000</f>
        <v>0</v>
      </c>
      <c r="M44" s="109">
        <f>E44-D44</f>
        <v>2342</v>
      </c>
      <c r="N44" s="106">
        <f>IF(D44=0,0,M44/D44)</f>
        <v>0.65934684684684686</v>
      </c>
      <c r="O44" s="83" t="s">
        <v>36</v>
      </c>
      <c r="P44" s="422"/>
      <c r="Q44" s="151"/>
      <c r="R44" s="151"/>
      <c r="S44" s="151"/>
      <c r="T44" s="150"/>
      <c r="U44" s="150"/>
      <c r="V44" s="150"/>
      <c r="W44" s="421" t="s">
        <v>367</v>
      </c>
      <c r="X44" s="421"/>
      <c r="Y44" s="421"/>
      <c r="Z44" s="421"/>
      <c r="AA44" s="421"/>
      <c r="AB44" s="421"/>
      <c r="AC44" s="144"/>
      <c r="AD44" s="144">
        <f>SUM(AD46,AD50,AD54,AD58,AD62,AD66)</f>
        <v>5894000</v>
      </c>
      <c r="AE44" s="143" t="s">
        <v>25</v>
      </c>
    </row>
    <row r="45" spans="1:31" s="11" customFormat="1" ht="21" customHeight="1">
      <c r="A45" s="37"/>
      <c r="B45" s="38"/>
      <c r="C45" s="38" t="s">
        <v>368</v>
      </c>
      <c r="D45" s="435"/>
      <c r="E45" s="436"/>
      <c r="F45" s="436"/>
      <c r="G45" s="436"/>
      <c r="H45" s="436"/>
      <c r="I45" s="436"/>
      <c r="J45" s="436"/>
      <c r="K45" s="436"/>
      <c r="L45" s="436"/>
      <c r="M45" s="101"/>
      <c r="N45" s="58"/>
      <c r="O45" s="149"/>
      <c r="P45" s="149"/>
      <c r="Q45" s="149"/>
      <c r="R45" s="149"/>
      <c r="S45" s="149"/>
      <c r="T45" s="148"/>
      <c r="U45" s="148"/>
      <c r="V45" s="148"/>
      <c r="W45" s="148"/>
      <c r="X45" s="148"/>
      <c r="Y45" s="148"/>
      <c r="Z45" s="148"/>
      <c r="AA45" s="148"/>
      <c r="AB45" s="148"/>
      <c r="AC45" s="42"/>
      <c r="AD45" s="42"/>
      <c r="AE45" s="26"/>
    </row>
    <row r="46" spans="1:31" s="11" customFormat="1" ht="21" customHeight="1">
      <c r="A46" s="37"/>
      <c r="B46" s="38"/>
      <c r="C46" s="38"/>
      <c r="D46" s="437"/>
      <c r="E46" s="438"/>
      <c r="F46" s="438"/>
      <c r="G46" s="438"/>
      <c r="H46" s="438"/>
      <c r="I46" s="438"/>
      <c r="J46" s="438"/>
      <c r="K46" s="438"/>
      <c r="L46" s="438"/>
      <c r="M46" s="101"/>
      <c r="N46" s="58"/>
      <c r="O46" s="375" t="s">
        <v>369</v>
      </c>
      <c r="P46" s="272"/>
      <c r="Q46" s="272"/>
      <c r="R46" s="272"/>
      <c r="S46" s="272"/>
      <c r="T46" s="268"/>
      <c r="U46" s="268"/>
      <c r="V46" s="268"/>
      <c r="W46" s="339" t="s">
        <v>354</v>
      </c>
      <c r="X46" s="339"/>
      <c r="Y46" s="339"/>
      <c r="Z46" s="339"/>
      <c r="AA46" s="339"/>
      <c r="AB46" s="339"/>
      <c r="AC46" s="340"/>
      <c r="AD46" s="340">
        <f>ROUND(SUM(AD47:AD48),-3)</f>
        <v>2566000</v>
      </c>
      <c r="AE46" s="341" t="s">
        <v>343</v>
      </c>
    </row>
    <row r="47" spans="1:31" s="11" customFormat="1" ht="21" customHeight="1">
      <c r="A47" s="37"/>
      <c r="B47" s="38"/>
      <c r="C47" s="38"/>
      <c r="D47" s="130"/>
      <c r="E47" s="94"/>
      <c r="F47" s="94"/>
      <c r="G47" s="94"/>
      <c r="H47" s="94"/>
      <c r="I47" s="94"/>
      <c r="J47" s="94"/>
      <c r="K47" s="94"/>
      <c r="L47" s="94"/>
      <c r="M47" s="94"/>
      <c r="N47" s="58"/>
      <c r="O47" s="272" t="s">
        <v>432</v>
      </c>
      <c r="P47" s="272"/>
      <c r="Q47" s="272"/>
      <c r="R47" s="272"/>
      <c r="S47" s="268">
        <f>S37</f>
        <v>36339000</v>
      </c>
      <c r="T47" s="324" t="s">
        <v>343</v>
      </c>
      <c r="U47" s="323" t="s">
        <v>345</v>
      </c>
      <c r="V47" s="380">
        <v>0.09</v>
      </c>
      <c r="W47" s="324" t="s">
        <v>361</v>
      </c>
      <c r="X47" s="381">
        <v>2</v>
      </c>
      <c r="Y47" s="326"/>
      <c r="Z47" s="326"/>
      <c r="AA47" s="324" t="s">
        <v>347</v>
      </c>
      <c r="AB47" s="268" t="s">
        <v>344</v>
      </c>
      <c r="AC47" s="273"/>
      <c r="AD47" s="118">
        <f>ROUNDUP(S47*V47/X47,-3)</f>
        <v>1636000</v>
      </c>
      <c r="AE47" s="297" t="s">
        <v>343</v>
      </c>
    </row>
    <row r="48" spans="1:31" s="11" customFormat="1" ht="21" customHeight="1">
      <c r="A48" s="37"/>
      <c r="B48" s="38"/>
      <c r="C48" s="38"/>
      <c r="D48" s="130"/>
      <c r="E48" s="94"/>
      <c r="F48" s="94"/>
      <c r="G48" s="94"/>
      <c r="H48" s="94"/>
      <c r="I48" s="94"/>
      <c r="J48" s="94"/>
      <c r="K48" s="94"/>
      <c r="L48" s="94"/>
      <c r="M48" s="94"/>
      <c r="N48" s="58"/>
      <c r="O48" s="272" t="s">
        <v>433</v>
      </c>
      <c r="P48" s="272"/>
      <c r="Q48" s="272"/>
      <c r="R48" s="272"/>
      <c r="S48" s="268">
        <f>S38</f>
        <v>20665000</v>
      </c>
      <c r="T48" s="324" t="s">
        <v>343</v>
      </c>
      <c r="U48" s="323" t="s">
        <v>345</v>
      </c>
      <c r="V48" s="380">
        <v>0.09</v>
      </c>
      <c r="W48" s="324" t="s">
        <v>361</v>
      </c>
      <c r="X48" s="381">
        <v>2</v>
      </c>
      <c r="Y48" s="326"/>
      <c r="Z48" s="326"/>
      <c r="AA48" s="324" t="s">
        <v>347</v>
      </c>
      <c r="AB48" s="268" t="s">
        <v>437</v>
      </c>
      <c r="AC48" s="273"/>
      <c r="AD48" s="118">
        <f>ROUNDUP(S48*V48/X48,-3)</f>
        <v>930000</v>
      </c>
      <c r="AE48" s="297" t="s">
        <v>343</v>
      </c>
    </row>
    <row r="49" spans="1:31" s="11" customFormat="1" ht="21" customHeight="1">
      <c r="A49" s="37"/>
      <c r="B49" s="38"/>
      <c r="C49" s="38"/>
      <c r="D49" s="130"/>
      <c r="E49" s="94"/>
      <c r="F49" s="94"/>
      <c r="G49" s="94"/>
      <c r="H49" s="94"/>
      <c r="I49" s="94"/>
      <c r="J49" s="94"/>
      <c r="K49" s="94"/>
      <c r="L49" s="94"/>
      <c r="M49" s="94"/>
      <c r="N49" s="58"/>
      <c r="O49" s="272"/>
      <c r="P49" s="272"/>
      <c r="Q49" s="272"/>
      <c r="R49" s="272"/>
      <c r="S49" s="272"/>
      <c r="T49" s="268"/>
      <c r="U49" s="268"/>
      <c r="V49" s="268"/>
      <c r="W49" s="268"/>
      <c r="X49" s="268"/>
      <c r="Y49" s="268"/>
      <c r="Z49" s="268"/>
      <c r="AA49" s="268"/>
      <c r="AB49" s="268"/>
      <c r="AC49" s="273"/>
      <c r="AD49" s="273"/>
      <c r="AE49" s="297"/>
    </row>
    <row r="50" spans="1:31" s="11" customFormat="1" ht="21" customHeight="1">
      <c r="A50" s="37"/>
      <c r="B50" s="38"/>
      <c r="C50" s="38"/>
      <c r="D50" s="130"/>
      <c r="E50" s="94"/>
      <c r="F50" s="94"/>
      <c r="G50" s="94"/>
      <c r="H50" s="94"/>
      <c r="I50" s="94"/>
      <c r="J50" s="94"/>
      <c r="K50" s="94"/>
      <c r="L50" s="94"/>
      <c r="M50" s="94"/>
      <c r="N50" s="58"/>
      <c r="O50" s="375" t="s">
        <v>370</v>
      </c>
      <c r="P50" s="272"/>
      <c r="Q50" s="272"/>
      <c r="R50" s="272"/>
      <c r="S50" s="272"/>
      <c r="T50" s="268"/>
      <c r="U50" s="268"/>
      <c r="V50" s="268"/>
      <c r="W50" s="339" t="s">
        <v>354</v>
      </c>
      <c r="X50" s="339"/>
      <c r="Y50" s="339"/>
      <c r="Z50" s="339"/>
      <c r="AA50" s="339"/>
      <c r="AB50" s="339"/>
      <c r="AC50" s="340" t="s">
        <v>355</v>
      </c>
      <c r="AD50" s="340">
        <f>ROUND(SUM(AD51:AD52),-3)</f>
        <v>1993000</v>
      </c>
      <c r="AE50" s="341" t="s">
        <v>343</v>
      </c>
    </row>
    <row r="51" spans="1:31" s="11" customFormat="1" ht="21" customHeight="1">
      <c r="A51" s="37"/>
      <c r="B51" s="38"/>
      <c r="C51" s="38"/>
      <c r="D51" s="130"/>
      <c r="E51" s="94"/>
      <c r="F51" s="94"/>
      <c r="G51" s="94"/>
      <c r="H51" s="94"/>
      <c r="I51" s="94"/>
      <c r="J51" s="94"/>
      <c r="K51" s="94"/>
      <c r="L51" s="94"/>
      <c r="M51" s="94"/>
      <c r="N51" s="58"/>
      <c r="O51" s="272" t="s">
        <v>432</v>
      </c>
      <c r="P51" s="272"/>
      <c r="Q51" s="272"/>
      <c r="R51" s="272"/>
      <c r="S51" s="268">
        <f>S47</f>
        <v>36339000</v>
      </c>
      <c r="T51" s="324" t="s">
        <v>343</v>
      </c>
      <c r="U51" s="323" t="s">
        <v>345</v>
      </c>
      <c r="V51" s="382">
        <v>6.9900000000000004E-2</v>
      </c>
      <c r="W51" s="324" t="s">
        <v>361</v>
      </c>
      <c r="X51" s="383">
        <v>2</v>
      </c>
      <c r="Y51" s="326"/>
      <c r="Z51" s="326"/>
      <c r="AA51" s="324" t="s">
        <v>347</v>
      </c>
      <c r="AB51" s="268" t="s">
        <v>344</v>
      </c>
      <c r="AC51" s="273"/>
      <c r="AD51" s="118">
        <f>ROUNDUP(S51*V51/X51,-3)</f>
        <v>1271000</v>
      </c>
      <c r="AE51" s="297" t="s">
        <v>343</v>
      </c>
    </row>
    <row r="52" spans="1:31" s="11" customFormat="1" ht="21" customHeight="1">
      <c r="A52" s="37"/>
      <c r="B52" s="38"/>
      <c r="C52" s="38"/>
      <c r="D52" s="130"/>
      <c r="E52" s="94"/>
      <c r="F52" s="94"/>
      <c r="G52" s="94"/>
      <c r="H52" s="94"/>
      <c r="I52" s="94"/>
      <c r="J52" s="94"/>
      <c r="K52" s="94"/>
      <c r="L52" s="94"/>
      <c r="M52" s="94"/>
      <c r="N52" s="58"/>
      <c r="O52" s="272" t="s">
        <v>433</v>
      </c>
      <c r="P52" s="272"/>
      <c r="Q52" s="272"/>
      <c r="R52" s="272"/>
      <c r="S52" s="268">
        <f>S48</f>
        <v>20665000</v>
      </c>
      <c r="T52" s="268" t="s">
        <v>25</v>
      </c>
      <c r="U52" s="324" t="s">
        <v>26</v>
      </c>
      <c r="V52" s="382">
        <v>6.9900000000000004E-2</v>
      </c>
      <c r="W52" s="268" t="s">
        <v>107</v>
      </c>
      <c r="X52" s="324">
        <v>2</v>
      </c>
      <c r="Y52" s="268"/>
      <c r="Z52" s="268"/>
      <c r="AA52" s="268" t="s">
        <v>27</v>
      </c>
      <c r="AB52" s="268" t="s">
        <v>437</v>
      </c>
      <c r="AC52" s="273"/>
      <c r="AD52" s="118">
        <f>ROUND(S52*V52/X52,-3)</f>
        <v>722000</v>
      </c>
      <c r="AE52" s="297" t="s">
        <v>343</v>
      </c>
    </row>
    <row r="53" spans="1:31" s="11" customFormat="1" ht="21" customHeight="1">
      <c r="A53" s="37"/>
      <c r="B53" s="38"/>
      <c r="C53" s="38"/>
      <c r="D53" s="130"/>
      <c r="E53" s="94"/>
      <c r="F53" s="94"/>
      <c r="G53" s="94"/>
      <c r="H53" s="94"/>
      <c r="I53" s="94"/>
      <c r="J53" s="94"/>
      <c r="K53" s="94"/>
      <c r="L53" s="94"/>
      <c r="M53" s="94"/>
      <c r="N53" s="58"/>
      <c r="O53" s="272"/>
      <c r="P53" s="272"/>
      <c r="Q53" s="272"/>
      <c r="R53" s="272"/>
      <c r="S53" s="272"/>
      <c r="T53" s="268"/>
      <c r="U53" s="268"/>
      <c r="V53" s="268"/>
      <c r="W53" s="268"/>
      <c r="X53" s="268"/>
      <c r="Y53" s="268"/>
      <c r="Z53" s="268"/>
      <c r="AA53" s="268"/>
      <c r="AB53" s="268"/>
      <c r="AC53" s="273"/>
      <c r="AD53" s="273"/>
      <c r="AE53" s="297"/>
    </row>
    <row r="54" spans="1:31" s="11" customFormat="1" ht="21" customHeight="1">
      <c r="A54" s="37"/>
      <c r="B54" s="38"/>
      <c r="C54" s="38"/>
      <c r="D54" s="130"/>
      <c r="E54" s="94"/>
      <c r="F54" s="94"/>
      <c r="G54" s="94"/>
      <c r="H54" s="94"/>
      <c r="I54" s="94"/>
      <c r="J54" s="94"/>
      <c r="K54" s="94"/>
      <c r="L54" s="94"/>
      <c r="M54" s="94"/>
      <c r="N54" s="58"/>
      <c r="O54" s="375" t="s">
        <v>371</v>
      </c>
      <c r="P54" s="272"/>
      <c r="Q54" s="272"/>
      <c r="R54" s="272"/>
      <c r="S54" s="272"/>
      <c r="T54" s="268"/>
      <c r="U54" s="268"/>
      <c r="V54" s="268"/>
      <c r="W54" s="339" t="s">
        <v>354</v>
      </c>
      <c r="X54" s="339"/>
      <c r="Y54" s="339"/>
      <c r="Z54" s="339"/>
      <c r="AA54" s="339"/>
      <c r="AB54" s="339"/>
      <c r="AC54" s="340" t="s">
        <v>355</v>
      </c>
      <c r="AD54" s="340">
        <f>ROUND(SUM(AD55:AD56),-3)</f>
        <v>245000</v>
      </c>
      <c r="AE54" s="341" t="s">
        <v>343</v>
      </c>
    </row>
    <row r="55" spans="1:31" s="11" customFormat="1" ht="21" customHeight="1">
      <c r="A55" s="37"/>
      <c r="B55" s="38"/>
      <c r="C55" s="38"/>
      <c r="D55" s="130"/>
      <c r="E55" s="94"/>
      <c r="F55" s="94"/>
      <c r="G55" s="94"/>
      <c r="H55" s="94"/>
      <c r="I55" s="94"/>
      <c r="J55" s="94"/>
      <c r="K55" s="94"/>
      <c r="L55" s="94"/>
      <c r="M55" s="94"/>
      <c r="N55" s="58"/>
      <c r="O55" s="272" t="s">
        <v>432</v>
      </c>
      <c r="P55" s="272"/>
      <c r="Q55" s="272"/>
      <c r="R55" s="272"/>
      <c r="S55" s="384">
        <f>AD51</f>
        <v>1271000</v>
      </c>
      <c r="T55" s="324" t="s">
        <v>343</v>
      </c>
      <c r="U55" s="323" t="s">
        <v>345</v>
      </c>
      <c r="V55" s="382">
        <v>0.1227</v>
      </c>
      <c r="W55" s="323"/>
      <c r="X55" s="325"/>
      <c r="Y55" s="326"/>
      <c r="Z55" s="326"/>
      <c r="AA55" s="324" t="s">
        <v>347</v>
      </c>
      <c r="AB55" s="268" t="s">
        <v>344</v>
      </c>
      <c r="AC55" s="273"/>
      <c r="AD55" s="118">
        <f>ROUNDUP(S55*V55,-3)</f>
        <v>156000</v>
      </c>
      <c r="AE55" s="297" t="s">
        <v>343</v>
      </c>
    </row>
    <row r="56" spans="1:31" s="11" customFormat="1" ht="21" customHeight="1">
      <c r="A56" s="37"/>
      <c r="B56" s="38"/>
      <c r="C56" s="38"/>
      <c r="D56" s="130"/>
      <c r="E56" s="94"/>
      <c r="F56" s="94"/>
      <c r="G56" s="94"/>
      <c r="H56" s="94"/>
      <c r="I56" s="94"/>
      <c r="J56" s="94"/>
      <c r="K56" s="94"/>
      <c r="L56" s="94"/>
      <c r="M56" s="94"/>
      <c r="N56" s="58"/>
      <c r="O56" s="272" t="s">
        <v>433</v>
      </c>
      <c r="P56" s="272"/>
      <c r="Q56" s="272"/>
      <c r="R56" s="272"/>
      <c r="S56" s="384">
        <f>AD52</f>
        <v>722000</v>
      </c>
      <c r="T56" s="324" t="s">
        <v>343</v>
      </c>
      <c r="U56" s="323" t="s">
        <v>345</v>
      </c>
      <c r="V56" s="382">
        <v>0.1227</v>
      </c>
      <c r="W56" s="323"/>
      <c r="X56" s="325"/>
      <c r="Y56" s="326"/>
      <c r="Z56" s="326"/>
      <c r="AA56" s="324" t="s">
        <v>347</v>
      </c>
      <c r="AB56" s="268" t="s">
        <v>437</v>
      </c>
      <c r="AC56" s="273"/>
      <c r="AD56" s="118">
        <f>ROUNDUP(S56*V56,-3)</f>
        <v>89000</v>
      </c>
      <c r="AE56" s="297" t="s">
        <v>343</v>
      </c>
    </row>
    <row r="57" spans="1:31" s="11" customFormat="1" ht="21" customHeight="1">
      <c r="A57" s="37"/>
      <c r="B57" s="38"/>
      <c r="C57" s="38"/>
      <c r="D57" s="130"/>
      <c r="E57" s="94"/>
      <c r="F57" s="94"/>
      <c r="G57" s="94"/>
      <c r="H57" s="94"/>
      <c r="I57" s="94"/>
      <c r="J57" s="94"/>
      <c r="K57" s="94"/>
      <c r="L57" s="94"/>
      <c r="M57" s="94"/>
      <c r="N57" s="58"/>
      <c r="O57" s="272"/>
      <c r="P57" s="272"/>
      <c r="Q57" s="272"/>
      <c r="R57" s="272"/>
      <c r="S57" s="272"/>
      <c r="T57" s="268"/>
      <c r="U57" s="268"/>
      <c r="V57" s="268"/>
      <c r="W57" s="268"/>
      <c r="X57" s="268"/>
      <c r="Y57" s="268"/>
      <c r="Z57" s="268"/>
      <c r="AA57" s="268"/>
      <c r="AB57" s="268"/>
      <c r="AC57" s="273"/>
      <c r="AD57" s="273"/>
      <c r="AE57" s="297"/>
    </row>
    <row r="58" spans="1:31" s="11" customFormat="1" ht="21" customHeight="1">
      <c r="A58" s="37"/>
      <c r="B58" s="38"/>
      <c r="C58" s="38"/>
      <c r="D58" s="130"/>
      <c r="E58" s="94"/>
      <c r="F58" s="94"/>
      <c r="G58" s="94"/>
      <c r="H58" s="94"/>
      <c r="I58" s="94"/>
      <c r="J58" s="94"/>
      <c r="K58" s="94"/>
      <c r="L58" s="94"/>
      <c r="M58" s="94"/>
      <c r="N58" s="58"/>
      <c r="O58" s="375" t="s">
        <v>372</v>
      </c>
      <c r="P58" s="272"/>
      <c r="Q58" s="272"/>
      <c r="R58" s="272"/>
      <c r="S58" s="272"/>
      <c r="T58" s="268"/>
      <c r="U58" s="268"/>
      <c r="V58" s="268"/>
      <c r="W58" s="339" t="s">
        <v>354</v>
      </c>
      <c r="X58" s="339"/>
      <c r="Y58" s="339"/>
      <c r="Z58" s="339"/>
      <c r="AA58" s="339"/>
      <c r="AB58" s="339"/>
      <c r="AC58" s="340" t="s">
        <v>355</v>
      </c>
      <c r="AD58" s="340">
        <f>ROUND(SUM(AD59:AD61),-3)</f>
        <v>656000</v>
      </c>
      <c r="AE58" s="341" t="s">
        <v>343</v>
      </c>
    </row>
    <row r="59" spans="1:31" s="11" customFormat="1" ht="21" customHeight="1">
      <c r="A59" s="37"/>
      <c r="B59" s="38"/>
      <c r="C59" s="38"/>
      <c r="D59" s="130"/>
      <c r="E59" s="94"/>
      <c r="F59" s="94"/>
      <c r="G59" s="94"/>
      <c r="H59" s="94"/>
      <c r="I59" s="94"/>
      <c r="J59" s="94"/>
      <c r="K59" s="94"/>
      <c r="L59" s="94"/>
      <c r="M59" s="94"/>
      <c r="N59" s="58"/>
      <c r="O59" s="272" t="s">
        <v>432</v>
      </c>
      <c r="P59" s="272"/>
      <c r="Q59" s="272"/>
      <c r="R59" s="272"/>
      <c r="S59" s="268">
        <f>S51</f>
        <v>36339000</v>
      </c>
      <c r="T59" s="324" t="s">
        <v>343</v>
      </c>
      <c r="U59" s="323" t="s">
        <v>345</v>
      </c>
      <c r="V59" s="382">
        <v>1.15E-2</v>
      </c>
      <c r="W59" s="323"/>
      <c r="X59" s="325"/>
      <c r="Y59" s="326"/>
      <c r="Z59" s="326"/>
      <c r="AA59" s="324" t="s">
        <v>347</v>
      </c>
      <c r="AB59" s="268" t="s">
        <v>344</v>
      </c>
      <c r="AC59" s="273"/>
      <c r="AD59" s="118">
        <f>ROUNDUP(S59*V59,-3)</f>
        <v>418000</v>
      </c>
      <c r="AE59" s="297" t="s">
        <v>343</v>
      </c>
    </row>
    <row r="60" spans="1:31" s="11" customFormat="1" ht="21" customHeight="1">
      <c r="A60" s="37"/>
      <c r="B60" s="38"/>
      <c r="C60" s="38"/>
      <c r="D60" s="130"/>
      <c r="E60" s="94"/>
      <c r="F60" s="94"/>
      <c r="G60" s="94"/>
      <c r="H60" s="94"/>
      <c r="I60" s="94"/>
      <c r="J60" s="94"/>
      <c r="K60" s="94"/>
      <c r="L60" s="94"/>
      <c r="M60" s="94"/>
      <c r="N60" s="58"/>
      <c r="O60" s="272" t="s">
        <v>433</v>
      </c>
      <c r="P60" s="272"/>
      <c r="Q60" s="272"/>
      <c r="R60" s="272"/>
      <c r="S60" s="268">
        <f>S52</f>
        <v>20665000</v>
      </c>
      <c r="T60" s="324" t="s">
        <v>343</v>
      </c>
      <c r="U60" s="323" t="s">
        <v>345</v>
      </c>
      <c r="V60" s="382">
        <v>1.15E-2</v>
      </c>
      <c r="W60" s="323"/>
      <c r="X60" s="325"/>
      <c r="Y60" s="326"/>
      <c r="Z60" s="326"/>
      <c r="AA60" s="324" t="s">
        <v>347</v>
      </c>
      <c r="AB60" s="268" t="s">
        <v>437</v>
      </c>
      <c r="AC60" s="273"/>
      <c r="AD60" s="118">
        <f>ROUNDUP(S60*V60,-3)</f>
        <v>238000</v>
      </c>
      <c r="AE60" s="297" t="s">
        <v>343</v>
      </c>
    </row>
    <row r="61" spans="1:31" s="11" customFormat="1" ht="21" customHeight="1">
      <c r="A61" s="37"/>
      <c r="B61" s="38"/>
      <c r="C61" s="38"/>
      <c r="D61" s="130"/>
      <c r="E61" s="94"/>
      <c r="F61" s="94"/>
      <c r="G61" s="94"/>
      <c r="H61" s="94"/>
      <c r="I61" s="94"/>
      <c r="J61" s="94"/>
      <c r="K61" s="94"/>
      <c r="L61" s="94"/>
      <c r="M61" s="94"/>
      <c r="N61" s="58"/>
      <c r="O61" s="440"/>
      <c r="P61" s="440"/>
      <c r="Q61" s="440"/>
      <c r="R61" s="440"/>
      <c r="S61" s="440"/>
      <c r="T61" s="376"/>
      <c r="U61" s="376"/>
      <c r="V61" s="376"/>
      <c r="W61" s="376"/>
      <c r="X61" s="376"/>
      <c r="Y61" s="376"/>
      <c r="Z61" s="376"/>
      <c r="AA61" s="376"/>
      <c r="AB61" s="376"/>
      <c r="AC61" s="432"/>
      <c r="AD61" s="432"/>
      <c r="AE61" s="441"/>
    </row>
    <row r="62" spans="1:31" s="11" customFormat="1" ht="21" customHeight="1">
      <c r="A62" s="37"/>
      <c r="B62" s="38"/>
      <c r="C62" s="38"/>
      <c r="D62" s="130"/>
      <c r="E62" s="94"/>
      <c r="F62" s="94"/>
      <c r="G62" s="94"/>
      <c r="H62" s="94"/>
      <c r="I62" s="94"/>
      <c r="J62" s="94"/>
      <c r="K62" s="94"/>
      <c r="L62" s="94"/>
      <c r="M62" s="94"/>
      <c r="N62" s="58"/>
      <c r="O62" s="375" t="s">
        <v>373</v>
      </c>
      <c r="P62" s="272"/>
      <c r="Q62" s="272"/>
      <c r="R62" s="272"/>
      <c r="S62" s="272"/>
      <c r="T62" s="268"/>
      <c r="U62" s="268"/>
      <c r="V62" s="268"/>
      <c r="W62" s="339" t="s">
        <v>354</v>
      </c>
      <c r="X62" s="339"/>
      <c r="Y62" s="339"/>
      <c r="Z62" s="339"/>
      <c r="AA62" s="339"/>
      <c r="AB62" s="339"/>
      <c r="AC62" s="340" t="s">
        <v>355</v>
      </c>
      <c r="AD62" s="340">
        <f>ROUND(SUM(AD63:AD64),-3)</f>
        <v>434000</v>
      </c>
      <c r="AE62" s="341" t="s">
        <v>343</v>
      </c>
    </row>
    <row r="63" spans="1:31" s="11" customFormat="1" ht="21" customHeight="1">
      <c r="A63" s="37"/>
      <c r="B63" s="38"/>
      <c r="C63" s="38"/>
      <c r="D63" s="130"/>
      <c r="E63" s="94"/>
      <c r="F63" s="94"/>
      <c r="G63" s="94"/>
      <c r="H63" s="94"/>
      <c r="I63" s="94"/>
      <c r="J63" s="94"/>
      <c r="K63" s="94"/>
      <c r="L63" s="94"/>
      <c r="M63" s="94"/>
      <c r="N63" s="58"/>
      <c r="O63" s="272" t="s">
        <v>432</v>
      </c>
      <c r="P63" s="272"/>
      <c r="Q63" s="272"/>
      <c r="R63" s="272"/>
      <c r="S63" s="268">
        <f>S59</f>
        <v>36339000</v>
      </c>
      <c r="T63" s="324" t="s">
        <v>343</v>
      </c>
      <c r="U63" s="323" t="s">
        <v>345</v>
      </c>
      <c r="V63" s="385">
        <v>7.6E-3</v>
      </c>
      <c r="W63" s="323"/>
      <c r="X63" s="325"/>
      <c r="Y63" s="326"/>
      <c r="Z63" s="326"/>
      <c r="AA63" s="324" t="s">
        <v>347</v>
      </c>
      <c r="AB63" s="268" t="s">
        <v>344</v>
      </c>
      <c r="AC63" s="273"/>
      <c r="AD63" s="118">
        <f>ROUNDUP(S63*V63,-3)</f>
        <v>277000</v>
      </c>
      <c r="AE63" s="297" t="s">
        <v>343</v>
      </c>
    </row>
    <row r="64" spans="1:31" s="11" customFormat="1" ht="21" customHeight="1">
      <c r="A64" s="37"/>
      <c r="B64" s="38"/>
      <c r="C64" s="38"/>
      <c r="D64" s="130"/>
      <c r="E64" s="94"/>
      <c r="F64" s="94"/>
      <c r="G64" s="94"/>
      <c r="H64" s="94"/>
      <c r="I64" s="94"/>
      <c r="J64" s="94"/>
      <c r="K64" s="94"/>
      <c r="L64" s="94"/>
      <c r="M64" s="94"/>
      <c r="N64" s="58"/>
      <c r="O64" s="272" t="s">
        <v>433</v>
      </c>
      <c r="P64" s="272"/>
      <c r="Q64" s="272"/>
      <c r="R64" s="272"/>
      <c r="S64" s="268">
        <f>S60</f>
        <v>20665000</v>
      </c>
      <c r="T64" s="324" t="s">
        <v>343</v>
      </c>
      <c r="U64" s="323" t="s">
        <v>345</v>
      </c>
      <c r="V64" s="385">
        <v>7.6E-3</v>
      </c>
      <c r="W64" s="323"/>
      <c r="X64" s="325"/>
      <c r="Y64" s="326"/>
      <c r="Z64" s="326"/>
      <c r="AA64" s="324" t="s">
        <v>347</v>
      </c>
      <c r="AB64" s="268" t="s">
        <v>437</v>
      </c>
      <c r="AC64" s="273"/>
      <c r="AD64" s="118">
        <f>ROUND(S64*V64,-3)</f>
        <v>157000</v>
      </c>
      <c r="AE64" s="297" t="s">
        <v>343</v>
      </c>
    </row>
    <row r="65" spans="1:31" s="11" customFormat="1" ht="21" customHeight="1">
      <c r="A65" s="37"/>
      <c r="B65" s="38"/>
      <c r="C65" s="38"/>
      <c r="D65" s="130"/>
      <c r="E65" s="94"/>
      <c r="F65" s="94"/>
      <c r="G65" s="94"/>
      <c r="H65" s="94"/>
      <c r="I65" s="94"/>
      <c r="J65" s="94"/>
      <c r="K65" s="94"/>
      <c r="L65" s="94"/>
      <c r="M65" s="94"/>
      <c r="N65" s="58"/>
      <c r="O65" s="272"/>
      <c r="P65" s="272"/>
      <c r="Q65" s="272"/>
      <c r="R65" s="272"/>
      <c r="S65" s="268"/>
      <c r="T65" s="324"/>
      <c r="U65" s="323"/>
      <c r="V65" s="385"/>
      <c r="W65" s="323"/>
      <c r="X65" s="325"/>
      <c r="Y65" s="326"/>
      <c r="Z65" s="326"/>
      <c r="AA65" s="324"/>
      <c r="AB65" s="268"/>
      <c r="AC65" s="273"/>
      <c r="AD65" s="273"/>
      <c r="AE65" s="297"/>
    </row>
    <row r="66" spans="1:31" s="11" customFormat="1" ht="21" customHeight="1">
      <c r="A66" s="37"/>
      <c r="B66" s="38"/>
      <c r="C66" s="38"/>
      <c r="D66" s="130"/>
      <c r="E66" s="94"/>
      <c r="F66" s="94"/>
      <c r="G66" s="94"/>
      <c r="H66" s="94"/>
      <c r="I66" s="94"/>
      <c r="J66" s="94"/>
      <c r="K66" s="94"/>
      <c r="L66" s="94"/>
      <c r="M66" s="94"/>
      <c r="N66" s="58"/>
      <c r="O66" s="338" t="s">
        <v>442</v>
      </c>
      <c r="P66" s="272"/>
      <c r="Q66" s="272"/>
      <c r="R66" s="272"/>
      <c r="S66" s="268"/>
      <c r="T66" s="324"/>
      <c r="U66" s="323"/>
      <c r="V66" s="385"/>
      <c r="W66" s="457"/>
      <c r="X66" s="458"/>
      <c r="Y66" s="459"/>
      <c r="Z66" s="459"/>
      <c r="AA66" s="373"/>
      <c r="AB66" s="339" t="s">
        <v>348</v>
      </c>
      <c r="AC66" s="340"/>
      <c r="AD66" s="397">
        <v>0</v>
      </c>
      <c r="AE66" s="341" t="s">
        <v>343</v>
      </c>
    </row>
    <row r="67" spans="1:31" s="11" customFormat="1" ht="21" customHeight="1">
      <c r="A67" s="37"/>
      <c r="B67" s="38"/>
      <c r="C67" s="38"/>
      <c r="D67" s="130"/>
      <c r="E67" s="94"/>
      <c r="F67" s="94"/>
      <c r="G67" s="94"/>
      <c r="H67" s="94"/>
      <c r="I67" s="94"/>
      <c r="J67" s="94"/>
      <c r="K67" s="94"/>
      <c r="L67" s="94"/>
      <c r="M67" s="94"/>
      <c r="N67" s="58"/>
      <c r="O67" s="272"/>
      <c r="P67" s="272"/>
      <c r="Q67" s="272"/>
      <c r="R67" s="272"/>
      <c r="S67" s="272"/>
      <c r="T67" s="268"/>
      <c r="U67" s="268"/>
      <c r="V67" s="268"/>
      <c r="W67" s="268"/>
      <c r="X67" s="268"/>
      <c r="Y67" s="268"/>
      <c r="Z67" s="268"/>
      <c r="AA67" s="268"/>
      <c r="AB67" s="268"/>
      <c r="AC67" s="273"/>
      <c r="AD67" s="273"/>
      <c r="AE67" s="297"/>
    </row>
    <row r="68" spans="1:31" s="11" customFormat="1" ht="21" customHeight="1">
      <c r="A68" s="37"/>
      <c r="B68" s="38"/>
      <c r="C68" s="28" t="s">
        <v>374</v>
      </c>
      <c r="D68" s="132">
        <v>585</v>
      </c>
      <c r="E68" s="100">
        <f>ROUND(AD68/1000,0)</f>
        <v>530</v>
      </c>
      <c r="F68" s="100">
        <f>SUMIF($AB$69:$AB$74,"보조",$AD$69:$AD$74)/1000</f>
        <v>0</v>
      </c>
      <c r="G68" s="100">
        <f>SUMIF($AB$69:$AB$74,"4종",$AD$69:$AD$74)/1000</f>
        <v>0</v>
      </c>
      <c r="H68" s="100">
        <f>SUMIF($AB$69:$AB$74,"6종",$AD$69:$AD$74)/1000</f>
        <v>300</v>
      </c>
      <c r="I68" s="100">
        <f>SUMIF($AB$69:$AB$74,"후원",$AD$69:$AD$74)/1000</f>
        <v>80</v>
      </c>
      <c r="J68" s="100">
        <f>SUMIF($AB$69:$AB$74,"입소",$AD$69:$AD$74)/1000</f>
        <v>150</v>
      </c>
      <c r="K68" s="100">
        <f>SUMIF($AB$69:$AB$74,"법인",$AD$69:$AD$74)/1000</f>
        <v>0</v>
      </c>
      <c r="L68" s="100">
        <f>SUMIF($AB$69:$AB$74,"잡수",$AD$69:$AD$74)/1000</f>
        <v>0</v>
      </c>
      <c r="M68" s="99">
        <f>E68-D68</f>
        <v>-55</v>
      </c>
      <c r="N68" s="106">
        <f>IF(D68=0,0,M68/D68)</f>
        <v>-9.4017094017094016E-2</v>
      </c>
      <c r="O68" s="83" t="s">
        <v>375</v>
      </c>
      <c r="P68" s="422"/>
      <c r="Q68" s="151"/>
      <c r="R68" s="151"/>
      <c r="S68" s="151"/>
      <c r="T68" s="150"/>
      <c r="U68" s="150"/>
      <c r="V68" s="150"/>
      <c r="W68" s="421" t="s">
        <v>367</v>
      </c>
      <c r="X68" s="421"/>
      <c r="Y68" s="421"/>
      <c r="Z68" s="421"/>
      <c r="AA68" s="421"/>
      <c r="AB68" s="421"/>
      <c r="AC68" s="144"/>
      <c r="AD68" s="144">
        <f>SUM(AD69:AD74)</f>
        <v>530000</v>
      </c>
      <c r="AE68" s="143" t="s">
        <v>25</v>
      </c>
    </row>
    <row r="69" spans="1:31" s="11" customFormat="1" ht="21" customHeight="1">
      <c r="A69" s="37"/>
      <c r="B69" s="38"/>
      <c r="C69" s="38"/>
      <c r="D69" s="435"/>
      <c r="E69" s="436"/>
      <c r="F69" s="436"/>
      <c r="G69" s="436"/>
      <c r="H69" s="436"/>
      <c r="I69" s="436"/>
      <c r="J69" s="436"/>
      <c r="K69" s="436"/>
      <c r="L69" s="436"/>
      <c r="M69" s="94"/>
      <c r="N69" s="58"/>
      <c r="O69" s="501" t="s">
        <v>510</v>
      </c>
      <c r="P69" s="501"/>
      <c r="Q69" s="501"/>
      <c r="R69" s="501"/>
      <c r="S69" s="502">
        <v>20000</v>
      </c>
      <c r="T69" s="505" t="s">
        <v>25</v>
      </c>
      <c r="U69" s="511" t="s">
        <v>26</v>
      </c>
      <c r="V69" s="512">
        <v>1</v>
      </c>
      <c r="W69" s="511" t="s">
        <v>109</v>
      </c>
      <c r="X69" s="513"/>
      <c r="Y69" s="514"/>
      <c r="Z69" s="514"/>
      <c r="AA69" s="505" t="s">
        <v>27</v>
      </c>
      <c r="AB69" s="502" t="s">
        <v>447</v>
      </c>
      <c r="AC69" s="503"/>
      <c r="AD69" s="503">
        <f>ROUNDUP(S69*V69,-3)</f>
        <v>20000</v>
      </c>
      <c r="AE69" s="504" t="s">
        <v>25</v>
      </c>
    </row>
    <row r="70" spans="1:31" s="11" customFormat="1" ht="21" customHeight="1">
      <c r="A70" s="37"/>
      <c r="B70" s="38"/>
      <c r="C70" s="38"/>
      <c r="D70" s="437"/>
      <c r="E70" s="438"/>
      <c r="F70" s="438"/>
      <c r="G70" s="438"/>
      <c r="H70" s="438"/>
      <c r="I70" s="438"/>
      <c r="J70" s="438"/>
      <c r="K70" s="438"/>
      <c r="L70" s="438"/>
      <c r="M70" s="94"/>
      <c r="N70" s="58"/>
      <c r="O70" s="425" t="s">
        <v>376</v>
      </c>
      <c r="P70" s="425"/>
      <c r="Q70" s="425"/>
      <c r="R70" s="425"/>
      <c r="S70" s="424"/>
      <c r="T70" s="424"/>
      <c r="U70" s="386"/>
      <c r="V70" s="424"/>
      <c r="W70" s="424"/>
      <c r="X70" s="386"/>
      <c r="Y70" s="424"/>
      <c r="Z70" s="424"/>
      <c r="AA70" s="424"/>
      <c r="AB70" s="424" t="s">
        <v>443</v>
      </c>
      <c r="AC70" s="387"/>
      <c r="AD70" s="463">
        <v>300000</v>
      </c>
      <c r="AE70" s="388" t="s">
        <v>25</v>
      </c>
    </row>
    <row r="71" spans="1:31" s="11" customFormat="1" ht="21" customHeight="1">
      <c r="A71" s="37"/>
      <c r="B71" s="38"/>
      <c r="C71" s="38"/>
      <c r="D71" s="130"/>
      <c r="E71" s="94"/>
      <c r="F71" s="94"/>
      <c r="G71" s="94"/>
      <c r="H71" s="94"/>
      <c r="I71" s="94"/>
      <c r="J71" s="94"/>
      <c r="K71" s="94"/>
      <c r="L71" s="94"/>
      <c r="M71" s="94"/>
      <c r="N71" s="58"/>
      <c r="O71" s="425" t="s">
        <v>377</v>
      </c>
      <c r="P71" s="392"/>
      <c r="Q71" s="425"/>
      <c r="R71" s="425"/>
      <c r="S71" s="289">
        <v>50000</v>
      </c>
      <c r="T71" s="44" t="s">
        <v>343</v>
      </c>
      <c r="U71" s="233">
        <v>2</v>
      </c>
      <c r="V71" s="289" t="s">
        <v>359</v>
      </c>
      <c r="W71" s="62"/>
      <c r="X71" s="62"/>
      <c r="Y71" s="65"/>
      <c r="Z71" s="63"/>
      <c r="AA71" s="417" t="s">
        <v>347</v>
      </c>
      <c r="AB71" s="289" t="s">
        <v>391</v>
      </c>
      <c r="AC71" s="56"/>
      <c r="AD71" s="56">
        <f>S71*U71</f>
        <v>100000</v>
      </c>
      <c r="AE71" s="119" t="s">
        <v>343</v>
      </c>
    </row>
    <row r="72" spans="1:31" s="11" customFormat="1" ht="21" customHeight="1">
      <c r="A72" s="37"/>
      <c r="B72" s="38"/>
      <c r="C72" s="38"/>
      <c r="D72" s="130"/>
      <c r="E72" s="94"/>
      <c r="F72" s="94"/>
      <c r="G72" s="94"/>
      <c r="H72" s="94"/>
      <c r="I72" s="94"/>
      <c r="J72" s="94"/>
      <c r="K72" s="94"/>
      <c r="L72" s="94"/>
      <c r="M72" s="94"/>
      <c r="N72" s="58"/>
      <c r="O72" s="425" t="s">
        <v>444</v>
      </c>
      <c r="P72" s="424"/>
      <c r="Q72" s="425"/>
      <c r="R72" s="425"/>
      <c r="S72" s="289">
        <v>40000</v>
      </c>
      <c r="T72" s="44" t="s">
        <v>343</v>
      </c>
      <c r="U72" s="233">
        <v>2</v>
      </c>
      <c r="V72" s="289" t="s">
        <v>359</v>
      </c>
      <c r="W72" s="62"/>
      <c r="X72" s="62"/>
      <c r="Y72" s="65"/>
      <c r="Z72" s="63"/>
      <c r="AA72" s="417" t="s">
        <v>347</v>
      </c>
      <c r="AB72" s="289" t="s">
        <v>445</v>
      </c>
      <c r="AC72" s="56"/>
      <c r="AD72" s="56">
        <f>S72*U72</f>
        <v>80000</v>
      </c>
      <c r="AE72" s="119" t="s">
        <v>343</v>
      </c>
    </row>
    <row r="73" spans="1:31" s="11" customFormat="1" ht="21" customHeight="1">
      <c r="A73" s="37"/>
      <c r="B73" s="38"/>
      <c r="C73" s="38"/>
      <c r="D73" s="130"/>
      <c r="E73" s="94"/>
      <c r="F73" s="94"/>
      <c r="G73" s="94"/>
      <c r="H73" s="94"/>
      <c r="I73" s="94"/>
      <c r="J73" s="94"/>
      <c r="K73" s="94"/>
      <c r="L73" s="94"/>
      <c r="M73" s="94"/>
      <c r="N73" s="58"/>
      <c r="O73" s="425" t="s">
        <v>446</v>
      </c>
      <c r="P73" s="424"/>
      <c r="Q73" s="425"/>
      <c r="R73" s="425"/>
      <c r="S73" s="289"/>
      <c r="T73" s="44"/>
      <c r="U73" s="233"/>
      <c r="V73" s="289"/>
      <c r="W73" s="62"/>
      <c r="X73" s="62"/>
      <c r="Y73" s="65"/>
      <c r="Z73" s="63"/>
      <c r="AA73" s="417"/>
      <c r="AB73" s="289" t="s">
        <v>448</v>
      </c>
      <c r="AC73" s="56"/>
      <c r="AD73" s="56">
        <v>30000</v>
      </c>
      <c r="AE73" s="119" t="s">
        <v>318</v>
      </c>
    </row>
    <row r="74" spans="1:31" s="11" customFormat="1" ht="21" customHeight="1">
      <c r="A74" s="37"/>
      <c r="B74" s="49"/>
      <c r="C74" s="49"/>
      <c r="D74" s="131"/>
      <c r="E74" s="97"/>
      <c r="F74" s="97"/>
      <c r="G74" s="97"/>
      <c r="H74" s="97"/>
      <c r="I74" s="97"/>
      <c r="J74" s="97"/>
      <c r="K74" s="97"/>
      <c r="L74" s="97"/>
      <c r="M74" s="97"/>
      <c r="N74" s="73"/>
      <c r="O74" s="420"/>
      <c r="P74" s="420"/>
      <c r="Q74" s="419"/>
      <c r="R74" s="419"/>
      <c r="S74" s="419"/>
      <c r="T74" s="419"/>
      <c r="U74" s="419"/>
      <c r="V74" s="419"/>
      <c r="W74" s="424"/>
      <c r="X74" s="424"/>
      <c r="Y74" s="424"/>
      <c r="Z74" s="424"/>
      <c r="AA74" s="424"/>
      <c r="AB74" s="387"/>
      <c r="AC74" s="118"/>
      <c r="AD74" s="118"/>
      <c r="AE74" s="119"/>
    </row>
    <row r="75" spans="1:31" s="11" customFormat="1" ht="21" customHeight="1">
      <c r="A75" s="37"/>
      <c r="B75" s="28" t="s">
        <v>379</v>
      </c>
      <c r="C75" s="28" t="s">
        <v>5</v>
      </c>
      <c r="D75" s="99">
        <f t="shared" ref="D75:L75" si="3">SUM(D76,D78,D80)</f>
        <v>190</v>
      </c>
      <c r="E75" s="99">
        <f t="shared" si="3"/>
        <v>160</v>
      </c>
      <c r="F75" s="99">
        <f t="shared" si="3"/>
        <v>0</v>
      </c>
      <c r="G75" s="99">
        <f t="shared" si="3"/>
        <v>0</v>
      </c>
      <c r="H75" s="99">
        <f t="shared" si="3"/>
        <v>0</v>
      </c>
      <c r="I75" s="99">
        <f t="shared" si="3"/>
        <v>0</v>
      </c>
      <c r="J75" s="99">
        <f t="shared" si="3"/>
        <v>160</v>
      </c>
      <c r="K75" s="99">
        <f t="shared" si="3"/>
        <v>0</v>
      </c>
      <c r="L75" s="99">
        <f t="shared" si="3"/>
        <v>0</v>
      </c>
      <c r="M75" s="99">
        <f>E75-D75</f>
        <v>-30</v>
      </c>
      <c r="N75" s="106">
        <f>IF(D75=0,0,M75/D75)</f>
        <v>-0.15789473684210525</v>
      </c>
      <c r="O75" s="151" t="s">
        <v>380</v>
      </c>
      <c r="P75" s="151"/>
      <c r="Q75" s="151"/>
      <c r="R75" s="151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80"/>
      <c r="AD75" s="80">
        <f>SUM(AD76,AD78,AD80)</f>
        <v>160000</v>
      </c>
      <c r="AE75" s="81" t="s">
        <v>25</v>
      </c>
    </row>
    <row r="76" spans="1:31" s="11" customFormat="1" ht="21" customHeight="1">
      <c r="A76" s="37"/>
      <c r="B76" s="38" t="s">
        <v>381</v>
      </c>
      <c r="C76" s="28" t="s">
        <v>10</v>
      </c>
      <c r="D76" s="132">
        <v>0</v>
      </c>
      <c r="E76" s="99">
        <f>AD76/1000</f>
        <v>0</v>
      </c>
      <c r="F76" s="100">
        <f>SUMIF($AB$77:$AB$77,"보조",$AD$77:$AD$77)/1000</f>
        <v>0</v>
      </c>
      <c r="G76" s="100">
        <f>SUMIF($AB$77:$AB$77,"4종",$AD$77:$AD$77)/1000</f>
        <v>0</v>
      </c>
      <c r="H76" s="100">
        <f>SUMIF($AB$77:$AB$77,"6종",$AD$77:$AD$77)/1000</f>
        <v>0</v>
      </c>
      <c r="I76" s="100">
        <f>SUMIF($AB$77:$AB$77,"후원",$AD$77:$AD$77)/1000</f>
        <v>0</v>
      </c>
      <c r="J76" s="100">
        <f>SUMIF($AB$77:$AB$77,"입소",$AD$77:$AD$77)/1000</f>
        <v>0</v>
      </c>
      <c r="K76" s="100">
        <f>SUMIF($AB$77:$AB$77,"법인",$AD$77:$AD$77)/1000</f>
        <v>0</v>
      </c>
      <c r="L76" s="100">
        <f>SUMIF($AB$77:$AB$77,"잡수",$AD$77:$AD$77)/1000</f>
        <v>0</v>
      </c>
      <c r="M76" s="99">
        <f>E76-D76</f>
        <v>0</v>
      </c>
      <c r="N76" s="106">
        <f>IF(D76=0,0,M76/D76)</f>
        <v>0</v>
      </c>
      <c r="O76" s="83" t="s">
        <v>37</v>
      </c>
      <c r="P76" s="128"/>
      <c r="Q76" s="136"/>
      <c r="R76" s="136"/>
      <c r="S76" s="136"/>
      <c r="T76" s="77"/>
      <c r="U76" s="77"/>
      <c r="V76" s="77"/>
      <c r="W76" s="77"/>
      <c r="X76" s="77"/>
      <c r="Y76" s="421" t="s">
        <v>382</v>
      </c>
      <c r="Z76" s="421"/>
      <c r="AA76" s="421"/>
      <c r="AB76" s="421"/>
      <c r="AC76" s="144"/>
      <c r="AD76" s="144">
        <f>AD77</f>
        <v>0</v>
      </c>
      <c r="AE76" s="143" t="s">
        <v>25</v>
      </c>
    </row>
    <row r="77" spans="1:31" s="11" customFormat="1" ht="21" customHeight="1">
      <c r="A77" s="37"/>
      <c r="B77" s="38"/>
      <c r="C77" s="38"/>
      <c r="D77" s="130"/>
      <c r="E77" s="94"/>
      <c r="F77" s="94"/>
      <c r="G77" s="94"/>
      <c r="H77" s="94"/>
      <c r="I77" s="94"/>
      <c r="J77" s="94"/>
      <c r="K77" s="94"/>
      <c r="L77" s="94"/>
      <c r="M77" s="94"/>
      <c r="N77" s="58"/>
      <c r="O77" s="425" t="s">
        <v>383</v>
      </c>
      <c r="P77" s="425"/>
      <c r="Q77" s="425"/>
      <c r="R77" s="425"/>
      <c r="S77" s="424"/>
      <c r="T77" s="291"/>
      <c r="U77" s="291"/>
      <c r="V77" s="424"/>
      <c r="W77" s="425"/>
      <c r="X77" s="424"/>
      <c r="Y77" s="424"/>
      <c r="Z77" s="424"/>
      <c r="AA77" s="424"/>
      <c r="AB77" s="424" t="s">
        <v>348</v>
      </c>
      <c r="AC77" s="424"/>
      <c r="AD77" s="424">
        <v>0</v>
      </c>
      <c r="AE77" s="119" t="s">
        <v>343</v>
      </c>
    </row>
    <row r="78" spans="1:31" s="11" customFormat="1" ht="21" customHeight="1">
      <c r="A78" s="37"/>
      <c r="B78" s="38"/>
      <c r="C78" s="28" t="s">
        <v>11</v>
      </c>
      <c r="D78" s="132">
        <v>0</v>
      </c>
      <c r="E78" s="99">
        <f>AD78/1000</f>
        <v>0</v>
      </c>
      <c r="F78" s="100">
        <f>SUMIF($AB$79:$AB$79,"보조",$AD$79:$AD$79)/1000</f>
        <v>0</v>
      </c>
      <c r="G78" s="100">
        <f>SUMIF($AB$79:$AB$79,"4종",$AD$79:$AD$79)/1000</f>
        <v>0</v>
      </c>
      <c r="H78" s="100">
        <f>SUMIF($AB$79:$AB$79,"6종",$AD$79:$AD$79)/1000</f>
        <v>0</v>
      </c>
      <c r="I78" s="100">
        <f>SUMIF($AB$79:$AB$79,"후원",$AD$79:$AD$79)/1000</f>
        <v>0</v>
      </c>
      <c r="J78" s="100">
        <f>SUMIF($AB$79:$AB$79,"입소",$AD$79:$AD$79)/1000</f>
        <v>0</v>
      </c>
      <c r="K78" s="100">
        <f>SUMIF($AB$79:$AB$79,"법인",$AD$79:$AD$79)/1000</f>
        <v>0</v>
      </c>
      <c r="L78" s="100">
        <f>SUMIF($AB$79:$AB$79,"잡수",$AD$79:$AD$79)/1000</f>
        <v>0</v>
      </c>
      <c r="M78" s="99">
        <f>E78-D78</f>
        <v>0</v>
      </c>
      <c r="N78" s="106">
        <f>IF(D78=0,0,M78/D78)</f>
        <v>0</v>
      </c>
      <c r="O78" s="83" t="s">
        <v>384</v>
      </c>
      <c r="P78" s="422"/>
      <c r="Q78" s="151"/>
      <c r="R78" s="151"/>
      <c r="S78" s="151"/>
      <c r="T78" s="150"/>
      <c r="U78" s="150"/>
      <c r="V78" s="150"/>
      <c r="W78" s="150"/>
      <c r="X78" s="150"/>
      <c r="Y78" s="421" t="s">
        <v>382</v>
      </c>
      <c r="Z78" s="421"/>
      <c r="AA78" s="421"/>
      <c r="AB78" s="421"/>
      <c r="AC78" s="144"/>
      <c r="AD78" s="144">
        <v>0</v>
      </c>
      <c r="AE78" s="143" t="s">
        <v>25</v>
      </c>
    </row>
    <row r="79" spans="1:31" s="11" customFormat="1" ht="21" customHeight="1">
      <c r="A79" s="37"/>
      <c r="B79" s="38"/>
      <c r="C79" s="49"/>
      <c r="D79" s="131"/>
      <c r="E79" s="97"/>
      <c r="F79" s="97"/>
      <c r="G79" s="97"/>
      <c r="H79" s="97"/>
      <c r="I79" s="97"/>
      <c r="J79" s="97"/>
      <c r="K79" s="97"/>
      <c r="L79" s="97"/>
      <c r="M79" s="97"/>
      <c r="N79" s="73"/>
      <c r="O79" s="346"/>
      <c r="P79" s="346"/>
      <c r="Q79" s="346"/>
      <c r="R79" s="346"/>
      <c r="S79" s="345"/>
      <c r="T79" s="74"/>
      <c r="U79" s="74"/>
      <c r="V79" s="345"/>
      <c r="W79" s="346"/>
      <c r="X79" s="345"/>
      <c r="Y79" s="345"/>
      <c r="Z79" s="345"/>
      <c r="AA79" s="345"/>
      <c r="AB79" s="345"/>
      <c r="AC79" s="345"/>
      <c r="AD79" s="345"/>
      <c r="AE79" s="61"/>
    </row>
    <row r="80" spans="1:31" s="11" customFormat="1" ht="21" customHeight="1">
      <c r="A80" s="37"/>
      <c r="B80" s="38"/>
      <c r="C80" s="38" t="s">
        <v>385</v>
      </c>
      <c r="D80" s="130">
        <v>190</v>
      </c>
      <c r="E80" s="94">
        <f>AD80/1000</f>
        <v>160</v>
      </c>
      <c r="F80" s="100">
        <f>SUMIF($AB$81:$AB$83,"보조",$AD$81:$AD$83)/1000</f>
        <v>0</v>
      </c>
      <c r="G80" s="100">
        <f>SUMIF($AB$81:$AB$83,"4종",$AD$81:$AD$83)/1000</f>
        <v>0</v>
      </c>
      <c r="H80" s="100">
        <f>SUMIF($AB$81:$AB$83,"7종",$AD$81:$AD$83)/1000</f>
        <v>0</v>
      </c>
      <c r="I80" s="100">
        <f>SUMIF($AB$81:$AB$83,"후원",$AD$81:$AD$83)/1000</f>
        <v>0</v>
      </c>
      <c r="J80" s="100">
        <f>SUMIF($AB$81:$AB$83,"입소",$AD$81:$AD$83)/1000</f>
        <v>160</v>
      </c>
      <c r="K80" s="100">
        <f>SUMIF($AB$81:$AB$83,"법인",$AD$81:$AD$83)/1000</f>
        <v>0</v>
      </c>
      <c r="L80" s="100">
        <f>SUMIF($AB$81:$AB$83,"잡수",$AD$81:$AD$83)/1000</f>
        <v>0</v>
      </c>
      <c r="M80" s="94">
        <f>E80-D80</f>
        <v>-30</v>
      </c>
      <c r="N80" s="58">
        <f>IF(D80=0,0,M80/D80)</f>
        <v>-0.15789473684210525</v>
      </c>
      <c r="O80" s="102" t="s">
        <v>38</v>
      </c>
      <c r="P80" s="149"/>
      <c r="Q80" s="149"/>
      <c r="R80" s="149"/>
      <c r="S80" s="149"/>
      <c r="T80" s="148"/>
      <c r="U80" s="148"/>
      <c r="V80" s="148"/>
      <c r="W80" s="148"/>
      <c r="X80" s="148"/>
      <c r="Y80" s="421" t="s">
        <v>382</v>
      </c>
      <c r="Z80" s="421"/>
      <c r="AA80" s="421"/>
      <c r="AB80" s="421"/>
      <c r="AC80" s="144"/>
      <c r="AD80" s="144">
        <f>SUM(AD81:AD83)</f>
        <v>160000</v>
      </c>
      <c r="AE80" s="143" t="s">
        <v>25</v>
      </c>
    </row>
    <row r="81" spans="1:31" s="13" customFormat="1" ht="21" customHeight="1">
      <c r="A81" s="37"/>
      <c r="B81" s="38"/>
      <c r="C81" s="38"/>
      <c r="D81" s="130"/>
      <c r="E81" s="94"/>
      <c r="F81" s="94"/>
      <c r="G81" s="94"/>
      <c r="H81" s="94"/>
      <c r="I81" s="94"/>
      <c r="J81" s="94"/>
      <c r="K81" s="94"/>
      <c r="L81" s="94"/>
      <c r="M81" s="94"/>
      <c r="N81" s="58"/>
      <c r="O81" s="501" t="s">
        <v>449</v>
      </c>
      <c r="P81" s="501"/>
      <c r="Q81" s="501"/>
      <c r="R81" s="501"/>
      <c r="S81" s="502">
        <v>50000</v>
      </c>
      <c r="T81" s="502" t="s">
        <v>25</v>
      </c>
      <c r="U81" s="501" t="s">
        <v>26</v>
      </c>
      <c r="V81" s="515">
        <v>2</v>
      </c>
      <c r="W81" s="501" t="s">
        <v>26</v>
      </c>
      <c r="X81" s="516">
        <v>1</v>
      </c>
      <c r="Y81" s="480"/>
      <c r="Z81" s="505"/>
      <c r="AA81" s="505" t="s">
        <v>27</v>
      </c>
      <c r="AB81" s="505" t="s">
        <v>391</v>
      </c>
      <c r="AC81" s="502"/>
      <c r="AD81" s="502">
        <f>S81*V81*X81</f>
        <v>100000</v>
      </c>
      <c r="AE81" s="504" t="s">
        <v>25</v>
      </c>
    </row>
    <row r="82" spans="1:31" s="13" customFormat="1" ht="21" customHeight="1">
      <c r="A82" s="37"/>
      <c r="B82" s="38"/>
      <c r="C82" s="38"/>
      <c r="D82" s="130"/>
      <c r="E82" s="94"/>
      <c r="F82" s="94"/>
      <c r="G82" s="94"/>
      <c r="H82" s="94"/>
      <c r="I82" s="94"/>
      <c r="J82" s="94"/>
      <c r="K82" s="94"/>
      <c r="L82" s="94"/>
      <c r="M82" s="94"/>
      <c r="N82" s="58"/>
      <c r="O82" s="501" t="s">
        <v>450</v>
      </c>
      <c r="P82" s="501"/>
      <c r="Q82" s="501"/>
      <c r="R82" s="501"/>
      <c r="S82" s="502">
        <v>20000</v>
      </c>
      <c r="T82" s="502" t="s">
        <v>25</v>
      </c>
      <c r="U82" s="501" t="s">
        <v>26</v>
      </c>
      <c r="V82" s="515">
        <v>3</v>
      </c>
      <c r="W82" s="502"/>
      <c r="X82" s="501"/>
      <c r="Y82" s="480"/>
      <c r="Z82" s="505"/>
      <c r="AA82" s="505" t="s">
        <v>27</v>
      </c>
      <c r="AB82" s="505" t="s">
        <v>391</v>
      </c>
      <c r="AC82" s="502"/>
      <c r="AD82" s="502">
        <f>S82*V82</f>
        <v>60000</v>
      </c>
      <c r="AE82" s="504" t="s">
        <v>25</v>
      </c>
    </row>
    <row r="83" spans="1:31" s="13" customFormat="1" ht="21" customHeight="1">
      <c r="A83" s="37"/>
      <c r="B83" s="38"/>
      <c r="C83" s="38"/>
      <c r="D83" s="130"/>
      <c r="E83" s="94"/>
      <c r="F83" s="94"/>
      <c r="G83" s="94"/>
      <c r="H83" s="94"/>
      <c r="I83" s="94"/>
      <c r="J83" s="94"/>
      <c r="K83" s="94"/>
      <c r="L83" s="94"/>
      <c r="M83" s="94"/>
      <c r="N83" s="58"/>
      <c r="O83" s="425"/>
      <c r="P83" s="425"/>
      <c r="Q83" s="425"/>
      <c r="R83" s="425"/>
      <c r="S83" s="424"/>
      <c r="T83" s="291"/>
      <c r="U83" s="291"/>
      <c r="V83" s="424"/>
      <c r="W83" s="425"/>
      <c r="X83" s="424"/>
      <c r="Y83" s="424"/>
      <c r="Z83" s="424"/>
      <c r="AA83" s="424"/>
      <c r="AB83" s="424"/>
      <c r="AC83" s="424"/>
      <c r="AD83" s="424"/>
      <c r="AE83" s="119"/>
    </row>
    <row r="84" spans="1:31" s="11" customFormat="1" ht="21" customHeight="1">
      <c r="A84" s="37"/>
      <c r="B84" s="28" t="s">
        <v>12</v>
      </c>
      <c r="C84" s="140" t="s">
        <v>5</v>
      </c>
      <c r="D84" s="141">
        <f t="shared" ref="D84:L84" si="4">SUM(D85,D88,D95,D104,D110,D114)</f>
        <v>10581</v>
      </c>
      <c r="E84" s="141">
        <f t="shared" si="4"/>
        <v>10223</v>
      </c>
      <c r="F84" s="141">
        <f t="shared" si="4"/>
        <v>4900</v>
      </c>
      <c r="G84" s="141">
        <f t="shared" si="4"/>
        <v>0</v>
      </c>
      <c r="H84" s="141">
        <f t="shared" si="4"/>
        <v>0</v>
      </c>
      <c r="I84" s="141">
        <f t="shared" si="4"/>
        <v>0</v>
      </c>
      <c r="J84" s="141">
        <f t="shared" si="4"/>
        <v>3233</v>
      </c>
      <c r="K84" s="141">
        <f t="shared" si="4"/>
        <v>1</v>
      </c>
      <c r="L84" s="141">
        <f t="shared" si="4"/>
        <v>2089</v>
      </c>
      <c r="M84" s="442">
        <f>E84-D84</f>
        <v>-358</v>
      </c>
      <c r="N84" s="142">
        <f>IF(D84=0,0,M84/D84)</f>
        <v>-3.3834231169076648E-2</v>
      </c>
      <c r="O84" s="422" t="s">
        <v>386</v>
      </c>
      <c r="P84" s="422"/>
      <c r="Q84" s="422"/>
      <c r="R84" s="422"/>
      <c r="S84" s="421"/>
      <c r="T84" s="152"/>
      <c r="U84" s="421"/>
      <c r="V84" s="592"/>
      <c r="W84" s="593"/>
      <c r="X84" s="421"/>
      <c r="Y84" s="421"/>
      <c r="Z84" s="421"/>
      <c r="AA84" s="421"/>
      <c r="AB84" s="421"/>
      <c r="AC84" s="421"/>
      <c r="AD84" s="421">
        <f>SUM(AD85,AD88,AD95,AD104,AD110,AD114)</f>
        <v>10223000</v>
      </c>
      <c r="AE84" s="143" t="s">
        <v>25</v>
      </c>
    </row>
    <row r="85" spans="1:31" s="11" customFormat="1" ht="21" customHeight="1">
      <c r="A85" s="37"/>
      <c r="B85" s="38"/>
      <c r="C85" s="38" t="s">
        <v>387</v>
      </c>
      <c r="D85" s="130">
        <v>120</v>
      </c>
      <c r="E85" s="94">
        <f>AD85/1000</f>
        <v>0</v>
      </c>
      <c r="F85" s="100">
        <f>SUMIF($AB$86:$AB$87,"보조",$AD$86:$AD$87)/1000</f>
        <v>0</v>
      </c>
      <c r="G85" s="100">
        <f>SUMIF($AB$86:$AB$87,"7종",$AD$86:$AD$87)/1000</f>
        <v>0</v>
      </c>
      <c r="H85" s="100">
        <f>SUMIF($AB$86:$AB$87,"4종",$AD$86:$AD$87)/1000</f>
        <v>0</v>
      </c>
      <c r="I85" s="100">
        <f>SUMIF($AB$86:$AB$87,"후원",$AD$86:$AD$87)/1000</f>
        <v>0</v>
      </c>
      <c r="J85" s="100">
        <f>SUMIF($AB$86:$AB$87,"입소",$AD$86:$AD$87)/1000</f>
        <v>0</v>
      </c>
      <c r="K85" s="100">
        <f>SUMIF($AB$86:$AB$87,"법인",$AD$86:$AD$87)/1000</f>
        <v>0</v>
      </c>
      <c r="L85" s="100">
        <f>SUMIF($AB$86:$AB$87,"잡수",$AD$86:$AD$87)/1000</f>
        <v>0</v>
      </c>
      <c r="M85" s="94">
        <f>E85-D85</f>
        <v>-120</v>
      </c>
      <c r="N85" s="58">
        <f>IF(D85=0,0,M85/D85)</f>
        <v>-1</v>
      </c>
      <c r="O85" s="102" t="s">
        <v>40</v>
      </c>
      <c r="P85" s="149"/>
      <c r="Q85" s="149"/>
      <c r="R85" s="149"/>
      <c r="S85" s="149"/>
      <c r="T85" s="148"/>
      <c r="U85" s="148"/>
      <c r="V85" s="148"/>
      <c r="W85" s="148"/>
      <c r="X85" s="148"/>
      <c r="Y85" s="421" t="s">
        <v>382</v>
      </c>
      <c r="Z85" s="421"/>
      <c r="AA85" s="421"/>
      <c r="AB85" s="421"/>
      <c r="AC85" s="144"/>
      <c r="AD85" s="144">
        <f>SUM(AD86:AD87)</f>
        <v>0</v>
      </c>
      <c r="AE85" s="143" t="s">
        <v>25</v>
      </c>
    </row>
    <row r="86" spans="1:31" s="11" customFormat="1" ht="21" customHeight="1">
      <c r="A86" s="37"/>
      <c r="B86" s="38"/>
      <c r="C86" s="38"/>
      <c r="D86" s="130"/>
      <c r="E86" s="94"/>
      <c r="F86" s="94"/>
      <c r="G86" s="94"/>
      <c r="H86" s="94"/>
      <c r="I86" s="94"/>
      <c r="J86" s="94"/>
      <c r="K86" s="94"/>
      <c r="L86" s="94"/>
      <c r="M86" s="94"/>
      <c r="N86" s="58"/>
      <c r="O86" s="425" t="s">
        <v>388</v>
      </c>
      <c r="P86" s="425"/>
      <c r="Q86" s="425"/>
      <c r="R86" s="425"/>
      <c r="S86" s="424"/>
      <c r="T86" s="291"/>
      <c r="U86" s="291"/>
      <c r="V86" s="424"/>
      <c r="W86" s="291"/>
      <c r="X86" s="424"/>
      <c r="Y86" s="424"/>
      <c r="Z86" s="424"/>
      <c r="AA86" s="424"/>
      <c r="AB86" s="424" t="s">
        <v>378</v>
      </c>
      <c r="AC86" s="424"/>
      <c r="AD86" s="424">
        <v>0</v>
      </c>
      <c r="AE86" s="119" t="s">
        <v>343</v>
      </c>
    </row>
    <row r="87" spans="1:31" s="11" customFormat="1" ht="21" customHeight="1">
      <c r="A87" s="37"/>
      <c r="B87" s="38"/>
      <c r="C87" s="38"/>
      <c r="D87" s="130"/>
      <c r="E87" s="94"/>
      <c r="F87" s="94"/>
      <c r="G87" s="94"/>
      <c r="H87" s="94"/>
      <c r="I87" s="94"/>
      <c r="J87" s="94"/>
      <c r="K87" s="94"/>
      <c r="L87" s="94"/>
      <c r="M87" s="94"/>
      <c r="N87" s="58"/>
      <c r="O87" s="425" t="s">
        <v>389</v>
      </c>
      <c r="P87" s="425"/>
      <c r="Q87" s="425"/>
      <c r="R87" s="425"/>
      <c r="S87" s="424"/>
      <c r="T87" s="291"/>
      <c r="U87" s="291"/>
      <c r="V87" s="424"/>
      <c r="W87" s="291"/>
      <c r="X87" s="424"/>
      <c r="Y87" s="424"/>
      <c r="Z87" s="424"/>
      <c r="AA87" s="424"/>
      <c r="AB87" s="424" t="s">
        <v>348</v>
      </c>
      <c r="AC87" s="424"/>
      <c r="AD87" s="424">
        <v>0</v>
      </c>
      <c r="AE87" s="119" t="s">
        <v>343</v>
      </c>
    </row>
    <row r="88" spans="1:31" s="11" customFormat="1" ht="21" customHeight="1">
      <c r="A88" s="37"/>
      <c r="B88" s="38"/>
      <c r="C88" s="28" t="s">
        <v>41</v>
      </c>
      <c r="D88" s="132">
        <v>1559</v>
      </c>
      <c r="E88" s="99">
        <f>ROUND(AD88/1000,0)</f>
        <v>1233</v>
      </c>
      <c r="F88" s="100">
        <f>SUMIF($AB$89:$AB$93,"보조",$AD$89:$AD$93)/1000</f>
        <v>565</v>
      </c>
      <c r="G88" s="100">
        <f>SUMIF($AB$89:$AB$93,"4종",$AD$89:$AD$93)/1000</f>
        <v>0</v>
      </c>
      <c r="H88" s="100">
        <f>SUMIF($AB$89:$AB$93,"6종",$AD$89:$AD$93)/1000</f>
        <v>0</v>
      </c>
      <c r="I88" s="100">
        <f>SUMIF($AB$89:$AB$93,"후원",$AD$89:$AD$93)/1000</f>
        <v>0</v>
      </c>
      <c r="J88" s="100">
        <f>SUMIF($AB$89:$AB$93,"입소",$AD$89:$AD$93)/1000</f>
        <v>668</v>
      </c>
      <c r="K88" s="100">
        <f>SUMIF($AB$89:$AB$93,"법인",$AD$89:$AD$93)/1000</f>
        <v>0</v>
      </c>
      <c r="L88" s="100">
        <f>SUMIF($AB$89:$AB$93,"잡수",$AD$89:$AD$93)/1000</f>
        <v>0</v>
      </c>
      <c r="M88" s="109">
        <f>E88-D88</f>
        <v>-326</v>
      </c>
      <c r="N88" s="106">
        <f>IF(D88=0,0,M88/D88)</f>
        <v>-0.20910840282232201</v>
      </c>
      <c r="O88" s="298" t="s">
        <v>42</v>
      </c>
      <c r="P88" s="299"/>
      <c r="Q88" s="299"/>
      <c r="R88" s="299"/>
      <c r="S88" s="299"/>
      <c r="T88" s="300"/>
      <c r="U88" s="300"/>
      <c r="V88" s="300"/>
      <c r="W88" s="300"/>
      <c r="X88" s="300"/>
      <c r="Y88" s="301" t="s">
        <v>28</v>
      </c>
      <c r="Z88" s="301"/>
      <c r="AA88" s="301"/>
      <c r="AB88" s="301"/>
      <c r="AC88" s="302"/>
      <c r="AD88" s="302">
        <f>SUM(AD89:AD94)</f>
        <v>1233000</v>
      </c>
      <c r="AE88" s="143" t="s">
        <v>25</v>
      </c>
    </row>
    <row r="89" spans="1:31" s="11" customFormat="1" ht="21" customHeight="1">
      <c r="A89" s="37"/>
      <c r="B89" s="38"/>
      <c r="C89" s="38" t="s">
        <v>390</v>
      </c>
      <c r="D89" s="435"/>
      <c r="E89" s="436"/>
      <c r="F89" s="436"/>
      <c r="G89" s="436"/>
      <c r="H89" s="436"/>
      <c r="I89" s="436"/>
      <c r="J89" s="436"/>
      <c r="K89" s="436"/>
      <c r="L89" s="436"/>
      <c r="M89" s="94"/>
      <c r="N89" s="58"/>
      <c r="O89" s="517" t="s">
        <v>457</v>
      </c>
      <c r="P89" s="501"/>
      <c r="Q89" s="501"/>
      <c r="R89" s="501"/>
      <c r="S89" s="502"/>
      <c r="T89" s="518"/>
      <c r="U89" s="502"/>
      <c r="V89" s="519"/>
      <c r="W89" s="520"/>
      <c r="X89" s="520"/>
      <c r="Y89" s="519"/>
      <c r="Z89" s="521"/>
      <c r="AA89" s="519"/>
      <c r="AB89" s="522" t="s">
        <v>456</v>
      </c>
      <c r="AC89" s="522"/>
      <c r="AD89" s="502">
        <v>193000</v>
      </c>
      <c r="AE89" s="523" t="s">
        <v>25</v>
      </c>
    </row>
    <row r="90" spans="1:31" s="11" customFormat="1" ht="21" customHeight="1">
      <c r="A90" s="37"/>
      <c r="B90" s="38"/>
      <c r="C90" s="38"/>
      <c r="D90" s="437"/>
      <c r="E90" s="438"/>
      <c r="F90" s="438"/>
      <c r="G90" s="438"/>
      <c r="H90" s="438"/>
      <c r="I90" s="438"/>
      <c r="J90" s="438"/>
      <c r="K90" s="438"/>
      <c r="L90" s="438"/>
      <c r="M90" s="94"/>
      <c r="N90" s="58"/>
      <c r="O90" s="501" t="s">
        <v>511</v>
      </c>
      <c r="P90" s="501"/>
      <c r="Q90" s="501"/>
      <c r="R90" s="501"/>
      <c r="S90" s="502"/>
      <c r="T90" s="518"/>
      <c r="U90" s="518"/>
      <c r="V90" s="519">
        <v>31000</v>
      </c>
      <c r="W90" s="520" t="s">
        <v>25</v>
      </c>
      <c r="X90" s="520" t="s">
        <v>26</v>
      </c>
      <c r="Y90" s="519">
        <v>12</v>
      </c>
      <c r="Z90" s="521" t="s">
        <v>29</v>
      </c>
      <c r="AA90" s="519" t="s">
        <v>27</v>
      </c>
      <c r="AB90" s="502" t="s">
        <v>456</v>
      </c>
      <c r="AC90" s="502"/>
      <c r="AD90" s="502">
        <f>V90*Y90</f>
        <v>372000</v>
      </c>
      <c r="AE90" s="504" t="s">
        <v>25</v>
      </c>
    </row>
    <row r="91" spans="1:31" s="11" customFormat="1" ht="21" customHeight="1">
      <c r="A91" s="37"/>
      <c r="B91" s="38"/>
      <c r="C91" s="38"/>
      <c r="D91" s="130"/>
      <c r="E91" s="94"/>
      <c r="F91" s="94"/>
      <c r="G91" s="94"/>
      <c r="H91" s="94"/>
      <c r="I91" s="94"/>
      <c r="J91" s="94"/>
      <c r="K91" s="94"/>
      <c r="L91" s="94"/>
      <c r="M91" s="94"/>
      <c r="N91" s="58"/>
      <c r="O91" s="501" t="s">
        <v>512</v>
      </c>
      <c r="P91" s="501"/>
      <c r="Q91" s="501"/>
      <c r="R91" s="501"/>
      <c r="S91" s="502"/>
      <c r="T91" s="518"/>
      <c r="U91" s="518"/>
      <c r="V91" s="519">
        <v>55000</v>
      </c>
      <c r="W91" s="520" t="s">
        <v>25</v>
      </c>
      <c r="X91" s="520" t="s">
        <v>26</v>
      </c>
      <c r="Y91" s="519">
        <v>4</v>
      </c>
      <c r="Z91" s="521" t="s">
        <v>29</v>
      </c>
      <c r="AA91" s="519" t="s">
        <v>27</v>
      </c>
      <c r="AB91" s="502" t="s">
        <v>447</v>
      </c>
      <c r="AC91" s="502"/>
      <c r="AD91" s="502">
        <f>V91*Y91</f>
        <v>220000</v>
      </c>
      <c r="AE91" s="504" t="s">
        <v>25</v>
      </c>
    </row>
    <row r="92" spans="1:31" s="11" customFormat="1" ht="21" customHeight="1">
      <c r="A92" s="37"/>
      <c r="B92" s="38"/>
      <c r="C92" s="38"/>
      <c r="D92" s="130"/>
      <c r="E92" s="94"/>
      <c r="F92" s="94"/>
      <c r="G92" s="94"/>
      <c r="H92" s="94"/>
      <c r="I92" s="94"/>
      <c r="J92" s="94"/>
      <c r="K92" s="94"/>
      <c r="L92" s="94"/>
      <c r="M92" s="94"/>
      <c r="N92" s="58"/>
      <c r="O92" s="501" t="s">
        <v>458</v>
      </c>
      <c r="P92" s="501"/>
      <c r="Q92" s="501"/>
      <c r="R92" s="501"/>
      <c r="S92" s="502"/>
      <c r="T92" s="518"/>
      <c r="U92" s="518"/>
      <c r="V92" s="502"/>
      <c r="W92" s="502"/>
      <c r="X92" s="502"/>
      <c r="Y92" s="502"/>
      <c r="Z92" s="502"/>
      <c r="AA92" s="502"/>
      <c r="AB92" s="502" t="s">
        <v>447</v>
      </c>
      <c r="AC92" s="502"/>
      <c r="AD92" s="502">
        <v>238000</v>
      </c>
      <c r="AE92" s="504" t="s">
        <v>25</v>
      </c>
    </row>
    <row r="93" spans="1:31" s="11" customFormat="1" ht="21" customHeight="1">
      <c r="A93" s="37"/>
      <c r="B93" s="38"/>
      <c r="C93" s="38"/>
      <c r="D93" s="130"/>
      <c r="E93" s="94"/>
      <c r="F93" s="94"/>
      <c r="G93" s="94"/>
      <c r="H93" s="94"/>
      <c r="I93" s="94"/>
      <c r="J93" s="94"/>
      <c r="K93" s="94"/>
      <c r="L93" s="94"/>
      <c r="M93" s="94"/>
      <c r="N93" s="58"/>
      <c r="O93" s="501" t="s">
        <v>459</v>
      </c>
      <c r="P93" s="501"/>
      <c r="Q93" s="501"/>
      <c r="R93" s="501"/>
      <c r="S93" s="502"/>
      <c r="T93" s="518"/>
      <c r="U93" s="518"/>
      <c r="V93" s="502"/>
      <c r="W93" s="501"/>
      <c r="X93" s="502"/>
      <c r="Y93" s="502"/>
      <c r="Z93" s="502"/>
      <c r="AA93" s="502"/>
      <c r="AB93" s="502" t="s">
        <v>447</v>
      </c>
      <c r="AC93" s="502"/>
      <c r="AD93" s="502">
        <v>210000</v>
      </c>
      <c r="AE93" s="504" t="s">
        <v>25</v>
      </c>
    </row>
    <row r="94" spans="1:31" s="11" customFormat="1" ht="21" customHeight="1">
      <c r="A94" s="37"/>
      <c r="B94" s="38"/>
      <c r="C94" s="49"/>
      <c r="D94" s="131"/>
      <c r="E94" s="97"/>
      <c r="F94" s="97"/>
      <c r="G94" s="97"/>
      <c r="H94" s="97"/>
      <c r="I94" s="97"/>
      <c r="J94" s="97"/>
      <c r="K94" s="97"/>
      <c r="L94" s="97"/>
      <c r="M94" s="97"/>
      <c r="N94" s="7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4"/>
      <c r="AE94" s="445"/>
    </row>
    <row r="95" spans="1:31" s="11" customFormat="1" ht="21" customHeight="1">
      <c r="A95" s="37"/>
      <c r="B95" s="38"/>
      <c r="C95" s="38" t="s">
        <v>39</v>
      </c>
      <c r="D95" s="130">
        <v>6342</v>
      </c>
      <c r="E95" s="94">
        <f>ROUND(AD95/1000,0)</f>
        <v>6670</v>
      </c>
      <c r="F95" s="100">
        <f>SUMIF($AB$96:$AB$103,"보조",$AD$96:$AD$103)/1000</f>
        <v>4335</v>
      </c>
      <c r="G95" s="100">
        <f>SUMIF($AB$96:$AB$103,"4종",$AD$96:$AD$103)/1000</f>
        <v>0</v>
      </c>
      <c r="H95" s="100">
        <f>SUMIF($AB$96:$AB$103,"6종",$AD$96:$AD$103)/1000</f>
        <v>0</v>
      </c>
      <c r="I95" s="100">
        <f>SUMIF($AB$96:$AB$103,"후원",$AD$96:$AD$103)/1000</f>
        <v>0</v>
      </c>
      <c r="J95" s="100">
        <f>SUMIF($AB$96:$AB$103,"입소",$AD$96:$AD$103)/1000</f>
        <v>1445</v>
      </c>
      <c r="K95" s="100">
        <f>SUMIF($AB$96:$AB$103,"법인",$AD$96:$AD$103)/1000</f>
        <v>1</v>
      </c>
      <c r="L95" s="100">
        <f>SUMIF($AB$96:$AB$103,"잡수",$AD$96:$AD$103)/1000</f>
        <v>889</v>
      </c>
      <c r="M95" s="413">
        <f>E95-D95</f>
        <v>328</v>
      </c>
      <c r="N95" s="58">
        <f>IF(D95=0,0,M95/D95)</f>
        <v>5.1718700725323245E-2</v>
      </c>
      <c r="O95" s="328" t="s">
        <v>43</v>
      </c>
      <c r="P95" s="329"/>
      <c r="Q95" s="329"/>
      <c r="R95" s="329"/>
      <c r="S95" s="329"/>
      <c r="T95" s="330"/>
      <c r="U95" s="330"/>
      <c r="V95" s="330"/>
      <c r="W95" s="330"/>
      <c r="X95" s="330"/>
      <c r="Y95" s="331" t="s">
        <v>382</v>
      </c>
      <c r="Z95" s="331"/>
      <c r="AA95" s="331"/>
      <c r="AB95" s="331"/>
      <c r="AC95" s="332"/>
      <c r="AD95" s="332">
        <f>ROUND(SUM(AD96:AD103),-3)</f>
        <v>6670000</v>
      </c>
      <c r="AE95" s="333" t="s">
        <v>25</v>
      </c>
    </row>
    <row r="96" spans="1:31" s="11" customFormat="1" ht="21" customHeight="1">
      <c r="A96" s="37"/>
      <c r="B96" s="38"/>
      <c r="C96" s="38"/>
      <c r="D96" s="435"/>
      <c r="E96" s="436"/>
      <c r="F96" s="436"/>
      <c r="G96" s="436"/>
      <c r="H96" s="436"/>
      <c r="I96" s="436"/>
      <c r="J96" s="436"/>
      <c r="K96" s="436"/>
      <c r="L96" s="436"/>
      <c r="M96" s="94"/>
      <c r="N96" s="58"/>
      <c r="O96" s="517" t="s">
        <v>460</v>
      </c>
      <c r="P96" s="501"/>
      <c r="Q96" s="501"/>
      <c r="R96" s="501"/>
      <c r="S96" s="502">
        <v>45000</v>
      </c>
      <c r="T96" s="520" t="s">
        <v>25</v>
      </c>
      <c r="U96" s="520" t="s">
        <v>26</v>
      </c>
      <c r="V96" s="519">
        <v>11</v>
      </c>
      <c r="W96" s="521" t="s">
        <v>29</v>
      </c>
      <c r="X96" s="519" t="s">
        <v>27</v>
      </c>
      <c r="Y96" s="502"/>
      <c r="Z96" s="502"/>
      <c r="AA96" s="502"/>
      <c r="AB96" s="502" t="s">
        <v>456</v>
      </c>
      <c r="AC96" s="502"/>
      <c r="AD96" s="502">
        <f>S96*V96</f>
        <v>495000</v>
      </c>
      <c r="AE96" s="504" t="s">
        <v>25</v>
      </c>
    </row>
    <row r="97" spans="1:31" s="11" customFormat="1" ht="21" customHeight="1">
      <c r="A97" s="37"/>
      <c r="B97" s="38"/>
      <c r="C97" s="38"/>
      <c r="D97" s="435"/>
      <c r="E97" s="436"/>
      <c r="F97" s="436"/>
      <c r="G97" s="436"/>
      <c r="H97" s="436"/>
      <c r="I97" s="436"/>
      <c r="J97" s="436"/>
      <c r="K97" s="436"/>
      <c r="L97" s="436"/>
      <c r="M97" s="94"/>
      <c r="N97" s="58"/>
      <c r="O97" s="501"/>
      <c r="P97" s="501"/>
      <c r="Q97" s="501"/>
      <c r="R97" s="501"/>
      <c r="S97" s="502">
        <v>45000</v>
      </c>
      <c r="T97" s="520" t="s">
        <v>25</v>
      </c>
      <c r="U97" s="520" t="s">
        <v>26</v>
      </c>
      <c r="V97" s="519">
        <v>1</v>
      </c>
      <c r="W97" s="521" t="s">
        <v>29</v>
      </c>
      <c r="X97" s="519" t="s">
        <v>27</v>
      </c>
      <c r="Y97" s="502"/>
      <c r="Z97" s="502"/>
      <c r="AA97" s="502"/>
      <c r="AB97" s="502" t="s">
        <v>527</v>
      </c>
      <c r="AC97" s="502"/>
      <c r="AD97" s="502">
        <f>S97*V97</f>
        <v>45000</v>
      </c>
      <c r="AE97" s="504" t="s">
        <v>25</v>
      </c>
    </row>
    <row r="98" spans="1:31" s="11" customFormat="1" ht="21" customHeight="1">
      <c r="A98" s="37"/>
      <c r="B98" s="38"/>
      <c r="C98" s="38"/>
      <c r="D98" s="437"/>
      <c r="E98" s="438"/>
      <c r="F98" s="438"/>
      <c r="G98" s="438"/>
      <c r="H98" s="438"/>
      <c r="I98" s="438"/>
      <c r="J98" s="438"/>
      <c r="K98" s="438"/>
      <c r="L98" s="438"/>
      <c r="M98" s="94"/>
      <c r="N98" s="58"/>
      <c r="O98" s="501" t="s">
        <v>461</v>
      </c>
      <c r="P98" s="501"/>
      <c r="Q98" s="501"/>
      <c r="R98" s="501"/>
      <c r="S98" s="502">
        <v>480000</v>
      </c>
      <c r="T98" s="518" t="s">
        <v>25</v>
      </c>
      <c r="U98" s="518" t="s">
        <v>26</v>
      </c>
      <c r="V98" s="502">
        <v>8</v>
      </c>
      <c r="W98" s="501" t="s">
        <v>29</v>
      </c>
      <c r="X98" s="502" t="s">
        <v>27</v>
      </c>
      <c r="Y98" s="502"/>
      <c r="Z98" s="502"/>
      <c r="AA98" s="502"/>
      <c r="AB98" s="502" t="s">
        <v>456</v>
      </c>
      <c r="AC98" s="502"/>
      <c r="AD98" s="502">
        <f>S98*V98</f>
        <v>3840000</v>
      </c>
      <c r="AE98" s="504" t="s">
        <v>25</v>
      </c>
    </row>
    <row r="99" spans="1:31" s="13" customFormat="1" ht="21" customHeight="1">
      <c r="A99" s="37"/>
      <c r="B99" s="38"/>
      <c r="C99" s="38"/>
      <c r="D99" s="130"/>
      <c r="E99" s="94"/>
      <c r="F99" s="94"/>
      <c r="G99" s="94"/>
      <c r="H99" s="94"/>
      <c r="I99" s="94"/>
      <c r="J99" s="94"/>
      <c r="K99" s="94"/>
      <c r="L99" s="94"/>
      <c r="M99" s="94"/>
      <c r="N99" s="58"/>
      <c r="O99" s="501"/>
      <c r="P99" s="501"/>
      <c r="Q99" s="501"/>
      <c r="R99" s="501"/>
      <c r="S99" s="502">
        <v>600000</v>
      </c>
      <c r="T99" s="518" t="s">
        <v>25</v>
      </c>
      <c r="U99" s="518" t="s">
        <v>26</v>
      </c>
      <c r="V99" s="502">
        <v>2</v>
      </c>
      <c r="W99" s="501" t="s">
        <v>29</v>
      </c>
      <c r="X99" s="502" t="s">
        <v>27</v>
      </c>
      <c r="Y99" s="502"/>
      <c r="Z99" s="502"/>
      <c r="AA99" s="502"/>
      <c r="AB99" s="502" t="s">
        <v>447</v>
      </c>
      <c r="AC99" s="502"/>
      <c r="AD99" s="502">
        <f>S99*V99</f>
        <v>1200000</v>
      </c>
      <c r="AE99" s="504" t="s">
        <v>25</v>
      </c>
    </row>
    <row r="100" spans="1:31" s="13" customFormat="1" ht="21" customHeight="1">
      <c r="A100" s="37"/>
      <c r="B100" s="38"/>
      <c r="C100" s="38"/>
      <c r="D100" s="130"/>
      <c r="E100" s="94"/>
      <c r="F100" s="94"/>
      <c r="G100" s="94"/>
      <c r="H100" s="94"/>
      <c r="I100" s="94"/>
      <c r="J100" s="94"/>
      <c r="K100" s="94"/>
      <c r="L100" s="94"/>
      <c r="M100" s="94"/>
      <c r="N100" s="58"/>
      <c r="O100" s="501"/>
      <c r="P100" s="501"/>
      <c r="Q100" s="501"/>
      <c r="R100" s="501"/>
      <c r="S100" s="502">
        <v>444500</v>
      </c>
      <c r="T100" s="518" t="s">
        <v>25</v>
      </c>
      <c r="U100" s="518" t="s">
        <v>26</v>
      </c>
      <c r="V100" s="502">
        <v>2</v>
      </c>
      <c r="W100" s="501" t="s">
        <v>29</v>
      </c>
      <c r="X100" s="502" t="s">
        <v>27</v>
      </c>
      <c r="Y100" s="502"/>
      <c r="Z100" s="502"/>
      <c r="AA100" s="502"/>
      <c r="AB100" s="502" t="s">
        <v>462</v>
      </c>
      <c r="AC100" s="502"/>
      <c r="AD100" s="502">
        <f>S100*V100</f>
        <v>889000</v>
      </c>
      <c r="AE100" s="504" t="s">
        <v>56</v>
      </c>
    </row>
    <row r="101" spans="1:31" s="13" customFormat="1" ht="21" customHeight="1">
      <c r="A101" s="37"/>
      <c r="B101" s="38"/>
      <c r="C101" s="38"/>
      <c r="D101" s="130"/>
      <c r="E101" s="94"/>
      <c r="F101" s="94"/>
      <c r="G101" s="94"/>
      <c r="H101" s="94"/>
      <c r="I101" s="94"/>
      <c r="J101" s="94"/>
      <c r="K101" s="94"/>
      <c r="L101" s="94"/>
      <c r="M101" s="94"/>
      <c r="N101" s="58"/>
      <c r="O101" s="501" t="s">
        <v>513</v>
      </c>
      <c r="P101" s="501"/>
      <c r="Q101" s="501"/>
      <c r="R101" s="501"/>
      <c r="S101" s="502"/>
      <c r="T101" s="518"/>
      <c r="U101" s="518"/>
      <c r="V101" s="502"/>
      <c r="W101" s="501"/>
      <c r="X101" s="502"/>
      <c r="Y101" s="502"/>
      <c r="Z101" s="502"/>
      <c r="AA101" s="502"/>
      <c r="AB101" s="502" t="s">
        <v>447</v>
      </c>
      <c r="AC101" s="502"/>
      <c r="AD101" s="502">
        <v>200000</v>
      </c>
      <c r="AE101" s="504" t="s">
        <v>25</v>
      </c>
    </row>
    <row r="102" spans="1:31" s="13" customFormat="1" ht="21" customHeight="1">
      <c r="A102" s="37"/>
      <c r="B102" s="38"/>
      <c r="C102" s="38"/>
      <c r="D102" s="130"/>
      <c r="E102" s="94"/>
      <c r="F102" s="94"/>
      <c r="G102" s="94"/>
      <c r="H102" s="94"/>
      <c r="I102" s="94"/>
      <c r="J102" s="94"/>
      <c r="K102" s="94"/>
      <c r="L102" s="94"/>
      <c r="M102" s="94"/>
      <c r="N102" s="58"/>
      <c r="O102" s="501"/>
      <c r="P102" s="501"/>
      <c r="Q102" s="501"/>
      <c r="R102" s="501"/>
      <c r="S102" s="502"/>
      <c r="T102" s="518"/>
      <c r="U102" s="518"/>
      <c r="V102" s="502"/>
      <c r="W102" s="501"/>
      <c r="X102" s="502"/>
      <c r="Y102" s="502"/>
      <c r="Z102" s="502"/>
      <c r="AA102" s="502"/>
      <c r="AB102" s="502" t="s">
        <v>528</v>
      </c>
      <c r="AC102" s="502"/>
      <c r="AD102" s="502">
        <v>1000</v>
      </c>
      <c r="AE102" s="504" t="s">
        <v>529</v>
      </c>
    </row>
    <row r="103" spans="1:31" s="13" customFormat="1" ht="21" customHeight="1">
      <c r="A103" s="37"/>
      <c r="B103" s="38"/>
      <c r="C103" s="38"/>
      <c r="D103" s="130"/>
      <c r="E103" s="94"/>
      <c r="F103" s="94"/>
      <c r="G103" s="94"/>
      <c r="H103" s="94"/>
      <c r="I103" s="94"/>
      <c r="J103" s="94"/>
      <c r="K103" s="94"/>
      <c r="L103" s="94"/>
      <c r="M103" s="94"/>
      <c r="N103" s="58"/>
      <c r="O103" s="147"/>
      <c r="P103" s="290"/>
      <c r="Q103" s="290"/>
      <c r="R103" s="290"/>
      <c r="S103" s="289"/>
      <c r="T103" s="45"/>
      <c r="U103" s="45"/>
      <c r="V103" s="289"/>
      <c r="W103" s="290"/>
      <c r="X103" s="289"/>
      <c r="Y103" s="289"/>
      <c r="Z103" s="289"/>
      <c r="AA103" s="289"/>
      <c r="AB103" s="424"/>
      <c r="AC103" s="424"/>
      <c r="AD103" s="424"/>
      <c r="AE103" s="47"/>
    </row>
    <row r="104" spans="1:31" ht="21" customHeight="1">
      <c r="A104" s="37"/>
      <c r="B104" s="38"/>
      <c r="C104" s="28" t="s">
        <v>15</v>
      </c>
      <c r="D104" s="132">
        <v>360</v>
      </c>
      <c r="E104" s="99">
        <f>ROUND(AD104/1000,0)</f>
        <v>440</v>
      </c>
      <c r="F104" s="100">
        <f>SUMIF($AB$105:$AB$109,"보조",$AD$105:$AD$109)/1000</f>
        <v>0</v>
      </c>
      <c r="G104" s="100">
        <f>SUMIF($AB$105:$AB$109,"4종",$AD$105:$AD$109)/1000</f>
        <v>0</v>
      </c>
      <c r="H104" s="100">
        <f>SUMIF($AB$105:$AB$109,"6종",$AD$105:$AD$109)/1000</f>
        <v>0</v>
      </c>
      <c r="I104" s="100">
        <f>SUMIF($AB$105:$AB$109,"후원",$AD$105:$AD$109)/1000</f>
        <v>0</v>
      </c>
      <c r="J104" s="100">
        <f>SUMIF($AB$105:$AB$109,"입소",$AD$105:$AD$109)/1000</f>
        <v>440</v>
      </c>
      <c r="K104" s="100">
        <f>SUMIF($AB$105:$AB$109,"법인",$AD$105:$AD$109)/1000</f>
        <v>0</v>
      </c>
      <c r="L104" s="100">
        <f>SUMIF($AB$105:$AB$109,"잡수",$AD$105:$AD$109)/1000</f>
        <v>0</v>
      </c>
      <c r="M104" s="109">
        <f>E104-D104</f>
        <v>80</v>
      </c>
      <c r="N104" s="106">
        <f>IF(D104=0,0,M104/D104)</f>
        <v>0.22222222222222221</v>
      </c>
      <c r="O104" s="334" t="s">
        <v>44</v>
      </c>
      <c r="P104" s="335"/>
      <c r="Q104" s="335"/>
      <c r="R104" s="335"/>
      <c r="S104" s="335"/>
      <c r="T104" s="336"/>
      <c r="U104" s="336"/>
      <c r="V104" s="336"/>
      <c r="W104" s="336"/>
      <c r="X104" s="336"/>
      <c r="Y104" s="331" t="s">
        <v>382</v>
      </c>
      <c r="Z104" s="331"/>
      <c r="AA104" s="331"/>
      <c r="AB104" s="331"/>
      <c r="AC104" s="332"/>
      <c r="AD104" s="332">
        <f>SUM(AD105:AD109)</f>
        <v>440000</v>
      </c>
      <c r="AE104" s="333" t="s">
        <v>25</v>
      </c>
    </row>
    <row r="105" spans="1:31" s="11" customFormat="1" ht="21" customHeight="1">
      <c r="A105" s="37"/>
      <c r="B105" s="38"/>
      <c r="C105" s="38"/>
      <c r="D105" s="435"/>
      <c r="E105" s="436"/>
      <c r="F105" s="436"/>
      <c r="G105" s="436"/>
      <c r="H105" s="436"/>
      <c r="I105" s="436"/>
      <c r="J105" s="436"/>
      <c r="K105" s="436"/>
      <c r="L105" s="436"/>
      <c r="M105" s="94"/>
      <c r="N105" s="58"/>
      <c r="O105" s="501" t="s">
        <v>463</v>
      </c>
      <c r="P105" s="524"/>
      <c r="Q105" s="524"/>
      <c r="R105" s="524"/>
      <c r="S105" s="501"/>
      <c r="T105" s="503"/>
      <c r="U105" s="468"/>
      <c r="V105" s="519">
        <v>20000</v>
      </c>
      <c r="W105" s="520" t="s">
        <v>25</v>
      </c>
      <c r="X105" s="520" t="s">
        <v>26</v>
      </c>
      <c r="Y105" s="519">
        <v>1</v>
      </c>
      <c r="Z105" s="521" t="s">
        <v>464</v>
      </c>
      <c r="AA105" s="519" t="s">
        <v>27</v>
      </c>
      <c r="AB105" s="502" t="s">
        <v>447</v>
      </c>
      <c r="AC105" s="502"/>
      <c r="AD105" s="502">
        <f>V105*Y105</f>
        <v>20000</v>
      </c>
      <c r="AE105" s="504" t="s">
        <v>25</v>
      </c>
    </row>
    <row r="106" spans="1:31" s="11" customFormat="1" ht="21" customHeight="1">
      <c r="A106" s="37"/>
      <c r="B106" s="38"/>
      <c r="C106" s="38"/>
      <c r="D106" s="437"/>
      <c r="E106" s="438"/>
      <c r="F106" s="438"/>
      <c r="G106" s="438"/>
      <c r="H106" s="438"/>
      <c r="I106" s="438"/>
      <c r="J106" s="438"/>
      <c r="K106" s="438"/>
      <c r="L106" s="438"/>
      <c r="M106" s="94"/>
      <c r="N106" s="58"/>
      <c r="O106" s="501" t="s">
        <v>465</v>
      </c>
      <c r="P106" s="524"/>
      <c r="Q106" s="524"/>
      <c r="R106" s="524"/>
      <c r="S106" s="502">
        <v>600000</v>
      </c>
      <c r="T106" s="518" t="s">
        <v>25</v>
      </c>
      <c r="U106" s="518" t="s">
        <v>26</v>
      </c>
      <c r="V106" s="502">
        <v>1</v>
      </c>
      <c r="W106" s="501" t="s">
        <v>464</v>
      </c>
      <c r="X106" s="505" t="s">
        <v>107</v>
      </c>
      <c r="Y106" s="469">
        <v>3</v>
      </c>
      <c r="Z106" s="502"/>
      <c r="AA106" s="502" t="s">
        <v>27</v>
      </c>
      <c r="AB106" s="502" t="s">
        <v>447</v>
      </c>
      <c r="AC106" s="502"/>
      <c r="AD106" s="502">
        <f>ROUNDDOWN(S106*V106/Y106,-4)</f>
        <v>200000</v>
      </c>
      <c r="AE106" s="504" t="s">
        <v>25</v>
      </c>
    </row>
    <row r="107" spans="1:31" s="11" customFormat="1" ht="21" customHeight="1">
      <c r="A107" s="37"/>
      <c r="B107" s="38"/>
      <c r="C107" s="38"/>
      <c r="D107" s="130"/>
      <c r="E107" s="94"/>
      <c r="F107" s="94"/>
      <c r="G107" s="94"/>
      <c r="H107" s="94"/>
      <c r="I107" s="94"/>
      <c r="J107" s="94"/>
      <c r="K107" s="94"/>
      <c r="L107" s="94"/>
      <c r="M107" s="94"/>
      <c r="N107" s="58"/>
      <c r="O107" s="501" t="s">
        <v>466</v>
      </c>
      <c r="P107" s="524"/>
      <c r="Q107" s="524"/>
      <c r="R107" s="524"/>
      <c r="S107" s="502">
        <v>120000</v>
      </c>
      <c r="T107" s="518" t="s">
        <v>25</v>
      </c>
      <c r="U107" s="518" t="s">
        <v>26</v>
      </c>
      <c r="V107" s="502">
        <v>1</v>
      </c>
      <c r="W107" s="501" t="s">
        <v>464</v>
      </c>
      <c r="X107" s="505"/>
      <c r="Y107" s="469"/>
      <c r="Z107" s="502"/>
      <c r="AA107" s="502" t="s">
        <v>27</v>
      </c>
      <c r="AB107" s="502" t="s">
        <v>447</v>
      </c>
      <c r="AC107" s="502"/>
      <c r="AD107" s="502">
        <f>S107*V107</f>
        <v>120000</v>
      </c>
      <c r="AE107" s="504" t="s">
        <v>25</v>
      </c>
    </row>
    <row r="108" spans="1:31" s="11" customFormat="1" ht="21" customHeight="1">
      <c r="A108" s="37"/>
      <c r="B108" s="38"/>
      <c r="C108" s="38"/>
      <c r="D108" s="130"/>
      <c r="E108" s="94"/>
      <c r="F108" s="94"/>
      <c r="G108" s="94"/>
      <c r="H108" s="94"/>
      <c r="I108" s="94"/>
      <c r="J108" s="94"/>
      <c r="K108" s="94"/>
      <c r="L108" s="94"/>
      <c r="M108" s="94"/>
      <c r="N108" s="58"/>
      <c r="O108" s="501" t="s">
        <v>514</v>
      </c>
      <c r="P108" s="524"/>
      <c r="Q108" s="524"/>
      <c r="R108" s="524"/>
      <c r="S108" s="501"/>
      <c r="T108" s="503"/>
      <c r="U108" s="468"/>
      <c r="V108" s="519"/>
      <c r="W108" s="520"/>
      <c r="X108" s="520"/>
      <c r="Y108" s="519"/>
      <c r="Z108" s="521"/>
      <c r="AA108" s="519" t="s">
        <v>27</v>
      </c>
      <c r="AB108" s="502" t="s">
        <v>447</v>
      </c>
      <c r="AC108" s="502"/>
      <c r="AD108" s="502">
        <v>100000</v>
      </c>
      <c r="AE108" s="504" t="s">
        <v>25</v>
      </c>
    </row>
    <row r="109" spans="1:31" s="11" customFormat="1" ht="21" customHeight="1">
      <c r="A109" s="37"/>
      <c r="B109" s="38"/>
      <c r="C109" s="38"/>
      <c r="D109" s="130"/>
      <c r="E109" s="94"/>
      <c r="F109" s="94"/>
      <c r="G109" s="94"/>
      <c r="H109" s="94"/>
      <c r="I109" s="94"/>
      <c r="J109" s="94"/>
      <c r="K109" s="94"/>
      <c r="L109" s="94"/>
      <c r="M109" s="94"/>
      <c r="N109" s="58"/>
      <c r="O109" s="272"/>
      <c r="P109" s="423"/>
      <c r="Q109" s="423"/>
      <c r="R109" s="423"/>
      <c r="S109" s="423"/>
      <c r="T109" s="273"/>
      <c r="U109" s="337"/>
      <c r="V109" s="272"/>
      <c r="W109" s="327"/>
      <c r="X109" s="268"/>
      <c r="Y109" s="268"/>
      <c r="Z109" s="268"/>
      <c r="AA109" s="272"/>
      <c r="AB109" s="272"/>
      <c r="AC109" s="268"/>
      <c r="AD109" s="268"/>
      <c r="AE109" s="119"/>
    </row>
    <row r="110" spans="1:31" s="11" customFormat="1" ht="21" customHeight="1">
      <c r="A110" s="37"/>
      <c r="B110" s="38"/>
      <c r="C110" s="28" t="s">
        <v>45</v>
      </c>
      <c r="D110" s="132">
        <v>560</v>
      </c>
      <c r="E110" s="99">
        <f>ROUND(AD110/1000,0)</f>
        <v>580</v>
      </c>
      <c r="F110" s="100">
        <f>SUMIF($AB$111:$AB$113,"보조",$AD$111:$AD$113)/1000</f>
        <v>0</v>
      </c>
      <c r="G110" s="100">
        <f>SUMIF($AB$111:$AB$113,"4종",$AD$111:$AD$113)/1000</f>
        <v>0</v>
      </c>
      <c r="H110" s="100">
        <f>SUMIF($AB$111:$AB$113,"6종",$AD$111:$AD$113)/1000</f>
        <v>0</v>
      </c>
      <c r="I110" s="100">
        <f>SUMIF($AB$111:$AB$113,"후원",$AD$111:$AD$113)/1000</f>
        <v>0</v>
      </c>
      <c r="J110" s="100">
        <f>SUMIF($AB$111:$AB$113,"입소",$AD$111:$AD$113)/1000</f>
        <v>580</v>
      </c>
      <c r="K110" s="100">
        <f>SUMIF($AB$111:$AB$113,"법인",$AD$111:$AD$113)/1000</f>
        <v>0</v>
      </c>
      <c r="L110" s="100">
        <f>SUMIF($AB$111:$AB$113,"잡수",$AD$111:$AD$113)/1000</f>
        <v>0</v>
      </c>
      <c r="M110" s="153">
        <f>E110-D110</f>
        <v>20</v>
      </c>
      <c r="N110" s="106">
        <f>IF(D110=0,0,M110/D110)</f>
        <v>3.5714285714285712E-2</v>
      </c>
      <c r="O110" s="83" t="s">
        <v>46</v>
      </c>
      <c r="P110" s="151"/>
      <c r="Q110" s="151"/>
      <c r="R110" s="151"/>
      <c r="S110" s="151"/>
      <c r="T110" s="150"/>
      <c r="U110" s="150"/>
      <c r="V110" s="150"/>
      <c r="W110" s="150"/>
      <c r="X110" s="150"/>
      <c r="Y110" s="421" t="s">
        <v>382</v>
      </c>
      <c r="Z110" s="421"/>
      <c r="AA110" s="421"/>
      <c r="AB110" s="301"/>
      <c r="AC110" s="302"/>
      <c r="AD110" s="302">
        <f>SUM(AD111:AD112)</f>
        <v>580000</v>
      </c>
      <c r="AE110" s="143" t="s">
        <v>25</v>
      </c>
    </row>
    <row r="111" spans="1:31" s="11" customFormat="1" ht="21" customHeight="1">
      <c r="A111" s="37"/>
      <c r="B111" s="38"/>
      <c r="C111" s="38"/>
      <c r="D111" s="435"/>
      <c r="E111" s="436"/>
      <c r="F111" s="436"/>
      <c r="G111" s="436"/>
      <c r="H111" s="436"/>
      <c r="I111" s="436"/>
      <c r="J111" s="436"/>
      <c r="K111" s="436"/>
      <c r="L111" s="436"/>
      <c r="M111" s="94"/>
      <c r="N111" s="58"/>
      <c r="O111" s="501" t="s">
        <v>467</v>
      </c>
      <c r="P111" s="501"/>
      <c r="Q111" s="501"/>
      <c r="R111" s="501"/>
      <c r="S111" s="502">
        <v>35000</v>
      </c>
      <c r="T111" s="518" t="s">
        <v>25</v>
      </c>
      <c r="U111" s="518" t="s">
        <v>26</v>
      </c>
      <c r="V111" s="502">
        <v>12</v>
      </c>
      <c r="W111" s="501" t="s">
        <v>464</v>
      </c>
      <c r="X111" s="502" t="s">
        <v>27</v>
      </c>
      <c r="Y111" s="502"/>
      <c r="Z111" s="502"/>
      <c r="AA111" s="502"/>
      <c r="AB111" s="502" t="s">
        <v>447</v>
      </c>
      <c r="AC111" s="502"/>
      <c r="AD111" s="502">
        <f>S111*V111</f>
        <v>420000</v>
      </c>
      <c r="AE111" s="504" t="s">
        <v>25</v>
      </c>
    </row>
    <row r="112" spans="1:31" s="11" customFormat="1" ht="21" customHeight="1">
      <c r="A112" s="37"/>
      <c r="B112" s="38"/>
      <c r="C112" s="38"/>
      <c r="D112" s="437"/>
      <c r="E112" s="438"/>
      <c r="F112" s="438"/>
      <c r="G112" s="438"/>
      <c r="H112" s="438"/>
      <c r="I112" s="438"/>
      <c r="J112" s="438"/>
      <c r="K112" s="438"/>
      <c r="L112" s="438"/>
      <c r="M112" s="94"/>
      <c r="N112" s="58"/>
      <c r="O112" s="501" t="s">
        <v>468</v>
      </c>
      <c r="P112" s="501"/>
      <c r="Q112" s="501"/>
      <c r="R112" s="501"/>
      <c r="S112" s="502"/>
      <c r="T112" s="518"/>
      <c r="U112" s="518"/>
      <c r="V112" s="502"/>
      <c r="W112" s="501"/>
      <c r="X112" s="502"/>
      <c r="Y112" s="502"/>
      <c r="Z112" s="502"/>
      <c r="AA112" s="502"/>
      <c r="AB112" s="502" t="s">
        <v>447</v>
      </c>
      <c r="AC112" s="502"/>
      <c r="AD112" s="502">
        <v>160000</v>
      </c>
      <c r="AE112" s="504" t="s">
        <v>25</v>
      </c>
    </row>
    <row r="113" spans="1:31" s="11" customFormat="1" ht="21" customHeight="1">
      <c r="A113" s="37"/>
      <c r="B113" s="38"/>
      <c r="C113" s="49"/>
      <c r="D113" s="111"/>
      <c r="E113" s="97"/>
      <c r="F113" s="97"/>
      <c r="G113" s="97"/>
      <c r="H113" s="97"/>
      <c r="I113" s="97"/>
      <c r="J113" s="97"/>
      <c r="K113" s="97"/>
      <c r="L113" s="97"/>
      <c r="M113" s="97"/>
      <c r="N113" s="73"/>
      <c r="O113" s="420"/>
      <c r="P113" s="420"/>
      <c r="Q113" s="420"/>
      <c r="R113" s="420"/>
      <c r="S113" s="419"/>
      <c r="T113" s="390"/>
      <c r="U113" s="419"/>
      <c r="V113" s="577"/>
      <c r="W113" s="578"/>
      <c r="X113" s="419"/>
      <c r="Y113" s="419"/>
      <c r="Z113" s="419"/>
      <c r="AA113" s="419"/>
      <c r="AB113" s="419"/>
      <c r="AC113" s="419"/>
      <c r="AD113" s="419"/>
      <c r="AE113" s="391"/>
    </row>
    <row r="114" spans="1:31" s="11" customFormat="1" ht="21" customHeight="1">
      <c r="A114" s="37"/>
      <c r="B114" s="38"/>
      <c r="C114" s="28" t="s">
        <v>392</v>
      </c>
      <c r="D114" s="112">
        <v>1640</v>
      </c>
      <c r="E114" s="99">
        <f>ROUND(AD114/1000,0)</f>
        <v>1300</v>
      </c>
      <c r="F114" s="100">
        <f>SUMIF($AB$116:$AB$120,"보조",$AD$116:$AD$120)/1000</f>
        <v>0</v>
      </c>
      <c r="G114" s="100">
        <f>SUMIF($AB$116:$AB$120,"4종",$AD$116:$AD$120)/1000</f>
        <v>0</v>
      </c>
      <c r="H114" s="100">
        <f>SUMIF($AB$116:$AB$120,"6종",$AD$116:$AD$120)/1000</f>
        <v>0</v>
      </c>
      <c r="I114" s="100">
        <f>SUMIF($AB$116:$AB$120,"후원",$AD$116:$AD$120)/1000</f>
        <v>0</v>
      </c>
      <c r="J114" s="100">
        <f>SUMIF($AB$116:$AB$120,"입소",$AD$116:$AD$120)/1000</f>
        <v>100</v>
      </c>
      <c r="K114" s="100">
        <f>SUMIF($AB$116:$AB$120,"법인",$AD$116:$AD$120)/1000</f>
        <v>0</v>
      </c>
      <c r="L114" s="100">
        <f>SUMIF($AB$116:$AB$120,"잡수",$AD$116:$AD$120)/1000</f>
        <v>1200</v>
      </c>
      <c r="M114" s="109">
        <f>E114-D114</f>
        <v>-340</v>
      </c>
      <c r="N114" s="106">
        <f>IF(D114=0,0,M114/D114)</f>
        <v>-0.2073170731707317</v>
      </c>
      <c r="O114" s="102" t="s">
        <v>393</v>
      </c>
      <c r="P114" s="151"/>
      <c r="Q114" s="151"/>
      <c r="R114" s="151"/>
      <c r="S114" s="151"/>
      <c r="T114" s="150"/>
      <c r="U114" s="150"/>
      <c r="V114" s="150"/>
      <c r="W114" s="150"/>
      <c r="X114" s="150"/>
      <c r="Y114" s="421" t="s">
        <v>394</v>
      </c>
      <c r="Z114" s="421"/>
      <c r="AA114" s="421"/>
      <c r="AB114" s="421"/>
      <c r="AC114" s="144"/>
      <c r="AD114" s="144">
        <f>SUM(AD115,AD117)</f>
        <v>1300000</v>
      </c>
      <c r="AE114" s="143" t="s">
        <v>25</v>
      </c>
    </row>
    <row r="115" spans="1:31" s="11" customFormat="1" ht="21" customHeight="1">
      <c r="A115" s="37"/>
      <c r="B115" s="38"/>
      <c r="C115" s="38"/>
      <c r="D115" s="435"/>
      <c r="E115" s="436"/>
      <c r="F115" s="436"/>
      <c r="G115" s="436"/>
      <c r="H115" s="436"/>
      <c r="I115" s="436"/>
      <c r="J115" s="436"/>
      <c r="K115" s="436"/>
      <c r="L115" s="436"/>
      <c r="M115" s="94"/>
      <c r="N115" s="58"/>
      <c r="O115" s="461" t="s">
        <v>469</v>
      </c>
      <c r="P115" s="470"/>
      <c r="Q115" s="470"/>
      <c r="R115" s="470"/>
      <c r="S115" s="470"/>
      <c r="T115" s="471"/>
      <c r="U115" s="471"/>
      <c r="V115" s="471"/>
      <c r="W115" s="471"/>
      <c r="X115" s="471"/>
      <c r="Y115" s="472" t="s">
        <v>382</v>
      </c>
      <c r="Z115" s="472"/>
      <c r="AA115" s="472"/>
      <c r="AB115" s="472"/>
      <c r="AC115" s="473"/>
      <c r="AD115" s="473">
        <f>AD116</f>
        <v>100000</v>
      </c>
      <c r="AE115" s="474" t="s">
        <v>56</v>
      </c>
    </row>
    <row r="116" spans="1:31" s="11" customFormat="1" ht="20.25" customHeight="1">
      <c r="A116" s="37"/>
      <c r="B116" s="38"/>
      <c r="C116" s="38"/>
      <c r="D116" s="435"/>
      <c r="E116" s="436"/>
      <c r="F116" s="436"/>
      <c r="G116" s="438"/>
      <c r="H116" s="436"/>
      <c r="I116" s="436"/>
      <c r="J116" s="438"/>
      <c r="K116" s="436"/>
      <c r="L116" s="436"/>
      <c r="M116" s="94"/>
      <c r="N116" s="58"/>
      <c r="O116" s="461" t="s">
        <v>470</v>
      </c>
      <c r="P116" s="461"/>
      <c r="Q116" s="461"/>
      <c r="R116" s="461"/>
      <c r="S116" s="460">
        <v>50000</v>
      </c>
      <c r="T116" s="460" t="s">
        <v>25</v>
      </c>
      <c r="U116" s="475" t="s">
        <v>26</v>
      </c>
      <c r="V116" s="460">
        <v>2</v>
      </c>
      <c r="W116" s="460" t="s">
        <v>464</v>
      </c>
      <c r="X116" s="475"/>
      <c r="Y116" s="460"/>
      <c r="Z116" s="460"/>
      <c r="AA116" s="460" t="s">
        <v>27</v>
      </c>
      <c r="AB116" s="460" t="s">
        <v>447</v>
      </c>
      <c r="AC116" s="433"/>
      <c r="AD116" s="433">
        <f>S116*V116</f>
        <v>100000</v>
      </c>
      <c r="AE116" s="466" t="s">
        <v>25</v>
      </c>
    </row>
    <row r="117" spans="1:31" s="11" customFormat="1" ht="20.25" customHeight="1">
      <c r="A117" s="37"/>
      <c r="B117" s="38"/>
      <c r="C117" s="38"/>
      <c r="D117" s="437"/>
      <c r="E117" s="438"/>
      <c r="F117" s="438"/>
      <c r="G117" s="438"/>
      <c r="H117" s="438"/>
      <c r="I117" s="438"/>
      <c r="J117" s="438"/>
      <c r="K117" s="438"/>
      <c r="L117" s="438"/>
      <c r="M117" s="94"/>
      <c r="N117" s="58"/>
      <c r="O117" s="476" t="s">
        <v>471</v>
      </c>
      <c r="P117" s="461"/>
      <c r="Q117" s="461"/>
      <c r="R117" s="461"/>
      <c r="S117" s="460"/>
      <c r="T117" s="460"/>
      <c r="U117" s="475"/>
      <c r="V117" s="460"/>
      <c r="W117" s="460"/>
      <c r="X117" s="475"/>
      <c r="Y117" s="477" t="s">
        <v>382</v>
      </c>
      <c r="Z117" s="477"/>
      <c r="AA117" s="477"/>
      <c r="AB117" s="477"/>
      <c r="AC117" s="478"/>
      <c r="AD117" s="478">
        <f>SUM(AD118:AD119)</f>
        <v>1200000</v>
      </c>
      <c r="AE117" s="479" t="s">
        <v>56</v>
      </c>
    </row>
    <row r="118" spans="1:31" s="11" customFormat="1" ht="20.25" customHeight="1">
      <c r="A118" s="37"/>
      <c r="B118" s="38"/>
      <c r="C118" s="38"/>
      <c r="D118" s="113"/>
      <c r="E118" s="94"/>
      <c r="F118" s="94"/>
      <c r="G118" s="94"/>
      <c r="H118" s="94"/>
      <c r="I118" s="94"/>
      <c r="J118" s="94"/>
      <c r="K118" s="94"/>
      <c r="L118" s="94"/>
      <c r="M118" s="94"/>
      <c r="N118" s="58"/>
      <c r="O118" s="461" t="s">
        <v>472</v>
      </c>
      <c r="P118" s="501"/>
      <c r="Q118" s="501"/>
      <c r="R118" s="501"/>
      <c r="S118" s="502">
        <v>60000</v>
      </c>
      <c r="T118" s="502" t="s">
        <v>56</v>
      </c>
      <c r="U118" s="518" t="s">
        <v>26</v>
      </c>
      <c r="V118" s="502">
        <v>12</v>
      </c>
      <c r="W118" s="501" t="s">
        <v>0</v>
      </c>
      <c r="X118" s="511"/>
      <c r="Y118" s="502"/>
      <c r="Z118" s="502"/>
      <c r="AA118" s="519" t="s">
        <v>27</v>
      </c>
      <c r="AB118" s="502" t="s">
        <v>396</v>
      </c>
      <c r="AC118" s="503"/>
      <c r="AD118" s="502">
        <f>S118*V118</f>
        <v>720000</v>
      </c>
      <c r="AE118" s="504" t="s">
        <v>25</v>
      </c>
    </row>
    <row r="119" spans="1:31" s="11" customFormat="1" ht="20.25" customHeight="1">
      <c r="A119" s="37"/>
      <c r="B119" s="38"/>
      <c r="C119" s="38"/>
      <c r="D119" s="113"/>
      <c r="E119" s="94"/>
      <c r="F119" s="94"/>
      <c r="G119" s="94"/>
      <c r="H119" s="94"/>
      <c r="I119" s="94"/>
      <c r="J119" s="94"/>
      <c r="K119" s="94"/>
      <c r="L119" s="94"/>
      <c r="M119" s="94"/>
      <c r="N119" s="58"/>
      <c r="O119" s="461" t="s">
        <v>472</v>
      </c>
      <c r="P119" s="501"/>
      <c r="Q119" s="501"/>
      <c r="R119" s="501"/>
      <c r="S119" s="502">
        <v>48000</v>
      </c>
      <c r="T119" s="502" t="s">
        <v>56</v>
      </c>
      <c r="U119" s="518" t="s">
        <v>26</v>
      </c>
      <c r="V119" s="502">
        <v>10</v>
      </c>
      <c r="W119" s="501" t="s">
        <v>0</v>
      </c>
      <c r="X119" s="511"/>
      <c r="Y119" s="502"/>
      <c r="Z119" s="502"/>
      <c r="AA119" s="519" t="s">
        <v>27</v>
      </c>
      <c r="AB119" s="502" t="s">
        <v>396</v>
      </c>
      <c r="AC119" s="503"/>
      <c r="AD119" s="502">
        <f>S119*V119</f>
        <v>480000</v>
      </c>
      <c r="AE119" s="504" t="s">
        <v>56</v>
      </c>
    </row>
    <row r="120" spans="1:31" s="11" customFormat="1" ht="21" customHeight="1">
      <c r="A120" s="37"/>
      <c r="B120" s="49"/>
      <c r="C120" s="96"/>
      <c r="D120" s="131"/>
      <c r="E120" s="97"/>
      <c r="F120" s="97"/>
      <c r="G120" s="97"/>
      <c r="H120" s="97"/>
      <c r="I120" s="97"/>
      <c r="J120" s="97"/>
      <c r="K120" s="97"/>
      <c r="L120" s="97"/>
      <c r="M120" s="97"/>
      <c r="N120" s="73"/>
      <c r="O120" s="346"/>
      <c r="P120" s="346"/>
      <c r="Q120" s="346"/>
      <c r="R120" s="346"/>
      <c r="S120" s="345"/>
      <c r="T120" s="346"/>
      <c r="U120" s="345"/>
      <c r="V120" s="114"/>
      <c r="W120" s="114"/>
      <c r="X120" s="345"/>
      <c r="Y120" s="345"/>
      <c r="Z120" s="345"/>
      <c r="AA120" s="345"/>
      <c r="AB120" s="345"/>
      <c r="AC120" s="345"/>
      <c r="AD120" s="345"/>
      <c r="AE120" s="61"/>
    </row>
    <row r="121" spans="1:31" s="11" customFormat="1" ht="21" customHeight="1">
      <c r="A121" s="98" t="s">
        <v>47</v>
      </c>
      <c r="B121" s="596" t="s">
        <v>20</v>
      </c>
      <c r="C121" s="596"/>
      <c r="D121" s="156">
        <f>D122</f>
        <v>1100</v>
      </c>
      <c r="E121" s="156">
        <f>E122</f>
        <v>600</v>
      </c>
      <c r="F121" s="156">
        <f t="shared" ref="F121:L121" si="5">F122</f>
        <v>0</v>
      </c>
      <c r="G121" s="156">
        <f t="shared" si="5"/>
        <v>0</v>
      </c>
      <c r="H121" s="156">
        <f t="shared" si="5"/>
        <v>0</v>
      </c>
      <c r="I121" s="156">
        <f t="shared" si="5"/>
        <v>0</v>
      </c>
      <c r="J121" s="156">
        <f t="shared" si="5"/>
        <v>600</v>
      </c>
      <c r="K121" s="156">
        <f t="shared" si="5"/>
        <v>0</v>
      </c>
      <c r="L121" s="156">
        <f t="shared" si="5"/>
        <v>0</v>
      </c>
      <c r="M121" s="447">
        <f>E121-D121</f>
        <v>-500</v>
      </c>
      <c r="N121" s="138">
        <f>IF(D121=0,0,M121/D121)</f>
        <v>-0.45454545454545453</v>
      </c>
      <c r="O121" s="149" t="s">
        <v>397</v>
      </c>
      <c r="P121" s="149"/>
      <c r="Q121" s="149"/>
      <c r="R121" s="149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>
        <f>AD122</f>
        <v>600000</v>
      </c>
      <c r="AE121" s="26" t="s">
        <v>25</v>
      </c>
    </row>
    <row r="122" spans="1:31" s="11" customFormat="1" ht="21" customHeight="1">
      <c r="A122" s="155" t="s">
        <v>398</v>
      </c>
      <c r="B122" s="38" t="s">
        <v>17</v>
      </c>
      <c r="C122" s="38" t="s">
        <v>399</v>
      </c>
      <c r="D122" s="94">
        <f t="shared" ref="D122:L122" si="6">SUM(D123,D125,D137)</f>
        <v>1100</v>
      </c>
      <c r="E122" s="94">
        <f t="shared" si="6"/>
        <v>600</v>
      </c>
      <c r="F122" s="94">
        <f t="shared" si="6"/>
        <v>0</v>
      </c>
      <c r="G122" s="94">
        <f t="shared" si="6"/>
        <v>0</v>
      </c>
      <c r="H122" s="94">
        <f t="shared" si="6"/>
        <v>0</v>
      </c>
      <c r="I122" s="94">
        <f t="shared" si="6"/>
        <v>0</v>
      </c>
      <c r="J122" s="94">
        <f t="shared" si="6"/>
        <v>600</v>
      </c>
      <c r="K122" s="94">
        <f t="shared" si="6"/>
        <v>0</v>
      </c>
      <c r="L122" s="94">
        <f t="shared" si="6"/>
        <v>0</v>
      </c>
      <c r="M122" s="94">
        <f>E122-D122</f>
        <v>-500</v>
      </c>
      <c r="N122" s="58">
        <f>IF(D122=0,0,M122/D122)</f>
        <v>-0.45454545454545453</v>
      </c>
      <c r="O122" s="151" t="s">
        <v>400</v>
      </c>
      <c r="P122" s="151"/>
      <c r="Q122" s="151"/>
      <c r="R122" s="151"/>
      <c r="S122" s="151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80"/>
      <c r="AD122" s="80">
        <f>AD123+AD125+AD137</f>
        <v>600000</v>
      </c>
      <c r="AE122" s="81" t="s">
        <v>25</v>
      </c>
    </row>
    <row r="123" spans="1:31" s="11" customFormat="1" ht="21" customHeight="1">
      <c r="A123" s="37"/>
      <c r="B123" s="38"/>
      <c r="C123" s="28" t="s">
        <v>400</v>
      </c>
      <c r="D123" s="153">
        <v>0</v>
      </c>
      <c r="E123" s="153">
        <f>ROUND(AD123/1000,0)</f>
        <v>0</v>
      </c>
      <c r="F123" s="100">
        <f>SUMIF($AB$124:$AB$124,"보조",$AD$124:$AD$124)/1000</f>
        <v>0</v>
      </c>
      <c r="G123" s="100">
        <f>SUMIF($AB$124:$AB$124,"4종",$AD$124:$AD$124)/1000</f>
        <v>0</v>
      </c>
      <c r="H123" s="100">
        <f>SUMIF($AB$124:$AB$124,"6종",$AD$124:$AD$124)/1000</f>
        <v>0</v>
      </c>
      <c r="I123" s="100">
        <v>0</v>
      </c>
      <c r="J123" s="100">
        <f>SUMIF($AB$124:$AB$124,"입소",$AD$124:$AD$124)/1000</f>
        <v>0</v>
      </c>
      <c r="K123" s="100">
        <f>SUMIF($AB$124:$AB$124,"법인",$AD$124:$AD$124)/1000</f>
        <v>0</v>
      </c>
      <c r="L123" s="100">
        <f>SUMIF($AB$124:$AB$124,"잡수",$AD$124:$AD$124)/1000</f>
        <v>0</v>
      </c>
      <c r="M123" s="153">
        <f>E123-D123</f>
        <v>0</v>
      </c>
      <c r="N123" s="154">
        <f>IF(D123=0,0,M123/D123)</f>
        <v>0</v>
      </c>
      <c r="O123" s="83" t="s">
        <v>48</v>
      </c>
      <c r="P123" s="151"/>
      <c r="Q123" s="151"/>
      <c r="R123" s="151"/>
      <c r="S123" s="151"/>
      <c r="T123" s="150"/>
      <c r="U123" s="150"/>
      <c r="V123" s="150"/>
      <c r="W123" s="150"/>
      <c r="X123" s="150"/>
      <c r="Y123" s="421" t="s">
        <v>399</v>
      </c>
      <c r="Z123" s="421"/>
      <c r="AA123" s="421"/>
      <c r="AB123" s="421"/>
      <c r="AC123" s="144"/>
      <c r="AD123" s="144">
        <v>0</v>
      </c>
      <c r="AE123" s="143" t="s">
        <v>25</v>
      </c>
    </row>
    <row r="124" spans="1:31" s="11" customFormat="1" ht="21" customHeight="1">
      <c r="A124" s="37"/>
      <c r="B124" s="38"/>
      <c r="C124" s="38"/>
      <c r="D124" s="130"/>
      <c r="E124" s="94"/>
      <c r="F124" s="94"/>
      <c r="G124" s="94"/>
      <c r="H124" s="94"/>
      <c r="I124" s="94"/>
      <c r="J124" s="94"/>
      <c r="K124" s="94"/>
      <c r="L124" s="94"/>
      <c r="M124" s="94"/>
      <c r="N124" s="58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 t="s">
        <v>348</v>
      </c>
      <c r="AC124" s="103"/>
      <c r="AD124" s="394">
        <v>0</v>
      </c>
      <c r="AE124" s="398" t="s">
        <v>343</v>
      </c>
    </row>
    <row r="125" spans="1:31" s="11" customFormat="1" ht="21" customHeight="1">
      <c r="A125" s="37"/>
      <c r="B125" s="38"/>
      <c r="C125" s="28" t="s">
        <v>18</v>
      </c>
      <c r="D125" s="132">
        <v>1000</v>
      </c>
      <c r="E125" s="99">
        <f>ROUND(AD125/1000,0)</f>
        <v>500</v>
      </c>
      <c r="F125" s="100">
        <f>SUMIF($AB$126:$AB$136,"보조",$AD$126:$AD$136)/1000</f>
        <v>0</v>
      </c>
      <c r="G125" s="100">
        <f>SUMIF($AB$126:$AB$136,"4종",$AD$126:$AD$136)/1000</f>
        <v>0</v>
      </c>
      <c r="H125" s="100">
        <f>SUMIF($AB$126:$AB$136,"6종",$AD$126:$AD$136)/1000</f>
        <v>0</v>
      </c>
      <c r="I125" s="100">
        <f>SUMIF($AB$126:$AB$136,"후원",$AD$126:$AD$136)/1000</f>
        <v>0</v>
      </c>
      <c r="J125" s="100">
        <f>SUMIF($AB$126:$AB$136,"입소",$AD$126:$AD$136)/1000</f>
        <v>500</v>
      </c>
      <c r="K125" s="100">
        <f>SUMIF($AB$126:$AB$136,"법인",$AD$126:$AD$136)/1000</f>
        <v>0</v>
      </c>
      <c r="L125" s="100">
        <f>SUMIF($AB$126:$AB$136,"잡수",$AD$126:$AD$136)/1000</f>
        <v>0</v>
      </c>
      <c r="M125" s="446">
        <f>E125-D125</f>
        <v>-500</v>
      </c>
      <c r="N125" s="106">
        <f>IF(D125=0,0,M125/D125)</f>
        <v>-0.5</v>
      </c>
      <c r="O125" s="83" t="s">
        <v>49</v>
      </c>
      <c r="P125" s="151"/>
      <c r="Q125" s="151"/>
      <c r="R125" s="151"/>
      <c r="S125" s="151"/>
      <c r="T125" s="150"/>
      <c r="U125" s="150"/>
      <c r="V125" s="150"/>
      <c r="W125" s="150"/>
      <c r="X125" s="150"/>
      <c r="Y125" s="421" t="s">
        <v>382</v>
      </c>
      <c r="Z125" s="421"/>
      <c r="AA125" s="421"/>
      <c r="AB125" s="421"/>
      <c r="AC125" s="144"/>
      <c r="AD125" s="302">
        <f>SUM(AD126:AD136)</f>
        <v>500000</v>
      </c>
      <c r="AE125" s="143" t="s">
        <v>25</v>
      </c>
    </row>
    <row r="126" spans="1:31" s="11" customFormat="1" ht="21" customHeight="1">
      <c r="A126" s="37"/>
      <c r="B126" s="38"/>
      <c r="C126" s="38"/>
      <c r="D126" s="435"/>
      <c r="E126" s="436"/>
      <c r="F126" s="436"/>
      <c r="G126" s="436"/>
      <c r="H126" s="436"/>
      <c r="I126" s="436"/>
      <c r="J126" s="436"/>
      <c r="K126" s="436"/>
      <c r="L126" s="436"/>
      <c r="M126" s="94"/>
      <c r="N126" s="58"/>
      <c r="O126" s="601" t="s">
        <v>502</v>
      </c>
      <c r="P126" s="602"/>
      <c r="Q126" s="602"/>
      <c r="R126" s="602"/>
      <c r="S126" s="460"/>
      <c r="T126" s="465"/>
      <c r="U126" s="465"/>
      <c r="V126" s="460"/>
      <c r="W126" s="461"/>
      <c r="X126" s="460"/>
      <c r="Y126" s="460"/>
      <c r="Z126" s="460"/>
      <c r="AA126" s="460"/>
      <c r="AB126" s="460" t="s">
        <v>476</v>
      </c>
      <c r="AC126" s="460"/>
      <c r="AD126" s="460">
        <v>0</v>
      </c>
      <c r="AE126" s="466" t="s">
        <v>25</v>
      </c>
    </row>
    <row r="127" spans="1:31" s="11" customFormat="1" ht="21" customHeight="1">
      <c r="A127" s="37"/>
      <c r="B127" s="38"/>
      <c r="C127" s="38"/>
      <c r="D127" s="437"/>
      <c r="E127" s="438"/>
      <c r="F127" s="438"/>
      <c r="G127" s="438"/>
      <c r="H127" s="438"/>
      <c r="I127" s="438"/>
      <c r="J127" s="438"/>
      <c r="K127" s="438"/>
      <c r="L127" s="438"/>
      <c r="M127" s="94"/>
      <c r="N127" s="58"/>
      <c r="O127" s="501" t="s">
        <v>515</v>
      </c>
      <c r="P127" s="501"/>
      <c r="Q127" s="501"/>
      <c r="R127" s="501"/>
      <c r="S127" s="502"/>
      <c r="T127" s="518"/>
      <c r="U127" s="518"/>
      <c r="V127" s="502"/>
      <c r="W127" s="501"/>
      <c r="X127" s="502"/>
      <c r="Y127" s="502"/>
      <c r="Z127" s="502"/>
      <c r="AA127" s="502"/>
      <c r="AB127" s="502" t="s">
        <v>447</v>
      </c>
      <c r="AC127" s="502"/>
      <c r="AD127" s="502">
        <v>500000</v>
      </c>
      <c r="AE127" s="504" t="s">
        <v>25</v>
      </c>
    </row>
    <row r="128" spans="1:31" s="11" customFormat="1" ht="21" customHeight="1">
      <c r="A128" s="37"/>
      <c r="B128" s="38"/>
      <c r="C128" s="38"/>
      <c r="D128" s="95"/>
      <c r="E128" s="94"/>
      <c r="F128" s="94"/>
      <c r="G128" s="94"/>
      <c r="H128" s="94"/>
      <c r="I128" s="94"/>
      <c r="J128" s="94"/>
      <c r="K128" s="94"/>
      <c r="L128" s="94"/>
      <c r="M128" s="94"/>
      <c r="N128" s="58"/>
      <c r="O128" s="425"/>
      <c r="P128" s="425"/>
      <c r="Q128" s="425"/>
      <c r="R128" s="425"/>
      <c r="S128" s="424"/>
      <c r="T128" s="393"/>
      <c r="U128" s="291"/>
      <c r="V128" s="118"/>
      <c r="W128" s="118"/>
      <c r="X128" s="424"/>
      <c r="Y128" s="424"/>
      <c r="Z128" s="424"/>
      <c r="AA128" s="424"/>
      <c r="AB128" s="424"/>
      <c r="AC128" s="424"/>
      <c r="AD128" s="424"/>
      <c r="AE128" s="119"/>
    </row>
    <row r="129" spans="1:31" s="11" customFormat="1" ht="21" hidden="1" customHeight="1">
      <c r="A129" s="37"/>
      <c r="B129" s="38"/>
      <c r="C129" s="38"/>
      <c r="D129" s="95"/>
      <c r="E129" s="94"/>
      <c r="F129" s="94"/>
      <c r="G129" s="94"/>
      <c r="H129" s="94"/>
      <c r="I129" s="94"/>
      <c r="J129" s="94"/>
      <c r="K129" s="94"/>
      <c r="L129" s="94"/>
      <c r="M129" s="94"/>
      <c r="N129" s="58"/>
      <c r="O129" s="425"/>
      <c r="P129" s="425"/>
      <c r="Q129" s="425"/>
      <c r="R129" s="425"/>
      <c r="S129" s="424"/>
      <c r="T129" s="291"/>
      <c r="U129" s="291"/>
      <c r="V129" s="424"/>
      <c r="W129" s="425"/>
      <c r="X129" s="424"/>
      <c r="Y129" s="424"/>
      <c r="Z129" s="424"/>
      <c r="AA129" s="424"/>
      <c r="AB129" s="424" t="s">
        <v>378</v>
      </c>
      <c r="AC129" s="424"/>
      <c r="AD129" s="424"/>
      <c r="AE129" s="119" t="s">
        <v>343</v>
      </c>
    </row>
    <row r="130" spans="1:31" s="11" customFormat="1" ht="21" hidden="1" customHeight="1">
      <c r="A130" s="37"/>
      <c r="B130" s="38"/>
      <c r="C130" s="38"/>
      <c r="D130" s="95"/>
      <c r="E130" s="94"/>
      <c r="F130" s="94"/>
      <c r="G130" s="94"/>
      <c r="H130" s="94"/>
      <c r="I130" s="94"/>
      <c r="J130" s="94"/>
      <c r="K130" s="94"/>
      <c r="L130" s="94"/>
      <c r="M130" s="94"/>
      <c r="N130" s="58"/>
      <c r="O130" s="425"/>
      <c r="P130" s="425"/>
      <c r="Q130" s="425"/>
      <c r="R130" s="425"/>
      <c r="S130" s="424"/>
      <c r="T130" s="393"/>
      <c r="U130" s="291"/>
      <c r="V130" s="118"/>
      <c r="W130" s="118"/>
      <c r="X130" s="424"/>
      <c r="Y130" s="424"/>
      <c r="Z130" s="424"/>
      <c r="AA130" s="424"/>
      <c r="AB130" s="424" t="s">
        <v>378</v>
      </c>
      <c r="AC130" s="424"/>
      <c r="AD130" s="424"/>
      <c r="AE130" s="119" t="s">
        <v>343</v>
      </c>
    </row>
    <row r="131" spans="1:31" s="11" customFormat="1" ht="21" hidden="1" customHeight="1">
      <c r="A131" s="37"/>
      <c r="B131" s="38"/>
      <c r="C131" s="38"/>
      <c r="D131" s="95"/>
      <c r="E131" s="94"/>
      <c r="F131" s="94"/>
      <c r="G131" s="94"/>
      <c r="H131" s="94"/>
      <c r="I131" s="94"/>
      <c r="J131" s="94"/>
      <c r="K131" s="94"/>
      <c r="L131" s="94"/>
      <c r="M131" s="94"/>
      <c r="N131" s="58"/>
      <c r="O131" s="425"/>
      <c r="P131" s="425"/>
      <c r="Q131" s="425"/>
      <c r="R131" s="425"/>
      <c r="S131" s="424"/>
      <c r="T131" s="393"/>
      <c r="U131" s="291"/>
      <c r="V131" s="118"/>
      <c r="W131" s="118"/>
      <c r="X131" s="424"/>
      <c r="Y131" s="424"/>
      <c r="Z131" s="424"/>
      <c r="AA131" s="424"/>
      <c r="AB131" s="424" t="s">
        <v>378</v>
      </c>
      <c r="AC131" s="424"/>
      <c r="AD131" s="424"/>
      <c r="AE131" s="119" t="s">
        <v>343</v>
      </c>
    </row>
    <row r="132" spans="1:31" s="11" customFormat="1" ht="21" hidden="1" customHeight="1">
      <c r="A132" s="37"/>
      <c r="B132" s="38"/>
      <c r="C132" s="38"/>
      <c r="D132" s="95"/>
      <c r="E132" s="94"/>
      <c r="F132" s="94"/>
      <c r="G132" s="94"/>
      <c r="H132" s="94"/>
      <c r="I132" s="94"/>
      <c r="J132" s="94"/>
      <c r="K132" s="94"/>
      <c r="L132" s="94"/>
      <c r="M132" s="94"/>
      <c r="N132" s="58"/>
      <c r="O132" s="425"/>
      <c r="P132" s="425"/>
      <c r="Q132" s="425"/>
      <c r="R132" s="425"/>
      <c r="S132" s="424"/>
      <c r="T132" s="393"/>
      <c r="U132" s="291"/>
      <c r="V132" s="118"/>
      <c r="W132" s="118"/>
      <c r="X132" s="424"/>
      <c r="Y132" s="424"/>
      <c r="Z132" s="424"/>
      <c r="AA132" s="424"/>
      <c r="AB132" s="424" t="s">
        <v>378</v>
      </c>
      <c r="AC132" s="424"/>
      <c r="AD132" s="424"/>
      <c r="AE132" s="119" t="s">
        <v>343</v>
      </c>
    </row>
    <row r="133" spans="1:31" s="11" customFormat="1" ht="21" hidden="1" customHeight="1">
      <c r="A133" s="37"/>
      <c r="B133" s="38"/>
      <c r="C133" s="38"/>
      <c r="D133" s="95"/>
      <c r="E133" s="94"/>
      <c r="F133" s="94"/>
      <c r="G133" s="94"/>
      <c r="H133" s="94"/>
      <c r="I133" s="94"/>
      <c r="J133" s="94"/>
      <c r="K133" s="94"/>
      <c r="L133" s="94"/>
      <c r="M133" s="94"/>
      <c r="N133" s="58"/>
      <c r="O133" s="425"/>
      <c r="P133" s="425"/>
      <c r="Q133" s="425"/>
      <c r="R133" s="425"/>
      <c r="S133" s="424"/>
      <c r="T133" s="393"/>
      <c r="U133" s="291"/>
      <c r="V133" s="118"/>
      <c r="W133" s="118"/>
      <c r="X133" s="424"/>
      <c r="Y133" s="424"/>
      <c r="Z133" s="424"/>
      <c r="AA133" s="424"/>
      <c r="AB133" s="424" t="s">
        <v>378</v>
      </c>
      <c r="AC133" s="424"/>
      <c r="AD133" s="424"/>
      <c r="AE133" s="119" t="s">
        <v>343</v>
      </c>
    </row>
    <row r="134" spans="1:31" s="11" customFormat="1" ht="21" hidden="1" customHeight="1">
      <c r="A134" s="37"/>
      <c r="B134" s="38"/>
      <c r="C134" s="38"/>
      <c r="D134" s="95"/>
      <c r="E134" s="94"/>
      <c r="F134" s="94"/>
      <c r="G134" s="94"/>
      <c r="H134" s="94"/>
      <c r="I134" s="94"/>
      <c r="J134" s="94"/>
      <c r="K134" s="94"/>
      <c r="L134" s="94"/>
      <c r="M134" s="94"/>
      <c r="N134" s="58"/>
      <c r="O134" s="425"/>
      <c r="P134" s="425"/>
      <c r="Q134" s="425"/>
      <c r="R134" s="425"/>
      <c r="S134" s="424"/>
      <c r="T134" s="393"/>
      <c r="U134" s="291"/>
      <c r="V134" s="118"/>
      <c r="W134" s="118"/>
      <c r="X134" s="424"/>
      <c r="Y134" s="424"/>
      <c r="Z134" s="424"/>
      <c r="AA134" s="424"/>
      <c r="AB134" s="424" t="s">
        <v>378</v>
      </c>
      <c r="AC134" s="424"/>
      <c r="AD134" s="424"/>
      <c r="AE134" s="119" t="s">
        <v>343</v>
      </c>
    </row>
    <row r="135" spans="1:31" s="11" customFormat="1" ht="21" hidden="1" customHeight="1">
      <c r="A135" s="37"/>
      <c r="B135" s="38"/>
      <c r="C135" s="38"/>
      <c r="D135" s="95"/>
      <c r="E135" s="94"/>
      <c r="F135" s="94"/>
      <c r="G135" s="94"/>
      <c r="H135" s="94"/>
      <c r="I135" s="94"/>
      <c r="J135" s="94"/>
      <c r="K135" s="94"/>
      <c r="L135" s="94"/>
      <c r="M135" s="94"/>
      <c r="N135" s="58"/>
      <c r="O135" s="425"/>
      <c r="P135" s="425"/>
      <c r="Q135" s="425"/>
      <c r="R135" s="425"/>
      <c r="S135" s="424"/>
      <c r="T135" s="393"/>
      <c r="U135" s="291"/>
      <c r="V135" s="118"/>
      <c r="W135" s="118"/>
      <c r="X135" s="424"/>
      <c r="Y135" s="424"/>
      <c r="Z135" s="424"/>
      <c r="AA135" s="424"/>
      <c r="AB135" s="424" t="s">
        <v>378</v>
      </c>
      <c r="AC135" s="424"/>
      <c r="AD135" s="424"/>
      <c r="AE135" s="119" t="s">
        <v>343</v>
      </c>
    </row>
    <row r="136" spans="1:31" s="11" customFormat="1" ht="21" hidden="1" customHeight="1">
      <c r="A136" s="37"/>
      <c r="B136" s="38"/>
      <c r="C136" s="38"/>
      <c r="D136" s="95"/>
      <c r="E136" s="94"/>
      <c r="F136" s="94"/>
      <c r="G136" s="94"/>
      <c r="H136" s="94"/>
      <c r="I136" s="94"/>
      <c r="J136" s="94"/>
      <c r="K136" s="94"/>
      <c r="L136" s="94"/>
      <c r="M136" s="94"/>
      <c r="N136" s="58"/>
      <c r="O136" s="425"/>
      <c r="P136" s="425"/>
      <c r="Q136" s="425"/>
      <c r="R136" s="425"/>
      <c r="S136" s="424"/>
      <c r="T136" s="393"/>
      <c r="U136" s="291"/>
      <c r="V136" s="118"/>
      <c r="W136" s="118"/>
      <c r="X136" s="424"/>
      <c r="Y136" s="424"/>
      <c r="Z136" s="424"/>
      <c r="AA136" s="424"/>
      <c r="AB136" s="424" t="s">
        <v>378</v>
      </c>
      <c r="AC136" s="424"/>
      <c r="AD136" s="424"/>
      <c r="AE136" s="119" t="s">
        <v>343</v>
      </c>
    </row>
    <row r="137" spans="1:31" s="11" customFormat="1" ht="21" customHeight="1">
      <c r="A137" s="37"/>
      <c r="B137" s="38"/>
      <c r="C137" s="28" t="s">
        <v>50</v>
      </c>
      <c r="D137" s="132">
        <v>100</v>
      </c>
      <c r="E137" s="99">
        <f>ROUND(AD137/1000,0)</f>
        <v>100</v>
      </c>
      <c r="F137" s="100">
        <f>SUMIF($AB$138:$AB$142,"보조",$AD$138:$AD$142)/1000</f>
        <v>0</v>
      </c>
      <c r="G137" s="100">
        <f>SUMIF($AB$138:$AB$142,"4종",$AD$138:$AD$142)/1000</f>
        <v>0</v>
      </c>
      <c r="H137" s="100">
        <f>SUMIF($AB$138:$AB$142,"6종",$AD$138:$AD$142)/1000</f>
        <v>0</v>
      </c>
      <c r="I137" s="100">
        <f>SUMIF($AB$138:$AB$142,"후원",$AD$138:$AD$142)/1000</f>
        <v>0</v>
      </c>
      <c r="J137" s="100">
        <f>SUMIF($AB$138:$AB$142,"입소",$AD$138:$AD$142)/1000</f>
        <v>100</v>
      </c>
      <c r="K137" s="100">
        <f>SUMIF($AB$138:$AB$142,"법인",$AD$138:$AD$142)/1000</f>
        <v>0</v>
      </c>
      <c r="L137" s="100">
        <f>SUMIF($AB$138:$AB$142,"잡수",$AD$138:$AD$142)/1000</f>
        <v>0</v>
      </c>
      <c r="M137" s="109">
        <f>E137-D137</f>
        <v>0</v>
      </c>
      <c r="N137" s="106">
        <f>IF(D137=0,0,M137/D137)</f>
        <v>0</v>
      </c>
      <c r="O137" s="83" t="s">
        <v>51</v>
      </c>
      <c r="P137" s="151"/>
      <c r="Q137" s="151"/>
      <c r="R137" s="151"/>
      <c r="S137" s="151"/>
      <c r="T137" s="150"/>
      <c r="U137" s="150"/>
      <c r="V137" s="150"/>
      <c r="W137" s="150"/>
      <c r="X137" s="150"/>
      <c r="Y137" s="421" t="s">
        <v>382</v>
      </c>
      <c r="Z137" s="421"/>
      <c r="AA137" s="421"/>
      <c r="AB137" s="421"/>
      <c r="AC137" s="144"/>
      <c r="AD137" s="144">
        <f>SUM(AD138:AD142)</f>
        <v>100000</v>
      </c>
      <c r="AE137" s="143" t="s">
        <v>25</v>
      </c>
    </row>
    <row r="138" spans="1:31" s="1" customFormat="1" ht="21" customHeight="1">
      <c r="A138" s="37"/>
      <c r="B138" s="38"/>
      <c r="C138" s="38" t="s">
        <v>401</v>
      </c>
      <c r="D138" s="435"/>
      <c r="E138" s="436"/>
      <c r="F138" s="436"/>
      <c r="G138" s="436"/>
      <c r="H138" s="436"/>
      <c r="I138" s="436"/>
      <c r="J138" s="436"/>
      <c r="K138" s="436"/>
      <c r="L138" s="436"/>
      <c r="M138" s="94"/>
      <c r="N138" s="58"/>
      <c r="O138" s="461" t="s">
        <v>501</v>
      </c>
      <c r="P138" s="461"/>
      <c r="Q138" s="461"/>
      <c r="R138" s="461"/>
      <c r="S138" s="460"/>
      <c r="T138" s="465"/>
      <c r="U138" s="465"/>
      <c r="V138" s="460"/>
      <c r="W138" s="461"/>
      <c r="X138" s="460"/>
      <c r="Y138" s="460"/>
      <c r="Z138" s="460"/>
      <c r="AA138" s="460"/>
      <c r="AB138" s="460" t="s">
        <v>476</v>
      </c>
      <c r="AC138" s="460"/>
      <c r="AD138" s="460"/>
      <c r="AE138" s="466" t="s">
        <v>25</v>
      </c>
    </row>
    <row r="139" spans="1:31" s="1" customFormat="1" ht="21" customHeight="1">
      <c r="A139" s="37"/>
      <c r="B139" s="38"/>
      <c r="C139" s="38"/>
      <c r="D139" s="437"/>
      <c r="E139" s="438"/>
      <c r="F139" s="438"/>
      <c r="G139" s="438"/>
      <c r="H139" s="438"/>
      <c r="I139" s="438"/>
      <c r="J139" s="438"/>
      <c r="K139" s="438"/>
      <c r="L139" s="438"/>
      <c r="M139" s="94"/>
      <c r="N139" s="58"/>
      <c r="O139" s="461" t="s">
        <v>473</v>
      </c>
      <c r="P139" s="461"/>
      <c r="Q139" s="461"/>
      <c r="R139" s="461"/>
      <c r="S139" s="460"/>
      <c r="T139" s="465"/>
      <c r="U139" s="465"/>
      <c r="V139" s="460"/>
      <c r="W139" s="461"/>
      <c r="X139" s="460"/>
      <c r="Y139" s="460"/>
      <c r="Z139" s="460"/>
      <c r="AA139" s="460"/>
      <c r="AB139" s="460" t="s">
        <v>447</v>
      </c>
      <c r="AC139" s="460"/>
      <c r="AD139" s="460">
        <v>0</v>
      </c>
      <c r="AE139" s="466" t="s">
        <v>25</v>
      </c>
    </row>
    <row r="140" spans="1:31" s="1" customFormat="1" ht="21" customHeight="1">
      <c r="A140" s="37"/>
      <c r="B140" s="38"/>
      <c r="C140" s="38"/>
      <c r="D140" s="130"/>
      <c r="E140" s="94"/>
      <c r="F140" s="94"/>
      <c r="G140" s="94"/>
      <c r="H140" s="94"/>
      <c r="I140" s="94"/>
      <c r="J140" s="94"/>
      <c r="K140" s="94"/>
      <c r="L140" s="94"/>
      <c r="M140" s="94"/>
      <c r="N140" s="58"/>
      <c r="O140" s="461" t="s">
        <v>474</v>
      </c>
      <c r="P140" s="461"/>
      <c r="Q140" s="461"/>
      <c r="R140" s="461"/>
      <c r="S140" s="460"/>
      <c r="T140" s="465"/>
      <c r="U140" s="465"/>
      <c r="V140" s="460">
        <v>60000</v>
      </c>
      <c r="W140" s="461" t="s">
        <v>25</v>
      </c>
      <c r="X140" s="460" t="s">
        <v>26</v>
      </c>
      <c r="Y140" s="460">
        <v>1</v>
      </c>
      <c r="Z140" s="460" t="s">
        <v>464</v>
      </c>
      <c r="AA140" s="460" t="s">
        <v>27</v>
      </c>
      <c r="AB140" s="460" t="s">
        <v>447</v>
      </c>
      <c r="AC140" s="460"/>
      <c r="AD140" s="460">
        <f>V140*Y140</f>
        <v>60000</v>
      </c>
      <c r="AE140" s="466" t="s">
        <v>25</v>
      </c>
    </row>
    <row r="141" spans="1:31" s="1" customFormat="1" ht="21" customHeight="1">
      <c r="A141" s="37"/>
      <c r="B141" s="38"/>
      <c r="C141" s="38"/>
      <c r="D141" s="130"/>
      <c r="E141" s="94"/>
      <c r="F141" s="94"/>
      <c r="G141" s="94"/>
      <c r="H141" s="94"/>
      <c r="I141" s="94"/>
      <c r="J141" s="94"/>
      <c r="K141" s="94"/>
      <c r="L141" s="94"/>
      <c r="M141" s="94"/>
      <c r="N141" s="58"/>
      <c r="O141" s="461" t="s">
        <v>475</v>
      </c>
      <c r="P141" s="461"/>
      <c r="Q141" s="461"/>
      <c r="R141" s="461"/>
      <c r="S141" s="460"/>
      <c r="T141" s="465"/>
      <c r="U141" s="465"/>
      <c r="V141" s="460">
        <v>40000</v>
      </c>
      <c r="W141" s="461" t="s">
        <v>25</v>
      </c>
      <c r="X141" s="460" t="s">
        <v>26</v>
      </c>
      <c r="Y141" s="460">
        <v>1</v>
      </c>
      <c r="Z141" s="460" t="s">
        <v>464</v>
      </c>
      <c r="AA141" s="460" t="s">
        <v>27</v>
      </c>
      <c r="AB141" s="460" t="s">
        <v>447</v>
      </c>
      <c r="AC141" s="460"/>
      <c r="AD141" s="460">
        <f>V141*Y141</f>
        <v>40000</v>
      </c>
      <c r="AE141" s="466" t="s">
        <v>25</v>
      </c>
    </row>
    <row r="142" spans="1:31" s="1" customFormat="1" ht="21" customHeight="1">
      <c r="A142" s="37"/>
      <c r="B142" s="38"/>
      <c r="C142" s="38"/>
      <c r="D142" s="130"/>
      <c r="E142" s="94"/>
      <c r="F142" s="94"/>
      <c r="G142" s="94"/>
      <c r="H142" s="94"/>
      <c r="I142" s="94"/>
      <c r="J142" s="94"/>
      <c r="K142" s="94"/>
      <c r="L142" s="94"/>
      <c r="M142" s="94"/>
      <c r="N142" s="58"/>
      <c r="O142" s="425"/>
      <c r="P142" s="425"/>
      <c r="Q142" s="425"/>
      <c r="R142" s="425"/>
      <c r="S142" s="424"/>
      <c r="T142" s="291"/>
      <c r="U142" s="291"/>
      <c r="V142" s="424"/>
      <c r="W142" s="425"/>
      <c r="X142" s="424"/>
      <c r="Y142" s="424"/>
      <c r="Z142" s="424"/>
      <c r="AA142" s="424"/>
      <c r="AB142" s="424"/>
      <c r="AC142" s="424"/>
      <c r="AD142" s="424"/>
      <c r="AE142" s="119"/>
    </row>
    <row r="143" spans="1:31" s="11" customFormat="1" ht="21" customHeight="1">
      <c r="A143" s="157" t="s">
        <v>19</v>
      </c>
      <c r="B143" s="597" t="s">
        <v>20</v>
      </c>
      <c r="C143" s="598"/>
      <c r="D143" s="158">
        <f t="shared" ref="D143:M143" si="7">SUM(D144,D169)</f>
        <v>14970</v>
      </c>
      <c r="E143" s="158">
        <f t="shared" si="7"/>
        <v>11403</v>
      </c>
      <c r="F143" s="158">
        <f t="shared" ca="1" si="7"/>
        <v>4800</v>
      </c>
      <c r="G143" s="158">
        <f t="shared" si="7"/>
        <v>1642</v>
      </c>
      <c r="H143" s="158">
        <f t="shared" si="7"/>
        <v>0</v>
      </c>
      <c r="I143" s="158">
        <f t="shared" si="7"/>
        <v>896</v>
      </c>
      <c r="J143" s="158">
        <f t="shared" si="7"/>
        <v>4065</v>
      </c>
      <c r="K143" s="158">
        <f t="shared" si="7"/>
        <v>0</v>
      </c>
      <c r="L143" s="158">
        <f t="shared" si="7"/>
        <v>0</v>
      </c>
      <c r="M143" s="158">
        <f t="shared" si="7"/>
        <v>-3567</v>
      </c>
      <c r="N143" s="159">
        <f>IF(D143=0,0,M143/D143)</f>
        <v>-0.23827655310621243</v>
      </c>
      <c r="O143" s="151" t="s">
        <v>402</v>
      </c>
      <c r="P143" s="151"/>
      <c r="Q143" s="151"/>
      <c r="R143" s="151"/>
      <c r="S143" s="151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300">
        <f>SUM(AD144,AD169)</f>
        <v>11403000</v>
      </c>
      <c r="AE143" s="81" t="s">
        <v>25</v>
      </c>
    </row>
    <row r="144" spans="1:31" s="11" customFormat="1" ht="21" customHeight="1">
      <c r="A144" s="38"/>
      <c r="B144" s="28" t="s">
        <v>403</v>
      </c>
      <c r="C144" s="28" t="s">
        <v>404</v>
      </c>
      <c r="D144" s="99">
        <f t="shared" ref="D144:L144" si="8">SUM(D145,D153,D157,D162,D166)</f>
        <v>11730</v>
      </c>
      <c r="E144" s="99">
        <f t="shared" si="8"/>
        <v>9118</v>
      </c>
      <c r="F144" s="99">
        <f t="shared" si="8"/>
        <v>4800</v>
      </c>
      <c r="G144" s="99">
        <f t="shared" si="8"/>
        <v>1642</v>
      </c>
      <c r="H144" s="99">
        <f t="shared" si="8"/>
        <v>0</v>
      </c>
      <c r="I144" s="99">
        <f t="shared" si="8"/>
        <v>896</v>
      </c>
      <c r="J144" s="99">
        <f t="shared" si="8"/>
        <v>1780</v>
      </c>
      <c r="K144" s="99">
        <f t="shared" si="8"/>
        <v>0</v>
      </c>
      <c r="L144" s="99">
        <f t="shared" si="8"/>
        <v>0</v>
      </c>
      <c r="M144" s="99">
        <f>E144-D144</f>
        <v>-2612</v>
      </c>
      <c r="N144" s="106">
        <f>IF(D144=0,0,M144/D144)</f>
        <v>-0.22267689684569481</v>
      </c>
      <c r="O144" s="151"/>
      <c r="P144" s="151"/>
      <c r="Q144" s="151"/>
      <c r="R144" s="151"/>
      <c r="S144" s="151"/>
      <c r="T144" s="150"/>
      <c r="U144" s="150"/>
      <c r="V144" s="150"/>
      <c r="W144" s="150"/>
      <c r="X144" s="150"/>
      <c r="Y144" s="150" t="s">
        <v>28</v>
      </c>
      <c r="Z144" s="150"/>
      <c r="AA144" s="150"/>
      <c r="AB144" s="150"/>
      <c r="AC144" s="80"/>
      <c r="AD144" s="448">
        <f>SUM(AD145,AD153,AD157,AD162,AD166)</f>
        <v>9118000</v>
      </c>
      <c r="AE144" s="81" t="s">
        <v>25</v>
      </c>
    </row>
    <row r="145" spans="1:31" s="11" customFormat="1" ht="21" customHeight="1">
      <c r="A145" s="38"/>
      <c r="B145" s="38"/>
      <c r="C145" s="28" t="s">
        <v>405</v>
      </c>
      <c r="D145" s="132">
        <v>10022</v>
      </c>
      <c r="E145" s="99">
        <f>AD145/1000</f>
        <v>7312</v>
      </c>
      <c r="F145" s="100">
        <f>SUMIF($AB$146:$AB$152,"보조",$AD$146:$AD$152)/1000</f>
        <v>4800</v>
      </c>
      <c r="G145" s="100">
        <f>SUMIF($AB$146:$AB$152,"4종",$AD$146:$AD$152)/1000</f>
        <v>1162</v>
      </c>
      <c r="H145" s="100">
        <f>SUMIF($AB$146:$AB$152,"6종",$AD$146:$AD$152)/1000</f>
        <v>0</v>
      </c>
      <c r="I145" s="100">
        <f>SUMIF($AB$146:$AB$152,"후원",$AD$146:$AD$152)/1000</f>
        <v>150</v>
      </c>
      <c r="J145" s="100">
        <f>SUMIF($AB$146:$AB$152,"입소",$AD$146:$AD$152)/1000</f>
        <v>1200</v>
      </c>
      <c r="K145" s="100">
        <f>SUMIF($AB$146:$AB$152,"법인",$AD$146:$AD$152)/1000</f>
        <v>0</v>
      </c>
      <c r="L145" s="100">
        <f>SUMIF($AB$146:$AB$152,"잡수",$AD$146:$AD$152)/1000</f>
        <v>0</v>
      </c>
      <c r="M145" s="446">
        <f>E145-D145</f>
        <v>-2710</v>
      </c>
      <c r="N145" s="106">
        <f>IF(D145=0,0,M145/D145)</f>
        <v>-0.27040510876072638</v>
      </c>
      <c r="O145" s="83" t="s">
        <v>406</v>
      </c>
      <c r="P145" s="151"/>
      <c r="Q145" s="151"/>
      <c r="R145" s="151"/>
      <c r="S145" s="151"/>
      <c r="T145" s="150"/>
      <c r="U145" s="150"/>
      <c r="V145" s="150"/>
      <c r="W145" s="150"/>
      <c r="X145" s="150"/>
      <c r="Y145" s="421" t="s">
        <v>407</v>
      </c>
      <c r="Z145" s="421"/>
      <c r="AA145" s="421"/>
      <c r="AB145" s="421"/>
      <c r="AC145" s="144"/>
      <c r="AD145" s="332">
        <f>ROUND(SUM(AD146:AD151),-3)</f>
        <v>7312000</v>
      </c>
      <c r="AE145" s="143" t="s">
        <v>25</v>
      </c>
    </row>
    <row r="146" spans="1:31" s="11" customFormat="1" ht="21" customHeight="1">
      <c r="A146" s="38"/>
      <c r="B146" s="38"/>
      <c r="C146" s="38"/>
      <c r="D146" s="435"/>
      <c r="E146" s="436"/>
      <c r="F146" s="436"/>
      <c r="G146" s="436"/>
      <c r="H146" s="436"/>
      <c r="I146" s="436"/>
      <c r="J146" s="436"/>
      <c r="K146" s="436"/>
      <c r="L146" s="436"/>
      <c r="M146" s="94"/>
      <c r="N146" s="58"/>
      <c r="O146" s="461" t="s">
        <v>477</v>
      </c>
      <c r="P146" s="461"/>
      <c r="Q146" s="460"/>
      <c r="R146" s="460"/>
      <c r="S146" s="460">
        <v>200000</v>
      </c>
      <c r="T146" s="465" t="s">
        <v>25</v>
      </c>
      <c r="U146" s="465" t="s">
        <v>26</v>
      </c>
      <c r="V146" s="460">
        <v>6</v>
      </c>
      <c r="W146" s="461" t="s">
        <v>29</v>
      </c>
      <c r="X146" s="461" t="s">
        <v>26</v>
      </c>
      <c r="Y146" s="480">
        <v>4</v>
      </c>
      <c r="Z146" s="462" t="s">
        <v>109</v>
      </c>
      <c r="AA146" s="462" t="s">
        <v>27</v>
      </c>
      <c r="AB146" s="460" t="s">
        <v>456</v>
      </c>
      <c r="AC146" s="433"/>
      <c r="AD146" s="433">
        <f>S146*V146*Y146</f>
        <v>4800000</v>
      </c>
      <c r="AE146" s="466" t="s">
        <v>25</v>
      </c>
    </row>
    <row r="147" spans="1:31" s="11" customFormat="1" ht="21" customHeight="1">
      <c r="A147" s="38"/>
      <c r="B147" s="38"/>
      <c r="C147" s="38"/>
      <c r="D147" s="437"/>
      <c r="E147" s="438"/>
      <c r="F147" s="438"/>
      <c r="G147" s="438"/>
      <c r="H147" s="438"/>
      <c r="I147" s="438"/>
      <c r="J147" s="438"/>
      <c r="K147" s="438"/>
      <c r="L147" s="438"/>
      <c r="M147" s="94"/>
      <c r="N147" s="58"/>
      <c r="O147" s="461" t="s">
        <v>477</v>
      </c>
      <c r="P147" s="461"/>
      <c r="Q147" s="461"/>
      <c r="R147" s="461"/>
      <c r="S147" s="460">
        <v>50000</v>
      </c>
      <c r="T147" s="465" t="s">
        <v>25</v>
      </c>
      <c r="U147" s="465" t="s">
        <v>26</v>
      </c>
      <c r="V147" s="460">
        <v>6</v>
      </c>
      <c r="W147" s="461" t="s">
        <v>29</v>
      </c>
      <c r="X147" s="461" t="s">
        <v>26</v>
      </c>
      <c r="Y147" s="480">
        <v>4</v>
      </c>
      <c r="Z147" s="462" t="s">
        <v>109</v>
      </c>
      <c r="AA147" s="462" t="s">
        <v>27</v>
      </c>
      <c r="AB147" s="460" t="s">
        <v>447</v>
      </c>
      <c r="AC147" s="433"/>
      <c r="AD147" s="433">
        <f>S147*V147*Y147</f>
        <v>1200000</v>
      </c>
      <c r="AE147" s="466" t="s">
        <v>25</v>
      </c>
    </row>
    <row r="148" spans="1:31" s="11" customFormat="1" ht="21" customHeight="1">
      <c r="A148" s="38"/>
      <c r="B148" s="38"/>
      <c r="C148" s="38"/>
      <c r="D148" s="95"/>
      <c r="E148" s="94"/>
      <c r="F148" s="94"/>
      <c r="G148" s="94"/>
      <c r="H148" s="94"/>
      <c r="I148" s="94"/>
      <c r="J148" s="94"/>
      <c r="K148" s="94"/>
      <c r="L148" s="94"/>
      <c r="M148" s="94"/>
      <c r="N148" s="58"/>
      <c r="O148" s="461" t="s">
        <v>478</v>
      </c>
      <c r="P148" s="461"/>
      <c r="Q148" s="460"/>
      <c r="R148" s="460"/>
      <c r="S148" s="460">
        <v>182500</v>
      </c>
      <c r="T148" s="465" t="s">
        <v>25</v>
      </c>
      <c r="U148" s="465" t="s">
        <v>26</v>
      </c>
      <c r="V148" s="460"/>
      <c r="W148" s="461"/>
      <c r="X148" s="461"/>
      <c r="Y148" s="480">
        <v>4</v>
      </c>
      <c r="Z148" s="462" t="s">
        <v>109</v>
      </c>
      <c r="AA148" s="462" t="s">
        <v>27</v>
      </c>
      <c r="AB148" s="460" t="s">
        <v>293</v>
      </c>
      <c r="AC148" s="433"/>
      <c r="AD148" s="433">
        <f>S148*Y148</f>
        <v>730000</v>
      </c>
      <c r="AE148" s="466" t="s">
        <v>25</v>
      </c>
    </row>
    <row r="149" spans="1:31" s="11" customFormat="1" ht="21" customHeight="1">
      <c r="A149" s="38"/>
      <c r="B149" s="38"/>
      <c r="C149" s="38"/>
      <c r="D149" s="95"/>
      <c r="E149" s="94"/>
      <c r="F149" s="94"/>
      <c r="G149" s="94"/>
      <c r="H149" s="94"/>
      <c r="I149" s="94"/>
      <c r="J149" s="94"/>
      <c r="K149" s="94"/>
      <c r="L149" s="94"/>
      <c r="M149" s="94"/>
      <c r="N149" s="58"/>
      <c r="O149" s="461" t="s">
        <v>479</v>
      </c>
      <c r="P149" s="461"/>
      <c r="Q149" s="460"/>
      <c r="R149" s="460"/>
      <c r="S149" s="460">
        <v>60000</v>
      </c>
      <c r="T149" s="465" t="s">
        <v>25</v>
      </c>
      <c r="U149" s="465" t="s">
        <v>26</v>
      </c>
      <c r="V149" s="460"/>
      <c r="W149" s="461"/>
      <c r="X149" s="461"/>
      <c r="Y149" s="480">
        <v>4</v>
      </c>
      <c r="Z149" s="462" t="s">
        <v>109</v>
      </c>
      <c r="AA149" s="462" t="s">
        <v>27</v>
      </c>
      <c r="AB149" s="460" t="s">
        <v>293</v>
      </c>
      <c r="AC149" s="433"/>
      <c r="AD149" s="433">
        <f>S149*Y149</f>
        <v>240000</v>
      </c>
      <c r="AE149" s="466" t="s">
        <v>25</v>
      </c>
    </row>
    <row r="150" spans="1:31" s="11" customFormat="1" ht="21" customHeight="1">
      <c r="A150" s="38"/>
      <c r="B150" s="38"/>
      <c r="C150" s="38"/>
      <c r="D150" s="95"/>
      <c r="E150" s="94"/>
      <c r="F150" s="94"/>
      <c r="G150" s="94"/>
      <c r="H150" s="94"/>
      <c r="I150" s="94"/>
      <c r="J150" s="94"/>
      <c r="K150" s="94"/>
      <c r="L150" s="94"/>
      <c r="M150" s="94"/>
      <c r="N150" s="58"/>
      <c r="O150" s="461" t="s">
        <v>480</v>
      </c>
      <c r="P150" s="461"/>
      <c r="Q150" s="460"/>
      <c r="R150" s="460"/>
      <c r="S150" s="460"/>
      <c r="T150" s="465"/>
      <c r="U150" s="465"/>
      <c r="V150" s="460"/>
      <c r="W150" s="461"/>
      <c r="X150" s="461"/>
      <c r="Y150" s="480"/>
      <c r="Z150" s="462"/>
      <c r="AA150" s="462"/>
      <c r="AB150" s="460" t="s">
        <v>378</v>
      </c>
      <c r="AC150" s="433"/>
      <c r="AD150" s="433">
        <v>150000</v>
      </c>
      <c r="AE150" s="466" t="s">
        <v>25</v>
      </c>
    </row>
    <row r="151" spans="1:31" s="11" customFormat="1" ht="21" customHeight="1">
      <c r="A151" s="38"/>
      <c r="B151" s="38"/>
      <c r="C151" s="38"/>
      <c r="D151" s="95"/>
      <c r="E151" s="94"/>
      <c r="F151" s="94"/>
      <c r="G151" s="94"/>
      <c r="H151" s="94"/>
      <c r="I151" s="94"/>
      <c r="J151" s="94"/>
      <c r="K151" s="94"/>
      <c r="L151" s="94"/>
      <c r="M151" s="94"/>
      <c r="N151" s="58"/>
      <c r="O151" s="461" t="s">
        <v>481</v>
      </c>
      <c r="P151" s="461"/>
      <c r="Q151" s="460"/>
      <c r="R151" s="460"/>
      <c r="S151" s="460">
        <v>48000</v>
      </c>
      <c r="T151" s="465" t="s">
        <v>25</v>
      </c>
      <c r="U151" s="465" t="s">
        <v>26</v>
      </c>
      <c r="V151" s="460"/>
      <c r="W151" s="461"/>
      <c r="X151" s="461"/>
      <c r="Y151" s="480">
        <v>4</v>
      </c>
      <c r="Z151" s="462" t="s">
        <v>109</v>
      </c>
      <c r="AA151" s="462" t="s">
        <v>27</v>
      </c>
      <c r="AB151" s="460" t="s">
        <v>293</v>
      </c>
      <c r="AC151" s="433"/>
      <c r="AD151" s="433">
        <f>S151*Y151</f>
        <v>192000</v>
      </c>
      <c r="AE151" s="466" t="s">
        <v>25</v>
      </c>
    </row>
    <row r="152" spans="1:31" s="11" customFormat="1" ht="21" customHeight="1">
      <c r="A152" s="38"/>
      <c r="B152" s="38"/>
      <c r="C152" s="49"/>
      <c r="D152" s="131"/>
      <c r="E152" s="97"/>
      <c r="F152" s="97"/>
      <c r="G152" s="97"/>
      <c r="H152" s="97"/>
      <c r="I152" s="97"/>
      <c r="J152" s="97"/>
      <c r="K152" s="97"/>
      <c r="L152" s="97"/>
      <c r="M152" s="97"/>
      <c r="N152" s="7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394"/>
      <c r="AE152" s="110"/>
    </row>
    <row r="153" spans="1:31" s="11" customFormat="1" ht="21" customHeight="1">
      <c r="A153" s="38"/>
      <c r="B153" s="38"/>
      <c r="C153" s="38" t="s">
        <v>408</v>
      </c>
      <c r="D153" s="130">
        <v>468</v>
      </c>
      <c r="E153" s="94">
        <f>ROUND(AD153/1000,0)</f>
        <v>446</v>
      </c>
      <c r="F153" s="100">
        <f>SUMIF($AB$154:$AB$156,"보조",$AD$154:$AD$156)/1000</f>
        <v>0</v>
      </c>
      <c r="G153" s="100">
        <f>SUMIF($AB$154:$AB$156,"4종",$AD$154:$AD$156)/1000</f>
        <v>0</v>
      </c>
      <c r="H153" s="100">
        <f>SUMIF($AB$154:$AB$156,"6종",$AD$154:$AD$156)/1000</f>
        <v>0</v>
      </c>
      <c r="I153" s="100">
        <f>SUMIF($AB$154:$AB$156,"후원",$AD$154:$AD$156)/1000</f>
        <v>446</v>
      </c>
      <c r="J153" s="100">
        <f>SUMIF($AB$154:$AB$156,"입소",$AD$154:$AD$156)/1000</f>
        <v>0</v>
      </c>
      <c r="K153" s="100">
        <f>SUMIF($AB$154:$AB$156,"법인",$AD$154:$AD$156)/1000</f>
        <v>0</v>
      </c>
      <c r="L153" s="100">
        <f>SUMIF($AB$154:$AB$156,"잡수",$AD$154:$AD$156)/1000</f>
        <v>0</v>
      </c>
      <c r="M153" s="94">
        <f>E153-D153</f>
        <v>-22</v>
      </c>
      <c r="N153" s="58">
        <f>IF(D153=0,0,M153/D153)</f>
        <v>-4.7008547008547008E-2</v>
      </c>
      <c r="O153" s="83" t="s">
        <v>409</v>
      </c>
      <c r="P153" s="151"/>
      <c r="Q153" s="151"/>
      <c r="R153" s="151"/>
      <c r="S153" s="151"/>
      <c r="T153" s="150"/>
      <c r="U153" s="150"/>
      <c r="V153" s="150"/>
      <c r="W153" s="150"/>
      <c r="X153" s="150"/>
      <c r="Y153" s="421" t="s">
        <v>395</v>
      </c>
      <c r="Z153" s="421"/>
      <c r="AA153" s="421"/>
      <c r="AB153" s="421"/>
      <c r="AC153" s="144"/>
      <c r="AD153" s="302">
        <f>SUM(AD154:AD156)</f>
        <v>446000</v>
      </c>
      <c r="AE153" s="143" t="s">
        <v>25</v>
      </c>
    </row>
    <row r="154" spans="1:31" s="11" customFormat="1" ht="21" customHeight="1">
      <c r="A154" s="38"/>
      <c r="B154" s="38"/>
      <c r="C154" s="38" t="s">
        <v>410</v>
      </c>
      <c r="D154" s="435"/>
      <c r="E154" s="436"/>
      <c r="F154" s="436"/>
      <c r="G154" s="436"/>
      <c r="H154" s="436"/>
      <c r="I154" s="436"/>
      <c r="J154" s="436"/>
      <c r="K154" s="436"/>
      <c r="L154" s="436"/>
      <c r="M154" s="94"/>
      <c r="N154" s="58"/>
      <c r="O154" s="501" t="s">
        <v>516</v>
      </c>
      <c r="P154" s="501"/>
      <c r="Q154" s="501"/>
      <c r="R154" s="501"/>
      <c r="S154" s="502"/>
      <c r="T154" s="518"/>
      <c r="U154" s="518"/>
      <c r="V154" s="502">
        <v>40000</v>
      </c>
      <c r="W154" s="518" t="s">
        <v>25</v>
      </c>
      <c r="X154" s="518" t="s">
        <v>26</v>
      </c>
      <c r="Y154" s="519">
        <v>5</v>
      </c>
      <c r="Z154" s="521" t="s">
        <v>29</v>
      </c>
      <c r="AA154" s="519" t="s">
        <v>27</v>
      </c>
      <c r="AB154" s="502" t="s">
        <v>482</v>
      </c>
      <c r="AC154" s="502"/>
      <c r="AD154" s="502">
        <f>V154*Y154</f>
        <v>200000</v>
      </c>
      <c r="AE154" s="504" t="s">
        <v>25</v>
      </c>
    </row>
    <row r="155" spans="1:31" s="11" customFormat="1" ht="21" customHeight="1">
      <c r="A155" s="38"/>
      <c r="B155" s="38"/>
      <c r="C155" s="38"/>
      <c r="D155" s="437"/>
      <c r="E155" s="438"/>
      <c r="F155" s="438"/>
      <c r="G155" s="438"/>
      <c r="H155" s="438"/>
      <c r="I155" s="438"/>
      <c r="J155" s="438"/>
      <c r="K155" s="438"/>
      <c r="L155" s="438"/>
      <c r="M155" s="94"/>
      <c r="N155" s="58"/>
      <c r="O155" s="501" t="s">
        <v>483</v>
      </c>
      <c r="P155" s="501"/>
      <c r="Q155" s="501"/>
      <c r="R155" s="501"/>
      <c r="S155" s="502"/>
      <c r="T155" s="518"/>
      <c r="U155" s="518"/>
      <c r="V155" s="502"/>
      <c r="W155" s="502"/>
      <c r="X155" s="502"/>
      <c r="Y155" s="502"/>
      <c r="Z155" s="502"/>
      <c r="AA155" s="502"/>
      <c r="AB155" s="502" t="s">
        <v>482</v>
      </c>
      <c r="AC155" s="502"/>
      <c r="AD155" s="502">
        <v>246000</v>
      </c>
      <c r="AE155" s="504" t="s">
        <v>25</v>
      </c>
    </row>
    <row r="156" spans="1:31" s="11" customFormat="1" ht="21" customHeight="1">
      <c r="A156" s="38"/>
      <c r="B156" s="38"/>
      <c r="C156" s="38"/>
      <c r="D156" s="130"/>
      <c r="E156" s="94"/>
      <c r="F156" s="94"/>
      <c r="G156" s="94"/>
      <c r="H156" s="94"/>
      <c r="I156" s="94"/>
      <c r="J156" s="94"/>
      <c r="K156" s="94"/>
      <c r="L156" s="94"/>
      <c r="M156" s="94"/>
      <c r="N156" s="58"/>
      <c r="O156" s="274"/>
      <c r="P156" s="274"/>
      <c r="Q156" s="274"/>
      <c r="R156" s="274"/>
      <c r="S156" s="293"/>
      <c r="T156" s="294"/>
      <c r="U156" s="280"/>
      <c r="V156" s="295"/>
      <c r="W156" s="293"/>
      <c r="X156" s="293"/>
      <c r="Y156" s="293"/>
      <c r="Z156" s="293"/>
      <c r="AA156" s="293"/>
      <c r="AB156" s="293"/>
      <c r="AC156" s="293"/>
      <c r="AD156" s="293"/>
      <c r="AE156" s="296"/>
    </row>
    <row r="157" spans="1:31" s="11" customFormat="1" ht="21" customHeight="1">
      <c r="A157" s="38"/>
      <c r="B157" s="38"/>
      <c r="C157" s="28" t="s">
        <v>411</v>
      </c>
      <c r="D157" s="132">
        <v>800</v>
      </c>
      <c r="E157" s="99">
        <f>ROUND(AD157/1000,0)</f>
        <v>920</v>
      </c>
      <c r="F157" s="100">
        <f>SUMIF($AB$158:$AB$161,"보조",$AD$158:$AD$161)/1000</f>
        <v>0</v>
      </c>
      <c r="G157" s="100">
        <f>SUMIF($AB$158:$AB$161,"4종",$AD$158:$AD$161)/1000</f>
        <v>320</v>
      </c>
      <c r="H157" s="100">
        <f>SUMIF($AB$158:$AB$161,"6종",$AD$158:$AD$161)/1000</f>
        <v>0</v>
      </c>
      <c r="I157" s="100">
        <f>SUMIF($AB$158:$AB$161,"후원",$AD$158:$AD$161)/1000</f>
        <v>300</v>
      </c>
      <c r="J157" s="100">
        <f>SUMIF($AB$158:$AB$161,"입소",$AD$158:$AD$161)/1000</f>
        <v>300</v>
      </c>
      <c r="K157" s="100">
        <f>SUMIF($AB$158:$AB$161,"법인",$AD$158:$AD$161)/1000</f>
        <v>0</v>
      </c>
      <c r="L157" s="100">
        <f>SUMIF($AB$158:$AB$161,"잡수",$AD$158:$AD$161)/1000</f>
        <v>0</v>
      </c>
      <c r="M157" s="99">
        <f>E157-D157</f>
        <v>120</v>
      </c>
      <c r="N157" s="106">
        <f>IF(D157=0,0,M157/D157)</f>
        <v>0.15</v>
      </c>
      <c r="O157" s="83" t="s">
        <v>106</v>
      </c>
      <c r="P157" s="422"/>
      <c r="Q157" s="151"/>
      <c r="R157" s="151"/>
      <c r="S157" s="151"/>
      <c r="T157" s="150"/>
      <c r="U157" s="150"/>
      <c r="V157" s="150"/>
      <c r="W157" s="150"/>
      <c r="X157" s="150"/>
      <c r="Y157" s="421" t="s">
        <v>395</v>
      </c>
      <c r="Z157" s="421"/>
      <c r="AA157" s="421"/>
      <c r="AB157" s="421"/>
      <c r="AC157" s="144"/>
      <c r="AD157" s="144">
        <f>SUM(AD158:AD161)</f>
        <v>920000</v>
      </c>
      <c r="AE157" s="143" t="s">
        <v>25</v>
      </c>
    </row>
    <row r="158" spans="1:31" s="11" customFormat="1" ht="21" customHeight="1">
      <c r="A158" s="38"/>
      <c r="B158" s="38"/>
      <c r="C158" s="38"/>
      <c r="D158" s="95"/>
      <c r="E158" s="94"/>
      <c r="F158" s="94"/>
      <c r="G158" s="94"/>
      <c r="H158" s="94"/>
      <c r="I158" s="94"/>
      <c r="J158" s="94"/>
      <c r="K158" s="94"/>
      <c r="L158" s="94"/>
      <c r="M158" s="94"/>
      <c r="N158" s="58"/>
      <c r="O158" s="501" t="s">
        <v>484</v>
      </c>
      <c r="P158" s="501"/>
      <c r="Q158" s="502"/>
      <c r="R158" s="502"/>
      <c r="S158" s="502">
        <v>150000</v>
      </c>
      <c r="T158" s="502" t="s">
        <v>25</v>
      </c>
      <c r="U158" s="501" t="s">
        <v>26</v>
      </c>
      <c r="V158" s="502">
        <v>2</v>
      </c>
      <c r="W158" s="502" t="s">
        <v>109</v>
      </c>
      <c r="X158" s="501"/>
      <c r="Y158" s="502"/>
      <c r="Z158" s="502"/>
      <c r="AA158" s="502" t="s">
        <v>27</v>
      </c>
      <c r="AB158" s="502" t="s">
        <v>378</v>
      </c>
      <c r="AC158" s="503"/>
      <c r="AD158" s="503">
        <f>S158*V158</f>
        <v>300000</v>
      </c>
      <c r="AE158" s="504" t="s">
        <v>25</v>
      </c>
    </row>
    <row r="159" spans="1:31" s="11" customFormat="1" ht="21" customHeight="1">
      <c r="A159" s="38"/>
      <c r="B159" s="38"/>
      <c r="C159" s="38"/>
      <c r="D159" s="95"/>
      <c r="E159" s="94"/>
      <c r="F159" s="94"/>
      <c r="G159" s="94"/>
      <c r="H159" s="94"/>
      <c r="I159" s="94"/>
      <c r="J159" s="94"/>
      <c r="K159" s="94"/>
      <c r="L159" s="94"/>
      <c r="M159" s="94"/>
      <c r="N159" s="58"/>
      <c r="O159" s="501"/>
      <c r="P159" s="501"/>
      <c r="Q159" s="502"/>
      <c r="R159" s="502"/>
      <c r="S159" s="502">
        <v>150000</v>
      </c>
      <c r="T159" s="502" t="s">
        <v>25</v>
      </c>
      <c r="U159" s="501" t="s">
        <v>26</v>
      </c>
      <c r="V159" s="502">
        <v>2</v>
      </c>
      <c r="W159" s="502" t="s">
        <v>109</v>
      </c>
      <c r="X159" s="501"/>
      <c r="Y159" s="502"/>
      <c r="Z159" s="502"/>
      <c r="AA159" s="502" t="s">
        <v>27</v>
      </c>
      <c r="AB159" s="502" t="s">
        <v>391</v>
      </c>
      <c r="AC159" s="503"/>
      <c r="AD159" s="503">
        <f>S159*V159</f>
        <v>300000</v>
      </c>
      <c r="AE159" s="504" t="s">
        <v>25</v>
      </c>
    </row>
    <row r="160" spans="1:31" s="11" customFormat="1" ht="21" customHeight="1">
      <c r="A160" s="38"/>
      <c r="B160" s="38"/>
      <c r="C160" s="38"/>
      <c r="D160" s="95"/>
      <c r="E160" s="94"/>
      <c r="F160" s="94"/>
      <c r="G160" s="94"/>
      <c r="H160" s="94"/>
      <c r="I160" s="94"/>
      <c r="J160" s="94"/>
      <c r="K160" s="94"/>
      <c r="L160" s="94"/>
      <c r="M160" s="94"/>
      <c r="N160" s="58"/>
      <c r="O160" s="501"/>
      <c r="P160" s="501"/>
      <c r="Q160" s="502"/>
      <c r="R160" s="502"/>
      <c r="S160" s="502">
        <v>80000</v>
      </c>
      <c r="T160" s="502" t="s">
        <v>56</v>
      </c>
      <c r="U160" s="501" t="s">
        <v>26</v>
      </c>
      <c r="V160" s="502">
        <v>4</v>
      </c>
      <c r="W160" s="502" t="s">
        <v>109</v>
      </c>
      <c r="X160" s="501"/>
      <c r="Y160" s="502"/>
      <c r="Z160" s="502"/>
      <c r="AA160" s="502" t="s">
        <v>27</v>
      </c>
      <c r="AB160" s="502" t="s">
        <v>293</v>
      </c>
      <c r="AC160" s="503"/>
      <c r="AD160" s="503">
        <f>S160*V160</f>
        <v>320000</v>
      </c>
      <c r="AE160" s="504" t="s">
        <v>25</v>
      </c>
    </row>
    <row r="161" spans="1:31" s="11" customFormat="1" ht="21" customHeight="1">
      <c r="A161" s="38"/>
      <c r="B161" s="38"/>
      <c r="C161" s="38"/>
      <c r="D161" s="130"/>
      <c r="E161" s="94"/>
      <c r="F161" s="94"/>
      <c r="G161" s="94"/>
      <c r="H161" s="94"/>
      <c r="I161" s="94"/>
      <c r="J161" s="94"/>
      <c r="K161" s="94"/>
      <c r="L161" s="94"/>
      <c r="M161" s="94"/>
      <c r="N161" s="58"/>
      <c r="O161" s="461"/>
      <c r="P161" s="461"/>
      <c r="Q161" s="460"/>
      <c r="R161" s="460"/>
      <c r="S161" s="460"/>
      <c r="T161" s="460"/>
      <c r="U161" s="461"/>
      <c r="V161" s="460"/>
      <c r="W161" s="460"/>
      <c r="X161" s="461"/>
      <c r="Y161" s="460"/>
      <c r="Z161" s="460"/>
      <c r="AA161" s="460"/>
      <c r="AB161" s="460"/>
      <c r="AC161" s="433"/>
      <c r="AD161" s="433"/>
      <c r="AE161" s="466"/>
    </row>
    <row r="162" spans="1:31" s="11" customFormat="1" ht="21" customHeight="1">
      <c r="A162" s="38"/>
      <c r="B162" s="38"/>
      <c r="C162" s="28" t="s">
        <v>412</v>
      </c>
      <c r="D162" s="132">
        <v>260</v>
      </c>
      <c r="E162" s="99">
        <f>ROUND(AD162/1000,0)</f>
        <v>260</v>
      </c>
      <c r="F162" s="100">
        <f>SUMIF($AB$163:$AB$165,"보조",$AD$163:$AD$165)/1000</f>
        <v>0</v>
      </c>
      <c r="G162" s="100">
        <f>SUMIF($AB$163:$AB$165,"4종",$AD$163:$AD$165)/1000</f>
        <v>160</v>
      </c>
      <c r="H162" s="100">
        <f>SUMIF($AB$163:$AB$165,"6종",$AD$163:$AD$165)/1000</f>
        <v>0</v>
      </c>
      <c r="I162" s="100">
        <f>SUMIF($AB$163:$AB$165,"후원",$AD$163:$AD$165)/1000</f>
        <v>0</v>
      </c>
      <c r="J162" s="100">
        <f>SUMIF($AB$163:$AB$165,"입소",$AD$163:$AD$165)/1000</f>
        <v>100</v>
      </c>
      <c r="K162" s="100">
        <f>SUMIF($AB$163:$AB$165,"법인",$AD$163:$AD$165)/1000</f>
        <v>0</v>
      </c>
      <c r="L162" s="100">
        <f>SUMIF($AB$163:$AB$165,"잡수",$AD$163:$AD$165)/1000</f>
        <v>0</v>
      </c>
      <c r="M162" s="99">
        <f>E162-D162</f>
        <v>0</v>
      </c>
      <c r="N162" s="106">
        <f>IF(D162=0,0,M162/D162)</f>
        <v>0</v>
      </c>
      <c r="O162" s="83" t="s">
        <v>413</v>
      </c>
      <c r="P162" s="422"/>
      <c r="Q162" s="151"/>
      <c r="R162" s="151"/>
      <c r="S162" s="151"/>
      <c r="T162" s="150"/>
      <c r="U162" s="150"/>
      <c r="V162" s="150"/>
      <c r="W162" s="150"/>
      <c r="X162" s="150"/>
      <c r="Y162" s="421" t="s">
        <v>414</v>
      </c>
      <c r="Z162" s="421"/>
      <c r="AA162" s="421"/>
      <c r="AB162" s="421"/>
      <c r="AC162" s="144"/>
      <c r="AD162" s="144">
        <f>SUM(AD163:AD164)</f>
        <v>260000</v>
      </c>
      <c r="AE162" s="143" t="s">
        <v>25</v>
      </c>
    </row>
    <row r="163" spans="1:31" s="13" customFormat="1" ht="21" customHeight="1">
      <c r="A163" s="38"/>
      <c r="B163" s="38"/>
      <c r="C163" s="38"/>
      <c r="D163" s="435"/>
      <c r="E163" s="436"/>
      <c r="F163" s="436"/>
      <c r="G163" s="436"/>
      <c r="H163" s="436"/>
      <c r="I163" s="436"/>
      <c r="J163" s="436"/>
      <c r="K163" s="436"/>
      <c r="L163" s="436"/>
      <c r="M163" s="94"/>
      <c r="N163" s="58"/>
      <c r="O163" s="501" t="s">
        <v>485</v>
      </c>
      <c r="P163" s="501"/>
      <c r="Q163" s="502"/>
      <c r="R163" s="502"/>
      <c r="S163" s="502">
        <v>40000</v>
      </c>
      <c r="T163" s="502" t="s">
        <v>25</v>
      </c>
      <c r="U163" s="501" t="s">
        <v>26</v>
      </c>
      <c r="V163" s="502">
        <v>1</v>
      </c>
      <c r="W163" s="502" t="s">
        <v>464</v>
      </c>
      <c r="X163" s="501" t="s">
        <v>26</v>
      </c>
      <c r="Y163" s="502">
        <v>4</v>
      </c>
      <c r="Z163" s="502" t="s">
        <v>109</v>
      </c>
      <c r="AA163" s="502" t="s">
        <v>27</v>
      </c>
      <c r="AB163" s="502" t="s">
        <v>293</v>
      </c>
      <c r="AC163" s="503"/>
      <c r="AD163" s="503">
        <f>S163*V163*Y163</f>
        <v>160000</v>
      </c>
      <c r="AE163" s="504" t="s">
        <v>25</v>
      </c>
    </row>
    <row r="164" spans="1:31" s="13" customFormat="1" ht="21" customHeight="1">
      <c r="A164" s="38"/>
      <c r="B164" s="38"/>
      <c r="C164" s="38"/>
      <c r="D164" s="437"/>
      <c r="E164" s="438"/>
      <c r="F164" s="438"/>
      <c r="G164" s="438"/>
      <c r="H164" s="438"/>
      <c r="I164" s="438"/>
      <c r="J164" s="438"/>
      <c r="K164" s="438"/>
      <c r="L164" s="438"/>
      <c r="M164" s="94"/>
      <c r="N164" s="271"/>
      <c r="O164" s="500" t="s">
        <v>486</v>
      </c>
      <c r="P164" s="501"/>
      <c r="Q164" s="502"/>
      <c r="R164" s="502"/>
      <c r="S164" s="502"/>
      <c r="T164" s="502"/>
      <c r="U164" s="501"/>
      <c r="V164" s="502"/>
      <c r="W164" s="502"/>
      <c r="X164" s="501"/>
      <c r="Y164" s="502"/>
      <c r="Z164" s="502"/>
      <c r="AA164" s="502"/>
      <c r="AB164" s="502" t="s">
        <v>447</v>
      </c>
      <c r="AC164" s="503"/>
      <c r="AD164" s="503">
        <v>100000</v>
      </c>
      <c r="AE164" s="504" t="s">
        <v>25</v>
      </c>
    </row>
    <row r="165" spans="1:31" s="11" customFormat="1" ht="21" customHeight="1">
      <c r="A165" s="38"/>
      <c r="B165" s="38"/>
      <c r="C165" s="49"/>
      <c r="D165" s="131"/>
      <c r="E165" s="137"/>
      <c r="F165" s="137"/>
      <c r="G165" s="137"/>
      <c r="H165" s="137"/>
      <c r="I165" s="137"/>
      <c r="J165" s="137"/>
      <c r="K165" s="137"/>
      <c r="L165" s="137"/>
      <c r="M165" s="115"/>
      <c r="N165" s="73"/>
      <c r="O165" s="395"/>
      <c r="P165" s="395"/>
      <c r="Q165" s="395"/>
      <c r="R165" s="395"/>
      <c r="S165" s="395"/>
      <c r="T165" s="116"/>
      <c r="U165" s="424"/>
      <c r="V165" s="287"/>
      <c r="W165" s="424"/>
      <c r="X165" s="424"/>
      <c r="Y165" s="424"/>
      <c r="Z165" s="424"/>
      <c r="AA165" s="424"/>
      <c r="AB165" s="424"/>
      <c r="AC165" s="424"/>
      <c r="AD165" s="424"/>
      <c r="AE165" s="119"/>
    </row>
    <row r="166" spans="1:31" s="11" customFormat="1" ht="21" customHeight="1">
      <c r="A166" s="38"/>
      <c r="B166" s="38"/>
      <c r="C166" s="38" t="s">
        <v>415</v>
      </c>
      <c r="D166" s="113">
        <v>180</v>
      </c>
      <c r="E166" s="94">
        <f>ROUND(AD166/1000,0)</f>
        <v>180</v>
      </c>
      <c r="F166" s="100">
        <f>SUMIF($AB$167:$AB$168,"보조",$AD$167:$AD$168)/1000</f>
        <v>0</v>
      </c>
      <c r="G166" s="100">
        <f>SUMIF($AB$167:$AB$168,"4종",$AD$167:$AD$168)/1000</f>
        <v>0</v>
      </c>
      <c r="H166" s="100">
        <f>SUMIF($AB$167:$AB$168,"6종",$AD$167:$AD$168)/1000</f>
        <v>0</v>
      </c>
      <c r="I166" s="100">
        <f>SUMIF($AB$167:$AB$168,"후원",$AD$167:$AD$168)/1000</f>
        <v>0</v>
      </c>
      <c r="J166" s="100">
        <f>SUMIF($AB$167:$AB$168,"입소",$AD$167:$AD$168)/1000</f>
        <v>180</v>
      </c>
      <c r="K166" s="100">
        <f>SUMIF($AB$167:$AB$168,"법인",$AD$167:$AD$168)/1000</f>
        <v>0</v>
      </c>
      <c r="L166" s="100">
        <f>SUMIF($AB$167:$AB$168,"잡수",$AD$167:$AD$168)/1000</f>
        <v>0</v>
      </c>
      <c r="M166" s="94">
        <f>E166-D166</f>
        <v>0</v>
      </c>
      <c r="N166" s="58">
        <f>IF(D166=0,0,M166/D166)</f>
        <v>0</v>
      </c>
      <c r="O166" s="83" t="s">
        <v>416</v>
      </c>
      <c r="P166" s="151"/>
      <c r="Q166" s="151"/>
      <c r="R166" s="151"/>
      <c r="S166" s="151"/>
      <c r="T166" s="150"/>
      <c r="U166" s="150"/>
      <c r="V166" s="150"/>
      <c r="W166" s="150"/>
      <c r="X166" s="150"/>
      <c r="Y166" s="421" t="s">
        <v>414</v>
      </c>
      <c r="Z166" s="421"/>
      <c r="AA166" s="421"/>
      <c r="AB166" s="421"/>
      <c r="AC166" s="144"/>
      <c r="AD166" s="144">
        <f>SUM(AD167:AD168)</f>
        <v>180000</v>
      </c>
      <c r="AE166" s="143" t="s">
        <v>25</v>
      </c>
    </row>
    <row r="167" spans="1:31" s="11" customFormat="1" ht="21" customHeight="1">
      <c r="A167" s="38"/>
      <c r="B167" s="38"/>
      <c r="C167" s="38"/>
      <c r="D167" s="435"/>
      <c r="E167" s="436"/>
      <c r="F167" s="436"/>
      <c r="G167" s="436"/>
      <c r="H167" s="436"/>
      <c r="I167" s="436"/>
      <c r="J167" s="436"/>
      <c r="K167" s="436"/>
      <c r="L167" s="436"/>
      <c r="M167" s="94"/>
      <c r="N167" s="58"/>
      <c r="O167" s="501" t="s">
        <v>487</v>
      </c>
      <c r="P167" s="501"/>
      <c r="Q167" s="501"/>
      <c r="R167" s="501"/>
      <c r="S167" s="502">
        <v>30000</v>
      </c>
      <c r="T167" s="518" t="s">
        <v>25</v>
      </c>
      <c r="U167" s="518" t="s">
        <v>26</v>
      </c>
      <c r="V167" s="502">
        <v>6</v>
      </c>
      <c r="W167" s="502" t="s">
        <v>29</v>
      </c>
      <c r="X167" s="505"/>
      <c r="Y167" s="481"/>
      <c r="Z167" s="482"/>
      <c r="AA167" s="483" t="s">
        <v>27</v>
      </c>
      <c r="AB167" s="502" t="s">
        <v>447</v>
      </c>
      <c r="AC167" s="502"/>
      <c r="AD167" s="502">
        <f>S167*V167</f>
        <v>180000</v>
      </c>
      <c r="AE167" s="504" t="s">
        <v>25</v>
      </c>
    </row>
    <row r="168" spans="1:31" s="11" customFormat="1" ht="21" customHeight="1">
      <c r="A168" s="38"/>
      <c r="B168" s="38"/>
      <c r="C168" s="38"/>
      <c r="D168" s="130"/>
      <c r="E168" s="94"/>
      <c r="F168" s="94"/>
      <c r="G168" s="94"/>
      <c r="H168" s="94"/>
      <c r="I168" s="94"/>
      <c r="J168" s="94"/>
      <c r="K168" s="94"/>
      <c r="L168" s="94"/>
      <c r="M168" s="94"/>
      <c r="N168" s="58"/>
      <c r="O168" s="425"/>
      <c r="P168" s="425"/>
      <c r="Q168" s="425"/>
      <c r="R168" s="425"/>
      <c r="S168" s="424"/>
      <c r="T168" s="291"/>
      <c r="U168" s="425"/>
      <c r="V168" s="424"/>
      <c r="W168" s="425"/>
      <c r="X168" s="424"/>
      <c r="Y168" s="424"/>
      <c r="Z168" s="424"/>
      <c r="AA168" s="424"/>
      <c r="AB168" s="424"/>
      <c r="AC168" s="424"/>
      <c r="AD168" s="424"/>
      <c r="AE168" s="119"/>
    </row>
    <row r="169" spans="1:31" s="11" customFormat="1" ht="21" customHeight="1">
      <c r="A169" s="38"/>
      <c r="B169" s="28" t="s">
        <v>417</v>
      </c>
      <c r="C169" s="140" t="s">
        <v>418</v>
      </c>
      <c r="D169" s="141">
        <f>SUM(D170,D174,D175,D177,D180,D184,D187,D190)</f>
        <v>3240</v>
      </c>
      <c r="E169" s="141">
        <f>SUM(E170,E174,E177,E180,E184,E187,E190)</f>
        <v>2285</v>
      </c>
      <c r="F169" s="141">
        <f ca="1">SUM(F170,F174,F175,F177,F180,F184,F187,F190)</f>
        <v>0</v>
      </c>
      <c r="G169" s="141">
        <f>SUM(G170,G174,G175,G177,G180,G184,G187,G190)</f>
        <v>0</v>
      </c>
      <c r="H169" s="141">
        <f>SUM(H170,H174,H175,H177,H180,H184,H187,H190)</f>
        <v>0</v>
      </c>
      <c r="I169" s="141">
        <f>SUM(I170,I174,I175,I177,I180,I184,I187,I190)</f>
        <v>0</v>
      </c>
      <c r="J169" s="141">
        <f>SUM(J170,J174,,J177,J180,J184,J187,J190)</f>
        <v>2285</v>
      </c>
      <c r="K169" s="141">
        <f>SUM(K170,K174,K175,K177,K180,K184,K187,K190)</f>
        <v>0</v>
      </c>
      <c r="L169" s="141">
        <f>SUM(L170,L174,L175,L177,L180,L184,L187,L190)</f>
        <v>0</v>
      </c>
      <c r="M169" s="141">
        <f>SUM(M170,M174,M175,M177,M180,M184,M187,M190)</f>
        <v>-955</v>
      </c>
      <c r="N169" s="138">
        <f>IF(D169=0,0,M169/D169)</f>
        <v>-0.29475308641975306</v>
      </c>
      <c r="O169" s="422"/>
      <c r="P169" s="422"/>
      <c r="Q169" s="422"/>
      <c r="R169" s="422"/>
      <c r="S169" s="422"/>
      <c r="T169" s="421"/>
      <c r="U169" s="421"/>
      <c r="V169" s="421"/>
      <c r="W169" s="421"/>
      <c r="X169" s="421"/>
      <c r="Y169" s="421" t="s">
        <v>28</v>
      </c>
      <c r="Z169" s="421"/>
      <c r="AA169" s="421"/>
      <c r="AB169" s="421"/>
      <c r="AC169" s="144"/>
      <c r="AD169" s="144">
        <f>SUM(AD170,AD174,AD177,AD180,AD184,AD187,AD190)</f>
        <v>2285000</v>
      </c>
      <c r="AE169" s="143" t="s">
        <v>25</v>
      </c>
    </row>
    <row r="170" spans="1:31" s="11" customFormat="1" ht="21" customHeight="1">
      <c r="A170" s="38"/>
      <c r="B170" s="38" t="s">
        <v>419</v>
      </c>
      <c r="C170" s="28" t="s">
        <v>489</v>
      </c>
      <c r="D170" s="132">
        <v>700</v>
      </c>
      <c r="E170" s="94">
        <f>ROUND(AD170/1000,0)</f>
        <v>300</v>
      </c>
      <c r="F170" s="100">
        <f>SUMIF($AB$171:$AB$173,"보조",$AD$171:$AD$173)/1000</f>
        <v>0</v>
      </c>
      <c r="G170" s="100">
        <f>SUMIF($AB$171:$AB$173,"4종",$AD$171:$AD$173)/1000</f>
        <v>0</v>
      </c>
      <c r="H170" s="100">
        <f>SUMIF($AB$171:$AB$173,"6종",$AD$171:$AD$173)/1000</f>
        <v>0</v>
      </c>
      <c r="I170" s="100">
        <f>SUMIF($AB$171:$AB$173,"후원",$AD$171:$AD$173)/1000</f>
        <v>0</v>
      </c>
      <c r="J170" s="100">
        <f>SUMIF($AB$171:$AB$173,"입소",$AD$171:$AD$173)/1000</f>
        <v>300</v>
      </c>
      <c r="K170" s="100">
        <f>SUMIF($AB$171:$AB$173,"법인",$AD$171:$AD$173)/1000</f>
        <v>0</v>
      </c>
      <c r="L170" s="100">
        <f>SUMIF($AB$171:$AB$173,"잡수",$AD$171:$AD$173)/1000</f>
        <v>0</v>
      </c>
      <c r="M170" s="94">
        <f>E170-D170</f>
        <v>-400</v>
      </c>
      <c r="N170" s="58">
        <f>IF(D170=0,0,M170/D170)</f>
        <v>-0.5714285714285714</v>
      </c>
      <c r="O170" s="83"/>
      <c r="P170" s="151"/>
      <c r="Q170" s="151"/>
      <c r="R170" s="151"/>
      <c r="S170" s="151"/>
      <c r="T170" s="150"/>
      <c r="U170" s="150"/>
      <c r="V170" s="150"/>
      <c r="W170" s="150"/>
      <c r="X170" s="150"/>
      <c r="Y170" s="421" t="s">
        <v>414</v>
      </c>
      <c r="Z170" s="421"/>
      <c r="AA170" s="421"/>
      <c r="AB170" s="421"/>
      <c r="AC170" s="144"/>
      <c r="AD170" s="144">
        <f>SUM(AD171:AD173)</f>
        <v>300000</v>
      </c>
      <c r="AE170" s="143" t="s">
        <v>25</v>
      </c>
    </row>
    <row r="171" spans="1:31" s="11" customFormat="1" ht="21" customHeight="1">
      <c r="A171" s="38"/>
      <c r="B171" s="38"/>
      <c r="C171" s="38" t="s">
        <v>422</v>
      </c>
      <c r="D171" s="435"/>
      <c r="E171" s="436"/>
      <c r="F171" s="436"/>
      <c r="G171" s="436"/>
      <c r="H171" s="436"/>
      <c r="I171" s="436"/>
      <c r="J171" s="436"/>
      <c r="K171" s="436"/>
      <c r="L171" s="436"/>
      <c r="M171" s="94"/>
      <c r="N171" s="58"/>
      <c r="O171" s="501" t="s">
        <v>488</v>
      </c>
      <c r="P171" s="501"/>
      <c r="Q171" s="501"/>
      <c r="R171" s="501"/>
      <c r="S171" s="502">
        <v>50000</v>
      </c>
      <c r="T171" s="518" t="s">
        <v>25</v>
      </c>
      <c r="U171" s="518" t="s">
        <v>26</v>
      </c>
      <c r="V171" s="502">
        <v>1</v>
      </c>
      <c r="W171" s="502" t="s">
        <v>109</v>
      </c>
      <c r="X171" s="518" t="s">
        <v>26</v>
      </c>
      <c r="Y171" s="481">
        <v>1</v>
      </c>
      <c r="Z171" s="482" t="s">
        <v>464</v>
      </c>
      <c r="AA171" s="483" t="s">
        <v>27</v>
      </c>
      <c r="AB171" s="502" t="s">
        <v>447</v>
      </c>
      <c r="AC171" s="502"/>
      <c r="AD171" s="502">
        <f>S171*V171*Y171</f>
        <v>50000</v>
      </c>
      <c r="AE171" s="504" t="s">
        <v>25</v>
      </c>
    </row>
    <row r="172" spans="1:31" s="11" customFormat="1" ht="21" customHeight="1">
      <c r="A172" s="38"/>
      <c r="B172" s="38"/>
      <c r="C172" s="38"/>
      <c r="D172" s="437"/>
      <c r="E172" s="438"/>
      <c r="F172" s="438"/>
      <c r="G172" s="438"/>
      <c r="H172" s="438"/>
      <c r="I172" s="438"/>
      <c r="J172" s="438"/>
      <c r="K172" s="438"/>
      <c r="L172" s="438"/>
      <c r="M172" s="94"/>
      <c r="N172" s="58"/>
      <c r="O172" s="501" t="s">
        <v>517</v>
      </c>
      <c r="P172" s="501"/>
      <c r="Q172" s="501"/>
      <c r="R172" s="501"/>
      <c r="S172" s="502">
        <v>50000</v>
      </c>
      <c r="T172" s="518" t="s">
        <v>25</v>
      </c>
      <c r="U172" s="518" t="s">
        <v>26</v>
      </c>
      <c r="V172" s="502">
        <v>5</v>
      </c>
      <c r="W172" s="502" t="s">
        <v>464</v>
      </c>
      <c r="X172" s="518"/>
      <c r="Y172" s="481"/>
      <c r="Z172" s="482"/>
      <c r="AA172" s="483" t="s">
        <v>27</v>
      </c>
      <c r="AB172" s="502" t="s">
        <v>447</v>
      </c>
      <c r="AC172" s="502"/>
      <c r="AD172" s="502">
        <f>S172*V172</f>
        <v>250000</v>
      </c>
      <c r="AE172" s="504" t="s">
        <v>25</v>
      </c>
    </row>
    <row r="173" spans="1:31" s="11" customFormat="1" ht="21" customHeight="1">
      <c r="A173" s="38"/>
      <c r="B173" s="38"/>
      <c r="C173" s="38"/>
      <c r="D173" s="130"/>
      <c r="E173" s="94"/>
      <c r="F173" s="94"/>
      <c r="G173" s="94"/>
      <c r="H173" s="94"/>
      <c r="I173" s="94"/>
      <c r="J173" s="94"/>
      <c r="K173" s="94"/>
      <c r="L173" s="94"/>
      <c r="M173" s="94"/>
      <c r="N173" s="58"/>
      <c r="O173" s="425"/>
      <c r="P173" s="395"/>
      <c r="Q173" s="395"/>
      <c r="R173" s="395"/>
      <c r="S173" s="395"/>
      <c r="T173" s="395"/>
      <c r="U173" s="395"/>
      <c r="V173" s="395"/>
      <c r="W173" s="395"/>
      <c r="X173" s="395"/>
      <c r="Y173" s="395"/>
      <c r="Z173" s="395"/>
      <c r="AA173" s="395"/>
      <c r="AB173" s="395"/>
      <c r="AC173" s="395"/>
      <c r="AD173" s="395"/>
      <c r="AE173" s="396"/>
    </row>
    <row r="174" spans="1:31" s="11" customFormat="1" ht="21" customHeight="1">
      <c r="A174" s="38"/>
      <c r="B174" s="38"/>
      <c r="C174" s="28" t="s">
        <v>421</v>
      </c>
      <c r="D174" s="132">
        <v>200</v>
      </c>
      <c r="E174" s="99">
        <f>ROUND(AD174/1000,0)</f>
        <v>0</v>
      </c>
      <c r="F174" s="100">
        <f>SUMIF($AB$176:$AB$176,"보조",$AD$176:$AD$176)/1000</f>
        <v>0</v>
      </c>
      <c r="G174" s="100">
        <f>SUMIF($AB$176:$AB$176,"4종",$AD$176:$AD$176)/1000</f>
        <v>0</v>
      </c>
      <c r="H174" s="100">
        <f>SUMIF($AB$176:$AB$176,"6종",$AD$176:$AD$176)/1000</f>
        <v>0</v>
      </c>
      <c r="I174" s="100">
        <f>SUMIF($AB$176:$AB$176,"후원",$AD$176:$AD$176)/1000</f>
        <v>0</v>
      </c>
      <c r="J174" s="100">
        <f>SUMIF($AB$175:$AB$176,"입소",$AD$175:$AD$176)/1000</f>
        <v>0</v>
      </c>
      <c r="K174" s="100">
        <f>SUMIF($AB$176:$AB$176,"법인",$AD$176:$AD$176)/1000</f>
        <v>0</v>
      </c>
      <c r="L174" s="100">
        <f>SUMIF($AB$176:$AB$176,"잡수",$AD$176:$AD$176)/1000</f>
        <v>0</v>
      </c>
      <c r="M174" s="446">
        <f>E174-D174</f>
        <v>-200</v>
      </c>
      <c r="N174" s="106">
        <f>IF(D174=0,0,M174/D174)</f>
        <v>-1</v>
      </c>
      <c r="O174" s="285"/>
      <c r="P174" s="299"/>
      <c r="Q174" s="299"/>
      <c r="R174" s="449"/>
      <c r="S174" s="449"/>
      <c r="T174" s="449"/>
      <c r="U174" s="449"/>
      <c r="V174" s="449"/>
      <c r="W174" s="450" t="s">
        <v>420</v>
      </c>
      <c r="X174" s="450"/>
      <c r="Y174" s="450"/>
      <c r="Z174" s="450"/>
      <c r="AA174" s="450"/>
      <c r="AB174" s="450"/>
      <c r="AC174" s="451"/>
      <c r="AD174" s="452">
        <f>SUM(AD175:AD176)</f>
        <v>0</v>
      </c>
      <c r="AE174" s="453" t="s">
        <v>25</v>
      </c>
    </row>
    <row r="175" spans="1:31" s="11" customFormat="1" ht="21" customHeight="1">
      <c r="A175" s="38"/>
      <c r="B175" s="38"/>
      <c r="C175" s="38" t="s">
        <v>104</v>
      </c>
      <c r="D175" s="130"/>
      <c r="E175" s="94"/>
      <c r="F175" s="94"/>
      <c r="G175" s="94"/>
      <c r="H175" s="94"/>
      <c r="I175" s="94"/>
      <c r="J175" s="94"/>
      <c r="K175" s="94"/>
      <c r="L175" s="94"/>
      <c r="M175" s="94"/>
      <c r="N175" s="58"/>
      <c r="O175" s="501" t="s">
        <v>518</v>
      </c>
      <c r="P175" s="461"/>
      <c r="Q175" s="461"/>
      <c r="R175" s="461"/>
      <c r="S175" s="460"/>
      <c r="T175" s="465"/>
      <c r="U175" s="465"/>
      <c r="V175" s="460"/>
      <c r="W175" s="461"/>
      <c r="X175" s="460"/>
      <c r="Y175" s="484"/>
      <c r="Z175" s="484"/>
      <c r="AA175" s="484"/>
      <c r="AB175" s="484" t="s">
        <v>447</v>
      </c>
      <c r="AC175" s="484"/>
      <c r="AD175" s="485">
        <v>0</v>
      </c>
      <c r="AE175" s="486" t="s">
        <v>25</v>
      </c>
    </row>
    <row r="176" spans="1:31" s="11" customFormat="1" ht="24" customHeight="1">
      <c r="A176" s="38"/>
      <c r="B176" s="38"/>
      <c r="C176" s="38"/>
      <c r="D176" s="130"/>
      <c r="E176" s="94"/>
      <c r="F176" s="94"/>
      <c r="G176" s="94"/>
      <c r="H176" s="94"/>
      <c r="I176" s="94"/>
      <c r="J176" s="94"/>
      <c r="K176" s="94"/>
      <c r="L176" s="94"/>
      <c r="M176" s="94"/>
      <c r="N176" s="58"/>
      <c r="O176" s="425"/>
      <c r="P176" s="395"/>
      <c r="Q176" s="395"/>
      <c r="R176" s="395"/>
      <c r="S176" s="395"/>
      <c r="T176" s="395"/>
      <c r="U176" s="395"/>
      <c r="V176" s="395"/>
      <c r="W176" s="395"/>
      <c r="X176" s="395"/>
      <c r="Y176" s="395"/>
      <c r="Z176" s="395"/>
      <c r="AA176" s="395"/>
      <c r="AB176" s="395"/>
      <c r="AC176" s="395"/>
      <c r="AD176" s="395"/>
      <c r="AE176" s="396"/>
    </row>
    <row r="177" spans="1:31" s="14" customFormat="1" ht="24" customHeight="1">
      <c r="A177" s="38"/>
      <c r="B177" s="38"/>
      <c r="C177" s="28" t="s">
        <v>491</v>
      </c>
      <c r="D177" s="454">
        <v>300</v>
      </c>
      <c r="E177" s="99">
        <f>ROUND(AD177/1000,0)</f>
        <v>300</v>
      </c>
      <c r="F177" s="100">
        <f ca="1">SUMIF($AB$178:$AB$179,"보조",$AD$176:$AD$176)/1000</f>
        <v>0</v>
      </c>
      <c r="G177" s="100">
        <f>SUMIF($AB$178:$AB$179,"4종",$AD$178:$AD$179)/1000</f>
        <v>0</v>
      </c>
      <c r="H177" s="100">
        <f>SUMIF($AB$178:$AB$179,"6종",$AD$178:$AD$179)/1000</f>
        <v>0</v>
      </c>
      <c r="I177" s="100">
        <f>SUMIF($AB$178:$AB$179,"후원",$AD$178:$AD$179)/1000</f>
        <v>0</v>
      </c>
      <c r="J177" s="100">
        <f>SUMIF($AB$178:$AB$179,"입소",$AD$178:$AD$179)/1000</f>
        <v>300</v>
      </c>
      <c r="K177" s="100">
        <f>SUMIF($AB$178:$AB$179,"법인",$AD$178:$AD$179)/1000</f>
        <v>0</v>
      </c>
      <c r="L177" s="100">
        <f>SUMIF($AB$178:$AB$179,"잡수",$AD$178:$AD$179)/1000</f>
        <v>0</v>
      </c>
      <c r="M177" s="99">
        <f>E177-D177</f>
        <v>0</v>
      </c>
      <c r="N177" s="106">
        <f>IF(D177=0,0,M177/D177)</f>
        <v>0</v>
      </c>
      <c r="O177" s="455"/>
      <c r="P177" s="136"/>
      <c r="Q177" s="136"/>
      <c r="R177" s="136"/>
      <c r="S177" s="136"/>
      <c r="T177" s="77"/>
      <c r="U177" s="77"/>
      <c r="V177" s="77"/>
      <c r="W177" s="125" t="s">
        <v>420</v>
      </c>
      <c r="X177" s="125"/>
      <c r="Y177" s="125"/>
      <c r="Z177" s="125"/>
      <c r="AA177" s="125"/>
      <c r="AB177" s="125"/>
      <c r="AC177" s="126"/>
      <c r="AD177" s="456">
        <f>SUM(AD178:AD179)</f>
        <v>300000</v>
      </c>
      <c r="AE177" s="127" t="s">
        <v>25</v>
      </c>
    </row>
    <row r="178" spans="1:31" s="14" customFormat="1" ht="24" customHeight="1">
      <c r="A178" s="38"/>
      <c r="B178" s="38"/>
      <c r="C178" s="38" t="s">
        <v>422</v>
      </c>
      <c r="D178" s="435"/>
      <c r="E178" s="436"/>
      <c r="F178" s="436"/>
      <c r="G178" s="436"/>
      <c r="H178" s="436"/>
      <c r="I178" s="436"/>
      <c r="J178" s="436"/>
      <c r="K178" s="436"/>
      <c r="L178" s="436"/>
      <c r="M178" s="94"/>
      <c r="N178" s="58"/>
      <c r="O178" s="461" t="s">
        <v>490</v>
      </c>
      <c r="P178" s="470"/>
      <c r="Q178" s="470"/>
      <c r="R178" s="467"/>
      <c r="S178" s="460">
        <v>10000</v>
      </c>
      <c r="T178" s="460" t="s">
        <v>25</v>
      </c>
      <c r="U178" s="461" t="s">
        <v>26</v>
      </c>
      <c r="V178" s="460">
        <v>5</v>
      </c>
      <c r="W178" s="460" t="s">
        <v>109</v>
      </c>
      <c r="X178" s="461" t="s">
        <v>26</v>
      </c>
      <c r="Y178" s="480">
        <v>6</v>
      </c>
      <c r="Z178" s="462" t="s">
        <v>464</v>
      </c>
      <c r="AA178" s="462" t="s">
        <v>27</v>
      </c>
      <c r="AB178" s="460" t="s">
        <v>447</v>
      </c>
      <c r="AC178" s="433"/>
      <c r="AD178" s="460">
        <f>S178*V178*Y178</f>
        <v>300000</v>
      </c>
      <c r="AE178" s="466" t="s">
        <v>25</v>
      </c>
    </row>
    <row r="179" spans="1:31" s="14" customFormat="1" ht="24" customHeight="1">
      <c r="A179" s="38"/>
      <c r="B179" s="38"/>
      <c r="C179" s="38"/>
      <c r="D179" s="437"/>
      <c r="E179" s="438"/>
      <c r="F179" s="438"/>
      <c r="G179" s="438"/>
      <c r="H179" s="438"/>
      <c r="I179" s="438"/>
      <c r="J179" s="438"/>
      <c r="K179" s="438"/>
      <c r="L179" s="438"/>
      <c r="M179" s="94"/>
      <c r="N179" s="58"/>
      <c r="O179" s="425"/>
      <c r="P179" s="425"/>
      <c r="Q179" s="425"/>
      <c r="R179" s="425"/>
      <c r="S179" s="425"/>
      <c r="T179" s="424"/>
      <c r="U179" s="424"/>
      <c r="V179" s="424"/>
      <c r="W179" s="424"/>
      <c r="X179" s="424"/>
      <c r="Y179" s="424"/>
      <c r="Z179" s="424"/>
      <c r="AA179" s="424"/>
      <c r="AB179" s="424"/>
      <c r="AC179" s="432"/>
      <c r="AD179" s="395"/>
      <c r="AE179" s="119"/>
    </row>
    <row r="180" spans="1:31" s="14" customFormat="1" ht="24" customHeight="1">
      <c r="A180" s="38"/>
      <c r="B180" s="38"/>
      <c r="C180" s="28" t="s">
        <v>496</v>
      </c>
      <c r="D180" s="132">
        <v>450</v>
      </c>
      <c r="E180" s="99">
        <f>ROUND(AD180/1000,0)</f>
        <v>35</v>
      </c>
      <c r="F180" s="100">
        <f>SUMIF($AB$181:$AB$183,"보조",$AD$181:$AD$183)/1000</f>
        <v>0</v>
      </c>
      <c r="G180" s="100">
        <f>SUMIF($AB$181:$AB$183,"4종",$AD$181:$AD$183)/1000</f>
        <v>0</v>
      </c>
      <c r="H180" s="100">
        <f>SUMIF($AB$181:$AB$183,"6종",$AD$181:$AD$183)/1000</f>
        <v>0</v>
      </c>
      <c r="I180" s="100">
        <f>SUMIF($AB$181:$AB$183,"후원",$AD$181:$AD$183)/1000</f>
        <v>0</v>
      </c>
      <c r="J180" s="100">
        <f>SUMIF($AB$181:$AB$183,"입소",$AD$181:$AD$183)/1000</f>
        <v>35</v>
      </c>
      <c r="K180" s="100">
        <f>SUMIF($AB$181:$AB$183,"법인",$AD$181:$AD$183)/1000</f>
        <v>0</v>
      </c>
      <c r="L180" s="100">
        <f>SUMIF($AB$181:$AB$183,"잡수",$AD$181:$AD$183)/1000</f>
        <v>0</v>
      </c>
      <c r="M180" s="99">
        <f>E180-D180</f>
        <v>-415</v>
      </c>
      <c r="N180" s="106">
        <f>IF(D180=0,0,M180/D180)</f>
        <v>-0.92222222222222228</v>
      </c>
      <c r="O180" s="285"/>
      <c r="P180" s="299"/>
      <c r="Q180" s="299"/>
      <c r="R180" s="449"/>
      <c r="S180" s="449"/>
      <c r="T180" s="449"/>
      <c r="U180" s="449"/>
      <c r="V180" s="449"/>
      <c r="W180" s="450" t="s">
        <v>420</v>
      </c>
      <c r="X180" s="450"/>
      <c r="Y180" s="450"/>
      <c r="Z180" s="450"/>
      <c r="AA180" s="450"/>
      <c r="AB180" s="450"/>
      <c r="AC180" s="451"/>
      <c r="AD180" s="452">
        <f>SUM(AD181:AD183)</f>
        <v>35000</v>
      </c>
      <c r="AE180" s="453" t="s">
        <v>25</v>
      </c>
    </row>
    <row r="181" spans="1:31" s="14" customFormat="1" ht="24" customHeight="1">
      <c r="A181" s="38"/>
      <c r="B181" s="38"/>
      <c r="C181" s="38" t="s">
        <v>422</v>
      </c>
      <c r="D181" s="435"/>
      <c r="E181" s="436"/>
      <c r="F181" s="436"/>
      <c r="G181" s="436"/>
      <c r="H181" s="436"/>
      <c r="I181" s="436"/>
      <c r="J181" s="436"/>
      <c r="K181" s="436"/>
      <c r="L181" s="436"/>
      <c r="M181" s="94"/>
      <c r="N181" s="58"/>
      <c r="O181" s="501" t="s">
        <v>494</v>
      </c>
      <c r="P181" s="525"/>
      <c r="Q181" s="525"/>
      <c r="R181" s="525"/>
      <c r="S181" s="502">
        <v>5000</v>
      </c>
      <c r="T181" s="518" t="s">
        <v>25</v>
      </c>
      <c r="U181" s="518" t="s">
        <v>26</v>
      </c>
      <c r="V181" s="502">
        <v>1</v>
      </c>
      <c r="W181" s="501" t="s">
        <v>109</v>
      </c>
      <c r="X181" s="518" t="s">
        <v>26</v>
      </c>
      <c r="Y181" s="526">
        <v>1</v>
      </c>
      <c r="Z181" s="527" t="s">
        <v>70</v>
      </c>
      <c r="AA181" s="484" t="s">
        <v>27</v>
      </c>
      <c r="AB181" s="484" t="s">
        <v>447</v>
      </c>
      <c r="AC181" s="484"/>
      <c r="AD181" s="485">
        <f>S181*V181*Y181</f>
        <v>5000</v>
      </c>
      <c r="AE181" s="486" t="s">
        <v>25</v>
      </c>
    </row>
    <row r="182" spans="1:31" s="14" customFormat="1" ht="24" customHeight="1">
      <c r="A182" s="38"/>
      <c r="B182" s="38"/>
      <c r="C182" s="38"/>
      <c r="D182" s="437"/>
      <c r="E182" s="438"/>
      <c r="F182" s="438"/>
      <c r="G182" s="438"/>
      <c r="H182" s="438"/>
      <c r="I182" s="438"/>
      <c r="J182" s="438"/>
      <c r="K182" s="438"/>
      <c r="L182" s="438"/>
      <c r="M182" s="94"/>
      <c r="N182" s="58"/>
      <c r="O182" s="461" t="s">
        <v>495</v>
      </c>
      <c r="P182" s="487"/>
      <c r="Q182" s="487"/>
      <c r="R182" s="487"/>
      <c r="S182" s="502">
        <v>10000</v>
      </c>
      <c r="T182" s="518" t="s">
        <v>25</v>
      </c>
      <c r="U182" s="518" t="s">
        <v>26</v>
      </c>
      <c r="V182" s="502">
        <v>3</v>
      </c>
      <c r="W182" s="501" t="s">
        <v>109</v>
      </c>
      <c r="X182" s="502"/>
      <c r="Y182" s="484"/>
      <c r="Z182" s="484" t="s">
        <v>27</v>
      </c>
      <c r="AA182" s="484"/>
      <c r="AB182" s="484" t="s">
        <v>447</v>
      </c>
      <c r="AC182" s="484"/>
      <c r="AD182" s="485">
        <f>S182*V182</f>
        <v>30000</v>
      </c>
      <c r="AE182" s="486" t="s">
        <v>25</v>
      </c>
    </row>
    <row r="183" spans="1:31" s="14" customFormat="1" ht="24" customHeight="1">
      <c r="A183" s="38"/>
      <c r="B183" s="38"/>
      <c r="C183" s="38"/>
      <c r="D183" s="133"/>
      <c r="E183" s="94"/>
      <c r="F183" s="94"/>
      <c r="G183" s="94"/>
      <c r="H183" s="94"/>
      <c r="I183" s="94"/>
      <c r="J183" s="94"/>
      <c r="K183" s="94"/>
      <c r="L183" s="94"/>
      <c r="M183" s="94"/>
      <c r="N183" s="58"/>
      <c r="O183" s="425"/>
      <c r="P183" s="425"/>
      <c r="Q183" s="425"/>
      <c r="R183" s="425"/>
      <c r="S183" s="425"/>
      <c r="T183" s="424"/>
      <c r="U183" s="424"/>
      <c r="V183" s="424"/>
      <c r="W183" s="424"/>
      <c r="X183" s="424"/>
      <c r="Y183" s="424"/>
      <c r="Z183" s="424"/>
      <c r="AA183" s="424"/>
      <c r="AB183" s="424"/>
      <c r="AC183" s="118"/>
      <c r="AD183" s="463"/>
      <c r="AE183" s="119"/>
    </row>
    <row r="184" spans="1:31" s="14" customFormat="1" ht="24" customHeight="1">
      <c r="A184" s="38"/>
      <c r="B184" s="38"/>
      <c r="C184" s="28" t="s">
        <v>493</v>
      </c>
      <c r="D184" s="454">
        <v>750</v>
      </c>
      <c r="E184" s="99">
        <f>ROUND(AD184/1000,0)</f>
        <v>1250</v>
      </c>
      <c r="F184" s="100">
        <f>SUMIF($AB$185:$AB$186,"보조",$AD$185:$AD$186)/1000</f>
        <v>0</v>
      </c>
      <c r="G184" s="100">
        <f>SUMIF($AB$185:$AB$186,"4종",$AD$185:$AD$186)/1000</f>
        <v>0</v>
      </c>
      <c r="H184" s="100">
        <f>SUMIF($AB$185:$AB$186,"6종",$AD$185:$AD$186)/1000</f>
        <v>0</v>
      </c>
      <c r="I184" s="100">
        <f>SUMIF($AB$185:$AB$186,"후원",$AD$185:$AD$186)/1000</f>
        <v>0</v>
      </c>
      <c r="J184" s="100">
        <f>SUMIF($AB$185:$AB$186,"입소",$AD$185:$AD$186)/1000</f>
        <v>1250</v>
      </c>
      <c r="K184" s="100">
        <f>SUMIF($AB$185:$AB$186,"법인",$AD$185:$AD$186)/1000</f>
        <v>0</v>
      </c>
      <c r="L184" s="100">
        <f>SUMIF($AB$185:$AB$186,"잡수",$AD$185:$AD$186)/1000</f>
        <v>0</v>
      </c>
      <c r="M184" s="99">
        <f>E184-D184</f>
        <v>500</v>
      </c>
      <c r="N184" s="106">
        <f>IF(D184=0,0,M184/D184)</f>
        <v>0.66666666666666663</v>
      </c>
      <c r="O184" s="285"/>
      <c r="P184" s="299"/>
      <c r="Q184" s="299"/>
      <c r="R184" s="449"/>
      <c r="S184" s="449"/>
      <c r="T184" s="449"/>
      <c r="U184" s="449"/>
      <c r="V184" s="449"/>
      <c r="W184" s="450" t="s">
        <v>420</v>
      </c>
      <c r="X184" s="450"/>
      <c r="Y184" s="450"/>
      <c r="Z184" s="450"/>
      <c r="AA184" s="450"/>
      <c r="AB184" s="450"/>
      <c r="AC184" s="451"/>
      <c r="AD184" s="452">
        <f>SUM(AD185:AD186)</f>
        <v>1250000</v>
      </c>
      <c r="AE184" s="453" t="s">
        <v>25</v>
      </c>
    </row>
    <row r="185" spans="1:31" s="14" customFormat="1" ht="24" customHeight="1">
      <c r="A185" s="38"/>
      <c r="B185" s="38"/>
      <c r="C185" s="38"/>
      <c r="D185" s="437"/>
      <c r="E185" s="438"/>
      <c r="F185" s="438"/>
      <c r="G185" s="438"/>
      <c r="H185" s="438"/>
      <c r="I185" s="438"/>
      <c r="J185" s="438"/>
      <c r="K185" s="438"/>
      <c r="L185" s="438"/>
      <c r="M185" s="94"/>
      <c r="N185" s="58"/>
      <c r="O185" s="487" t="s">
        <v>492</v>
      </c>
      <c r="P185" s="487"/>
      <c r="Q185" s="487"/>
      <c r="R185" s="487"/>
      <c r="S185" s="460">
        <v>250000</v>
      </c>
      <c r="T185" s="465" t="s">
        <v>25</v>
      </c>
      <c r="U185" s="465" t="s">
        <v>26</v>
      </c>
      <c r="V185" s="460">
        <v>5</v>
      </c>
      <c r="W185" s="461" t="s">
        <v>109</v>
      </c>
      <c r="X185" s="460"/>
      <c r="Y185" s="484"/>
      <c r="Z185" s="484"/>
      <c r="AA185" s="484" t="s">
        <v>27</v>
      </c>
      <c r="AB185" s="484" t="s">
        <v>447</v>
      </c>
      <c r="AC185" s="484"/>
      <c r="AD185" s="485">
        <f>S185*V185</f>
        <v>1250000</v>
      </c>
      <c r="AE185" s="486" t="s">
        <v>25</v>
      </c>
    </row>
    <row r="186" spans="1:31" s="14" customFormat="1" ht="24" customHeight="1">
      <c r="A186" s="38"/>
      <c r="B186" s="38"/>
      <c r="C186" s="38"/>
      <c r="D186" s="133"/>
      <c r="E186" s="94"/>
      <c r="F186" s="94"/>
      <c r="G186" s="94"/>
      <c r="H186" s="94"/>
      <c r="I186" s="94"/>
      <c r="J186" s="94"/>
      <c r="K186" s="94"/>
      <c r="L186" s="94"/>
      <c r="M186" s="94"/>
      <c r="N186" s="58"/>
      <c r="O186" s="425"/>
      <c r="P186" s="392"/>
      <c r="Q186" s="392"/>
      <c r="R186" s="389"/>
      <c r="S186" s="389"/>
      <c r="T186" s="389"/>
      <c r="U186" s="389"/>
      <c r="V186" s="389"/>
      <c r="W186" s="424"/>
      <c r="X186" s="424"/>
      <c r="Y186" s="424"/>
      <c r="Z186" s="424"/>
      <c r="AA186" s="424"/>
      <c r="AB186" s="424"/>
      <c r="AC186" s="118"/>
      <c r="AD186" s="463"/>
      <c r="AE186" s="119"/>
    </row>
    <row r="187" spans="1:31" s="14" customFormat="1" ht="24" customHeight="1">
      <c r="A187" s="38"/>
      <c r="B187" s="38"/>
      <c r="C187" s="28" t="s">
        <v>498</v>
      </c>
      <c r="D187" s="132">
        <v>405</v>
      </c>
      <c r="E187" s="99">
        <f>ROUND(AD187/1000,0)</f>
        <v>0</v>
      </c>
      <c r="F187" s="100">
        <f>SUMIF($AB$188:$AB$191,"보조",$AD$188:$AD$191)/1000</f>
        <v>0</v>
      </c>
      <c r="G187" s="100">
        <f>SUMIF($AB$188:$AB$191,"4종",$AD$188:$AD$191)/1000</f>
        <v>0</v>
      </c>
      <c r="H187" s="100">
        <f>SUMIF($AB$188:$AB$191,"6종",$AD$188:$AD$191)/1000</f>
        <v>0</v>
      </c>
      <c r="I187" s="100">
        <f>SUMIF($AB$188:$AB$189,"후원",$AD$188:$AD$189)/1000</f>
        <v>0</v>
      </c>
      <c r="J187" s="100">
        <f>SUMIF($AB$188:$AB$188,"입소",$AD$188:$AD$188)/1000</f>
        <v>0</v>
      </c>
      <c r="K187" s="100">
        <f>SUMIF($AB$188:$AB$191,"법인",$AD$188:$AD$191)/1000</f>
        <v>0</v>
      </c>
      <c r="L187" s="100">
        <f>SUMIF($AB$188:$AB$191,"잡수",$AD$188:$AD$191)/1000</f>
        <v>0</v>
      </c>
      <c r="M187" s="99">
        <f>E187-D187</f>
        <v>-405</v>
      </c>
      <c r="N187" s="106">
        <f>IF(D187=0,0,M187/D187)</f>
        <v>-1</v>
      </c>
      <c r="O187" s="285"/>
      <c r="P187" s="299"/>
      <c r="Q187" s="299"/>
      <c r="R187" s="449"/>
      <c r="S187" s="449"/>
      <c r="T187" s="449"/>
      <c r="U187" s="449"/>
      <c r="V187" s="449"/>
      <c r="W187" s="450" t="s">
        <v>420</v>
      </c>
      <c r="X187" s="450"/>
      <c r="Y187" s="450"/>
      <c r="Z187" s="450"/>
      <c r="AA187" s="450"/>
      <c r="AB187" s="450"/>
      <c r="AC187" s="451"/>
      <c r="AD187" s="452">
        <f>SUM(AD188:AD189)</f>
        <v>0</v>
      </c>
      <c r="AE187" s="453" t="s">
        <v>25</v>
      </c>
    </row>
    <row r="188" spans="1:31" s="14" customFormat="1" ht="24" customHeight="1">
      <c r="A188" s="38"/>
      <c r="B188" s="38"/>
      <c r="C188" s="38" t="s">
        <v>104</v>
      </c>
      <c r="D188" s="435"/>
      <c r="E188" s="436"/>
      <c r="F188" s="436"/>
      <c r="G188" s="436"/>
      <c r="H188" s="436"/>
      <c r="I188" s="436"/>
      <c r="J188" s="436"/>
      <c r="K188" s="436"/>
      <c r="L188" s="436"/>
      <c r="M188" s="94"/>
      <c r="N188" s="58"/>
      <c r="O188" s="528" t="s">
        <v>497</v>
      </c>
      <c r="P188" s="528"/>
      <c r="Q188" s="528"/>
      <c r="R188" s="528"/>
      <c r="S188" s="460"/>
      <c r="T188" s="460"/>
      <c r="U188" s="528"/>
      <c r="V188" s="460"/>
      <c r="W188" s="460"/>
      <c r="X188" s="528"/>
      <c r="Y188" s="480"/>
      <c r="Z188" s="462"/>
      <c r="AA188" s="462"/>
      <c r="AB188" s="460"/>
      <c r="AC188" s="433"/>
      <c r="AD188" s="460"/>
      <c r="AE188" s="466" t="s">
        <v>25</v>
      </c>
    </row>
    <row r="189" spans="1:31" s="14" customFormat="1" ht="24" customHeight="1">
      <c r="A189" s="38"/>
      <c r="B189" s="38"/>
      <c r="C189" s="38"/>
      <c r="D189" s="130"/>
      <c r="E189" s="94"/>
      <c r="F189" s="94"/>
      <c r="G189" s="94"/>
      <c r="H189" s="94"/>
      <c r="I189" s="94"/>
      <c r="J189" s="94"/>
      <c r="K189" s="94"/>
      <c r="L189" s="94"/>
      <c r="M189" s="94"/>
      <c r="N189" s="58"/>
      <c r="O189" s="395"/>
      <c r="P189" s="395"/>
      <c r="Q189" s="395"/>
      <c r="R189" s="395"/>
      <c r="S189" s="424"/>
      <c r="T189" s="291"/>
      <c r="U189" s="291"/>
      <c r="V189" s="424"/>
      <c r="W189" s="425"/>
      <c r="X189" s="424"/>
      <c r="Y189" s="395"/>
      <c r="Z189" s="395"/>
      <c r="AA189" s="395"/>
      <c r="AB189" s="395"/>
      <c r="AC189" s="395"/>
      <c r="AD189" s="460"/>
      <c r="AE189" s="396"/>
    </row>
    <row r="190" spans="1:31" s="14" customFormat="1" ht="24" customHeight="1">
      <c r="A190" s="38"/>
      <c r="B190" s="38"/>
      <c r="C190" s="28" t="s">
        <v>500</v>
      </c>
      <c r="D190" s="132">
        <v>435</v>
      </c>
      <c r="E190" s="99">
        <f>ROUND(AD190/1000,0)</f>
        <v>400</v>
      </c>
      <c r="F190" s="100">
        <f>SUMIF($AB$188:$AB$191,"보조",$AD$188:$AD$191)/1000</f>
        <v>0</v>
      </c>
      <c r="G190" s="100">
        <f>SUMIF($AB$188:$AB$191,"4종",$AD$188:$AD$191)/1000</f>
        <v>0</v>
      </c>
      <c r="H190" s="100">
        <f>SUMIF($AB$188:$AB$191,"6종",$AD$188:$AD$191)/1000</f>
        <v>0</v>
      </c>
      <c r="I190" s="100">
        <f>SUMIF($AB$191:$AB$191,"후원",$AD$191:$AD$191)/1000</f>
        <v>0</v>
      </c>
      <c r="J190" s="100">
        <f>SUMIF($AB$191:$AB$191,"입소",$AD$191:$AD$191)/1000</f>
        <v>400</v>
      </c>
      <c r="K190" s="100">
        <f>SUMIF($AB$188:$AB$191,"법인",$AD$188:$AD$191)/1000</f>
        <v>0</v>
      </c>
      <c r="L190" s="100">
        <f>SUMIF($AB$188:$AB$191,"잡수",$AD$188:$AD$191)/1000</f>
        <v>0</v>
      </c>
      <c r="M190" s="99">
        <f>E190-D190</f>
        <v>-35</v>
      </c>
      <c r="N190" s="106">
        <f>IF(D190=0,0,M190/D190)</f>
        <v>-8.0459770114942528E-2</v>
      </c>
      <c r="O190" s="285"/>
      <c r="P190" s="299"/>
      <c r="Q190" s="299"/>
      <c r="R190" s="449"/>
      <c r="S190" s="449"/>
      <c r="T190" s="449"/>
      <c r="U190" s="449"/>
      <c r="V190" s="449"/>
      <c r="W190" s="450" t="s">
        <v>420</v>
      </c>
      <c r="X190" s="450"/>
      <c r="Y190" s="450"/>
      <c r="Z190" s="450"/>
      <c r="AA190" s="450"/>
      <c r="AB190" s="450"/>
      <c r="AC190" s="451"/>
      <c r="AD190" s="452">
        <f>SUM(AD191:AD191)</f>
        <v>400000</v>
      </c>
      <c r="AE190" s="453" t="s">
        <v>25</v>
      </c>
    </row>
    <row r="191" spans="1:31" s="14" customFormat="1" ht="24" customHeight="1">
      <c r="A191" s="38"/>
      <c r="B191" s="38"/>
      <c r="C191" s="38" t="s">
        <v>417</v>
      </c>
      <c r="D191" s="130"/>
      <c r="E191" s="94"/>
      <c r="F191" s="94"/>
      <c r="G191" s="94"/>
      <c r="H191" s="94"/>
      <c r="I191" s="94"/>
      <c r="J191" s="94"/>
      <c r="K191" s="94"/>
      <c r="L191" s="94"/>
      <c r="M191" s="94"/>
      <c r="N191" s="58"/>
      <c r="O191" s="461" t="s">
        <v>499</v>
      </c>
      <c r="P191" s="470"/>
      <c r="Q191" s="470"/>
      <c r="R191" s="467"/>
      <c r="S191" s="460">
        <v>400000</v>
      </c>
      <c r="T191" s="465" t="s">
        <v>25</v>
      </c>
      <c r="U191" s="465" t="s">
        <v>26</v>
      </c>
      <c r="V191" s="460">
        <v>1</v>
      </c>
      <c r="W191" s="461" t="s">
        <v>464</v>
      </c>
      <c r="X191" s="460"/>
      <c r="Y191" s="487"/>
      <c r="Z191" s="487" t="s">
        <v>27</v>
      </c>
      <c r="AA191" s="487"/>
      <c r="AB191" s="487" t="s">
        <v>447</v>
      </c>
      <c r="AC191" s="487"/>
      <c r="AD191" s="488">
        <f>S191*V191</f>
        <v>400000</v>
      </c>
      <c r="AE191" s="486" t="s">
        <v>25</v>
      </c>
    </row>
    <row r="192" spans="1:31" s="11" customFormat="1" ht="21" customHeight="1">
      <c r="A192" s="27" t="s">
        <v>429</v>
      </c>
      <c r="B192" s="599" t="s">
        <v>20</v>
      </c>
      <c r="C192" s="600"/>
      <c r="D192" s="141">
        <f>D193</f>
        <v>0</v>
      </c>
      <c r="E192" s="141">
        <f>E193</f>
        <v>0</v>
      </c>
      <c r="F192" s="141">
        <f t="shared" ref="F192:L192" si="9">F193</f>
        <v>0</v>
      </c>
      <c r="G192" s="141">
        <f t="shared" si="9"/>
        <v>0</v>
      </c>
      <c r="H192" s="141">
        <f t="shared" si="9"/>
        <v>0</v>
      </c>
      <c r="I192" s="141">
        <f t="shared" si="9"/>
        <v>0</v>
      </c>
      <c r="J192" s="141">
        <f t="shared" si="9"/>
        <v>0</v>
      </c>
      <c r="K192" s="141">
        <f t="shared" si="9"/>
        <v>0</v>
      </c>
      <c r="L192" s="141">
        <f t="shared" si="9"/>
        <v>0</v>
      </c>
      <c r="M192" s="141">
        <f>E192-D192</f>
        <v>0</v>
      </c>
      <c r="N192" s="142">
        <f>IF(D192=0,0,M192/D192)</f>
        <v>0</v>
      </c>
      <c r="O192" s="422" t="s">
        <v>430</v>
      </c>
      <c r="P192" s="422"/>
      <c r="Q192" s="422"/>
      <c r="R192" s="422"/>
      <c r="S192" s="421"/>
      <c r="T192" s="421"/>
      <c r="U192" s="421"/>
      <c r="V192" s="421"/>
      <c r="W192" s="421"/>
      <c r="X192" s="421"/>
      <c r="Y192" s="421"/>
      <c r="Z192" s="421"/>
      <c r="AA192" s="421"/>
      <c r="AB192" s="421"/>
      <c r="AC192" s="421"/>
      <c r="AD192" s="421">
        <f>SUM(AD193)</f>
        <v>0</v>
      </c>
      <c r="AE192" s="143" t="s">
        <v>25</v>
      </c>
    </row>
    <row r="193" spans="1:31" s="11" customFormat="1" ht="21" customHeight="1">
      <c r="A193" s="37"/>
      <c r="B193" s="38" t="s">
        <v>429</v>
      </c>
      <c r="C193" s="38" t="s">
        <v>429</v>
      </c>
      <c r="D193" s="130">
        <v>0</v>
      </c>
      <c r="E193" s="94">
        <f>AD193/1000</f>
        <v>0</v>
      </c>
      <c r="F193" s="100">
        <f>SUMIF($AB$194:$AB$194,"보조",$AD$194:$AD$194)/1000</f>
        <v>0</v>
      </c>
      <c r="G193" s="100">
        <f>SUMIF($AB$194:$AB$194,"4종",$AD$194:$AD$194)/1000</f>
        <v>0</v>
      </c>
      <c r="H193" s="100">
        <f>SUMIF($AB$194:$AB$194,"6종",$AD$194:$AD$194)/1000</f>
        <v>0</v>
      </c>
      <c r="I193" s="100">
        <f>SUMIF($AB$194:$AB$194,"후원",$AD$194:$AD$194)/1000</f>
        <v>0</v>
      </c>
      <c r="J193" s="100">
        <f>SUMIF($AB$194:$AB$194,"입소",$AD$194:$AD$194)/1000</f>
        <v>0</v>
      </c>
      <c r="K193" s="100">
        <f>SUMIF($AB$194:$AB$194,"법인",$AD$194:$AD$194)/1000</f>
        <v>0</v>
      </c>
      <c r="L193" s="100">
        <f>SUMIF($AB$194:$AB$194,"잡수",$AD$194:$AD$194)/1000</f>
        <v>0</v>
      </c>
      <c r="M193" s="94">
        <f>E193-D193</f>
        <v>0</v>
      </c>
      <c r="N193" s="58">
        <f>IF(D193=0,0,M193/D193)</f>
        <v>0</v>
      </c>
      <c r="O193" s="102" t="s">
        <v>431</v>
      </c>
      <c r="P193" s="149"/>
      <c r="Q193" s="149"/>
      <c r="R193" s="149"/>
      <c r="S193" s="149"/>
      <c r="T193" s="148"/>
      <c r="U193" s="148"/>
      <c r="V193" s="148"/>
      <c r="W193" s="148"/>
      <c r="X193" s="148"/>
      <c r="Y193" s="421" t="s">
        <v>395</v>
      </c>
      <c r="Z193" s="85"/>
      <c r="AA193" s="85"/>
      <c r="AB193" s="85"/>
      <c r="AC193" s="104"/>
      <c r="AD193" s="104">
        <v>0</v>
      </c>
      <c r="AE193" s="105" t="s">
        <v>25</v>
      </c>
    </row>
    <row r="194" spans="1:31" s="1" customFormat="1" ht="21" customHeight="1">
      <c r="A194" s="48"/>
      <c r="B194" s="49"/>
      <c r="C194" s="49"/>
      <c r="D194" s="131"/>
      <c r="E194" s="97"/>
      <c r="F194" s="97"/>
      <c r="G194" s="97"/>
      <c r="H194" s="97"/>
      <c r="I194" s="97"/>
      <c r="J194" s="97"/>
      <c r="K194" s="97"/>
      <c r="L194" s="97"/>
      <c r="M194" s="97"/>
      <c r="N194" s="73"/>
      <c r="O194" s="346"/>
      <c r="P194" s="346"/>
      <c r="Q194" s="346"/>
      <c r="R194" s="346"/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  <c r="AD194" s="346"/>
      <c r="AE194" s="534"/>
    </row>
    <row r="195" spans="1:31" s="11" customFormat="1" ht="21" customHeight="1">
      <c r="A195" s="37" t="s">
        <v>21</v>
      </c>
      <c r="B195" s="594" t="s">
        <v>20</v>
      </c>
      <c r="C195" s="595"/>
      <c r="D195" s="97">
        <f t="shared" ref="D195:L195" si="10">SUM(D196)+D205</f>
        <v>30</v>
      </c>
      <c r="E195" s="97">
        <f t="shared" si="10"/>
        <v>15</v>
      </c>
      <c r="F195" s="97">
        <f t="shared" si="10"/>
        <v>15</v>
      </c>
      <c r="G195" s="97">
        <f t="shared" si="10"/>
        <v>0</v>
      </c>
      <c r="H195" s="97">
        <f t="shared" si="10"/>
        <v>0</v>
      </c>
      <c r="I195" s="97">
        <f t="shared" si="10"/>
        <v>0</v>
      </c>
      <c r="J195" s="97">
        <f t="shared" si="10"/>
        <v>0</v>
      </c>
      <c r="K195" s="97">
        <f t="shared" si="10"/>
        <v>0</v>
      </c>
      <c r="L195" s="97">
        <f t="shared" si="10"/>
        <v>0</v>
      </c>
      <c r="M195" s="97">
        <f>E195-D195</f>
        <v>-15</v>
      </c>
      <c r="N195" s="73">
        <f>IF(D195=0,0,M195/D195)</f>
        <v>-0.5</v>
      </c>
      <c r="O195" s="533" t="s">
        <v>21</v>
      </c>
      <c r="P195" s="102"/>
      <c r="Q195" s="102"/>
      <c r="R195" s="102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>
        <f>AD196+AD205</f>
        <v>15000</v>
      </c>
      <c r="AE195" s="105" t="s">
        <v>25</v>
      </c>
    </row>
    <row r="196" spans="1:31" s="11" customFormat="1" ht="21" customHeight="1">
      <c r="A196" s="37"/>
      <c r="B196" s="38" t="s">
        <v>21</v>
      </c>
      <c r="C196" s="38" t="s">
        <v>21</v>
      </c>
      <c r="D196" s="94">
        <v>10</v>
      </c>
      <c r="E196" s="99">
        <f>AD196/1000</f>
        <v>0</v>
      </c>
      <c r="F196" s="100">
        <f>SUMIF($AB$196:$AB$203,"보조",$AD$196:$AD$203)/1000</f>
        <v>0</v>
      </c>
      <c r="G196" s="100">
        <f>SUMIF($AB$196:$AB$203,"4종",$AD$196:$AD$203)/1000</f>
        <v>0</v>
      </c>
      <c r="H196" s="100">
        <f>SUMIF($AB$196:$AB$203,"6종",$AD$196:$AD$203)/1000</f>
        <v>0</v>
      </c>
      <c r="I196" s="100">
        <f>SUMIF($AB$196:$AB$203,"후원",$AD$196:$AD$203)/1000</f>
        <v>0</v>
      </c>
      <c r="J196" s="100">
        <f>SUMIF($AB$196:$AB$203,"입소",$AD$196:$AD$203)/1000</f>
        <v>0</v>
      </c>
      <c r="K196" s="100">
        <f>SUMIF($AB$196:$AB$203,"법인",$AD$196:$AD$203)/1000</f>
        <v>0</v>
      </c>
      <c r="L196" s="100">
        <f>SUMIF($AB$196:$AB$203,"잡수",$AD$196:$AD$203)/1000</f>
        <v>0</v>
      </c>
      <c r="M196" s="94">
        <f>E196-D196</f>
        <v>-10</v>
      </c>
      <c r="N196" s="58">
        <f>IF(D196=0,0,M196/D196)</f>
        <v>-1</v>
      </c>
      <c r="O196" s="102" t="s">
        <v>52</v>
      </c>
      <c r="P196" s="149"/>
      <c r="Q196" s="149"/>
      <c r="R196" s="149"/>
      <c r="S196" s="149"/>
      <c r="T196" s="148"/>
      <c r="U196" s="148"/>
      <c r="V196" s="148"/>
      <c r="W196" s="148"/>
      <c r="X196" s="148"/>
      <c r="Y196" s="421" t="s">
        <v>382</v>
      </c>
      <c r="Z196" s="85"/>
      <c r="AA196" s="85"/>
      <c r="AB196" s="85"/>
      <c r="AC196" s="104"/>
      <c r="AD196" s="104">
        <f>SUM(AD197:AD203)</f>
        <v>0</v>
      </c>
      <c r="AE196" s="105" t="s">
        <v>25</v>
      </c>
    </row>
    <row r="197" spans="1:31" s="11" customFormat="1" ht="21" customHeight="1">
      <c r="A197" s="37"/>
      <c r="B197" s="38"/>
      <c r="C197" s="38"/>
      <c r="D197" s="130"/>
      <c r="E197" s="94"/>
      <c r="F197" s="94"/>
      <c r="G197" s="94"/>
      <c r="H197" s="94"/>
      <c r="I197" s="94"/>
      <c r="J197" s="94"/>
      <c r="K197" s="94"/>
      <c r="L197" s="94"/>
      <c r="M197" s="94"/>
      <c r="N197" s="58"/>
      <c r="O197" s="501" t="s">
        <v>519</v>
      </c>
      <c r="P197" s="501"/>
      <c r="Q197" s="501"/>
      <c r="R197" s="501"/>
      <c r="S197" s="501"/>
      <c r="T197" s="502"/>
      <c r="U197" s="502"/>
      <c r="V197" s="502"/>
      <c r="W197" s="502"/>
      <c r="X197" s="502"/>
      <c r="Y197" s="502"/>
      <c r="Z197" s="502"/>
      <c r="AA197" s="502"/>
      <c r="AB197" s="502" t="s">
        <v>447</v>
      </c>
      <c r="AC197" s="503"/>
      <c r="AD197" s="503">
        <v>0</v>
      </c>
      <c r="AE197" s="504" t="s">
        <v>25</v>
      </c>
    </row>
    <row r="198" spans="1:31" s="11" customFormat="1" ht="21" customHeight="1">
      <c r="A198" s="37"/>
      <c r="B198" s="38"/>
      <c r="C198" s="38"/>
      <c r="D198" s="130"/>
      <c r="E198" s="94"/>
      <c r="F198" s="94"/>
      <c r="G198" s="94"/>
      <c r="H198" s="94"/>
      <c r="I198" s="94"/>
      <c r="J198" s="94"/>
      <c r="K198" s="94"/>
      <c r="L198" s="94"/>
      <c r="M198" s="94"/>
      <c r="N198" s="58"/>
      <c r="O198" s="501" t="s">
        <v>520</v>
      </c>
      <c r="P198" s="501"/>
      <c r="Q198" s="501"/>
      <c r="R198" s="501"/>
      <c r="S198" s="501"/>
      <c r="T198" s="502"/>
      <c r="U198" s="502"/>
      <c r="V198" s="502"/>
      <c r="W198" s="502"/>
      <c r="X198" s="502"/>
      <c r="Y198" s="502"/>
      <c r="Z198" s="502"/>
      <c r="AA198" s="502"/>
      <c r="AB198" s="502" t="s">
        <v>447</v>
      </c>
      <c r="AC198" s="503"/>
      <c r="AD198" s="503">
        <v>0</v>
      </c>
      <c r="AE198" s="504" t="s">
        <v>25</v>
      </c>
    </row>
    <row r="199" spans="1:31" s="11" customFormat="1" ht="21" customHeight="1">
      <c r="A199" s="37"/>
      <c r="B199" s="38"/>
      <c r="C199" s="38"/>
      <c r="D199" s="130"/>
      <c r="E199" s="94"/>
      <c r="F199" s="94"/>
      <c r="G199" s="94"/>
      <c r="H199" s="94"/>
      <c r="I199" s="94"/>
      <c r="J199" s="94"/>
      <c r="K199" s="94"/>
      <c r="L199" s="94"/>
      <c r="M199" s="94"/>
      <c r="N199" s="58"/>
      <c r="O199" s="501" t="s">
        <v>521</v>
      </c>
      <c r="P199" s="501"/>
      <c r="Q199" s="501"/>
      <c r="R199" s="501"/>
      <c r="S199" s="501"/>
      <c r="T199" s="502"/>
      <c r="U199" s="502"/>
      <c r="V199" s="502"/>
      <c r="W199" s="502"/>
      <c r="X199" s="502"/>
      <c r="Y199" s="502"/>
      <c r="Z199" s="502"/>
      <c r="AA199" s="502"/>
      <c r="AB199" s="502" t="s">
        <v>482</v>
      </c>
      <c r="AC199" s="503"/>
      <c r="AD199" s="503">
        <v>0</v>
      </c>
      <c r="AE199" s="504" t="s">
        <v>25</v>
      </c>
    </row>
    <row r="200" spans="1:31" s="11" customFormat="1" ht="21" customHeight="1">
      <c r="A200" s="37"/>
      <c r="B200" s="38"/>
      <c r="C200" s="38"/>
      <c r="D200" s="130"/>
      <c r="E200" s="94"/>
      <c r="F200" s="94"/>
      <c r="G200" s="94"/>
      <c r="H200" s="94"/>
      <c r="I200" s="94"/>
      <c r="J200" s="94"/>
      <c r="K200" s="94"/>
      <c r="L200" s="94"/>
      <c r="M200" s="94"/>
      <c r="N200" s="58"/>
      <c r="O200" s="501" t="s">
        <v>522</v>
      </c>
      <c r="P200" s="501"/>
      <c r="Q200" s="501"/>
      <c r="R200" s="501"/>
      <c r="S200" s="501"/>
      <c r="T200" s="502"/>
      <c r="U200" s="502"/>
      <c r="V200" s="502"/>
      <c r="W200" s="502"/>
      <c r="X200" s="502"/>
      <c r="Y200" s="502"/>
      <c r="Z200" s="502"/>
      <c r="AA200" s="502"/>
      <c r="AB200" s="502" t="s">
        <v>482</v>
      </c>
      <c r="AC200" s="503"/>
      <c r="AD200" s="503">
        <v>0</v>
      </c>
      <c r="AE200" s="504" t="s">
        <v>25</v>
      </c>
    </row>
    <row r="201" spans="1:31" s="11" customFormat="1" ht="21" customHeight="1">
      <c r="A201" s="37"/>
      <c r="B201" s="38"/>
      <c r="C201" s="38"/>
      <c r="D201" s="130"/>
      <c r="E201" s="94"/>
      <c r="F201" s="94"/>
      <c r="G201" s="94"/>
      <c r="H201" s="94"/>
      <c r="I201" s="94"/>
      <c r="J201" s="94"/>
      <c r="K201" s="94"/>
      <c r="L201" s="94"/>
      <c r="M201" s="94"/>
      <c r="N201" s="58"/>
      <c r="O201" s="501" t="s">
        <v>523</v>
      </c>
      <c r="P201" s="501"/>
      <c r="Q201" s="501"/>
      <c r="R201" s="501"/>
      <c r="S201" s="501"/>
      <c r="T201" s="502"/>
      <c r="U201" s="502"/>
      <c r="V201" s="502"/>
      <c r="W201" s="502"/>
      <c r="X201" s="502"/>
      <c r="Y201" s="502"/>
      <c r="Z201" s="502"/>
      <c r="AA201" s="502"/>
      <c r="AB201" s="502" t="s">
        <v>462</v>
      </c>
      <c r="AC201" s="503"/>
      <c r="AD201" s="503">
        <v>0</v>
      </c>
      <c r="AE201" s="504" t="s">
        <v>25</v>
      </c>
    </row>
    <row r="202" spans="1:31" s="11" customFormat="1" ht="21" customHeight="1">
      <c r="A202" s="37"/>
      <c r="B202" s="38"/>
      <c r="C202" s="38"/>
      <c r="D202" s="130"/>
      <c r="E202" s="94"/>
      <c r="F202" s="94"/>
      <c r="G202" s="94"/>
      <c r="H202" s="94"/>
      <c r="I202" s="94"/>
      <c r="J202" s="94"/>
      <c r="K202" s="94"/>
      <c r="L202" s="94"/>
      <c r="M202" s="94"/>
      <c r="N202" s="58"/>
      <c r="O202" s="501" t="s">
        <v>524</v>
      </c>
      <c r="P202" s="501"/>
      <c r="Q202" s="501"/>
      <c r="R202" s="501"/>
      <c r="S202" s="501"/>
      <c r="T202" s="502"/>
      <c r="U202" s="502"/>
      <c r="V202" s="502"/>
      <c r="W202" s="502"/>
      <c r="X202" s="502"/>
      <c r="Y202" s="502"/>
      <c r="Z202" s="502"/>
      <c r="AA202" s="502"/>
      <c r="AB202" s="502" t="s">
        <v>462</v>
      </c>
      <c r="AC202" s="503"/>
      <c r="AD202" s="503">
        <v>0</v>
      </c>
      <c r="AE202" s="504" t="s">
        <v>25</v>
      </c>
    </row>
    <row r="203" spans="1:31" s="11" customFormat="1" ht="21" customHeight="1">
      <c r="A203" s="37"/>
      <c r="B203" s="38"/>
      <c r="C203" s="38"/>
      <c r="D203" s="130"/>
      <c r="E203" s="94"/>
      <c r="F203" s="94"/>
      <c r="G203" s="94"/>
      <c r="H203" s="94"/>
      <c r="I203" s="94"/>
      <c r="J203" s="94"/>
      <c r="K203" s="94"/>
      <c r="L203" s="94"/>
      <c r="M203" s="94"/>
      <c r="N203" s="58"/>
      <c r="O203" s="501" t="s">
        <v>525</v>
      </c>
      <c r="P203" s="501"/>
      <c r="Q203" s="501"/>
      <c r="R203" s="501"/>
      <c r="S203" s="501"/>
      <c r="T203" s="502"/>
      <c r="U203" s="502"/>
      <c r="V203" s="502"/>
      <c r="W203" s="502"/>
      <c r="X203" s="502"/>
      <c r="Y203" s="502"/>
      <c r="Z203" s="502"/>
      <c r="AA203" s="502"/>
      <c r="AB203" s="502" t="s">
        <v>526</v>
      </c>
      <c r="AC203" s="503"/>
      <c r="AD203" s="503">
        <v>0</v>
      </c>
      <c r="AE203" s="504" t="s">
        <v>25</v>
      </c>
    </row>
    <row r="204" spans="1:31" s="11" customFormat="1" ht="21" customHeight="1">
      <c r="A204" s="37"/>
      <c r="B204" s="38"/>
      <c r="C204" s="38"/>
      <c r="D204" s="130"/>
      <c r="E204" s="94"/>
      <c r="F204" s="94"/>
      <c r="G204" s="94"/>
      <c r="H204" s="94"/>
      <c r="I204" s="94"/>
      <c r="J204" s="94"/>
      <c r="K204" s="94"/>
      <c r="L204" s="94"/>
      <c r="M204" s="94"/>
      <c r="N204" s="58"/>
      <c r="O204" s="501"/>
      <c r="P204" s="501"/>
      <c r="Q204" s="501"/>
      <c r="R204" s="501"/>
      <c r="S204" s="501"/>
      <c r="T204" s="502"/>
      <c r="U204" s="502"/>
      <c r="V204" s="502"/>
      <c r="W204" s="502"/>
      <c r="X204" s="502"/>
      <c r="Y204" s="502"/>
      <c r="Z204" s="502"/>
      <c r="AA204" s="502"/>
      <c r="AB204" s="502"/>
      <c r="AC204" s="503"/>
      <c r="AD204" s="503"/>
      <c r="AE204" s="504"/>
    </row>
    <row r="205" spans="1:31" s="11" customFormat="1" ht="21" customHeight="1">
      <c r="A205" s="37"/>
      <c r="B205" s="38"/>
      <c r="C205" s="28" t="s">
        <v>133</v>
      </c>
      <c r="D205" s="132">
        <v>20</v>
      </c>
      <c r="E205" s="99">
        <f>AD205/1000</f>
        <v>15</v>
      </c>
      <c r="F205" s="100">
        <f>SUMIF($AB$206:$AB$211,"보조",$AD$206:$AD$211)/1000</f>
        <v>15</v>
      </c>
      <c r="G205" s="100">
        <f>SUMIF($AB$206:$AB$211,"4종",$AD$206:$AD$211)/1000</f>
        <v>0</v>
      </c>
      <c r="H205" s="100">
        <f>SUMIF($AB$206:$AB$211,"6종",$AD$206:$AD$211)/1000</f>
        <v>0</v>
      </c>
      <c r="I205" s="100">
        <f>SUMIF($AB$206:$AB$211,"후원",$AD$206:$AD$211)/1000</f>
        <v>0</v>
      </c>
      <c r="J205" s="100">
        <f>SUMIF($AB$206:$AB$211,"입소",$AD$206:$AD$211)/1000</f>
        <v>0</v>
      </c>
      <c r="K205" s="100">
        <f>SUMIF($AB$206:$AB$211,"법인",$AD$206:$AD$211)/1000</f>
        <v>0</v>
      </c>
      <c r="L205" s="100">
        <f>SUMIF($AB$206:$AB$211,"잡수",$AD$206:$AD$211)/1000</f>
        <v>0</v>
      </c>
      <c r="M205" s="99">
        <f>E205-D205</f>
        <v>-5</v>
      </c>
      <c r="N205" s="106">
        <f>IF(D205=0,0,M205/D205)</f>
        <v>-0.25</v>
      </c>
      <c r="O205" s="298" t="s">
        <v>424</v>
      </c>
      <c r="P205" s="151"/>
      <c r="Q205" s="151"/>
      <c r="R205" s="151"/>
      <c r="S205" s="151"/>
      <c r="T205" s="150"/>
      <c r="U205" s="150"/>
      <c r="V205" s="150"/>
      <c r="W205" s="150"/>
      <c r="X205" s="150"/>
      <c r="Y205" s="530" t="s">
        <v>382</v>
      </c>
      <c r="Z205" s="530"/>
      <c r="AA205" s="530"/>
      <c r="AB205" s="530"/>
      <c r="AC205" s="144"/>
      <c r="AD205" s="302">
        <f>ROUNDUP(SUM(AD206:AD212),-3)</f>
        <v>15000</v>
      </c>
      <c r="AE205" s="143" t="s">
        <v>25</v>
      </c>
    </row>
    <row r="206" spans="1:31" s="11" customFormat="1" ht="21" customHeight="1">
      <c r="A206" s="37"/>
      <c r="B206" s="38"/>
      <c r="C206" s="38" t="s">
        <v>423</v>
      </c>
      <c r="D206" s="130"/>
      <c r="E206" s="94"/>
      <c r="F206" s="94"/>
      <c r="G206" s="94"/>
      <c r="H206" s="94"/>
      <c r="I206" s="94"/>
      <c r="J206" s="94"/>
      <c r="K206" s="94"/>
      <c r="L206" s="94"/>
      <c r="M206" s="94"/>
      <c r="N206" s="58"/>
      <c r="O206" s="464" t="s">
        <v>425</v>
      </c>
      <c r="P206" s="464"/>
      <c r="Q206" s="464"/>
      <c r="R206" s="464"/>
      <c r="S206" s="463"/>
      <c r="T206" s="463"/>
      <c r="U206" s="463"/>
      <c r="V206" s="463"/>
      <c r="W206" s="463"/>
      <c r="X206" s="463"/>
      <c r="Y206" s="463"/>
      <c r="Z206" s="463"/>
      <c r="AA206" s="463"/>
      <c r="AB206" s="463" t="s">
        <v>344</v>
      </c>
      <c r="AC206" s="463"/>
      <c r="AD206" s="118">
        <v>0</v>
      </c>
      <c r="AE206" s="119" t="s">
        <v>25</v>
      </c>
    </row>
    <row r="207" spans="1:31" s="11" customFormat="1" ht="21" customHeight="1">
      <c r="A207" s="37"/>
      <c r="B207" s="38"/>
      <c r="C207" s="38"/>
      <c r="D207" s="130"/>
      <c r="E207" s="94"/>
      <c r="F207" s="94"/>
      <c r="G207" s="94"/>
      <c r="H207" s="94"/>
      <c r="I207" s="94"/>
      <c r="J207" s="94"/>
      <c r="K207" s="94"/>
      <c r="L207" s="94"/>
      <c r="M207" s="94"/>
      <c r="N207" s="58"/>
      <c r="O207" s="464" t="s">
        <v>426</v>
      </c>
      <c r="P207" s="464"/>
      <c r="Q207" s="464"/>
      <c r="R207" s="464"/>
      <c r="S207" s="463"/>
      <c r="T207" s="463"/>
      <c r="U207" s="463"/>
      <c r="V207" s="463"/>
      <c r="W207" s="463"/>
      <c r="X207" s="463"/>
      <c r="Y207" s="463"/>
      <c r="Z207" s="463"/>
      <c r="AA207" s="463"/>
      <c r="AB207" s="463" t="s">
        <v>344</v>
      </c>
      <c r="AC207" s="463"/>
      <c r="AD207" s="118">
        <v>15000</v>
      </c>
      <c r="AE207" s="119" t="s">
        <v>56</v>
      </c>
    </row>
    <row r="208" spans="1:31" s="11" customFormat="1" ht="21" customHeight="1">
      <c r="A208" s="37"/>
      <c r="B208" s="38"/>
      <c r="C208" s="38"/>
      <c r="D208" s="130"/>
      <c r="E208" s="94"/>
      <c r="F208" s="94"/>
      <c r="G208" s="94"/>
      <c r="H208" s="94"/>
      <c r="I208" s="94"/>
      <c r="J208" s="94"/>
      <c r="K208" s="94"/>
      <c r="L208" s="94"/>
      <c r="M208" s="94"/>
      <c r="N208" s="58"/>
      <c r="O208" s="464" t="s">
        <v>427</v>
      </c>
      <c r="P208" s="464"/>
      <c r="Q208" s="464"/>
      <c r="R208" s="464"/>
      <c r="S208" s="463"/>
      <c r="T208" s="463"/>
      <c r="U208" s="463"/>
      <c r="V208" s="463"/>
      <c r="W208" s="463"/>
      <c r="X208" s="463"/>
      <c r="Y208" s="463"/>
      <c r="Z208" s="463"/>
      <c r="AA208" s="463"/>
      <c r="AB208" s="463" t="s">
        <v>293</v>
      </c>
      <c r="AC208" s="463"/>
      <c r="AD208" s="118">
        <v>0</v>
      </c>
      <c r="AE208" s="119" t="s">
        <v>25</v>
      </c>
    </row>
    <row r="209" spans="1:31" s="11" customFormat="1" ht="21" customHeight="1">
      <c r="A209" s="37"/>
      <c r="B209" s="38"/>
      <c r="C209" s="38"/>
      <c r="D209" s="130"/>
      <c r="E209" s="94"/>
      <c r="F209" s="94"/>
      <c r="G209" s="94"/>
      <c r="H209" s="94"/>
      <c r="I209" s="94"/>
      <c r="J209" s="94"/>
      <c r="K209" s="94"/>
      <c r="L209" s="94"/>
      <c r="M209" s="94"/>
      <c r="N209" s="58"/>
      <c r="O209" s="464" t="s">
        <v>428</v>
      </c>
      <c r="P209" s="464"/>
      <c r="Q209" s="464"/>
      <c r="R209" s="464"/>
      <c r="S209" s="463"/>
      <c r="T209" s="463"/>
      <c r="U209" s="463"/>
      <c r="V209" s="463"/>
      <c r="W209" s="463"/>
      <c r="X209" s="463"/>
      <c r="Y209" s="463"/>
      <c r="Z209" s="463"/>
      <c r="AA209" s="463"/>
      <c r="AB209" s="463" t="s">
        <v>293</v>
      </c>
      <c r="AC209" s="463"/>
      <c r="AD209" s="118">
        <v>0</v>
      </c>
      <c r="AE209" s="119" t="s">
        <v>56</v>
      </c>
    </row>
    <row r="210" spans="1:31" s="11" customFormat="1" ht="21" customHeight="1">
      <c r="A210" s="37"/>
      <c r="B210" s="38"/>
      <c r="C210" s="38"/>
      <c r="D210" s="130"/>
      <c r="E210" s="94"/>
      <c r="F210" s="94"/>
      <c r="G210" s="94"/>
      <c r="H210" s="94"/>
      <c r="I210" s="94"/>
      <c r="J210" s="94"/>
      <c r="K210" s="94"/>
      <c r="L210" s="94"/>
      <c r="M210" s="94"/>
      <c r="N210" s="58"/>
      <c r="O210" s="464" t="s">
        <v>452</v>
      </c>
      <c r="P210" s="464"/>
      <c r="Q210" s="464"/>
      <c r="R210" s="464"/>
      <c r="S210" s="463"/>
      <c r="T210" s="463"/>
      <c r="U210" s="463"/>
      <c r="V210" s="463"/>
      <c r="W210" s="463"/>
      <c r="X210" s="463"/>
      <c r="Y210" s="463"/>
      <c r="Z210" s="463"/>
      <c r="AA210" s="463"/>
      <c r="AB210" s="463" t="s">
        <v>310</v>
      </c>
      <c r="AC210" s="463"/>
      <c r="AD210" s="118">
        <v>0</v>
      </c>
      <c r="AE210" s="119" t="s">
        <v>25</v>
      </c>
    </row>
    <row r="211" spans="1:31" s="11" customFormat="1" ht="21" customHeight="1">
      <c r="A211" s="37"/>
      <c r="B211" s="38"/>
      <c r="C211" s="38"/>
      <c r="D211" s="130"/>
      <c r="E211" s="94"/>
      <c r="F211" s="94"/>
      <c r="G211" s="94"/>
      <c r="H211" s="94"/>
      <c r="I211" s="94"/>
      <c r="J211" s="94"/>
      <c r="K211" s="94"/>
      <c r="L211" s="94"/>
      <c r="M211" s="94"/>
      <c r="N211" s="58"/>
      <c r="O211" s="464" t="s">
        <v>453</v>
      </c>
      <c r="P211" s="464"/>
      <c r="Q211" s="464"/>
      <c r="R211" s="464"/>
      <c r="S211" s="463"/>
      <c r="T211" s="463"/>
      <c r="U211" s="463"/>
      <c r="V211" s="463"/>
      <c r="W211" s="463"/>
      <c r="X211" s="463"/>
      <c r="Y211" s="463"/>
      <c r="Z211" s="463"/>
      <c r="AA211" s="463"/>
      <c r="AB211" s="463" t="s">
        <v>310</v>
      </c>
      <c r="AC211" s="463"/>
      <c r="AD211" s="118">
        <v>0</v>
      </c>
      <c r="AE211" s="119" t="s">
        <v>56</v>
      </c>
    </row>
    <row r="212" spans="1:31" s="1" customFormat="1" ht="21" customHeight="1" thickBot="1">
      <c r="A212" s="120"/>
      <c r="B212" s="88"/>
      <c r="C212" s="88"/>
      <c r="D212" s="135"/>
      <c r="E212" s="121"/>
      <c r="F212" s="121"/>
      <c r="G212" s="121"/>
      <c r="H212" s="121"/>
      <c r="I212" s="121"/>
      <c r="J212" s="121"/>
      <c r="K212" s="121"/>
      <c r="L212" s="121"/>
      <c r="M212" s="121"/>
      <c r="N212" s="122"/>
      <c r="O212" s="399"/>
      <c r="P212" s="399"/>
      <c r="Q212" s="399"/>
      <c r="R212" s="399"/>
      <c r="S212" s="400"/>
      <c r="T212" s="400"/>
      <c r="U212" s="400"/>
      <c r="V212" s="400"/>
      <c r="W212" s="400"/>
      <c r="X212" s="400"/>
      <c r="Y212" s="400"/>
      <c r="Z212" s="400"/>
      <c r="AA212" s="400"/>
      <c r="AB212" s="400"/>
      <c r="AC212" s="400"/>
      <c r="AD212" s="400"/>
      <c r="AE212" s="401"/>
    </row>
    <row r="214" spans="1:31" ht="21" customHeight="1">
      <c r="E214" s="288"/>
      <c r="F214" s="288"/>
    </row>
    <row r="215" spans="1:31" ht="21" customHeight="1">
      <c r="E215" s="288"/>
      <c r="F215" s="288"/>
    </row>
    <row r="216" spans="1:31" ht="21" customHeight="1">
      <c r="F216" s="288"/>
    </row>
    <row r="217" spans="1:31" ht="21" customHeight="1">
      <c r="E217" s="288"/>
      <c r="F217" s="288"/>
    </row>
    <row r="218" spans="1:31" ht="21" customHeight="1">
      <c r="E218" s="288"/>
      <c r="F218" s="288"/>
    </row>
    <row r="219" spans="1:31" ht="21" customHeight="1">
      <c r="E219" s="288"/>
      <c r="F219" s="288"/>
    </row>
  </sheetData>
  <mergeCells count="15">
    <mergeCell ref="B195:C195"/>
    <mergeCell ref="B121:C121"/>
    <mergeCell ref="B143:C143"/>
    <mergeCell ref="B192:C192"/>
    <mergeCell ref="O126:R126"/>
    <mergeCell ref="V113:W113"/>
    <mergeCell ref="A1:D1"/>
    <mergeCell ref="A2:C2"/>
    <mergeCell ref="D2:D3"/>
    <mergeCell ref="E2:L2"/>
    <mergeCell ref="M2:N2"/>
    <mergeCell ref="O2:AE3"/>
    <mergeCell ref="A4:C4"/>
    <mergeCell ref="B5:C5"/>
    <mergeCell ref="V84:W8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2022-11-28T06:45:52Z</cp:lastPrinted>
  <dcterms:created xsi:type="dcterms:W3CDTF">2003-12-18T04:11:57Z</dcterms:created>
  <dcterms:modified xsi:type="dcterms:W3CDTF">2022-12-27T09:36:34Z</dcterms:modified>
</cp:coreProperties>
</file>