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195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세출!$AA$8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1" i="5" l="1"/>
  <c r="I131" i="5"/>
  <c r="G131" i="5"/>
  <c r="H131" i="5"/>
  <c r="F131" i="5"/>
  <c r="D135" i="5" l="1"/>
  <c r="AA143" i="5"/>
  <c r="E143" i="5" s="1"/>
  <c r="J143" i="5" s="1"/>
  <c r="K143" i="5"/>
  <c r="I143" i="5"/>
  <c r="H143" i="5"/>
  <c r="G143" i="5"/>
  <c r="F143" i="5"/>
  <c r="P25" i="5" l="1"/>
  <c r="P29" i="5" l="1"/>
  <c r="AA66" i="5" l="1"/>
  <c r="AA29" i="5" l="1"/>
  <c r="AA25" i="5"/>
  <c r="AA64" i="5" l="1"/>
  <c r="X65" i="29" l="1"/>
  <c r="AA50" i="5" l="1"/>
  <c r="AA73" i="5" l="1"/>
  <c r="I57" i="5"/>
  <c r="F57" i="5"/>
  <c r="AA62" i="5"/>
  <c r="AA61" i="5" s="1"/>
  <c r="AA14" i="5" l="1"/>
  <c r="AA13" i="5"/>
  <c r="I18" i="5"/>
  <c r="F18" i="5"/>
  <c r="AA12" i="5" l="1"/>
  <c r="AA10" i="5" s="1"/>
  <c r="P19" i="5"/>
  <c r="AA19" i="5" s="1"/>
  <c r="H78" i="5" l="1"/>
  <c r="I7" i="5"/>
  <c r="H10" i="5"/>
  <c r="F10" i="5"/>
  <c r="I10" i="5"/>
  <c r="X76" i="29"/>
  <c r="X83" i="29"/>
  <c r="X82" i="29" s="1"/>
  <c r="G18" i="5" l="1"/>
  <c r="AA18" i="5"/>
  <c r="G57" i="5"/>
  <c r="AA51" i="5"/>
  <c r="D118" i="5" l="1"/>
  <c r="I141" i="5" l="1"/>
  <c r="H141" i="5"/>
  <c r="G141" i="5"/>
  <c r="AA141" i="5"/>
  <c r="F141" i="5"/>
  <c r="AA119" i="5" l="1"/>
  <c r="I119" i="5"/>
  <c r="H119" i="5"/>
  <c r="G119" i="5"/>
  <c r="F119" i="5"/>
  <c r="H18" i="5" l="1"/>
  <c r="H23" i="29" l="1"/>
  <c r="X91" i="29"/>
  <c r="K19" i="18" l="1"/>
  <c r="K20" i="18"/>
  <c r="X31" i="29" l="1"/>
  <c r="I122" i="5" l="1"/>
  <c r="H122" i="5"/>
  <c r="G122" i="5"/>
  <c r="F122" i="5"/>
  <c r="AA122" i="5"/>
  <c r="E122" i="5" s="1"/>
  <c r="J122" i="5" s="1"/>
  <c r="K122" i="5" s="1"/>
  <c r="P35" i="5"/>
  <c r="AA35" i="5" s="1"/>
  <c r="P38" i="5" l="1"/>
  <c r="AA38" i="5" s="1"/>
  <c r="I23" i="18" l="1"/>
  <c r="I21" i="18"/>
  <c r="I16" i="18"/>
  <c r="I12" i="18"/>
  <c r="I8" i="18"/>
  <c r="D22" i="18"/>
  <c r="D20" i="18"/>
  <c r="D18" i="18"/>
  <c r="D15" i="18"/>
  <c r="D10" i="18"/>
  <c r="D8" i="18"/>
  <c r="D7" i="18" l="1"/>
  <c r="I7" i="18"/>
  <c r="I160" i="5"/>
  <c r="H160" i="5"/>
  <c r="G160" i="5"/>
  <c r="F160" i="5"/>
  <c r="H165" i="5"/>
  <c r="G165" i="5"/>
  <c r="H157" i="5"/>
  <c r="G157" i="5"/>
  <c r="H139" i="5"/>
  <c r="G139" i="5"/>
  <c r="H136" i="5"/>
  <c r="G136" i="5"/>
  <c r="H128" i="5"/>
  <c r="G128" i="5"/>
  <c r="F128" i="5"/>
  <c r="H126" i="5"/>
  <c r="G126" i="5"/>
  <c r="H124" i="5"/>
  <c r="G124" i="5"/>
  <c r="H104" i="5"/>
  <c r="G104" i="5"/>
  <c r="H101" i="5"/>
  <c r="G101" i="5"/>
  <c r="H98" i="5"/>
  <c r="G98" i="5"/>
  <c r="G85" i="5"/>
  <c r="G78" i="5"/>
  <c r="H73" i="5"/>
  <c r="G73" i="5"/>
  <c r="G70" i="5"/>
  <c r="H54" i="5"/>
  <c r="G54" i="5"/>
  <c r="H49" i="5"/>
  <c r="G49" i="5"/>
  <c r="H47" i="5"/>
  <c r="G47" i="5"/>
  <c r="H44" i="5"/>
  <c r="G44" i="5"/>
  <c r="G22" i="5"/>
  <c r="H7" i="5"/>
  <c r="G7" i="5"/>
  <c r="I128" i="5"/>
  <c r="AA128" i="5"/>
  <c r="H85" i="5"/>
  <c r="X42" i="29"/>
  <c r="X29" i="29"/>
  <c r="I139" i="5"/>
  <c r="F139" i="5"/>
  <c r="I136" i="5"/>
  <c r="I135" i="5" s="1"/>
  <c r="F136" i="5"/>
  <c r="F135" i="5" s="1"/>
  <c r="I124" i="5"/>
  <c r="F124" i="5"/>
  <c r="I104" i="5"/>
  <c r="I101" i="5"/>
  <c r="I73" i="5"/>
  <c r="I54" i="5"/>
  <c r="I49" i="5"/>
  <c r="I22" i="5"/>
  <c r="F7" i="5"/>
  <c r="G135" i="5" l="1"/>
  <c r="H135" i="5"/>
  <c r="G118" i="5"/>
  <c r="E160" i="5"/>
  <c r="X47" i="29" l="1"/>
  <c r="X46" i="29" l="1"/>
  <c r="AA136" i="5" l="1"/>
  <c r="X59" i="29" l="1"/>
  <c r="F59" i="29" s="1"/>
  <c r="E128" i="5" l="1"/>
  <c r="J128" i="5" s="1"/>
  <c r="K128" i="5" s="1"/>
  <c r="F76" i="29"/>
  <c r="AA160" i="5" l="1"/>
  <c r="E64" i="29"/>
  <c r="X58" i="29"/>
  <c r="X45" i="29"/>
  <c r="F45" i="29" s="1"/>
  <c r="I78" i="5" l="1"/>
  <c r="F78" i="5"/>
  <c r="AA47" i="5"/>
  <c r="E47" i="5" s="1"/>
  <c r="K165" i="5"/>
  <c r="I165" i="5"/>
  <c r="F165" i="5"/>
  <c r="I157" i="5"/>
  <c r="F157" i="5"/>
  <c r="K154" i="5"/>
  <c r="J154" i="5"/>
  <c r="I154" i="5"/>
  <c r="H154" i="5"/>
  <c r="G154" i="5"/>
  <c r="F154" i="5"/>
  <c r="K152" i="5"/>
  <c r="I152" i="5"/>
  <c r="H152" i="5"/>
  <c r="G152" i="5"/>
  <c r="F152" i="5"/>
  <c r="I149" i="5"/>
  <c r="G149" i="5"/>
  <c r="F149" i="5"/>
  <c r="K149" i="5"/>
  <c r="H149" i="5"/>
  <c r="E149" i="5"/>
  <c r="J149" i="5" s="1"/>
  <c r="I15" i="5"/>
  <c r="H15" i="5"/>
  <c r="G15" i="5"/>
  <c r="F15" i="5"/>
  <c r="AA154" i="5"/>
  <c r="AA152" i="5"/>
  <c r="AA157" i="5"/>
  <c r="I126" i="5"/>
  <c r="F126" i="5"/>
  <c r="AA139" i="5"/>
  <c r="AA135" i="5" s="1"/>
  <c r="E136" i="5"/>
  <c r="J136" i="5" s="1"/>
  <c r="K136" i="5" s="1"/>
  <c r="AA126" i="5"/>
  <c r="AA124" i="5"/>
  <c r="E73" i="5"/>
  <c r="E139" i="5" l="1"/>
  <c r="J139" i="5" s="1"/>
  <c r="K139" i="5" s="1"/>
  <c r="AA118" i="5"/>
  <c r="J17" i="18" s="1"/>
  <c r="E119" i="5"/>
  <c r="J119" i="5" s="1"/>
  <c r="K119" i="5" s="1"/>
  <c r="E124" i="5"/>
  <c r="J124" i="5" s="1"/>
  <c r="K124" i="5" s="1"/>
  <c r="E165" i="5"/>
  <c r="J165" i="5" s="1"/>
  <c r="E131" i="5"/>
  <c r="J131" i="5" s="1"/>
  <c r="K131" i="5" s="1"/>
  <c r="E141" i="5"/>
  <c r="J141" i="5" s="1"/>
  <c r="K141" i="5" s="1"/>
  <c r="I118" i="5"/>
  <c r="F118" i="5"/>
  <c r="H118" i="5"/>
  <c r="E126" i="5"/>
  <c r="J126" i="5" s="1"/>
  <c r="K126" i="5" s="1"/>
  <c r="AA7" i="5"/>
  <c r="E7" i="5" s="1"/>
  <c r="K17" i="18" l="1"/>
  <c r="H117" i="5"/>
  <c r="E18" i="5"/>
  <c r="F117" i="5"/>
  <c r="I117" i="5"/>
  <c r="G117" i="5"/>
  <c r="D53" i="5"/>
  <c r="AA165" i="5"/>
  <c r="I151" i="5"/>
  <c r="H151" i="5"/>
  <c r="G151" i="5"/>
  <c r="F151" i="5"/>
  <c r="E152" i="5"/>
  <c r="AA151" i="5"/>
  <c r="D151" i="5"/>
  <c r="K151" i="5" s="1"/>
  <c r="I156" i="5"/>
  <c r="H156" i="5"/>
  <c r="G156" i="5"/>
  <c r="F156" i="5"/>
  <c r="E157" i="5"/>
  <c r="J157" i="5" s="1"/>
  <c r="K157" i="5" s="1"/>
  <c r="AA156" i="5"/>
  <c r="J22" i="18" s="1"/>
  <c r="K22" i="18" s="1"/>
  <c r="K21" i="18" s="1"/>
  <c r="D108" i="5"/>
  <c r="D107" i="5" s="1"/>
  <c r="X69" i="29"/>
  <c r="E34" i="29"/>
  <c r="X20" i="29"/>
  <c r="X19" i="29" s="1"/>
  <c r="X23" i="29"/>
  <c r="X22" i="29" s="1"/>
  <c r="X26" i="29"/>
  <c r="X25" i="29" s="1"/>
  <c r="X6" i="29"/>
  <c r="X8" i="29"/>
  <c r="X10" i="29"/>
  <c r="F69" i="29" l="1"/>
  <c r="F65" i="29"/>
  <c r="G65" i="29" s="1"/>
  <c r="H65" i="29" s="1"/>
  <c r="E151" i="5"/>
  <c r="J151" i="5" s="1"/>
  <c r="J152" i="5"/>
  <c r="D117" i="5"/>
  <c r="E156" i="5"/>
  <c r="J156" i="5" s="1"/>
  <c r="K156" i="5" s="1"/>
  <c r="AA78" i="5"/>
  <c r="E78" i="5" s="1"/>
  <c r="J78" i="5" s="1"/>
  <c r="K78" i="5" s="1"/>
  <c r="G69" i="29" l="1"/>
  <c r="H69" i="29" s="1"/>
  <c r="X87" i="29"/>
  <c r="I113" i="5" l="1"/>
  <c r="H113" i="5"/>
  <c r="G113" i="5"/>
  <c r="F113" i="5"/>
  <c r="H109" i="5"/>
  <c r="F101" i="5"/>
  <c r="I98" i="5"/>
  <c r="F98" i="5"/>
  <c r="I85" i="5"/>
  <c r="I82" i="5"/>
  <c r="H82" i="5"/>
  <c r="I70" i="5"/>
  <c r="F54" i="5"/>
  <c r="F49" i="5"/>
  <c r="I47" i="5"/>
  <c r="F47" i="5"/>
  <c r="I44" i="5"/>
  <c r="H43" i="5"/>
  <c r="F44" i="5"/>
  <c r="F40" i="5"/>
  <c r="I43" i="5" l="1"/>
  <c r="H108" i="5"/>
  <c r="H107" i="5" s="1"/>
  <c r="AA110" i="5" l="1"/>
  <c r="G109" i="5" s="1"/>
  <c r="G108" i="5" s="1"/>
  <c r="G107" i="5" s="1"/>
  <c r="F85" i="5" l="1"/>
  <c r="F13" i="18"/>
  <c r="AA101" i="5" l="1"/>
  <c r="E101" i="5" l="1"/>
  <c r="J14" i="18"/>
  <c r="K14" i="18" s="1"/>
  <c r="X13" i="29"/>
  <c r="X12" i="29" s="1"/>
  <c r="X5" i="29" s="1"/>
  <c r="F5" i="29" s="1"/>
  <c r="H14" i="29"/>
  <c r="X14" i="29"/>
  <c r="F14" i="29" s="1"/>
  <c r="G14" i="29" s="1"/>
  <c r="X16" i="29"/>
  <c r="F16" i="29" s="1"/>
  <c r="G16" i="29" s="1"/>
  <c r="E19" i="29"/>
  <c r="E22" i="29"/>
  <c r="E25" i="29"/>
  <c r="E28" i="29"/>
  <c r="X28" i="29"/>
  <c r="F29" i="29"/>
  <c r="F28" i="29" s="1"/>
  <c r="X35" i="29"/>
  <c r="X34" i="29" s="1"/>
  <c r="E16" i="18" s="1"/>
  <c r="E44" i="29"/>
  <c r="E51" i="29"/>
  <c r="H51" i="29" s="1"/>
  <c r="H52" i="29"/>
  <c r="X52" i="29"/>
  <c r="X51" i="29" s="1"/>
  <c r="E54" i="29"/>
  <c r="H54" i="29" s="1"/>
  <c r="X54" i="29"/>
  <c r="F55" i="29"/>
  <c r="F54" i="29" s="1"/>
  <c r="H55" i="29"/>
  <c r="E58" i="29"/>
  <c r="E57" i="29" s="1"/>
  <c r="X57" i="29"/>
  <c r="E75" i="29"/>
  <c r="E82" i="29"/>
  <c r="H82" i="29" s="1"/>
  <c r="H83" i="29"/>
  <c r="E86" i="29"/>
  <c r="H86" i="29" s="1"/>
  <c r="H87" i="29"/>
  <c r="X89" i="29"/>
  <c r="X86" i="29" s="1"/>
  <c r="E90" i="29"/>
  <c r="E96" i="29"/>
  <c r="X90" i="29" l="1"/>
  <c r="F91" i="29"/>
  <c r="G91" i="29" s="1"/>
  <c r="H91" i="29" s="1"/>
  <c r="F72" i="29"/>
  <c r="F64" i="29" s="1"/>
  <c r="X64" i="29"/>
  <c r="E63" i="29"/>
  <c r="X97" i="29"/>
  <c r="F23" i="29"/>
  <c r="G23" i="29" s="1"/>
  <c r="G59" i="29"/>
  <c r="H59" i="29" s="1"/>
  <c r="G28" i="29"/>
  <c r="H28" i="29" s="1"/>
  <c r="E50" i="29"/>
  <c r="H50" i="29" s="1"/>
  <c r="G54" i="29"/>
  <c r="F20" i="29"/>
  <c r="E33" i="29"/>
  <c r="G55" i="29"/>
  <c r="F83" i="29"/>
  <c r="G83" i="29" s="1"/>
  <c r="F26" i="29"/>
  <c r="X50" i="29"/>
  <c r="G29" i="29"/>
  <c r="H29" i="29" s="1"/>
  <c r="E18" i="29"/>
  <c r="X44" i="29"/>
  <c r="E17" i="18" s="1"/>
  <c r="F35" i="29"/>
  <c r="F34" i="29" s="1"/>
  <c r="G76" i="29"/>
  <c r="H76" i="29" s="1"/>
  <c r="F75" i="29"/>
  <c r="F87" i="29"/>
  <c r="X75" i="29"/>
  <c r="F52" i="29"/>
  <c r="E85" i="29"/>
  <c r="E15" i="18" l="1"/>
  <c r="X96" i="29"/>
  <c r="X85" i="29" s="1"/>
  <c r="E23" i="18" s="1"/>
  <c r="E22" i="18" s="1"/>
  <c r="F97" i="29"/>
  <c r="G97" i="29" s="1"/>
  <c r="H97" i="29" s="1"/>
  <c r="G72" i="29"/>
  <c r="H72" i="29" s="1"/>
  <c r="X63" i="29"/>
  <c r="G75" i="29"/>
  <c r="H75" i="29" s="1"/>
  <c r="E4" i="29"/>
  <c r="F58" i="29"/>
  <c r="F90" i="29"/>
  <c r="G90" i="29" s="1"/>
  <c r="H90" i="29" s="1"/>
  <c r="F82" i="29"/>
  <c r="G82" i="29" s="1"/>
  <c r="G26" i="29"/>
  <c r="H26" i="29" s="1"/>
  <c r="G87" i="29"/>
  <c r="F86" i="29"/>
  <c r="G20" i="29"/>
  <c r="H20" i="29" s="1"/>
  <c r="G45" i="29"/>
  <c r="H45" i="29" s="1"/>
  <c r="F44" i="29"/>
  <c r="G44" i="29" s="1"/>
  <c r="H44" i="29" s="1"/>
  <c r="G52" i="29"/>
  <c r="F51" i="29"/>
  <c r="G35" i="29"/>
  <c r="H35" i="29" s="1"/>
  <c r="G5" i="29"/>
  <c r="X33" i="29"/>
  <c r="F63" i="29" l="1"/>
  <c r="G58" i="29"/>
  <c r="H58" i="29" s="1"/>
  <c r="F57" i="29"/>
  <c r="F96" i="29"/>
  <c r="G96" i="29" s="1"/>
  <c r="H96" i="29" s="1"/>
  <c r="H5" i="29"/>
  <c r="G34" i="29"/>
  <c r="H34" i="29" s="1"/>
  <c r="F33" i="29"/>
  <c r="G33" i="29" s="1"/>
  <c r="H33" i="29" s="1"/>
  <c r="G86" i="29"/>
  <c r="G64" i="29"/>
  <c r="H64" i="29" s="1"/>
  <c r="F50" i="29"/>
  <c r="G50" i="29" s="1"/>
  <c r="G51" i="29"/>
  <c r="G63" i="29" l="1"/>
  <c r="H63" i="29" s="1"/>
  <c r="E21" i="18"/>
  <c r="F19" i="29"/>
  <c r="G19" i="29" s="1"/>
  <c r="H19" i="29" s="1"/>
  <c r="F85" i="29"/>
  <c r="G85" i="29" s="1"/>
  <c r="H85" i="29" s="1"/>
  <c r="F22" i="29" l="1"/>
  <c r="G22" i="29" s="1"/>
  <c r="H22" i="29" s="1"/>
  <c r="X18" i="29"/>
  <c r="F25" i="29"/>
  <c r="G25" i="29" s="1"/>
  <c r="H25" i="29" s="1"/>
  <c r="E14" i="18" l="1"/>
  <c r="F18" i="29"/>
  <c r="G18" i="29" l="1"/>
  <c r="AA58" i="5"/>
  <c r="AA57" i="5" s="1"/>
  <c r="H18" i="29" l="1"/>
  <c r="J21" i="18" l="1"/>
  <c r="E20" i="18"/>
  <c r="E18" i="18"/>
  <c r="E10" i="18"/>
  <c r="E8" i="18"/>
  <c r="E7" i="18" l="1"/>
  <c r="AA83" i="5" l="1"/>
  <c r="G82" i="5" l="1"/>
  <c r="F109" i="5"/>
  <c r="F108" i="5" s="1"/>
  <c r="F107" i="5" s="1"/>
  <c r="D159" i="5" l="1"/>
  <c r="D148" i="5"/>
  <c r="D97" i="5"/>
  <c r="D96" i="5" s="1"/>
  <c r="F23" i="18" l="1"/>
  <c r="F22" i="18" s="1"/>
  <c r="F21" i="18"/>
  <c r="F20" i="18" s="1"/>
  <c r="F19" i="18"/>
  <c r="F18" i="18" s="1"/>
  <c r="F17" i="18"/>
  <c r="F16" i="18"/>
  <c r="F14" i="18"/>
  <c r="F12" i="18"/>
  <c r="F11" i="18"/>
  <c r="F9" i="18"/>
  <c r="F8" i="18" s="1"/>
  <c r="F15" i="18" l="1"/>
  <c r="F10" i="18"/>
  <c r="F82" i="5" l="1"/>
  <c r="F7" i="18"/>
  <c r="AA82" i="5"/>
  <c r="D43" i="5"/>
  <c r="F159" i="5" l="1"/>
  <c r="G159" i="5"/>
  <c r="H159" i="5"/>
  <c r="I159" i="5"/>
  <c r="AA159" i="5"/>
  <c r="J24" i="18" s="1"/>
  <c r="F148" i="5"/>
  <c r="G148" i="5"/>
  <c r="H148" i="5"/>
  <c r="I148" i="5"/>
  <c r="AA113" i="5"/>
  <c r="I109" i="5"/>
  <c r="I108" i="5" s="1"/>
  <c r="I107" i="5" s="1"/>
  <c r="G97" i="5"/>
  <c r="G96" i="5" s="1"/>
  <c r="H97" i="5"/>
  <c r="H96" i="5" s="1"/>
  <c r="I97" i="5"/>
  <c r="I96" i="5" s="1"/>
  <c r="AA98" i="5"/>
  <c r="AA71" i="5"/>
  <c r="H70" i="5" s="1"/>
  <c r="G43" i="5"/>
  <c r="AA44" i="5"/>
  <c r="E44" i="5" s="1"/>
  <c r="K24" i="18" l="1"/>
  <c r="K23" i="18" s="1"/>
  <c r="J23" i="18"/>
  <c r="E98" i="5"/>
  <c r="J98" i="5" s="1"/>
  <c r="K98" i="5" s="1"/>
  <c r="J13" i="18"/>
  <c r="K13" i="18" s="1"/>
  <c r="I53" i="5"/>
  <c r="AA24" i="5"/>
  <c r="F70" i="5"/>
  <c r="F104" i="5"/>
  <c r="F97" i="5" s="1"/>
  <c r="F96" i="5" s="1"/>
  <c r="AA54" i="5"/>
  <c r="E54" i="5" s="1"/>
  <c r="AA104" i="5"/>
  <c r="J15" i="18" s="1"/>
  <c r="AA70" i="5"/>
  <c r="E70" i="5" s="1"/>
  <c r="AA28" i="5"/>
  <c r="P32" i="5" s="1"/>
  <c r="AA32" i="5" s="1"/>
  <c r="J160" i="5"/>
  <c r="K160" i="5" s="1"/>
  <c r="H22" i="5" l="1"/>
  <c r="K15" i="18"/>
  <c r="K12" i="18" s="1"/>
  <c r="J12" i="18"/>
  <c r="AA97" i="5"/>
  <c r="E104" i="5"/>
  <c r="AA34" i="5" l="1"/>
  <c r="AA31" i="5" l="1"/>
  <c r="F22" i="5"/>
  <c r="AA37" i="5" l="1"/>
  <c r="J7" i="5"/>
  <c r="AA16" i="5"/>
  <c r="AA15" i="5" s="1"/>
  <c r="AA22" i="5" l="1"/>
  <c r="E22" i="5" l="1"/>
  <c r="J22" i="5" s="1"/>
  <c r="K22" i="5" s="1"/>
  <c r="F6" i="5"/>
  <c r="F43" i="5" l="1"/>
  <c r="AA41" i="5"/>
  <c r="H40" i="5" l="1"/>
  <c r="H6" i="5" s="1"/>
  <c r="G40" i="5"/>
  <c r="I40" i="5"/>
  <c r="I6" i="5" s="1"/>
  <c r="F73" i="5"/>
  <c r="J73" i="5"/>
  <c r="K73" i="5" s="1"/>
  <c r="AA49" i="5"/>
  <c r="E49" i="5" s="1"/>
  <c r="AA109" i="5"/>
  <c r="J18" i="5"/>
  <c r="K18" i="5" s="1"/>
  <c r="J101" i="5"/>
  <c r="K101" i="5" s="1"/>
  <c r="AA40" i="5"/>
  <c r="E40" i="5" s="1"/>
  <c r="E15" i="5"/>
  <c r="K7" i="5"/>
  <c r="E113" i="5"/>
  <c r="J113" i="5" s="1"/>
  <c r="K113" i="5" s="1"/>
  <c r="H57" i="5" l="1"/>
  <c r="H53" i="5" s="1"/>
  <c r="H5" i="5" s="1"/>
  <c r="H4" i="5" s="1"/>
  <c r="G53" i="5"/>
  <c r="F53" i="5"/>
  <c r="E109" i="5"/>
  <c r="E108" i="5" s="1"/>
  <c r="E107" i="5" s="1"/>
  <c r="AA108" i="5"/>
  <c r="AA107" i="5" s="1"/>
  <c r="AA43" i="5"/>
  <c r="J10" i="18" s="1"/>
  <c r="K10" i="18" s="1"/>
  <c r="J49" i="5"/>
  <c r="K49" i="5" s="1"/>
  <c r="I5" i="5"/>
  <c r="I4" i="5" s="1"/>
  <c r="J40" i="5"/>
  <c r="K40" i="5" s="1"/>
  <c r="J54" i="5"/>
  <c r="K54" i="5" s="1"/>
  <c r="J104" i="5"/>
  <c r="K104" i="5" s="1"/>
  <c r="E97" i="5"/>
  <c r="E96" i="5" s="1"/>
  <c r="AA96" i="5"/>
  <c r="AA85" i="5" s="1"/>
  <c r="E85" i="5" s="1"/>
  <c r="J85" i="5" s="1"/>
  <c r="K85" i="5" s="1"/>
  <c r="E82" i="5"/>
  <c r="J44" i="5"/>
  <c r="K44" i="5" s="1"/>
  <c r="J70" i="5"/>
  <c r="K70" i="5" s="1"/>
  <c r="D6" i="5"/>
  <c r="D5" i="5" s="1"/>
  <c r="D4" i="5" s="1"/>
  <c r="J47" i="5"/>
  <c r="K47" i="5" s="1"/>
  <c r="F5" i="5" l="1"/>
  <c r="F4" i="5" s="1"/>
  <c r="AA53" i="5"/>
  <c r="E57" i="5"/>
  <c r="E53" i="5" s="1"/>
  <c r="J82" i="5"/>
  <c r="K82" i="5" s="1"/>
  <c r="J109" i="5"/>
  <c r="J108" i="5" s="1"/>
  <c r="J107" i="5" s="1"/>
  <c r="K109" i="5"/>
  <c r="K108" i="5" s="1"/>
  <c r="K107" i="5" s="1"/>
  <c r="AA148" i="5"/>
  <c r="J96" i="5"/>
  <c r="K96" i="5" s="1"/>
  <c r="J97" i="5"/>
  <c r="K97" i="5" s="1"/>
  <c r="E43" i="5"/>
  <c r="J43" i="5" s="1"/>
  <c r="K43" i="5" s="1"/>
  <c r="J15" i="5"/>
  <c r="K15" i="5" s="1"/>
  <c r="E159" i="5"/>
  <c r="J159" i="5" s="1"/>
  <c r="K159" i="5" s="1"/>
  <c r="J11" i="18" l="1"/>
  <c r="J18" i="18"/>
  <c r="E148" i="5"/>
  <c r="J148" i="5" s="1"/>
  <c r="K148" i="5" s="1"/>
  <c r="J57" i="5"/>
  <c r="K57" i="5" s="1"/>
  <c r="J53" i="5"/>
  <c r="K53" i="5" s="1"/>
  <c r="K11" i="18" l="1"/>
  <c r="K18" i="18"/>
  <c r="K16" i="18" s="1"/>
  <c r="J16" i="18"/>
  <c r="AA117" i="5"/>
  <c r="E135" i="5"/>
  <c r="J135" i="5" s="1"/>
  <c r="K135" i="5" s="1"/>
  <c r="E118" i="5"/>
  <c r="E117" i="5" l="1"/>
  <c r="J117" i="5" s="1"/>
  <c r="K117" i="5" s="1"/>
  <c r="J118" i="5"/>
  <c r="K118" i="5" s="1"/>
  <c r="X4" i="29"/>
  <c r="G57" i="29" l="1"/>
  <c r="F4" i="29"/>
  <c r="G4" i="29" l="1"/>
  <c r="H4" i="29" s="1"/>
  <c r="H57" i="29"/>
  <c r="E10" i="5"/>
  <c r="AA6" i="5"/>
  <c r="AA5" i="5" s="1"/>
  <c r="AA4" i="5" s="1"/>
  <c r="G10" i="5"/>
  <c r="G6" i="5" s="1"/>
  <c r="G5" i="5" s="1"/>
  <c r="G4" i="5" s="1"/>
  <c r="J10" i="5" l="1"/>
  <c r="K10" i="5" s="1"/>
  <c r="E6" i="5"/>
  <c r="E5" i="5" s="1"/>
  <c r="E4" i="5" s="1"/>
  <c r="J4" i="5" s="1"/>
  <c r="K4" i="5" s="1"/>
  <c r="J9" i="18"/>
  <c r="J6" i="5" l="1"/>
  <c r="K6" i="5" s="1"/>
  <c r="J5" i="5"/>
  <c r="K9" i="18"/>
  <c r="K8" i="18" s="1"/>
  <c r="K7" i="18" s="1"/>
  <c r="J8" i="18"/>
  <c r="J7" i="18" s="1"/>
</calcChain>
</file>

<file path=xl/sharedStrings.xml><?xml version="1.0" encoding="utf-8"?>
<sst xmlns="http://schemas.openxmlformats.org/spreadsheetml/2006/main" count="982" uniqueCount="472">
  <si>
    <t>월</t>
    <phoneticPr fontId="12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</si>
  <si>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</si>
  <si>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</si>
  <si>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</si>
  <si>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</si>
  <si>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</si>
  <si>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</si>
  <si>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</si>
  <si>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</si>
  <si>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</si>
  <si>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</si>
  <si>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</si>
  <si>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</si>
  <si>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</si>
  <si>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</si>
  <si>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</si>
  <si>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</si>
  <si>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</si>
  <si>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</si>
  <si>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</si>
  <si>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</si>
  <si>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</si>
  <si>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</si>
  <si>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</si>
  <si>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</si>
  <si>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</si>
  <si>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</si>
  <si>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</si>
  <si>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</si>
  <si>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</si>
  <si>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</si>
  <si>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</si>
  <si>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</si>
  <si>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</si>
  <si>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</si>
  <si>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</si>
  <si>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</si>
  <si>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</si>
  <si>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</si>
  <si>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</si>
  <si>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</si>
  <si>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</si>
  <si>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</si>
  <si>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</si>
  <si>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</si>
  <si>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</si>
  <si>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</si>
  <si>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</si>
  <si>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</si>
  <si>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</si>
  <si>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</si>
  <si>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</si>
  <si>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2" type="noConversion"/>
  </si>
  <si>
    <t>산              출               기              초</t>
    <phoneticPr fontId="12" type="noConversion"/>
  </si>
  <si>
    <t>원</t>
    <phoneticPr fontId="12" type="noConversion"/>
  </si>
  <si>
    <t>×</t>
    <phoneticPr fontId="12" type="noConversion"/>
  </si>
  <si>
    <t>잡수입</t>
    <phoneticPr fontId="12" type="noConversion"/>
  </si>
  <si>
    <t xml:space="preserve">                                                                                    </t>
    <phoneticPr fontId="12" type="noConversion"/>
  </si>
  <si>
    <t>원</t>
    <phoneticPr fontId="12" type="noConversion"/>
  </si>
  <si>
    <t>총  계 :</t>
    <phoneticPr fontId="12" type="noConversion"/>
  </si>
  <si>
    <t>소계 :</t>
    <phoneticPr fontId="12" type="noConversion"/>
  </si>
  <si>
    <t>사회보험</t>
    <phoneticPr fontId="12" type="noConversion"/>
  </si>
  <si>
    <t>기타후생</t>
    <phoneticPr fontId="12" type="noConversion"/>
  </si>
  <si>
    <t>※ 기타후생경비</t>
    <phoneticPr fontId="12" type="noConversion"/>
  </si>
  <si>
    <t>회  의  비</t>
    <phoneticPr fontId="12" type="noConversion"/>
  </si>
  <si>
    <t>여    비</t>
    <phoneticPr fontId="12" type="noConversion"/>
  </si>
  <si>
    <t>기타운영비</t>
    <phoneticPr fontId="12" type="noConversion"/>
  </si>
  <si>
    <t>운      영      비</t>
    <phoneticPr fontId="31" type="noConversion"/>
  </si>
  <si>
    <t>재산조성비</t>
    <phoneticPr fontId="31" type="noConversion"/>
  </si>
  <si>
    <t>시      설      비</t>
    <phoneticPr fontId="31" type="noConversion"/>
  </si>
  <si>
    <t>후원금  수입</t>
    <phoneticPr fontId="31" type="noConversion"/>
  </si>
  <si>
    <t>자 산   취 득 비</t>
    <phoneticPr fontId="31" type="noConversion"/>
  </si>
  <si>
    <t>시설장비유지비</t>
    <phoneticPr fontId="31" type="noConversion"/>
  </si>
  <si>
    <t>전    입    금</t>
    <phoneticPr fontId="31" type="noConversion"/>
  </si>
  <si>
    <t>이    월    금</t>
    <phoneticPr fontId="31" type="noConversion"/>
  </si>
  <si>
    <t>잡    수    입</t>
    <phoneticPr fontId="31" type="noConversion"/>
  </si>
  <si>
    <t>잡      수      입</t>
    <phoneticPr fontId="31" type="noConversion"/>
  </si>
  <si>
    <t>잡      지      출</t>
    <phoneticPr fontId="31" type="noConversion"/>
  </si>
  <si>
    <t>금액
(B-A)</t>
    <phoneticPr fontId="12" type="noConversion"/>
  </si>
  <si>
    <t>합  계 :</t>
    <phoneticPr fontId="12" type="noConversion"/>
  </si>
  <si>
    <t>업   무</t>
    <phoneticPr fontId="12" type="noConversion"/>
  </si>
  <si>
    <t>경      비</t>
    <phoneticPr fontId="12" type="noConversion"/>
  </si>
  <si>
    <t>사업비</t>
    <phoneticPr fontId="12" type="noConversion"/>
  </si>
  <si>
    <t>추진비</t>
    <phoneticPr fontId="12" type="noConversion"/>
  </si>
  <si>
    <t>업무추진비</t>
    <phoneticPr fontId="12" type="noConversion"/>
  </si>
  <si>
    <t>※ 직책보조비</t>
    <phoneticPr fontId="12" type="noConversion"/>
  </si>
  <si>
    <t>소계:</t>
    <phoneticPr fontId="12" type="noConversion"/>
  </si>
  <si>
    <t>운영비</t>
    <phoneticPr fontId="12" type="noConversion"/>
  </si>
  <si>
    <t>재산조성비</t>
    <phoneticPr fontId="12" type="noConversion"/>
  </si>
  <si>
    <t>계</t>
    <phoneticPr fontId="12" type="noConversion"/>
  </si>
  <si>
    <t>시설비</t>
    <phoneticPr fontId="12" type="noConversion"/>
  </si>
  <si>
    <t>수수료</t>
    <phoneticPr fontId="12" type="noConversion"/>
  </si>
  <si>
    <t>사업비</t>
    <phoneticPr fontId="12" type="noConversion"/>
  </si>
  <si>
    <t>계</t>
    <phoneticPr fontId="12" type="noConversion"/>
  </si>
  <si>
    <t>조성비</t>
    <phoneticPr fontId="12" type="noConversion"/>
  </si>
  <si>
    <t>후원</t>
    <phoneticPr fontId="12" type="noConversion"/>
  </si>
  <si>
    <t>유지비</t>
    <phoneticPr fontId="12" type="noConversion"/>
  </si>
  <si>
    <t>세       입</t>
    <phoneticPr fontId="31" type="noConversion"/>
  </si>
  <si>
    <t>세       출</t>
    <phoneticPr fontId="31" type="noConversion"/>
  </si>
  <si>
    <t>구        분</t>
    <phoneticPr fontId="31" type="noConversion"/>
  </si>
  <si>
    <t>합        계</t>
    <phoneticPr fontId="31" type="noConversion"/>
  </si>
  <si>
    <t>사   무   비</t>
    <phoneticPr fontId="31" type="noConversion"/>
  </si>
  <si>
    <t>인      건      비</t>
    <phoneticPr fontId="31" type="noConversion"/>
  </si>
  <si>
    <t>보조금  수입</t>
    <phoneticPr fontId="31" type="noConversion"/>
  </si>
  <si>
    <t>업 무   추 진 비</t>
    <phoneticPr fontId="31" type="noConversion"/>
  </si>
  <si>
    <t>수 입</t>
    <phoneticPr fontId="12" type="noConversion"/>
  </si>
  <si>
    <t>기 타</t>
    <phoneticPr fontId="12" type="noConversion"/>
  </si>
  <si>
    <t>(후원)</t>
    <phoneticPr fontId="12" type="noConversion"/>
  </si>
  <si>
    <t>전년도</t>
    <phoneticPr fontId="12" type="noConversion"/>
  </si>
  <si>
    <t>이월금</t>
    <phoneticPr fontId="12" type="noConversion"/>
  </si>
  <si>
    <t xml:space="preserve"> &lt;전년도이월금(후원금)&gt;</t>
    <phoneticPr fontId="12" type="noConversion"/>
  </si>
  <si>
    <t>이 월</t>
    <phoneticPr fontId="12" type="noConversion"/>
  </si>
  <si>
    <t xml:space="preserve"> &lt;이월 사업비&gt;</t>
    <phoneticPr fontId="12" type="noConversion"/>
  </si>
  <si>
    <t>불용품</t>
    <phoneticPr fontId="12" type="noConversion"/>
  </si>
  <si>
    <t>매각대</t>
    <phoneticPr fontId="12" type="noConversion"/>
  </si>
  <si>
    <t>기타예</t>
    <phoneticPr fontId="12" type="noConversion"/>
  </si>
  <si>
    <t>금이자</t>
    <phoneticPr fontId="12" type="noConversion"/>
  </si>
  <si>
    <t xml:space="preserve"> &lt;불용품매각대&gt;</t>
    <phoneticPr fontId="12" type="noConversion"/>
  </si>
  <si>
    <t xml:space="preserve"> &lt;기타예금이자수입&gt;</t>
    <phoneticPr fontId="12" type="noConversion"/>
  </si>
  <si>
    <t xml:space="preserve"> &lt;잡수입이월금&gt;</t>
    <phoneticPr fontId="12" type="noConversion"/>
  </si>
  <si>
    <t xml:space="preserve"> &lt;기타잡수입&gt;</t>
    <phoneticPr fontId="12" type="noConversion"/>
  </si>
  <si>
    <t>소  계</t>
    <phoneticPr fontId="12" type="noConversion"/>
  </si>
  <si>
    <t>※ 잡 수 입</t>
    <phoneticPr fontId="12" type="noConversion"/>
  </si>
  <si>
    <t>합    계 :</t>
    <phoneticPr fontId="12" type="noConversion"/>
  </si>
  <si>
    <t xml:space="preserve"> </t>
    <phoneticPr fontId="12" type="noConversion"/>
  </si>
  <si>
    <t>원</t>
    <phoneticPr fontId="12" type="noConversion"/>
  </si>
  <si>
    <t>국고보조금</t>
    <phoneticPr fontId="31" type="noConversion"/>
  </si>
  <si>
    <t>시도보조금</t>
    <phoneticPr fontId="31" type="noConversion"/>
  </si>
  <si>
    <t>시군구보조금</t>
    <phoneticPr fontId="31" type="noConversion"/>
  </si>
  <si>
    <t xml:space="preserve"> * 잡수입이월액</t>
    <phoneticPr fontId="12" type="noConversion"/>
  </si>
  <si>
    <t xml:space="preserve"> &lt;후원금이월금&gt;</t>
    <phoneticPr fontId="12" type="noConversion"/>
  </si>
  <si>
    <t>1. 회의관련 다과비등</t>
    <phoneticPr fontId="12" type="noConversion"/>
  </si>
  <si>
    <t>소계:</t>
    <phoneticPr fontId="12" type="noConversion"/>
  </si>
  <si>
    <t>세출총계</t>
    <phoneticPr fontId="12" type="noConversion"/>
  </si>
  <si>
    <t>사무비</t>
    <phoneticPr fontId="12" type="noConversion"/>
  </si>
  <si>
    <t>인건비</t>
    <phoneticPr fontId="12" type="noConversion"/>
  </si>
  <si>
    <t>기타</t>
    <phoneticPr fontId="12" type="noConversion"/>
  </si>
  <si>
    <t>원</t>
    <phoneticPr fontId="12" type="noConversion"/>
  </si>
  <si>
    <t>월</t>
    <phoneticPr fontId="12" type="noConversion"/>
  </si>
  <si>
    <t>명</t>
    <phoneticPr fontId="12" type="noConversion"/>
  </si>
  <si>
    <t>원</t>
    <phoneticPr fontId="12" type="noConversion"/>
  </si>
  <si>
    <t>×</t>
    <phoneticPr fontId="12" type="noConversion"/>
  </si>
  <si>
    <t>=</t>
    <phoneticPr fontId="12" type="noConversion"/>
  </si>
  <si>
    <t>합    계 :</t>
    <phoneticPr fontId="12" type="noConversion"/>
  </si>
  <si>
    <t>합    계 :</t>
    <phoneticPr fontId="12" type="noConversion"/>
  </si>
  <si>
    <t>÷</t>
    <phoneticPr fontId="12" type="noConversion"/>
  </si>
  <si>
    <t>=</t>
    <phoneticPr fontId="12" type="noConversion"/>
  </si>
  <si>
    <t xml:space="preserve"> </t>
    <phoneticPr fontId="12" type="noConversion"/>
  </si>
  <si>
    <t>×</t>
    <phoneticPr fontId="12" type="noConversion"/>
  </si>
  <si>
    <t>원</t>
    <phoneticPr fontId="12" type="noConversion"/>
  </si>
  <si>
    <t>×</t>
    <phoneticPr fontId="12" type="noConversion"/>
  </si>
  <si>
    <t>명</t>
    <phoneticPr fontId="12" type="noConversion"/>
  </si>
  <si>
    <t>=</t>
    <phoneticPr fontId="12" type="noConversion"/>
  </si>
  <si>
    <t>원</t>
    <phoneticPr fontId="12" type="noConversion"/>
  </si>
  <si>
    <t>×</t>
    <phoneticPr fontId="12" type="noConversion"/>
  </si>
  <si>
    <t>명</t>
    <phoneticPr fontId="12" type="noConversion"/>
  </si>
  <si>
    <t>월</t>
    <phoneticPr fontId="12" type="noConversion"/>
  </si>
  <si>
    <t>=</t>
    <phoneticPr fontId="12" type="noConversion"/>
  </si>
  <si>
    <t>기타잡수입</t>
    <phoneticPr fontId="12" type="noConversion"/>
  </si>
  <si>
    <t>수     입</t>
    <phoneticPr fontId="12" type="noConversion"/>
  </si>
  <si>
    <t xml:space="preserve"> &lt;기타예금이자 수입&gt;</t>
    <phoneticPr fontId="12" type="noConversion"/>
  </si>
  <si>
    <t>기타예금이자</t>
    <phoneticPr fontId="12" type="noConversion"/>
  </si>
  <si>
    <t>불용품매각대</t>
    <phoneticPr fontId="12" type="noConversion"/>
  </si>
  <si>
    <t>이월사업비</t>
    <phoneticPr fontId="12" type="noConversion"/>
  </si>
  <si>
    <t>(후원금)</t>
    <phoneticPr fontId="12" type="noConversion"/>
  </si>
  <si>
    <t>전년도이월금</t>
    <phoneticPr fontId="12" type="noConversion"/>
  </si>
  <si>
    <t>잡수입이월금</t>
  </si>
  <si>
    <t>원</t>
    <phoneticPr fontId="12" type="noConversion"/>
  </si>
  <si>
    <t>소계 :</t>
    <phoneticPr fontId="12" type="noConversion"/>
  </si>
  <si>
    <t xml:space="preserve"> &lt;전년도 이월금&gt;</t>
    <phoneticPr fontId="12" type="noConversion"/>
  </si>
  <si>
    <t>계</t>
    <phoneticPr fontId="12" type="noConversion"/>
  </si>
  <si>
    <t>전년도</t>
    <phoneticPr fontId="12" type="noConversion"/>
  </si>
  <si>
    <t>총  계 :</t>
    <phoneticPr fontId="12" type="noConversion"/>
  </si>
  <si>
    <t>※이 월 금</t>
    <phoneticPr fontId="12" type="noConversion"/>
  </si>
  <si>
    <t>소  계</t>
    <phoneticPr fontId="12" type="noConversion"/>
  </si>
  <si>
    <t>원</t>
    <phoneticPr fontId="12" type="noConversion"/>
  </si>
  <si>
    <t>소계 :</t>
    <phoneticPr fontId="12" type="noConversion"/>
  </si>
  <si>
    <t>계</t>
    <phoneticPr fontId="12" type="noConversion"/>
  </si>
  <si>
    <t>전입금</t>
    <phoneticPr fontId="12" type="noConversion"/>
  </si>
  <si>
    <t xml:space="preserve">  *기타 차입금</t>
    <phoneticPr fontId="12" type="noConversion"/>
  </si>
  <si>
    <t>기타 차입금</t>
    <phoneticPr fontId="12" type="noConversion"/>
  </si>
  <si>
    <t>차입금</t>
    <phoneticPr fontId="12" type="noConversion"/>
  </si>
  <si>
    <t xml:space="preserve"> &lt;기타 차입금&gt;</t>
    <phoneticPr fontId="12" type="noConversion"/>
  </si>
  <si>
    <t>기 타</t>
    <phoneticPr fontId="12" type="noConversion"/>
  </si>
  <si>
    <t xml:space="preserve">  *금융기관 차입금</t>
    <phoneticPr fontId="12" type="noConversion"/>
  </si>
  <si>
    <t xml:space="preserve"> &lt;금융기관 차입금&gt;</t>
    <phoneticPr fontId="12" type="noConversion"/>
  </si>
  <si>
    <t>금융기관</t>
    <phoneticPr fontId="12" type="noConversion"/>
  </si>
  <si>
    <t>기관</t>
    <phoneticPr fontId="12" type="noConversion"/>
  </si>
  <si>
    <t>금융</t>
    <phoneticPr fontId="12" type="noConversion"/>
  </si>
  <si>
    <t>※ 차 입 금</t>
    <phoneticPr fontId="12" type="noConversion"/>
  </si>
  <si>
    <t xml:space="preserve">  *후원금 수입</t>
    <phoneticPr fontId="12" type="noConversion"/>
  </si>
  <si>
    <t>&lt;비지정후원금&gt;</t>
    <phoneticPr fontId="12" type="noConversion"/>
  </si>
  <si>
    <t>비지정후원금</t>
    <phoneticPr fontId="12" type="noConversion"/>
  </si>
  <si>
    <t>후원금</t>
    <phoneticPr fontId="12" type="noConversion"/>
  </si>
  <si>
    <t xml:space="preserve"> &lt;비지정 후원금 합계&gt;</t>
    <phoneticPr fontId="12" type="noConversion"/>
  </si>
  <si>
    <t>비지정</t>
    <phoneticPr fontId="12" type="noConversion"/>
  </si>
  <si>
    <t>&lt;지정후원금&gt;</t>
    <phoneticPr fontId="12" type="noConversion"/>
  </si>
  <si>
    <t>지정 후원금</t>
    <phoneticPr fontId="12" type="noConversion"/>
  </si>
  <si>
    <t xml:space="preserve"> &lt;지정 후원금 합계&gt;</t>
    <phoneticPr fontId="12" type="noConversion"/>
  </si>
  <si>
    <t>지 정</t>
    <phoneticPr fontId="12" type="noConversion"/>
  </si>
  <si>
    <t>수 입</t>
    <phoneticPr fontId="12" type="noConversion"/>
  </si>
  <si>
    <t>총  계 :</t>
    <phoneticPr fontId="12" type="noConversion"/>
  </si>
  <si>
    <t>※후원금수입</t>
    <phoneticPr fontId="12" type="noConversion"/>
  </si>
  <si>
    <t>소  계</t>
    <phoneticPr fontId="12" type="noConversion"/>
  </si>
  <si>
    <t>기타 보조금</t>
    <phoneticPr fontId="12" type="noConversion"/>
  </si>
  <si>
    <t>보조금</t>
    <phoneticPr fontId="12" type="noConversion"/>
  </si>
  <si>
    <t xml:space="preserve"> &lt;시군구 보조금 합계&gt;</t>
    <phoneticPr fontId="12" type="noConversion"/>
  </si>
  <si>
    <t>기 타</t>
    <phoneticPr fontId="12" type="noConversion"/>
  </si>
  <si>
    <t>계:</t>
    <phoneticPr fontId="12" type="noConversion"/>
  </si>
  <si>
    <t>보조금</t>
    <phoneticPr fontId="12" type="noConversion"/>
  </si>
  <si>
    <t xml:space="preserve"> &lt;시군구 보조금 합계&gt;</t>
    <phoneticPr fontId="12" type="noConversion"/>
  </si>
  <si>
    <t>시군구</t>
    <phoneticPr fontId="12" type="noConversion"/>
  </si>
  <si>
    <t xml:space="preserve"> &lt;시도 보조금 합계&gt;</t>
    <phoneticPr fontId="12" type="noConversion"/>
  </si>
  <si>
    <t xml:space="preserve"> &lt;국고 보조금 합계&gt;</t>
    <phoneticPr fontId="12" type="noConversion"/>
  </si>
  <si>
    <t>국 고</t>
    <phoneticPr fontId="12" type="noConversion"/>
  </si>
  <si>
    <t>수 입</t>
    <phoneticPr fontId="12" type="noConversion"/>
  </si>
  <si>
    <t>수  입</t>
    <phoneticPr fontId="12" type="noConversion"/>
  </si>
  <si>
    <t>※ 보조금수입 합계</t>
    <phoneticPr fontId="12" type="noConversion"/>
  </si>
  <si>
    <t>합  계 :</t>
    <phoneticPr fontId="12" type="noConversion"/>
  </si>
  <si>
    <t>※ 과년도 수입</t>
    <phoneticPr fontId="12" type="noConversion"/>
  </si>
  <si>
    <t>과년도</t>
    <phoneticPr fontId="12" type="noConversion"/>
  </si>
  <si>
    <t>합  계 :</t>
    <phoneticPr fontId="12" type="noConversion"/>
  </si>
  <si>
    <t>※ 사업수입</t>
    <phoneticPr fontId="12" type="noConversion"/>
  </si>
  <si>
    <t>사 업</t>
    <phoneticPr fontId="12" type="noConversion"/>
  </si>
  <si>
    <t>※ 총 계</t>
    <phoneticPr fontId="12" type="noConversion"/>
  </si>
  <si>
    <t>금액
(B-A)</t>
    <phoneticPr fontId="12" type="noConversion"/>
  </si>
  <si>
    <t>세목</t>
    <phoneticPr fontId="12" type="noConversion"/>
  </si>
  <si>
    <t>목</t>
    <phoneticPr fontId="12" type="noConversion"/>
  </si>
  <si>
    <t>산               출                기               초</t>
    <phoneticPr fontId="12" type="noConversion"/>
  </si>
  <si>
    <t>과            목</t>
    <phoneticPr fontId="12" type="noConversion"/>
  </si>
  <si>
    <t>기타 보조금</t>
    <phoneticPr fontId="31" type="noConversion"/>
  </si>
  <si>
    <t>회</t>
    <phoneticPr fontId="12" type="noConversion"/>
  </si>
  <si>
    <t>재산</t>
    <phoneticPr fontId="12" type="noConversion"/>
  </si>
  <si>
    <t>수입</t>
    <phoneticPr fontId="12" type="noConversion"/>
  </si>
  <si>
    <t>기본</t>
    <phoneticPr fontId="12" type="noConversion"/>
  </si>
  <si>
    <t>임대료</t>
    <phoneticPr fontId="12" type="noConversion"/>
  </si>
  <si>
    <t>임대료수입</t>
    <phoneticPr fontId="12" type="noConversion"/>
  </si>
  <si>
    <t>이자</t>
    <phoneticPr fontId="12" type="noConversion"/>
  </si>
  <si>
    <t>이자수입</t>
    <phoneticPr fontId="12" type="noConversion"/>
  </si>
  <si>
    <t xml:space="preserve">배당 및 </t>
    <phoneticPr fontId="12" type="noConversion"/>
  </si>
  <si>
    <t>재산매각</t>
    <phoneticPr fontId="12" type="noConversion"/>
  </si>
  <si>
    <t>기타</t>
    <phoneticPr fontId="12" type="noConversion"/>
  </si>
  <si>
    <t>※ 배당 및 이자수입</t>
    <phoneticPr fontId="12" type="noConversion"/>
  </si>
  <si>
    <t>※ 재산매각수입</t>
    <phoneticPr fontId="12" type="noConversion"/>
  </si>
  <si>
    <t>※ 기타수입</t>
    <phoneticPr fontId="12" type="noConversion"/>
  </si>
  <si>
    <t xml:space="preserve">* </t>
    <phoneticPr fontId="12" type="noConversion"/>
  </si>
  <si>
    <t>※ 재산수입 합계</t>
    <phoneticPr fontId="12" type="noConversion"/>
  </si>
  <si>
    <t>국고</t>
    <phoneticPr fontId="12" type="noConversion"/>
  </si>
  <si>
    <t>보조금</t>
    <phoneticPr fontId="12" type="noConversion"/>
  </si>
  <si>
    <t>시도</t>
    <phoneticPr fontId="12" type="noConversion"/>
  </si>
  <si>
    <t>시군구</t>
    <phoneticPr fontId="12" type="noConversion"/>
  </si>
  <si>
    <t>다른회계로</t>
    <phoneticPr fontId="12" type="noConversion"/>
  </si>
  <si>
    <t>부터의</t>
    <phoneticPr fontId="12" type="noConversion"/>
  </si>
  <si>
    <t>전입금</t>
    <phoneticPr fontId="12" type="noConversion"/>
  </si>
  <si>
    <t>다른회계</t>
    <phoneticPr fontId="12" type="noConversion"/>
  </si>
  <si>
    <t>로 부터의</t>
    <phoneticPr fontId="12" type="noConversion"/>
  </si>
  <si>
    <t xml:space="preserve"> * 예금이자(후원금)</t>
    <phoneticPr fontId="12" type="noConversion"/>
  </si>
  <si>
    <t>일용잡급</t>
    <phoneticPr fontId="12" type="noConversion"/>
  </si>
  <si>
    <t>연 료 비</t>
    <phoneticPr fontId="12" type="noConversion"/>
  </si>
  <si>
    <t>※ 연료비</t>
    <phoneticPr fontId="12" type="noConversion"/>
  </si>
  <si>
    <t>1.난방연료비</t>
    <phoneticPr fontId="12" type="noConversion"/>
  </si>
  <si>
    <t>일반</t>
    <phoneticPr fontId="12" type="noConversion"/>
  </si>
  <si>
    <t>사업비</t>
    <phoneticPr fontId="12" type="noConversion"/>
  </si>
  <si>
    <t>○○사업비</t>
    <phoneticPr fontId="12" type="noConversion"/>
  </si>
  <si>
    <t>전출금</t>
    <phoneticPr fontId="12" type="noConversion"/>
  </si>
  <si>
    <t>전출금</t>
    <phoneticPr fontId="12" type="noConversion"/>
  </si>
  <si>
    <t>바다의별</t>
    <phoneticPr fontId="12" type="noConversion"/>
  </si>
  <si>
    <t>소계:</t>
    <phoneticPr fontId="12" type="noConversion"/>
  </si>
  <si>
    <t>하늘의별</t>
    <phoneticPr fontId="12" type="noConversion"/>
  </si>
  <si>
    <t>직업재활</t>
    <phoneticPr fontId="12" type="noConversion"/>
  </si>
  <si>
    <t>잡지출</t>
    <phoneticPr fontId="12" type="noConversion"/>
  </si>
  <si>
    <t>※ 잡지출</t>
    <phoneticPr fontId="12" type="noConversion"/>
  </si>
  <si>
    <t>과년도</t>
    <phoneticPr fontId="12" type="noConversion"/>
  </si>
  <si>
    <t>지출</t>
    <phoneticPr fontId="12" type="noConversion"/>
  </si>
  <si>
    <t>상환금</t>
    <phoneticPr fontId="12" type="noConversion"/>
  </si>
  <si>
    <t>부채</t>
    <phoneticPr fontId="12" type="noConversion"/>
  </si>
  <si>
    <t>상환금</t>
    <phoneticPr fontId="12" type="noConversion"/>
  </si>
  <si>
    <t>원금</t>
    <phoneticPr fontId="12" type="noConversion"/>
  </si>
  <si>
    <t>지급금</t>
    <phoneticPr fontId="12" type="noConversion"/>
  </si>
  <si>
    <t>및</t>
    <phoneticPr fontId="12" type="noConversion"/>
  </si>
  <si>
    <t>반환금</t>
    <phoneticPr fontId="12" type="noConversion"/>
  </si>
  <si>
    <t>※ 반환금</t>
    <phoneticPr fontId="12" type="noConversion"/>
  </si>
  <si>
    <t>1.</t>
    <phoneticPr fontId="12" type="noConversion"/>
  </si>
  <si>
    <t>※ 원금상환금</t>
    <phoneticPr fontId="12" type="noConversion"/>
  </si>
  <si>
    <t>※ 이자지급금</t>
    <phoneticPr fontId="12" type="noConversion"/>
  </si>
  <si>
    <t>과년도지출</t>
    <phoneticPr fontId="12" type="noConversion"/>
  </si>
  <si>
    <t>※ 과년도지출</t>
    <phoneticPr fontId="12" type="noConversion"/>
  </si>
  <si>
    <t>※ 바다의별 전출금</t>
    <phoneticPr fontId="12" type="noConversion"/>
  </si>
  <si>
    <t>※ 하늘의별 전출금</t>
    <phoneticPr fontId="12" type="noConversion"/>
  </si>
  <si>
    <t>※ 직업재활센터 전출금</t>
    <phoneticPr fontId="12" type="noConversion"/>
  </si>
  <si>
    <t>계</t>
    <phoneticPr fontId="12" type="noConversion"/>
  </si>
  <si>
    <t>※ 시설전출금</t>
    <phoneticPr fontId="12" type="noConversion"/>
  </si>
  <si>
    <t>(후원금)</t>
    <phoneticPr fontId="12" type="noConversion"/>
  </si>
  <si>
    <t>전출금(후)</t>
    <phoneticPr fontId="12" type="noConversion"/>
  </si>
  <si>
    <t>※ 시설전출금(후원금)</t>
    <phoneticPr fontId="12" type="noConversion"/>
  </si>
  <si>
    <t>※ 바다의별 전출금(후원금)</t>
    <phoneticPr fontId="12" type="noConversion"/>
  </si>
  <si>
    <t>※ 하늘의별 전출금(후원금)</t>
    <phoneticPr fontId="12" type="noConversion"/>
  </si>
  <si>
    <t>※ 직업재활센터 전출금(후원금)</t>
    <phoneticPr fontId="12" type="noConversion"/>
  </si>
  <si>
    <t>※ 급여</t>
    <phoneticPr fontId="12" type="noConversion"/>
  </si>
  <si>
    <t>원</t>
    <phoneticPr fontId="12" type="noConversion"/>
  </si>
  <si>
    <t>보조금</t>
    <phoneticPr fontId="12" type="noConversion"/>
  </si>
  <si>
    <t>* 전화료(인터넷 등 포함)</t>
    <phoneticPr fontId="12" type="noConversion"/>
  </si>
  <si>
    <t>○○사업비</t>
    <phoneticPr fontId="12" type="noConversion"/>
  </si>
  <si>
    <t>1.○○사업비</t>
    <phoneticPr fontId="12" type="noConversion"/>
  </si>
  <si>
    <t>※ ○○사업비</t>
    <phoneticPr fontId="12" type="noConversion"/>
  </si>
  <si>
    <t>2.○○사업비</t>
    <phoneticPr fontId="12" type="noConversion"/>
  </si>
  <si>
    <t>전출금</t>
    <phoneticPr fontId="12" type="noConversion"/>
  </si>
  <si>
    <t>후원</t>
    <phoneticPr fontId="12" type="noConversion"/>
  </si>
  <si>
    <t>2. 이사회 참석수당</t>
    <phoneticPr fontId="12" type="noConversion"/>
  </si>
  <si>
    <t>※ 일용잡급</t>
    <phoneticPr fontId="12" type="noConversion"/>
  </si>
  <si>
    <t>원</t>
    <phoneticPr fontId="12" type="noConversion"/>
  </si>
  <si>
    <t>원</t>
    <phoneticPr fontId="12" type="noConversion"/>
  </si>
  <si>
    <t>잡지출</t>
    <phoneticPr fontId="12" type="noConversion"/>
  </si>
  <si>
    <t>예비비</t>
    <phoneticPr fontId="12" type="noConversion"/>
  </si>
  <si>
    <t>기타</t>
    <phoneticPr fontId="12" type="noConversion"/>
  </si>
  <si>
    <t>재산수입</t>
    <phoneticPr fontId="31" type="noConversion"/>
  </si>
  <si>
    <t>기본재산수입</t>
    <phoneticPr fontId="31" type="noConversion"/>
  </si>
  <si>
    <t>다른회계 전입금</t>
    <phoneticPr fontId="31" type="noConversion"/>
  </si>
  <si>
    <t>전   출   금</t>
    <phoneticPr fontId="31" type="noConversion"/>
  </si>
  <si>
    <t>전출금(후원금)</t>
    <phoneticPr fontId="31" type="noConversion"/>
  </si>
  <si>
    <t>잡   지   출</t>
    <phoneticPr fontId="31" type="noConversion"/>
  </si>
  <si>
    <t>예   비   비</t>
    <phoneticPr fontId="31" type="noConversion"/>
  </si>
  <si>
    <t xml:space="preserve"> * </t>
    <phoneticPr fontId="12" type="noConversion"/>
  </si>
  <si>
    <t>원</t>
    <phoneticPr fontId="12" type="noConversion"/>
  </si>
  <si>
    <t>※다른회계로 부터의 전입금</t>
    <phoneticPr fontId="12" type="noConversion"/>
  </si>
  <si>
    <t xml:space="preserve"> &lt;다른회계로 부터의 전입금&gt;</t>
    <phoneticPr fontId="12" type="noConversion"/>
  </si>
  <si>
    <t xml:space="preserve"> *법인 상근직원 인건비 지원금</t>
    <phoneticPr fontId="12" type="noConversion"/>
  </si>
  <si>
    <t xml:space="preserve"> * 직원 출장여비</t>
    <phoneticPr fontId="12" type="noConversion"/>
  </si>
  <si>
    <t>원</t>
    <phoneticPr fontId="12" type="noConversion"/>
  </si>
  <si>
    <t xml:space="preserve">* </t>
    <phoneticPr fontId="12" type="noConversion"/>
  </si>
  <si>
    <t>후원</t>
    <phoneticPr fontId="12" type="noConversion"/>
  </si>
  <si>
    <t xml:space="preserve"> *법인 상근직원 퇴직적립금 지원금</t>
    <phoneticPr fontId="12" type="noConversion"/>
  </si>
  <si>
    <t xml:space="preserve">  *후원금 수입(모금함)</t>
    <phoneticPr fontId="12" type="noConversion"/>
  </si>
  <si>
    <t>원</t>
    <phoneticPr fontId="12" type="noConversion"/>
  </si>
  <si>
    <t>* 비품 수선비 등</t>
    <phoneticPr fontId="12" type="noConversion"/>
  </si>
  <si>
    <t>(단위:천원)</t>
    <phoneticPr fontId="31" type="noConversion"/>
  </si>
  <si>
    <t>몬띠요양원</t>
    <phoneticPr fontId="12" type="noConversion"/>
  </si>
  <si>
    <t>※ 몬띠요양원 전출금</t>
    <phoneticPr fontId="12" type="noConversion"/>
  </si>
  <si>
    <t>후원</t>
    <phoneticPr fontId="12" type="noConversion"/>
  </si>
  <si>
    <t xml:space="preserve">  *기타 후원금 수입</t>
    <phoneticPr fontId="12" type="noConversion"/>
  </si>
  <si>
    <t>원</t>
    <phoneticPr fontId="12" type="noConversion"/>
  </si>
  <si>
    <t>후원</t>
    <phoneticPr fontId="12" type="noConversion"/>
  </si>
  <si>
    <t xml:space="preserve"> * 기본급</t>
    <phoneticPr fontId="12" type="noConversion"/>
  </si>
  <si>
    <t>=</t>
    <phoneticPr fontId="12" type="noConversion"/>
  </si>
  <si>
    <t>1.국민연금부담금</t>
    <phoneticPr fontId="12" type="noConversion"/>
  </si>
  <si>
    <t>2.국민건강보험부담금</t>
    <phoneticPr fontId="12" type="noConversion"/>
  </si>
  <si>
    <t>3.장기요양보험부담금</t>
    <phoneticPr fontId="12" type="noConversion"/>
  </si>
  <si>
    <t>4.고용보험부담금</t>
    <phoneticPr fontId="12" type="noConversion"/>
  </si>
  <si>
    <t>5.산업재해보험부담금</t>
    <phoneticPr fontId="12" type="noConversion"/>
  </si>
  <si>
    <t>* 직원축일·생일축하 상품권 구입비</t>
    <phoneticPr fontId="12" type="noConversion"/>
  </si>
  <si>
    <t>* 유관기관경조사비 등</t>
    <phoneticPr fontId="12" type="noConversion"/>
  </si>
  <si>
    <t xml:space="preserve"> * 예금이자(잡수입)</t>
    <phoneticPr fontId="12" type="noConversion"/>
  </si>
  <si>
    <t>원</t>
    <phoneticPr fontId="12" type="noConversion"/>
  </si>
  <si>
    <t>1.기타 비품구입비</t>
    <phoneticPr fontId="12" type="noConversion"/>
  </si>
  <si>
    <t>원</t>
    <phoneticPr fontId="12" type="noConversion"/>
  </si>
  <si>
    <t>`</t>
    <phoneticPr fontId="12" type="noConversion"/>
  </si>
  <si>
    <t>잡수</t>
    <phoneticPr fontId="12" type="noConversion"/>
  </si>
  <si>
    <t>&lt;기타보조금&gt;</t>
    <phoneticPr fontId="12" type="noConversion"/>
  </si>
  <si>
    <t xml:space="preserve"> *일자리안정자금</t>
    <phoneticPr fontId="12" type="noConversion"/>
  </si>
  <si>
    <t>원</t>
    <phoneticPr fontId="12" type="noConversion"/>
  </si>
  <si>
    <t>보조</t>
    <phoneticPr fontId="12" type="noConversion"/>
  </si>
  <si>
    <t>후원</t>
    <phoneticPr fontId="12" type="noConversion"/>
  </si>
  <si>
    <t>(수도원지정후원금)</t>
    <phoneticPr fontId="12" type="noConversion"/>
  </si>
  <si>
    <t>(장애인 고용장려금)</t>
    <phoneticPr fontId="12" type="noConversion"/>
  </si>
  <si>
    <t xml:space="preserve"> * 예금이자(기타보조금)</t>
    <phoneticPr fontId="12" type="noConversion"/>
  </si>
  <si>
    <t xml:space="preserve"> &lt;다른회계로 부터의 전입금&gt; - 마리아의 아들 수도회(운영주체)로 부터의 전입금</t>
    <phoneticPr fontId="12" type="noConversion"/>
  </si>
  <si>
    <t>(법인산하시설지원금)</t>
    <phoneticPr fontId="12" type="noConversion"/>
  </si>
  <si>
    <t xml:space="preserve">  * 지정후원금(마리아의 아들 수도회) - 법인 및 산하시설 지원</t>
    <phoneticPr fontId="12" type="noConversion"/>
  </si>
  <si>
    <t>(법인-업무추진비 지원)</t>
    <phoneticPr fontId="12" type="noConversion"/>
  </si>
  <si>
    <t xml:space="preserve"> &lt;기타보조금 이월금&gt;</t>
    <phoneticPr fontId="12" type="noConversion"/>
  </si>
  <si>
    <t xml:space="preserve"> * 기타보조금 이월액</t>
    <phoneticPr fontId="12" type="noConversion"/>
  </si>
  <si>
    <t xml:space="preserve"> * 예금이자(지정후원금) - 수도원</t>
    <phoneticPr fontId="12" type="noConversion"/>
  </si>
  <si>
    <t>(법인상근직원 인건비 지원)</t>
    <phoneticPr fontId="12" type="noConversion"/>
  </si>
  <si>
    <t xml:space="preserve"> * 지정후원금이월액(수도원 지정후원금)</t>
    <phoneticPr fontId="12" type="noConversion"/>
  </si>
  <si>
    <t>(법인-재산조성비 지원)</t>
    <phoneticPr fontId="12" type="noConversion"/>
  </si>
  <si>
    <t>기타보조금</t>
    <phoneticPr fontId="12" type="noConversion"/>
  </si>
  <si>
    <t>이월금</t>
    <phoneticPr fontId="12" type="noConversion"/>
  </si>
  <si>
    <t>지정
후원금</t>
    <phoneticPr fontId="12" type="noConversion"/>
  </si>
  <si>
    <t>비지정
후원금</t>
    <phoneticPr fontId="12" type="noConversion"/>
  </si>
  <si>
    <t>지후</t>
    <phoneticPr fontId="12" type="noConversion"/>
  </si>
  <si>
    <t>지정    후원금</t>
    <phoneticPr fontId="31" type="noConversion"/>
  </si>
  <si>
    <t>비지정 후원금</t>
    <phoneticPr fontId="31" type="noConversion"/>
  </si>
  <si>
    <t>전년도 이월금</t>
    <phoneticPr fontId="31" type="noConversion"/>
  </si>
  <si>
    <t>계
(B)</t>
    <phoneticPr fontId="12" type="noConversion"/>
  </si>
  <si>
    <t>몬띠의집</t>
    <phoneticPr fontId="12" type="noConversion"/>
  </si>
  <si>
    <t>※ 몬띠의집 전출금(후원금)</t>
    <phoneticPr fontId="12" type="noConversion"/>
  </si>
  <si>
    <t>※ 기타 운영비</t>
    <phoneticPr fontId="12" type="noConversion"/>
  </si>
  <si>
    <t xml:space="preserve">  *의료비 지정후원금</t>
    <phoneticPr fontId="12" type="noConversion"/>
  </si>
  <si>
    <t>소 계</t>
    <phoneticPr fontId="12" type="noConversion"/>
  </si>
  <si>
    <t>소 계</t>
    <phoneticPr fontId="12" type="noConversion"/>
  </si>
  <si>
    <t>증 감</t>
    <phoneticPr fontId="31" type="noConversion"/>
  </si>
  <si>
    <t>증 감</t>
    <phoneticPr fontId="31" type="noConversion"/>
  </si>
  <si>
    <t>지후</t>
    <phoneticPr fontId="12" type="noConversion"/>
  </si>
  <si>
    <t>원</t>
    <phoneticPr fontId="12" type="noConversion"/>
  </si>
  <si>
    <t>제수당</t>
    <phoneticPr fontId="12" type="noConversion"/>
  </si>
  <si>
    <t xml:space="preserve"> * 상여금</t>
    <phoneticPr fontId="12" type="noConversion"/>
  </si>
  <si>
    <t>2. 통행료, 주차요금 등</t>
    <phoneticPr fontId="12" type="noConversion"/>
  </si>
  <si>
    <t>1. 차량유류비</t>
    <phoneticPr fontId="12" type="noConversion"/>
  </si>
  <si>
    <t>보조</t>
    <phoneticPr fontId="12" type="noConversion"/>
  </si>
  <si>
    <t xml:space="preserve"> * 지정후원금이월액(의료)</t>
  </si>
  <si>
    <t xml:space="preserve"> * 비지정후원금이월액(모금함)</t>
  </si>
  <si>
    <t xml:space="preserve"> * 지정후원금이월액(기타-신득복)</t>
    <phoneticPr fontId="12" type="noConversion"/>
  </si>
  <si>
    <t>예      비      비</t>
    <phoneticPr fontId="31" type="noConversion"/>
  </si>
  <si>
    <r>
      <t xml:space="preserve">전 </t>
    </r>
    <r>
      <rPr>
        <sz val="11"/>
        <color theme="1"/>
        <rFont val="맑은 고딕"/>
        <family val="2"/>
        <charset val="129"/>
        <scheme val="minor"/>
      </rPr>
      <t xml:space="preserve">     </t>
    </r>
    <r>
      <rPr>
        <sz val="11"/>
        <color theme="1"/>
        <rFont val="맑은 고딕"/>
        <family val="2"/>
        <charset val="129"/>
        <scheme val="minor"/>
      </rPr>
      <t>출</t>
    </r>
    <r>
      <rPr>
        <sz val="11"/>
        <color theme="1"/>
        <rFont val="맑은 고딕"/>
        <family val="2"/>
        <charset val="129"/>
        <scheme val="minor"/>
      </rPr>
      <t xml:space="preserve">      </t>
    </r>
    <r>
      <rPr>
        <sz val="11"/>
        <color theme="1"/>
        <rFont val="맑은 고딕"/>
        <family val="2"/>
        <charset val="129"/>
        <scheme val="minor"/>
      </rPr>
      <t>금</t>
    </r>
    <phoneticPr fontId="31" type="noConversion"/>
  </si>
  <si>
    <t>지후</t>
    <phoneticPr fontId="12" type="noConversion"/>
  </si>
  <si>
    <t xml:space="preserve"> * 기타급여(비과세)</t>
    <phoneticPr fontId="12" type="noConversion"/>
  </si>
  <si>
    <t>지후</t>
    <phoneticPr fontId="12" type="noConversion"/>
  </si>
  <si>
    <t xml:space="preserve">   ① 식대</t>
    <phoneticPr fontId="12" type="noConversion"/>
  </si>
  <si>
    <t xml:space="preserve">   ② 자가운전보조금</t>
    <phoneticPr fontId="12" type="noConversion"/>
  </si>
  <si>
    <t>후원</t>
  </si>
  <si>
    <t>3. 퇴직연금수수료</t>
    <phoneticPr fontId="12" type="noConversion"/>
  </si>
  <si>
    <t>지후</t>
    <phoneticPr fontId="12" type="noConversion"/>
  </si>
  <si>
    <t>2. 공인인증서, 은행조회서 발급 수수료 등 기타 수수료</t>
    <phoneticPr fontId="12" type="noConversion"/>
  </si>
  <si>
    <t>4. CMS수수료,보증보험료,이용료</t>
    <phoneticPr fontId="12" type="noConversion"/>
  </si>
  <si>
    <t>5. 복합기 렌탈 서비스 요금</t>
    <phoneticPr fontId="12" type="noConversion"/>
  </si>
  <si>
    <t>* 보험료 및 세금 등</t>
    <phoneticPr fontId="12" type="noConversion"/>
  </si>
  <si>
    <t>* 기타</t>
    <phoneticPr fontId="12" type="noConversion"/>
  </si>
  <si>
    <t>보조</t>
    <phoneticPr fontId="12" type="noConversion"/>
  </si>
  <si>
    <t xml:space="preserve"> * 비지정후원금이월액</t>
    <phoneticPr fontId="12" type="noConversion"/>
  </si>
  <si>
    <t>(법인-운영비 지원)</t>
    <phoneticPr fontId="12" type="noConversion"/>
  </si>
  <si>
    <t>회</t>
    <phoneticPr fontId="12" type="noConversion"/>
  </si>
  <si>
    <t>7. 노동법률 자문료</t>
    <phoneticPr fontId="12" type="noConversion"/>
  </si>
  <si>
    <t xml:space="preserve"> ① CMS 이용료, 이체수수료</t>
    <phoneticPr fontId="12" type="noConversion"/>
  </si>
  <si>
    <t xml:space="preserve"> ② 보증보험료</t>
    <phoneticPr fontId="12" type="noConversion"/>
  </si>
  <si>
    <t>6. 임원/자산/분사무소 등기수수료</t>
    <phoneticPr fontId="12" type="noConversion"/>
  </si>
  <si>
    <t>2022년
3차 추경예산</t>
  </si>
  <si>
    <t>2022년
3차 추경예산</t>
    <phoneticPr fontId="12" type="noConversion"/>
  </si>
  <si>
    <t>2023년
본예산</t>
  </si>
  <si>
    <t>2023년
본예산</t>
    <phoneticPr fontId="12" type="noConversion"/>
  </si>
  <si>
    <t>□ 2023년도 본예산 세입·세출 총괄표</t>
    <phoneticPr fontId="31" type="noConversion"/>
  </si>
  <si>
    <t>2022년
3차 추경예산
(A)
(단위:천원)</t>
    <phoneticPr fontId="12" type="noConversion"/>
  </si>
  <si>
    <t>2023년
본예산
(B)
(단위:천원)</t>
    <phoneticPr fontId="12" type="noConversion"/>
  </si>
  <si>
    <t>&lt;2023년도 본예산 세입내역&gt;</t>
    <phoneticPr fontId="12" type="noConversion"/>
  </si>
  <si>
    <t>&lt;2023년도 본예산 세출내역&gt;</t>
    <phoneticPr fontId="12" type="noConversion"/>
  </si>
  <si>
    <t>2022년 3차 
추경예산액
(A)
(단위:천원)</t>
    <phoneticPr fontId="12" type="noConversion"/>
  </si>
  <si>
    <t>2023년 본예산액(B)         (단위:천원)</t>
    <phoneticPr fontId="12" type="noConversion"/>
  </si>
  <si>
    <t>법인감사의 감사비용(수당) 200,000</t>
    <phoneticPr fontId="12" type="noConversion"/>
  </si>
  <si>
    <t xml:space="preserve">  - 회계 및 행정 감사비 지급</t>
    <phoneticPr fontId="12" type="noConversion"/>
  </si>
  <si>
    <t>김지태</t>
    <phoneticPr fontId="12" type="noConversion"/>
  </si>
  <si>
    <t>=</t>
    <phoneticPr fontId="12" type="noConversion"/>
  </si>
  <si>
    <t>* 면허세, 취등록세, 재산세 등</t>
    <phoneticPr fontId="12" type="noConversion"/>
  </si>
  <si>
    <t>잡수</t>
  </si>
  <si>
    <t>(수도원지정후원금)</t>
  </si>
  <si>
    <t>지후</t>
  </si>
  <si>
    <t>1. 산하시설 보조금 정산검증비용</t>
    <phoneticPr fontId="12" type="noConversion"/>
  </si>
  <si>
    <t>2. 법인/산하시설 외부감사 수수료</t>
    <phoneticPr fontId="12" type="noConversion"/>
  </si>
  <si>
    <t>4. 회계 및 행정 감사비(법인 감사)</t>
    <phoneticPr fontId="12" type="noConversion"/>
  </si>
  <si>
    <t xml:space="preserve">5. 기본재산 감정평가수수료 </t>
    <phoneticPr fontId="12" type="noConversion"/>
  </si>
  <si>
    <t>6. 직원 외부교육비</t>
    <phoneticPr fontId="12" type="noConversion"/>
  </si>
  <si>
    <t>7. 후원자 관리비용 등</t>
    <phoneticPr fontId="12" type="noConversion"/>
  </si>
  <si>
    <t xml:space="preserve"> * 예금이자(기타보조금 외)</t>
    <phoneticPr fontId="12" type="noConversion"/>
  </si>
  <si>
    <t xml:space="preserve">  * 예수금 원인불명 잔액(법인 회계감사 의견)</t>
    <phoneticPr fontId="12" type="noConversion"/>
  </si>
  <si>
    <t>○○이월금</t>
    <phoneticPr fontId="12" type="noConversion"/>
  </si>
  <si>
    <t xml:space="preserve"> &lt;○○이월금&gt;</t>
    <phoneticPr fontId="12" type="noConversion"/>
  </si>
  <si>
    <t>1. 사무용품비(문구류 ), 소모품비 등</t>
    <phoneticPr fontId="12" type="noConversion"/>
  </si>
  <si>
    <t>3. 공익법인 세무확인 수수료</t>
    <phoneticPr fontId="12" type="noConversion"/>
  </si>
  <si>
    <t xml:space="preserve"> *2022년 장애인 고용장려금</t>
    <phoneticPr fontId="12" type="noConversion"/>
  </si>
  <si>
    <t>몬띠요양원</t>
  </si>
  <si>
    <t>○○시설</t>
  </si>
  <si>
    <t>전출금(후)</t>
  </si>
  <si>
    <t>※ ○○ 전출금(후원금)</t>
  </si>
  <si>
    <t>※ 몬띠요양원 전출금(후원금)</t>
  </si>
  <si>
    <t>* 산하시설 지원금(비지정후원금)</t>
    <phoneticPr fontId="12" type="noConversion"/>
  </si>
  <si>
    <t>보조</t>
  </si>
  <si>
    <t>※ ○○ 전출금</t>
  </si>
  <si>
    <t>소계:</t>
  </si>
  <si>
    <t>전출금</t>
  </si>
  <si>
    <t>* 산하시설 지원금(기타보조금)</t>
  </si>
  <si>
    <t>원</t>
    <phoneticPr fontId="12" type="noConversion"/>
  </si>
  <si>
    <t>* 산하시설 지원금(지정후원금)</t>
    <phoneticPr fontId="12" type="noConversion"/>
  </si>
  <si>
    <t>* 산하시설 지원금(의료비)</t>
    <phoneticPr fontId="12" type="noConversion"/>
  </si>
  <si>
    <t>후원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</si>
</sst>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_ ;[Red]\-#,##0\ "/>
    <numFmt numFmtId="183" formatCode="#,##0&quot;월&quot;;&quot;△&quot;#,##0"/>
    <numFmt numFmtId="184" formatCode="0.0%"/>
    <numFmt numFmtId="186" formatCode="0.000%"/>
  </numFmts>
  <fonts count="5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6"/>
      <color indexed="8"/>
      <name val="맑은 고딕"/>
      <family val="3"/>
      <charset val="129"/>
      <scheme val="major"/>
    </font>
    <font>
      <b/>
      <sz val="11"/>
      <color theme="3" tint="-0.249977111117893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0"/>
      <color rgb="FF1212F6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sz val="10"/>
      <color rgb="FFCC0099"/>
      <name val="맑은 고딕"/>
      <family val="3"/>
      <charset val="129"/>
      <scheme val="major"/>
    </font>
    <font>
      <b/>
      <sz val="10"/>
      <color rgb="FFCC009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8">
    <xf numFmtId="0" fontId="0" fillId="0" borderId="0" applyFill="0" applyAlignment="0">
      <alignment vertical="center"/>
    </xf>
    <xf numFmtId="9" fontId="11" fillId="0" borderId="0" applyFont="0" applyFill="0" applyAlignment="0" applyProtection="0">
      <alignment vertical="center"/>
    </xf>
    <xf numFmtId="41" fontId="11" fillId="0" borderId="0" applyFont="0" applyFill="0" applyAlignment="0" applyProtection="0">
      <alignment vertical="center"/>
    </xf>
    <xf numFmtId="0" fontId="11" fillId="0" borderId="0" applyFill="0" applyAlignment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" fillId="0" borderId="0">
      <alignment vertical="center"/>
    </xf>
  </cellStyleXfs>
  <cellXfs count="646">
    <xf numFmtId="0" fontId="0" fillId="0" borderId="0" xfId="0" applyFill="1" applyAlignment="1">
      <alignment vertical="center"/>
    </xf>
    <xf numFmtId="0" fontId="13" fillId="0" borderId="0" xfId="3" applyFont="1" applyFill="1" applyAlignment="1">
      <alignment vertical="center"/>
    </xf>
    <xf numFmtId="176" fontId="13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41" fontId="13" fillId="0" borderId="0" xfId="2" applyFont="1" applyFill="1" applyAlignment="1">
      <alignment vertical="center"/>
    </xf>
    <xf numFmtId="0" fontId="13" fillId="0" borderId="0" xfId="3" applyFont="1" applyFill="1" applyAlignment="1">
      <alignment horizontal="center" vertical="center" wrapText="1"/>
    </xf>
    <xf numFmtId="41" fontId="13" fillId="0" borderId="0" xfId="2" applyFont="1" applyFill="1" applyAlignment="1">
      <alignment horizontal="center" vertical="center"/>
    </xf>
    <xf numFmtId="178" fontId="13" fillId="0" borderId="0" xfId="3" applyNumberFormat="1" applyFont="1" applyFill="1" applyAlignment="1">
      <alignment vertical="center"/>
    </xf>
    <xf numFmtId="177" fontId="13" fillId="0" borderId="0" xfId="3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9" fontId="13" fillId="0" borderId="0" xfId="3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5" fillId="0" borderId="0" xfId="3" applyNumberFormat="1" applyFont="1" applyFill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center" vertical="center" wrapText="1"/>
    </xf>
    <xf numFmtId="41" fontId="14" fillId="0" borderId="0" xfId="2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8" fillId="0" borderId="15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9" fontId="19" fillId="0" borderId="3" xfId="3" applyNumberFormat="1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vertical="center"/>
    </xf>
    <xf numFmtId="176" fontId="21" fillId="0" borderId="21" xfId="3" applyNumberFormat="1" applyFont="1" applyFill="1" applyBorder="1" applyAlignment="1">
      <alignment horizontal="center" vertical="center"/>
    </xf>
    <xf numFmtId="176" fontId="21" fillId="0" borderId="23" xfId="3" applyNumberFormat="1" applyFont="1" applyFill="1" applyBorder="1" applyAlignment="1">
      <alignment vertical="center"/>
    </xf>
    <xf numFmtId="9" fontId="18" fillId="0" borderId="25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vertical="center"/>
    </xf>
    <xf numFmtId="176" fontId="23" fillId="0" borderId="28" xfId="3" applyNumberFormat="1" applyFont="1" applyFill="1" applyBorder="1" applyAlignment="1">
      <alignment vertical="center"/>
    </xf>
    <xf numFmtId="176" fontId="21" fillId="0" borderId="28" xfId="3" applyNumberFormat="1" applyFont="1" applyFill="1" applyBorder="1" applyAlignment="1">
      <alignment vertical="center"/>
    </xf>
    <xf numFmtId="176" fontId="21" fillId="0" borderId="28" xfId="3" applyNumberFormat="1" applyFont="1" applyFill="1" applyBorder="1" applyAlignment="1">
      <alignment horizontal="right" vertical="center"/>
    </xf>
    <xf numFmtId="176" fontId="21" fillId="0" borderId="29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horizontal="center"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178" fontId="18" fillId="0" borderId="25" xfId="3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31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center" vertical="center"/>
    </xf>
    <xf numFmtId="41" fontId="18" fillId="0" borderId="0" xfId="2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8" fillId="0" borderId="16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8" fillId="0" borderId="30" xfId="3" applyFont="1" applyFill="1" applyBorder="1" applyAlignment="1">
      <alignment vertical="center" wrapText="1"/>
    </xf>
    <xf numFmtId="178" fontId="18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0" fontId="18" fillId="0" borderId="35" xfId="3" applyFont="1" applyFill="1" applyBorder="1" applyAlignment="1">
      <alignment vertical="center"/>
    </xf>
    <xf numFmtId="0" fontId="18" fillId="0" borderId="12" xfId="3" applyFont="1" applyFill="1" applyBorder="1" applyAlignment="1">
      <alignment vertical="center"/>
    </xf>
    <xf numFmtId="176" fontId="18" fillId="0" borderId="12" xfId="3" applyNumberFormat="1" applyFont="1" applyFill="1" applyBorder="1" applyAlignment="1">
      <alignment vertical="center"/>
    </xf>
    <xf numFmtId="176" fontId="18" fillId="0" borderId="36" xfId="3" applyNumberFormat="1" applyFont="1" applyFill="1" applyBorder="1" applyAlignment="1">
      <alignment vertical="center"/>
    </xf>
    <xf numFmtId="0" fontId="18" fillId="0" borderId="31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center" vertical="center"/>
    </xf>
    <xf numFmtId="9" fontId="18" fillId="0" borderId="25" xfId="1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horizontal="right" vertical="center"/>
    </xf>
    <xf numFmtId="176" fontId="18" fillId="0" borderId="34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9" fontId="18" fillId="0" borderId="0" xfId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79" fontId="18" fillId="0" borderId="0" xfId="2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0" fontId="18" fillId="0" borderId="25" xfId="3" applyFont="1" applyFill="1" applyBorder="1" applyAlignment="1">
      <alignment vertical="center" wrapText="1"/>
    </xf>
    <xf numFmtId="0" fontId="18" fillId="0" borderId="11" xfId="3" applyFont="1" applyFill="1" applyBorder="1" applyAlignment="1">
      <alignment vertical="center" wrapText="1"/>
    </xf>
    <xf numFmtId="9" fontId="18" fillId="0" borderId="11" xfId="1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176" fontId="18" fillId="0" borderId="28" xfId="3" applyNumberFormat="1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vertical="center"/>
    </xf>
    <xf numFmtId="0" fontId="18" fillId="0" borderId="25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horizontal="right" vertical="center"/>
    </xf>
    <xf numFmtId="176" fontId="20" fillId="0" borderId="29" xfId="3" applyNumberFormat="1" applyFont="1" applyFill="1" applyBorder="1" applyAlignment="1">
      <alignment vertical="center"/>
    </xf>
    <xf numFmtId="0" fontId="18" fillId="0" borderId="24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vertical="center"/>
    </xf>
    <xf numFmtId="0" fontId="18" fillId="0" borderId="24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vertical="center" wrapText="1"/>
    </xf>
    <xf numFmtId="0" fontId="18" fillId="0" borderId="7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9" fontId="18" fillId="0" borderId="7" xfId="3" applyNumberFormat="1" applyFont="1" applyFill="1" applyBorder="1" applyAlignment="1">
      <alignment horizontal="center" vertical="center"/>
    </xf>
    <xf numFmtId="176" fontId="18" fillId="0" borderId="12" xfId="3" applyNumberFormat="1" applyFont="1" applyFill="1" applyBorder="1" applyAlignment="1">
      <alignment horizontal="center" vertical="center"/>
    </xf>
    <xf numFmtId="9" fontId="18" fillId="0" borderId="3" xfId="1" applyFont="1" applyFill="1" applyBorder="1" applyAlignment="1">
      <alignment horizontal="center" vertical="center"/>
    </xf>
    <xf numFmtId="38" fontId="18" fillId="0" borderId="25" xfId="3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38" fontId="18" fillId="0" borderId="11" xfId="3" applyNumberFormat="1" applyFont="1" applyFill="1" applyBorder="1" applyAlignment="1">
      <alignment vertical="center"/>
    </xf>
    <xf numFmtId="0" fontId="20" fillId="0" borderId="2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38" fontId="22" fillId="0" borderId="25" xfId="3" applyNumberFormat="1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20" fillId="0" borderId="13" xfId="3" applyNumberFormat="1" applyFont="1" applyFill="1" applyBorder="1" applyAlignment="1">
      <alignment horizontal="right" vertical="center"/>
    </xf>
    <xf numFmtId="176" fontId="20" fillId="0" borderId="34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9" fontId="18" fillId="0" borderId="1" xfId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38" fontId="29" fillId="0" borderId="1" xfId="3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38" fontId="18" fillId="0" borderId="13" xfId="3" applyNumberFormat="1" applyFont="1" applyFill="1" applyBorder="1" applyAlignment="1">
      <alignment vertical="center"/>
    </xf>
    <xf numFmtId="38" fontId="18" fillId="0" borderId="28" xfId="3" applyNumberFormat="1" applyFont="1" applyFill="1" applyBorder="1" applyAlignment="1">
      <alignment vertical="center"/>
    </xf>
    <xf numFmtId="38" fontId="18" fillId="0" borderId="0" xfId="3" applyNumberFormat="1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horizontal="left" vertical="center"/>
    </xf>
    <xf numFmtId="3" fontId="18" fillId="0" borderId="0" xfId="0" applyNumberFormat="1" applyFont="1" applyFill="1" applyAlignme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176" fontId="29" fillId="0" borderId="5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 vertical="center" wrapText="1"/>
    </xf>
    <xf numFmtId="38" fontId="18" fillId="0" borderId="7" xfId="3" applyNumberFormat="1" applyFont="1" applyFill="1" applyBorder="1" applyAlignment="1">
      <alignment vertical="center"/>
    </xf>
    <xf numFmtId="9" fontId="18" fillId="0" borderId="7" xfId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vertical="center"/>
    </xf>
    <xf numFmtId="0" fontId="23" fillId="0" borderId="28" xfId="3" applyFont="1" applyFill="1" applyBorder="1" applyAlignment="1">
      <alignment vertical="center"/>
    </xf>
    <xf numFmtId="0" fontId="18" fillId="0" borderId="38" xfId="3" applyFont="1" applyFill="1" applyBorder="1" applyAlignment="1">
      <alignment vertical="center"/>
    </xf>
    <xf numFmtId="176" fontId="18" fillId="0" borderId="48" xfId="3" applyNumberFormat="1" applyFont="1" applyFill="1" applyBorder="1" applyAlignment="1">
      <alignment horizontal="right" vertical="center"/>
    </xf>
    <xf numFmtId="176" fontId="18" fillId="0" borderId="49" xfId="3" applyNumberFormat="1" applyFont="1" applyFill="1" applyBorder="1" applyAlignment="1">
      <alignment vertical="center"/>
    </xf>
    <xf numFmtId="0" fontId="18" fillId="0" borderId="48" xfId="3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horizontal="center" vertical="center" wrapText="1"/>
    </xf>
    <xf numFmtId="178" fontId="19" fillId="0" borderId="3" xfId="3" applyNumberFormat="1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38" fontId="18" fillId="0" borderId="31" xfId="3" applyNumberFormat="1" applyFont="1" applyFill="1" applyBorder="1" applyAlignment="1">
      <alignment vertical="center"/>
    </xf>
    <xf numFmtId="38" fontId="18" fillId="0" borderId="33" xfId="3" applyNumberFormat="1" applyFont="1" applyFill="1" applyBorder="1" applyAlignment="1">
      <alignment vertical="center"/>
    </xf>
    <xf numFmtId="38" fontId="18" fillId="0" borderId="32" xfId="3" applyNumberFormat="1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8" fillId="0" borderId="33" xfId="0" applyNumberFormat="1" applyFont="1" applyFill="1" applyBorder="1" applyAlignment="1">
      <alignment vertical="center"/>
    </xf>
    <xf numFmtId="38" fontId="18" fillId="0" borderId="35" xfId="3" applyNumberFormat="1" applyFont="1" applyFill="1" applyBorder="1" applyAlignment="1">
      <alignment vertical="center"/>
    </xf>
    <xf numFmtId="0" fontId="18" fillId="0" borderId="28" xfId="3" applyFont="1" applyFill="1" applyBorder="1" applyAlignment="1">
      <alignment vertical="center"/>
    </xf>
    <xf numFmtId="9" fontId="18" fillId="0" borderId="12" xfId="1" applyFont="1" applyFill="1" applyBorder="1" applyAlignment="1">
      <alignment horizontal="center" vertical="center"/>
    </xf>
    <xf numFmtId="38" fontId="18" fillId="0" borderId="19" xfId="3" applyNumberFormat="1" applyFont="1" applyFill="1" applyBorder="1" applyAlignment="1">
      <alignment vertical="center"/>
    </xf>
    <xf numFmtId="9" fontId="18" fillId="0" borderId="19" xfId="1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176" fontId="20" fillId="0" borderId="49" xfId="3" applyNumberFormat="1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horizontal="right" vertical="center"/>
    </xf>
    <xf numFmtId="9" fontId="13" fillId="0" borderId="0" xfId="1" applyFont="1" applyFill="1" applyBorder="1" applyAlignment="1">
      <alignment horizontal="center" vertical="center"/>
    </xf>
    <xf numFmtId="178" fontId="19" fillId="0" borderId="3" xfId="3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38" fontId="27" fillId="0" borderId="1" xfId="3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38" fontId="20" fillId="0" borderId="1" xfId="3" applyNumberFormat="1" applyFont="1" applyFill="1" applyBorder="1" applyAlignment="1">
      <alignment vertical="center"/>
    </xf>
    <xf numFmtId="0" fontId="9" fillId="0" borderId="0" xfId="6">
      <alignment vertical="center"/>
    </xf>
    <xf numFmtId="0" fontId="30" fillId="0" borderId="0" xfId="6" applyFont="1">
      <alignment vertical="center"/>
    </xf>
    <xf numFmtId="0" fontId="32" fillId="0" borderId="0" xfId="6" applyFont="1" applyAlignment="1">
      <alignment horizontal="right"/>
    </xf>
    <xf numFmtId="176" fontId="18" fillId="0" borderId="13" xfId="3" applyNumberFormat="1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9" fontId="18" fillId="0" borderId="11" xfId="3" applyNumberFormat="1" applyFont="1" applyFill="1" applyBorder="1" applyAlignment="1">
      <alignment horizontal="center" vertical="center"/>
    </xf>
    <xf numFmtId="0" fontId="24" fillId="0" borderId="38" xfId="3" applyFont="1" applyFill="1" applyBorder="1" applyAlignment="1">
      <alignment vertical="center"/>
    </xf>
    <xf numFmtId="0" fontId="25" fillId="0" borderId="48" xfId="3" applyFont="1" applyFill="1" applyBorder="1" applyAlignment="1">
      <alignment vertical="center"/>
    </xf>
    <xf numFmtId="176" fontId="25" fillId="0" borderId="48" xfId="3" applyNumberFormat="1" applyFont="1" applyFill="1" applyBorder="1" applyAlignment="1">
      <alignment vertical="center"/>
    </xf>
    <xf numFmtId="176" fontId="24" fillId="0" borderId="48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left" vertical="center"/>
    </xf>
    <xf numFmtId="41" fontId="18" fillId="0" borderId="0" xfId="2" applyNumberFormat="1" applyFont="1" applyFill="1" applyBorder="1" applyAlignment="1">
      <alignment vertical="center"/>
    </xf>
    <xf numFmtId="178" fontId="29" fillId="0" borderId="0" xfId="0" applyNumberFormat="1" applyFont="1" applyBorder="1">
      <alignment vertical="center"/>
    </xf>
    <xf numFmtId="42" fontId="18" fillId="0" borderId="13" xfId="3" applyNumberFormat="1" applyFont="1" applyFill="1" applyBorder="1" applyAlignment="1">
      <alignment horizontal="center" vertical="center"/>
    </xf>
    <xf numFmtId="178" fontId="18" fillId="0" borderId="13" xfId="3" applyNumberFormat="1" applyFont="1" applyFill="1" applyBorder="1" applyAlignment="1">
      <alignment horizontal="center" vertical="center"/>
    </xf>
    <xf numFmtId="179" fontId="18" fillId="0" borderId="13" xfId="2" applyNumberFormat="1" applyFont="1" applyFill="1" applyBorder="1" applyAlignment="1">
      <alignment horizontal="center" vertical="center"/>
    </xf>
    <xf numFmtId="178" fontId="26" fillId="0" borderId="13" xfId="0" applyNumberFormat="1" applyFont="1" applyBorder="1">
      <alignment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8" fontId="34" fillId="0" borderId="19" xfId="3" applyNumberFormat="1" applyFont="1" applyFill="1" applyBorder="1" applyAlignment="1">
      <alignment vertical="center"/>
    </xf>
    <xf numFmtId="177" fontId="34" fillId="0" borderId="19" xfId="3" applyNumberFormat="1" applyFont="1" applyFill="1" applyBorder="1" applyAlignment="1">
      <alignment vertical="center"/>
    </xf>
    <xf numFmtId="9" fontId="34" fillId="0" borderId="19" xfId="1" applyFont="1" applyFill="1" applyBorder="1" applyAlignment="1">
      <alignment horizontal="center" vertical="center"/>
    </xf>
    <xf numFmtId="178" fontId="21" fillId="0" borderId="22" xfId="3" applyNumberFormat="1" applyFont="1" applyFill="1" applyBorder="1" applyAlignment="1">
      <alignment vertical="center"/>
    </xf>
    <xf numFmtId="9" fontId="21" fillId="0" borderId="22" xfId="3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8" fontId="27" fillId="0" borderId="11" xfId="3" applyNumberFormat="1" applyFont="1" applyFill="1" applyBorder="1" applyAlignment="1">
      <alignment vertical="center"/>
    </xf>
    <xf numFmtId="177" fontId="23" fillId="0" borderId="11" xfId="3" applyNumberFormat="1" applyFont="1" applyFill="1" applyBorder="1" applyAlignment="1">
      <alignment vertical="center"/>
    </xf>
    <xf numFmtId="9" fontId="23" fillId="0" borderId="11" xfId="3" applyNumberFormat="1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horizontal="right" vertical="center"/>
    </xf>
    <xf numFmtId="176" fontId="35" fillId="0" borderId="48" xfId="3" applyNumberFormat="1" applyFont="1" applyFill="1" applyBorder="1" applyAlignment="1">
      <alignment vertical="center"/>
    </xf>
    <xf numFmtId="176" fontId="35" fillId="0" borderId="48" xfId="3" applyNumberFormat="1" applyFont="1" applyFill="1" applyBorder="1" applyAlignment="1">
      <alignment horizontal="right" vertical="center"/>
    </xf>
    <xf numFmtId="176" fontId="35" fillId="0" borderId="13" xfId="3" applyNumberFormat="1" applyFont="1" applyFill="1" applyBorder="1" applyAlignment="1">
      <alignment horizontal="right" vertical="center"/>
    </xf>
    <xf numFmtId="178" fontId="27" fillId="0" borderId="1" xfId="3" applyNumberFormat="1" applyFont="1" applyFill="1" applyBorder="1" applyAlignment="1">
      <alignment vertical="center"/>
    </xf>
    <xf numFmtId="42" fontId="18" fillId="0" borderId="28" xfId="3" applyNumberFormat="1" applyFont="1" applyFill="1" applyBorder="1" applyAlignment="1">
      <alignment horizontal="left" vertical="center"/>
    </xf>
    <xf numFmtId="176" fontId="18" fillId="0" borderId="28" xfId="3" applyNumberFormat="1" applyFont="1" applyFill="1" applyBorder="1" applyAlignment="1">
      <alignment horizontal="left" vertical="center"/>
    </xf>
    <xf numFmtId="176" fontId="18" fillId="0" borderId="28" xfId="3" applyNumberFormat="1" applyFont="1" applyFill="1" applyBorder="1" applyAlignment="1">
      <alignment horizontal="center" vertical="center"/>
    </xf>
    <xf numFmtId="178" fontId="36" fillId="0" borderId="19" xfId="3" applyNumberFormat="1" applyFont="1" applyFill="1" applyBorder="1" applyAlignment="1">
      <alignment vertical="center"/>
    </xf>
    <xf numFmtId="177" fontId="36" fillId="0" borderId="19" xfId="3" applyNumberFormat="1" applyFont="1" applyFill="1" applyBorder="1" applyAlignment="1">
      <alignment vertical="center"/>
    </xf>
    <xf numFmtId="9" fontId="36" fillId="0" borderId="19" xfId="1" applyFont="1" applyFill="1" applyBorder="1" applyAlignment="1">
      <alignment horizontal="center" vertical="center"/>
    </xf>
    <xf numFmtId="0" fontId="37" fillId="0" borderId="38" xfId="3" applyFont="1" applyFill="1" applyBorder="1" applyAlignment="1">
      <alignment vertical="center"/>
    </xf>
    <xf numFmtId="176" fontId="37" fillId="0" borderId="48" xfId="3" applyNumberFormat="1" applyFont="1" applyFill="1" applyBorder="1" applyAlignment="1">
      <alignment vertical="center"/>
    </xf>
    <xf numFmtId="0" fontId="37" fillId="0" borderId="48" xfId="3" applyFont="1" applyFill="1" applyBorder="1" applyAlignment="1">
      <alignment horizontal="center" vertical="center"/>
    </xf>
    <xf numFmtId="0" fontId="37" fillId="0" borderId="48" xfId="3" applyFont="1" applyFill="1" applyBorder="1" applyAlignment="1">
      <alignment vertical="center"/>
    </xf>
    <xf numFmtId="176" fontId="37" fillId="0" borderId="13" xfId="3" applyNumberFormat="1" applyFont="1" applyFill="1" applyBorder="1" applyAlignment="1">
      <alignment horizontal="right" vertical="center"/>
    </xf>
    <xf numFmtId="0" fontId="36" fillId="0" borderId="0" xfId="3" applyFont="1" applyFill="1" applyBorder="1" applyAlignment="1">
      <alignment vertical="center" wrapText="1"/>
    </xf>
    <xf numFmtId="178" fontId="36" fillId="0" borderId="0" xfId="3" applyNumberFormat="1" applyFont="1" applyFill="1" applyBorder="1" applyAlignment="1">
      <alignment vertical="center"/>
    </xf>
    <xf numFmtId="177" fontId="36" fillId="0" borderId="0" xfId="3" applyNumberFormat="1" applyFont="1" applyFill="1" applyBorder="1" applyAlignment="1">
      <alignment vertical="center"/>
    </xf>
    <xf numFmtId="9" fontId="36" fillId="0" borderId="0" xfId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37" fillId="0" borderId="48" xfId="3" applyNumberFormat="1" applyFont="1" applyFill="1" applyBorder="1" applyAlignment="1">
      <alignment horizontal="right" vertical="center"/>
    </xf>
    <xf numFmtId="176" fontId="21" fillId="0" borderId="34" xfId="3" applyNumberFormat="1" applyFont="1" applyFill="1" applyBorder="1" applyAlignment="1">
      <alignment vertical="center"/>
    </xf>
    <xf numFmtId="176" fontId="37" fillId="0" borderId="49" xfId="3" applyNumberFormat="1" applyFont="1" applyFill="1" applyBorder="1" applyAlignment="1">
      <alignment vertical="center"/>
    </xf>
    <xf numFmtId="176" fontId="35" fillId="0" borderId="49" xfId="3" applyNumberFormat="1" applyFont="1" applyFill="1" applyBorder="1" applyAlignment="1">
      <alignment vertical="center"/>
    </xf>
    <xf numFmtId="0" fontId="18" fillId="0" borderId="16" xfId="3" applyFont="1" applyFill="1" applyBorder="1" applyAlignment="1">
      <alignment vertical="center" wrapText="1"/>
    </xf>
    <xf numFmtId="0" fontId="36" fillId="0" borderId="49" xfId="3" applyFont="1" applyFill="1" applyBorder="1" applyAlignment="1">
      <alignment vertical="center" wrapText="1"/>
    </xf>
    <xf numFmtId="177" fontId="27" fillId="0" borderId="25" xfId="3" applyNumberFormat="1" applyFont="1" applyFill="1" applyBorder="1" applyAlignment="1">
      <alignment vertical="center"/>
    </xf>
    <xf numFmtId="9" fontId="27" fillId="0" borderId="25" xfId="1" applyFont="1" applyFill="1" applyBorder="1" applyAlignment="1">
      <alignment horizontal="center" vertical="center"/>
    </xf>
    <xf numFmtId="177" fontId="27" fillId="0" borderId="1" xfId="3" applyNumberFormat="1" applyFont="1" applyFill="1" applyBorder="1" applyAlignment="1">
      <alignment vertical="center"/>
    </xf>
    <xf numFmtId="178" fontId="21" fillId="0" borderId="41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36" fillId="0" borderId="0" xfId="3" applyFont="1" applyFill="1" applyBorder="1" applyAlignment="1">
      <alignment horizontal="center" vertical="center"/>
    </xf>
    <xf numFmtId="0" fontId="29" fillId="0" borderId="31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82" fontId="21" fillId="0" borderId="22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28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center" vertical="center"/>
    </xf>
    <xf numFmtId="176" fontId="27" fillId="0" borderId="5" xfId="3" applyNumberFormat="1" applyFont="1" applyFill="1" applyBorder="1" applyAlignment="1">
      <alignment vertical="center"/>
    </xf>
    <xf numFmtId="0" fontId="38" fillId="0" borderId="38" xfId="3" applyFont="1" applyFill="1" applyBorder="1" applyAlignment="1">
      <alignment vertical="center"/>
    </xf>
    <xf numFmtId="0" fontId="38" fillId="0" borderId="28" xfId="3" applyFont="1" applyFill="1" applyBorder="1" applyAlignment="1">
      <alignment vertical="center"/>
    </xf>
    <xf numFmtId="0" fontId="29" fillId="0" borderId="28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7" fillId="0" borderId="8" xfId="0" applyNumberFormat="1" applyFont="1" applyFill="1" applyBorder="1" applyAlignment="1">
      <alignment vertical="center"/>
    </xf>
    <xf numFmtId="38" fontId="37" fillId="0" borderId="8" xfId="3" applyNumberFormat="1" applyFont="1" applyFill="1" applyBorder="1" applyAlignment="1">
      <alignment vertical="center"/>
    </xf>
    <xf numFmtId="9" fontId="37" fillId="0" borderId="8" xfId="3" applyNumberFormat="1" applyFont="1" applyFill="1" applyBorder="1" applyAlignment="1">
      <alignment horizontal="center" vertical="center"/>
    </xf>
    <xf numFmtId="0" fontId="37" fillId="0" borderId="10" xfId="3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176" fontId="37" fillId="0" borderId="41" xfId="3" applyNumberFormat="1" applyFont="1" applyFill="1" applyBorder="1" applyAlignment="1">
      <alignment vertical="center"/>
    </xf>
    <xf numFmtId="176" fontId="37" fillId="0" borderId="42" xfId="3" applyNumberFormat="1" applyFont="1" applyFill="1" applyBorder="1" applyAlignment="1">
      <alignment vertical="center"/>
    </xf>
    <xf numFmtId="41" fontId="35" fillId="0" borderId="25" xfId="0" applyNumberFormat="1" applyFont="1" applyFill="1" applyBorder="1" applyAlignment="1">
      <alignment vertical="center"/>
    </xf>
    <xf numFmtId="38" fontId="35" fillId="0" borderId="25" xfId="3" applyNumberFormat="1" applyFont="1" applyFill="1" applyBorder="1" applyAlignment="1">
      <alignment vertical="center"/>
    </xf>
    <xf numFmtId="9" fontId="35" fillId="0" borderId="19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42" fillId="0" borderId="13" xfId="3" applyFont="1" applyFill="1" applyBorder="1" applyAlignment="1">
      <alignment vertical="center"/>
    </xf>
    <xf numFmtId="0" fontId="42" fillId="0" borderId="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176" fontId="42" fillId="0" borderId="48" xfId="3" applyNumberFormat="1" applyFont="1" applyFill="1" applyBorder="1" applyAlignment="1">
      <alignment vertical="center"/>
    </xf>
    <xf numFmtId="176" fontId="42" fillId="0" borderId="48" xfId="3" applyNumberFormat="1" applyFont="1" applyFill="1" applyBorder="1" applyAlignment="1">
      <alignment horizontal="right" vertical="center"/>
    </xf>
    <xf numFmtId="176" fontId="42" fillId="0" borderId="49" xfId="3" applyNumberFormat="1" applyFont="1" applyFill="1" applyBorder="1" applyAlignment="1">
      <alignment vertical="center"/>
    </xf>
    <xf numFmtId="0" fontId="27" fillId="0" borderId="28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vertical="center"/>
    </xf>
    <xf numFmtId="0" fontId="42" fillId="0" borderId="38" xfId="3" applyFont="1" applyFill="1" applyBorder="1" applyAlignment="1">
      <alignment vertical="center"/>
    </xf>
    <xf numFmtId="0" fontId="42" fillId="0" borderId="28" xfId="3" applyFont="1" applyFill="1" applyBorder="1" applyAlignment="1">
      <alignment vertical="center"/>
    </xf>
    <xf numFmtId="176" fontId="42" fillId="0" borderId="28" xfId="3" applyNumberFormat="1" applyFont="1" applyFill="1" applyBorder="1" applyAlignment="1">
      <alignment vertical="center"/>
    </xf>
    <xf numFmtId="0" fontId="27" fillId="0" borderId="3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horizontal="right" vertical="center"/>
    </xf>
    <xf numFmtId="176" fontId="27" fillId="0" borderId="34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177" fontId="27" fillId="0" borderId="13" xfId="3" applyNumberFormat="1" applyFont="1" applyFill="1" applyBorder="1" applyAlignment="1">
      <alignment vertical="center"/>
    </xf>
    <xf numFmtId="42" fontId="27" fillId="0" borderId="13" xfId="3" applyNumberFormat="1" applyFont="1" applyFill="1" applyBorder="1" applyAlignment="1">
      <alignment horizontal="left" vertical="center"/>
    </xf>
    <xf numFmtId="176" fontId="27" fillId="0" borderId="13" xfId="3" applyNumberFormat="1" applyFont="1" applyFill="1" applyBorder="1" applyAlignment="1">
      <alignment horizontal="left" vertical="center"/>
    </xf>
    <xf numFmtId="179" fontId="27" fillId="0" borderId="13" xfId="2" applyNumberFormat="1" applyFont="1" applyFill="1" applyBorder="1" applyAlignment="1">
      <alignment vertical="center"/>
    </xf>
    <xf numFmtId="41" fontId="27" fillId="0" borderId="13" xfId="2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horizontal="center" vertical="center"/>
    </xf>
    <xf numFmtId="9" fontId="27" fillId="0" borderId="13" xfId="1" applyFont="1" applyFill="1" applyBorder="1" applyAlignment="1">
      <alignment horizontal="left" vertical="center"/>
    </xf>
    <xf numFmtId="0" fontId="27" fillId="0" borderId="13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42" fontId="29" fillId="0" borderId="0" xfId="3" applyNumberFormat="1" applyFont="1" applyFill="1" applyBorder="1" applyAlignment="1">
      <alignment horizontal="center" vertical="center"/>
    </xf>
    <xf numFmtId="178" fontId="29" fillId="0" borderId="0" xfId="3" applyNumberFormat="1" applyFont="1" applyFill="1" applyBorder="1" applyAlignment="1">
      <alignment horizontal="center" vertical="center"/>
    </xf>
    <xf numFmtId="179" fontId="29" fillId="0" borderId="0" xfId="2" applyNumberFormat="1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horizontal="center" vertical="center"/>
    </xf>
    <xf numFmtId="176" fontId="29" fillId="0" borderId="34" xfId="3" applyNumberFormat="1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horizontal="right"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6" xfId="3" applyNumberFormat="1" applyFont="1" applyFill="1" applyBorder="1" applyAlignment="1">
      <alignment vertical="center"/>
    </xf>
    <xf numFmtId="41" fontId="45" fillId="0" borderId="11" xfId="7" applyFont="1" applyBorder="1" applyAlignment="1">
      <alignment vertical="center"/>
    </xf>
    <xf numFmtId="181" fontId="45" fillId="0" borderId="33" xfId="7" applyNumberFormat="1" applyFont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8" fontId="34" fillId="0" borderId="19" xfId="3" applyNumberFormat="1" applyFont="1" applyFill="1" applyBorder="1" applyAlignment="1">
      <alignment horizontal="center" vertical="center"/>
    </xf>
    <xf numFmtId="9" fontId="18" fillId="0" borderId="48" xfId="1" applyFont="1" applyFill="1" applyBorder="1" applyAlignment="1">
      <alignment vertical="center"/>
    </xf>
    <xf numFmtId="178" fontId="29" fillId="0" borderId="28" xfId="0" applyNumberFormat="1" applyFont="1" applyBorder="1">
      <alignment vertical="center"/>
    </xf>
    <xf numFmtId="41" fontId="18" fillId="0" borderId="28" xfId="2" applyNumberFormat="1" applyFont="1" applyFill="1" applyBorder="1" applyAlignment="1">
      <alignment vertical="center"/>
    </xf>
    <xf numFmtId="178" fontId="27" fillId="0" borderId="25" xfId="3" applyNumberFormat="1" applyFont="1" applyFill="1" applyBorder="1" applyAlignment="1">
      <alignment vertical="center"/>
    </xf>
    <xf numFmtId="0" fontId="18" fillId="0" borderId="39" xfId="3" applyFont="1" applyFill="1" applyBorder="1" applyAlignment="1">
      <alignment horizontal="center" vertical="center" wrapText="1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48" xfId="3" applyNumberFormat="1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0" fontId="20" fillId="0" borderId="48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8" fontId="23" fillId="0" borderId="25" xfId="3" applyNumberFormat="1" applyFont="1" applyFill="1" applyBorder="1" applyAlignment="1">
      <alignment vertical="center"/>
    </xf>
    <xf numFmtId="177" fontId="23" fillId="0" borderId="25" xfId="3" applyNumberFormat="1" applyFont="1" applyFill="1" applyBorder="1" applyAlignment="1">
      <alignment vertical="center"/>
    </xf>
    <xf numFmtId="9" fontId="23" fillId="0" borderId="25" xfId="3" applyNumberFormat="1" applyFont="1" applyFill="1" applyBorder="1" applyAlignment="1">
      <alignment horizontal="center" vertical="center"/>
    </xf>
    <xf numFmtId="178" fontId="23" fillId="0" borderId="19" xfId="3" applyNumberFormat="1" applyFont="1" applyFill="1" applyBorder="1" applyAlignment="1">
      <alignment vertical="center"/>
    </xf>
    <xf numFmtId="177" fontId="23" fillId="0" borderId="19" xfId="3" applyNumberFormat="1" applyFont="1" applyFill="1" applyBorder="1" applyAlignment="1">
      <alignment vertical="center"/>
    </xf>
    <xf numFmtId="9" fontId="23" fillId="0" borderId="19" xfId="3" applyNumberFormat="1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vertical="center"/>
    </xf>
    <xf numFmtId="0" fontId="23" fillId="0" borderId="48" xfId="3" applyFont="1" applyFill="1" applyBorder="1" applyAlignment="1">
      <alignment vertical="center"/>
    </xf>
    <xf numFmtId="176" fontId="23" fillId="0" borderId="48" xfId="3" applyNumberFormat="1" applyFont="1" applyFill="1" applyBorder="1" applyAlignment="1">
      <alignment vertical="center"/>
    </xf>
    <xf numFmtId="176" fontId="21" fillId="0" borderId="48" xfId="3" applyNumberFormat="1" applyFont="1" applyFill="1" applyBorder="1" applyAlignment="1">
      <alignment vertical="center"/>
    </xf>
    <xf numFmtId="176" fontId="21" fillId="0" borderId="48" xfId="3" applyNumberFormat="1" applyFont="1" applyFill="1" applyBorder="1" applyAlignment="1">
      <alignment horizontal="right" vertical="center"/>
    </xf>
    <xf numFmtId="176" fontId="21" fillId="0" borderId="49" xfId="3" applyNumberFormat="1" applyFont="1" applyFill="1" applyBorder="1" applyAlignment="1">
      <alignment vertical="center"/>
    </xf>
    <xf numFmtId="0" fontId="38" fillId="0" borderId="48" xfId="3" applyFont="1" applyFill="1" applyBorder="1" applyAlignment="1">
      <alignment vertical="center"/>
    </xf>
    <xf numFmtId="0" fontId="18" fillId="0" borderId="34" xfId="3" applyFont="1" applyFill="1" applyBorder="1" applyAlignment="1">
      <alignment vertical="center"/>
    </xf>
    <xf numFmtId="176" fontId="18" fillId="0" borderId="25" xfId="0" applyNumberFormat="1" applyFont="1" applyFill="1" applyBorder="1" applyAlignment="1">
      <alignment vertical="center"/>
    </xf>
    <xf numFmtId="176" fontId="18" fillId="0" borderId="11" xfId="0" applyNumberFormat="1" applyFont="1" applyFill="1" applyBorder="1" applyAlignment="1">
      <alignment vertical="center"/>
    </xf>
    <xf numFmtId="0" fontId="29" fillId="0" borderId="13" xfId="3" quotePrefix="1" applyFont="1" applyFill="1" applyBorder="1" applyAlignment="1">
      <alignment vertical="center"/>
    </xf>
    <xf numFmtId="0" fontId="29" fillId="0" borderId="27" xfId="3" quotePrefix="1" applyFont="1" applyFill="1" applyBorder="1" applyAlignment="1">
      <alignment vertical="center"/>
    </xf>
    <xf numFmtId="0" fontId="48" fillId="0" borderId="0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7" fillId="0" borderId="31" xfId="3" applyFont="1" applyFill="1" applyBorder="1" applyAlignment="1">
      <alignment vertical="center"/>
    </xf>
    <xf numFmtId="41" fontId="35" fillId="0" borderId="19" xfId="0" applyNumberFormat="1" applyFont="1" applyFill="1" applyBorder="1" applyAlignment="1">
      <alignment vertical="center"/>
    </xf>
    <xf numFmtId="38" fontId="35" fillId="0" borderId="19" xfId="3" applyNumberFormat="1" applyFont="1" applyFill="1" applyBorder="1" applyAlignment="1">
      <alignment vertical="center"/>
    </xf>
    <xf numFmtId="0" fontId="35" fillId="0" borderId="48" xfId="3" applyFont="1" applyFill="1" applyBorder="1" applyAlignment="1">
      <alignment vertical="center"/>
    </xf>
    <xf numFmtId="41" fontId="18" fillId="0" borderId="48" xfId="2" applyFont="1" applyFill="1" applyBorder="1" applyAlignment="1">
      <alignment vertical="center"/>
    </xf>
    <xf numFmtId="0" fontId="18" fillId="0" borderId="49" xfId="3" applyFont="1" applyFill="1" applyBorder="1" applyAlignment="1">
      <alignment vertical="center"/>
    </xf>
    <xf numFmtId="0" fontId="29" fillId="0" borderId="33" xfId="3" applyFont="1" applyFill="1" applyBorder="1" applyAlignment="1">
      <alignment horizontal="left" vertical="center"/>
    </xf>
    <xf numFmtId="41" fontId="18" fillId="0" borderId="13" xfId="2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horizontal="left" vertical="center" wrapText="1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182" fontId="18" fillId="0" borderId="0" xfId="3" applyNumberFormat="1" applyFont="1" applyFill="1" applyBorder="1" applyAlignment="1">
      <alignment horizontal="right" vertical="center"/>
    </xf>
    <xf numFmtId="176" fontId="29" fillId="0" borderId="13" xfId="3" applyNumberFormat="1" applyFont="1" applyFill="1" applyBorder="1" applyAlignment="1">
      <alignment vertical="center"/>
    </xf>
    <xf numFmtId="0" fontId="9" fillId="0" borderId="51" xfId="6" applyBorder="1" applyAlignment="1">
      <alignment vertical="center"/>
    </xf>
    <xf numFmtId="0" fontId="9" fillId="0" borderId="52" xfId="6" applyBorder="1" applyAlignment="1">
      <alignment vertical="center"/>
    </xf>
    <xf numFmtId="0" fontId="51" fillId="0" borderId="12" xfId="3" applyFont="1" applyFill="1" applyBorder="1" applyAlignment="1">
      <alignment vertical="center" wrapText="1"/>
    </xf>
    <xf numFmtId="176" fontId="36" fillId="0" borderId="13" xfId="3" applyNumberFormat="1" applyFont="1" applyFill="1" applyBorder="1" applyAlignment="1">
      <alignment vertical="center"/>
    </xf>
    <xf numFmtId="176" fontId="40" fillId="0" borderId="5" xfId="3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176" fontId="42" fillId="0" borderId="13" xfId="3" applyNumberFormat="1" applyFont="1" applyFill="1" applyBorder="1" applyAlignment="1">
      <alignment vertical="center"/>
    </xf>
    <xf numFmtId="0" fontId="46" fillId="0" borderId="53" xfId="6" applyFont="1" applyBorder="1" applyAlignment="1">
      <alignment horizontal="center" vertical="center"/>
    </xf>
    <xf numFmtId="41" fontId="47" fillId="0" borderId="53" xfId="7" applyFont="1" applyBorder="1" applyAlignment="1">
      <alignment vertical="center"/>
    </xf>
    <xf numFmtId="0" fontId="9" fillId="0" borderId="55" xfId="6" applyBorder="1" applyAlignment="1">
      <alignment horizontal="center" vertical="center"/>
    </xf>
    <xf numFmtId="41" fontId="0" fillId="0" borderId="55" xfId="7" applyFont="1" applyBorder="1">
      <alignment vertical="center"/>
    </xf>
    <xf numFmtId="0" fontId="9" fillId="0" borderId="57" xfId="6" applyBorder="1" applyAlignment="1">
      <alignment horizontal="center" vertical="center"/>
    </xf>
    <xf numFmtId="41" fontId="0" fillId="0" borderId="57" xfId="7" applyFont="1" applyBorder="1">
      <alignment vertical="center"/>
    </xf>
    <xf numFmtId="41" fontId="47" fillId="0" borderId="53" xfId="7" applyFont="1" applyBorder="1">
      <alignment vertical="center"/>
    </xf>
    <xf numFmtId="0" fontId="5" fillId="0" borderId="55" xfId="6" applyFont="1" applyBorder="1" applyAlignment="1">
      <alignment horizontal="center" vertical="center"/>
    </xf>
    <xf numFmtId="0" fontId="5" fillId="0" borderId="57" xfId="6" applyFont="1" applyBorder="1" applyAlignment="1">
      <alignment horizontal="center" vertical="center"/>
    </xf>
    <xf numFmtId="0" fontId="7" fillId="0" borderId="55" xfId="6" applyFont="1" applyBorder="1" applyAlignment="1">
      <alignment horizontal="center" vertical="center"/>
    </xf>
    <xf numFmtId="0" fontId="6" fillId="0" borderId="57" xfId="6" applyFont="1" applyBorder="1" applyAlignment="1">
      <alignment horizontal="center" vertical="center"/>
    </xf>
    <xf numFmtId="0" fontId="3" fillId="0" borderId="55" xfId="6" applyFont="1" applyBorder="1" applyAlignment="1">
      <alignment horizontal="center" vertical="center"/>
    </xf>
    <xf numFmtId="0" fontId="3" fillId="0" borderId="57" xfId="6" applyFont="1" applyBorder="1" applyAlignment="1">
      <alignment horizontal="center" vertical="center"/>
    </xf>
    <xf numFmtId="181" fontId="47" fillId="0" borderId="54" xfId="7" applyNumberFormat="1" applyFont="1" applyBorder="1" applyAlignment="1">
      <alignment vertical="center"/>
    </xf>
    <xf numFmtId="181" fontId="0" fillId="0" borderId="58" xfId="7" applyNumberFormat="1" applyFont="1" applyBorder="1">
      <alignment vertical="center"/>
    </xf>
    <xf numFmtId="181" fontId="47" fillId="0" borderId="54" xfId="7" applyNumberFormat="1" applyFont="1" applyBorder="1">
      <alignment vertical="center"/>
    </xf>
    <xf numFmtId="181" fontId="0" fillId="0" borderId="56" xfId="7" applyNumberFormat="1" applyFont="1" applyBorder="1">
      <alignment vertical="center"/>
    </xf>
    <xf numFmtId="181" fontId="0" fillId="0" borderId="59" xfId="7" applyNumberFormat="1" applyFont="1" applyBorder="1">
      <alignment vertical="center"/>
    </xf>
    <xf numFmtId="41" fontId="0" fillId="0" borderId="60" xfId="7" applyFont="1" applyBorder="1">
      <alignment vertical="center"/>
    </xf>
    <xf numFmtId="181" fontId="52" fillId="0" borderId="54" xfId="7" applyNumberFormat="1" applyFont="1" applyBorder="1">
      <alignment vertical="center"/>
    </xf>
    <xf numFmtId="41" fontId="13" fillId="2" borderId="0" xfId="2" applyFont="1" applyFill="1" applyAlignment="1">
      <alignment vertical="center"/>
    </xf>
    <xf numFmtId="0" fontId="20" fillId="2" borderId="0" xfId="3" applyFont="1" applyFill="1" applyBorder="1" applyAlignment="1">
      <alignment vertical="center"/>
    </xf>
    <xf numFmtId="176" fontId="20" fillId="2" borderId="0" xfId="3" applyNumberFormat="1" applyFont="1" applyFill="1" applyBorder="1" applyAlignment="1">
      <alignment vertical="center"/>
    </xf>
    <xf numFmtId="176" fontId="18" fillId="2" borderId="28" xfId="3" applyNumberFormat="1" applyFont="1" applyFill="1" applyBorder="1" applyAlignment="1">
      <alignment vertical="center"/>
    </xf>
    <xf numFmtId="178" fontId="29" fillId="2" borderId="0" xfId="0" applyNumberFormat="1" applyFont="1" applyFill="1" applyBorder="1">
      <alignment vertical="center"/>
    </xf>
    <xf numFmtId="178" fontId="26" fillId="2" borderId="0" xfId="0" applyNumberFormat="1" applyFont="1" applyFill="1" applyBorder="1">
      <alignment vertical="center"/>
    </xf>
    <xf numFmtId="176" fontId="18" fillId="2" borderId="0" xfId="3" applyNumberFormat="1" applyFont="1" applyFill="1" applyBorder="1" applyAlignment="1">
      <alignment horizontal="center" vertical="center"/>
    </xf>
    <xf numFmtId="176" fontId="18" fillId="2" borderId="0" xfId="3" applyNumberFormat="1" applyFont="1" applyFill="1" applyBorder="1" applyAlignment="1">
      <alignment vertical="center"/>
    </xf>
    <xf numFmtId="176" fontId="18" fillId="2" borderId="0" xfId="3" applyNumberFormat="1" applyFont="1" applyFill="1" applyBorder="1" applyAlignment="1">
      <alignment horizontal="right" vertical="center"/>
    </xf>
    <xf numFmtId="176" fontId="29" fillId="2" borderId="0" xfId="3" applyNumberFormat="1" applyFont="1" applyFill="1" applyBorder="1" applyAlignment="1">
      <alignment horizontal="right" vertical="center"/>
    </xf>
    <xf numFmtId="176" fontId="18" fillId="2" borderId="5" xfId="3" applyNumberFormat="1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0" fontId="18" fillId="2" borderId="31" xfId="3" applyFont="1" applyFill="1" applyBorder="1" applyAlignment="1">
      <alignment vertical="center"/>
    </xf>
    <xf numFmtId="0" fontId="29" fillId="2" borderId="31" xfId="3" applyFont="1" applyFill="1" applyBorder="1" applyAlignment="1">
      <alignment vertical="center"/>
    </xf>
    <xf numFmtId="0" fontId="29" fillId="2" borderId="0" xfId="3" applyFont="1" applyFill="1" applyBorder="1" applyAlignment="1">
      <alignment vertical="center"/>
    </xf>
    <xf numFmtId="176" fontId="29" fillId="2" borderId="0" xfId="3" applyNumberFormat="1" applyFont="1" applyFill="1" applyBorder="1" applyAlignment="1">
      <alignment vertical="center"/>
    </xf>
    <xf numFmtId="176" fontId="29" fillId="2" borderId="0" xfId="3" applyNumberFormat="1" applyFont="1" applyFill="1" applyBorder="1" applyAlignment="1">
      <alignment horizontal="center" vertical="center"/>
    </xf>
    <xf numFmtId="42" fontId="29" fillId="2" borderId="0" xfId="3" applyNumberFormat="1" applyFont="1" applyFill="1" applyBorder="1" applyAlignment="1">
      <alignment horizontal="center" vertical="center"/>
    </xf>
    <xf numFmtId="176" fontId="29" fillId="2" borderId="5" xfId="3" applyNumberFormat="1" applyFont="1" applyFill="1" applyBorder="1" applyAlignment="1">
      <alignment vertical="center"/>
    </xf>
    <xf numFmtId="42" fontId="18" fillId="2" borderId="0" xfId="3" applyNumberFormat="1" applyFont="1" applyFill="1" applyBorder="1" applyAlignment="1">
      <alignment horizontal="center" vertical="center"/>
    </xf>
    <xf numFmtId="178" fontId="18" fillId="2" borderId="0" xfId="3" applyNumberFormat="1" applyFont="1" applyFill="1" applyBorder="1" applyAlignment="1">
      <alignment horizontal="center" vertical="center"/>
    </xf>
    <xf numFmtId="179" fontId="18" fillId="2" borderId="0" xfId="2" applyNumberFormat="1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vertical="center"/>
    </xf>
    <xf numFmtId="0" fontId="18" fillId="2" borderId="0" xfId="3" applyFont="1" applyFill="1" applyBorder="1" applyAlignment="1">
      <alignment vertical="center"/>
    </xf>
    <xf numFmtId="176" fontId="18" fillId="2" borderId="0" xfId="3" applyNumberFormat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41" fontId="27" fillId="2" borderId="0" xfId="2" applyFont="1" applyFill="1" applyAlignment="1">
      <alignment vertical="center"/>
    </xf>
    <xf numFmtId="176" fontId="27" fillId="2" borderId="0" xfId="3" applyNumberFormat="1" applyFont="1" applyFill="1" applyBorder="1" applyAlignment="1">
      <alignment vertical="center"/>
    </xf>
    <xf numFmtId="183" fontId="27" fillId="2" borderId="0" xfId="3" applyNumberFormat="1" applyFont="1" applyFill="1" applyBorder="1" applyAlignment="1">
      <alignment vertical="center"/>
    </xf>
    <xf numFmtId="176" fontId="36" fillId="2" borderId="0" xfId="3" applyNumberFormat="1" applyFont="1" applyFill="1" applyBorder="1" applyAlignment="1">
      <alignment vertical="center"/>
    </xf>
    <xf numFmtId="176" fontId="27" fillId="2" borderId="0" xfId="3" applyNumberFormat="1" applyFont="1" applyFill="1" applyBorder="1" applyAlignment="1">
      <alignment horizontal="right" vertical="center"/>
    </xf>
    <xf numFmtId="176" fontId="27" fillId="2" borderId="5" xfId="3" applyNumberFormat="1" applyFont="1" applyFill="1" applyBorder="1" applyAlignment="1">
      <alignment vertical="center"/>
    </xf>
    <xf numFmtId="41" fontId="18" fillId="2" borderId="0" xfId="2" applyFont="1" applyFill="1" applyAlignment="1">
      <alignment vertical="center"/>
    </xf>
    <xf numFmtId="176" fontId="18" fillId="2" borderId="13" xfId="3" applyNumberFormat="1" applyFont="1" applyFill="1" applyBorder="1" applyAlignment="1">
      <alignment vertical="center"/>
    </xf>
    <xf numFmtId="176" fontId="18" fillId="2" borderId="13" xfId="3" applyNumberFormat="1" applyFont="1" applyFill="1" applyBorder="1" applyAlignment="1">
      <alignment horizontal="right" vertical="center"/>
    </xf>
    <xf numFmtId="176" fontId="18" fillId="2" borderId="34" xfId="3" applyNumberFormat="1" applyFont="1" applyFill="1" applyBorder="1" applyAlignment="1">
      <alignment vertical="center"/>
    </xf>
    <xf numFmtId="0" fontId="20" fillId="2" borderId="28" xfId="3" applyFont="1" applyFill="1" applyBorder="1" applyAlignment="1">
      <alignment vertical="center"/>
    </xf>
    <xf numFmtId="176" fontId="20" fillId="2" borderId="28" xfId="3" applyNumberFormat="1" applyFont="1" applyFill="1" applyBorder="1" applyAlignment="1">
      <alignment vertical="center"/>
    </xf>
    <xf numFmtId="176" fontId="20" fillId="2" borderId="13" xfId="3" applyNumberFormat="1" applyFont="1" applyFill="1" applyBorder="1" applyAlignment="1">
      <alignment vertical="center"/>
    </xf>
    <xf numFmtId="176" fontId="20" fillId="2" borderId="13" xfId="3" applyNumberFormat="1" applyFont="1" applyFill="1" applyBorder="1" applyAlignment="1">
      <alignment horizontal="right" vertical="center"/>
    </xf>
    <xf numFmtId="176" fontId="20" fillId="2" borderId="34" xfId="3" applyNumberFormat="1" applyFont="1" applyFill="1" applyBorder="1" applyAlignment="1">
      <alignment vertical="center"/>
    </xf>
    <xf numFmtId="41" fontId="29" fillId="2" borderId="0" xfId="2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horizontal="right" vertical="center"/>
    </xf>
    <xf numFmtId="176" fontId="20" fillId="2" borderId="49" xfId="3" applyNumberFormat="1" applyFont="1" applyFill="1" applyBorder="1" applyAlignment="1">
      <alignment vertical="center"/>
    </xf>
    <xf numFmtId="0" fontId="27" fillId="2" borderId="0" xfId="3" applyFont="1" applyFill="1" applyBorder="1" applyAlignment="1">
      <alignment vertical="center"/>
    </xf>
    <xf numFmtId="41" fontId="27" fillId="2" borderId="0" xfId="2" applyFont="1" applyFill="1" applyBorder="1" applyAlignment="1">
      <alignment vertical="center"/>
    </xf>
    <xf numFmtId="176" fontId="27" fillId="2" borderId="0" xfId="3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9" fontId="27" fillId="2" borderId="0" xfId="3" applyNumberFormat="1" applyFont="1" applyFill="1" applyBorder="1" applyAlignment="1">
      <alignment vertical="center"/>
    </xf>
    <xf numFmtId="9" fontId="27" fillId="2" borderId="0" xfId="1" applyFont="1" applyFill="1" applyBorder="1" applyAlignment="1">
      <alignment vertical="center"/>
    </xf>
    <xf numFmtId="180" fontId="27" fillId="2" borderId="0" xfId="1" applyNumberFormat="1" applyFont="1" applyFill="1" applyBorder="1" applyAlignment="1">
      <alignment vertical="center"/>
    </xf>
    <xf numFmtId="42" fontId="27" fillId="2" borderId="0" xfId="3" applyNumberFormat="1" applyFont="1" applyFill="1" applyBorder="1" applyAlignment="1">
      <alignment horizontal="center" vertical="center"/>
    </xf>
    <xf numFmtId="176" fontId="20" fillId="2" borderId="0" xfId="3" applyNumberFormat="1" applyFont="1" applyFill="1" applyBorder="1" applyAlignment="1">
      <alignment horizontal="right" vertical="center"/>
    </xf>
    <xf numFmtId="176" fontId="20" fillId="2" borderId="5" xfId="3" applyNumberFormat="1" applyFont="1" applyFill="1" applyBorder="1" applyAlignment="1">
      <alignment vertical="center"/>
    </xf>
    <xf numFmtId="176" fontId="27" fillId="2" borderId="13" xfId="3" applyNumberFormat="1" applyFont="1" applyFill="1" applyBorder="1" applyAlignment="1">
      <alignment vertical="center"/>
    </xf>
    <xf numFmtId="176" fontId="27" fillId="2" borderId="13" xfId="3" applyNumberFormat="1" applyFont="1" applyFill="1" applyBorder="1" applyAlignment="1">
      <alignment horizontal="right" vertical="center"/>
    </xf>
    <xf numFmtId="176" fontId="27" fillId="2" borderId="34" xfId="3" applyNumberFormat="1" applyFont="1" applyFill="1" applyBorder="1" applyAlignment="1">
      <alignment vertical="center"/>
    </xf>
    <xf numFmtId="184" fontId="27" fillId="2" borderId="0" xfId="1" applyNumberFormat="1" applyFont="1" applyFill="1" applyBorder="1" applyAlignment="1">
      <alignment horizontal="center" vertical="center"/>
    </xf>
    <xf numFmtId="41" fontId="27" fillId="2" borderId="0" xfId="2" applyNumberFormat="1" applyFont="1" applyFill="1" applyBorder="1" applyAlignment="1">
      <alignment horizontal="left" vertical="center"/>
    </xf>
    <xf numFmtId="178" fontId="41" fillId="2" borderId="0" xfId="0" applyNumberFormat="1" applyFont="1" applyFill="1" applyBorder="1">
      <alignment vertical="center"/>
    </xf>
    <xf numFmtId="9" fontId="27" fillId="2" borderId="0" xfId="1" applyFont="1" applyFill="1" applyBorder="1" applyAlignment="1">
      <alignment horizontal="center" vertical="center"/>
    </xf>
    <xf numFmtId="10" fontId="27" fillId="2" borderId="0" xfId="1" applyNumberFormat="1" applyFont="1" applyFill="1" applyBorder="1" applyAlignment="1">
      <alignment horizontal="center" vertical="center"/>
    </xf>
    <xf numFmtId="41" fontId="27" fillId="2" borderId="0" xfId="2" applyNumberFormat="1" applyFont="1" applyFill="1" applyBorder="1" applyAlignment="1">
      <alignment horizontal="center" vertical="center"/>
    </xf>
    <xf numFmtId="179" fontId="27" fillId="2" borderId="0" xfId="2" applyNumberFormat="1" applyFont="1" applyFill="1" applyBorder="1" applyAlignment="1">
      <alignment horizontal="center" vertical="center"/>
    </xf>
    <xf numFmtId="0" fontId="29" fillId="2" borderId="13" xfId="3" applyFont="1" applyFill="1" applyBorder="1" applyAlignment="1">
      <alignment vertical="center"/>
    </xf>
    <xf numFmtId="176" fontId="29" fillId="2" borderId="13" xfId="3" applyNumberFormat="1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0" fontId="29" fillId="2" borderId="34" xfId="0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29" fillId="2" borderId="0" xfId="3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0" fontId="18" fillId="2" borderId="34" xfId="0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center" vertical="center"/>
    </xf>
    <xf numFmtId="0" fontId="38" fillId="2" borderId="28" xfId="3" applyFont="1" applyFill="1" applyBorder="1" applyAlignment="1">
      <alignment vertical="center"/>
    </xf>
    <xf numFmtId="176" fontId="38" fillId="2" borderId="28" xfId="3" applyNumberFormat="1" applyFont="1" applyFill="1" applyBorder="1" applyAlignment="1">
      <alignment vertical="center"/>
    </xf>
    <xf numFmtId="176" fontId="38" fillId="2" borderId="48" xfId="3" applyNumberFormat="1" applyFont="1" applyFill="1" applyBorder="1" applyAlignment="1">
      <alignment vertical="center"/>
    </xf>
    <xf numFmtId="176" fontId="38" fillId="2" borderId="48" xfId="3" applyNumberFormat="1" applyFont="1" applyFill="1" applyBorder="1" applyAlignment="1">
      <alignment horizontal="right" vertical="center"/>
    </xf>
    <xf numFmtId="0" fontId="29" fillId="2" borderId="13" xfId="3" applyFont="1" applyFill="1" applyBorder="1" applyAlignment="1">
      <alignment horizontal="center" vertical="center"/>
    </xf>
    <xf numFmtId="176" fontId="40" fillId="2" borderId="0" xfId="3" applyNumberFormat="1" applyFont="1" applyFill="1" applyBorder="1" applyAlignment="1">
      <alignment vertical="center"/>
    </xf>
    <xf numFmtId="0" fontId="40" fillId="2" borderId="0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38" fontId="18" fillId="2" borderId="1" xfId="3" applyNumberFormat="1" applyFont="1" applyFill="1" applyBorder="1" applyAlignment="1">
      <alignment vertical="center"/>
    </xf>
    <xf numFmtId="9" fontId="18" fillId="2" borderId="1" xfId="1" applyFont="1" applyFill="1" applyBorder="1" applyAlignment="1">
      <alignment horizontal="center" vertical="center"/>
    </xf>
    <xf numFmtId="0" fontId="38" fillId="2" borderId="48" xfId="3" applyFont="1" applyFill="1" applyBorder="1" applyAlignment="1">
      <alignment vertical="center"/>
    </xf>
    <xf numFmtId="0" fontId="18" fillId="2" borderId="11" xfId="3" applyFont="1" applyFill="1" applyBorder="1" applyAlignment="1">
      <alignment horizontal="center" vertical="center" wrapText="1"/>
    </xf>
    <xf numFmtId="38" fontId="18" fillId="2" borderId="11" xfId="3" applyNumberFormat="1" applyFont="1" applyFill="1" applyBorder="1" applyAlignment="1">
      <alignment vertical="center"/>
    </xf>
    <xf numFmtId="9" fontId="18" fillId="2" borderId="11" xfId="1" applyFont="1" applyFill="1" applyBorder="1" applyAlignment="1">
      <alignment horizontal="center" vertical="center"/>
    </xf>
    <xf numFmtId="176" fontId="29" fillId="2" borderId="34" xfId="3" applyNumberFormat="1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186" fontId="27" fillId="2" borderId="0" xfId="1" applyNumberFormat="1" applyFont="1" applyFill="1" applyBorder="1" applyAlignment="1">
      <alignment horizontal="center" vertical="center"/>
    </xf>
    <xf numFmtId="181" fontId="45" fillId="0" borderId="61" xfId="7" applyNumberFormat="1" applyFont="1" applyBorder="1" applyAlignment="1">
      <alignment vertical="center"/>
    </xf>
    <xf numFmtId="0" fontId="2" fillId="0" borderId="60" xfId="6" applyFont="1" applyBorder="1" applyAlignment="1">
      <alignment horizontal="center" vertical="center"/>
    </xf>
    <xf numFmtId="0" fontId="2" fillId="0" borderId="55" xfId="6" applyFont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49" fontId="39" fillId="0" borderId="0" xfId="2" applyNumberFormat="1" applyFont="1" applyFill="1" applyAlignment="1">
      <alignment vertical="center"/>
    </xf>
    <xf numFmtId="41" fontId="39" fillId="0" borderId="0" xfId="2" applyFont="1" applyFill="1" applyAlignment="1">
      <alignment vertical="center"/>
    </xf>
    <xf numFmtId="176" fontId="54" fillId="0" borderId="13" xfId="3" applyNumberFormat="1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vertical="center"/>
    </xf>
    <xf numFmtId="176" fontId="42" fillId="0" borderId="13" xfId="3" applyNumberFormat="1" applyFont="1" applyFill="1" applyBorder="1" applyAlignment="1">
      <alignment horizontal="right" vertical="center"/>
    </xf>
    <xf numFmtId="0" fontId="18" fillId="2" borderId="25" xfId="3" applyFont="1" applyFill="1" applyBorder="1" applyAlignment="1">
      <alignment horizontal="center" vertical="center" wrapText="1"/>
    </xf>
    <xf numFmtId="38" fontId="18" fillId="2" borderId="25" xfId="3" applyNumberFormat="1" applyFont="1" applyFill="1" applyBorder="1" applyAlignment="1">
      <alignment vertical="center"/>
    </xf>
    <xf numFmtId="9" fontId="18" fillId="2" borderId="25" xfId="1" applyFont="1" applyFill="1" applyBorder="1" applyAlignment="1">
      <alignment horizontal="center" vertical="center"/>
    </xf>
    <xf numFmtId="41" fontId="55" fillId="0" borderId="0" xfId="2" applyFont="1" applyFill="1" applyAlignment="1">
      <alignment vertical="center"/>
    </xf>
    <xf numFmtId="41" fontId="56" fillId="0" borderId="0" xfId="2" applyFont="1" applyFill="1" applyAlignment="1">
      <alignment vertical="center"/>
    </xf>
    <xf numFmtId="0" fontId="57" fillId="0" borderId="19" xfId="3" applyFont="1" applyFill="1" applyBorder="1" applyAlignment="1">
      <alignment horizontal="center" vertical="center" wrapText="1"/>
    </xf>
    <xf numFmtId="176" fontId="57" fillId="0" borderId="19" xfId="0" applyNumberFormat="1" applyFont="1" applyFill="1" applyBorder="1" applyAlignment="1">
      <alignment vertical="center"/>
    </xf>
    <xf numFmtId="38" fontId="57" fillId="0" borderId="19" xfId="3" applyNumberFormat="1" applyFont="1" applyFill="1" applyBorder="1" applyAlignment="1">
      <alignment vertical="center"/>
    </xf>
    <xf numFmtId="9" fontId="57" fillId="0" borderId="19" xfId="1" applyFont="1" applyFill="1" applyBorder="1" applyAlignment="1">
      <alignment horizontal="center" vertical="center"/>
    </xf>
    <xf numFmtId="0" fontId="58" fillId="0" borderId="48" xfId="3" applyFont="1" applyFill="1" applyBorder="1" applyAlignment="1">
      <alignment vertical="center"/>
    </xf>
    <xf numFmtId="176" fontId="58" fillId="0" borderId="48" xfId="3" applyNumberFormat="1" applyFont="1" applyFill="1" applyBorder="1" applyAlignment="1">
      <alignment vertical="center"/>
    </xf>
    <xf numFmtId="176" fontId="58" fillId="0" borderId="49" xfId="3" applyNumberFormat="1" applyFont="1" applyFill="1" applyBorder="1" applyAlignment="1">
      <alignment vertical="center"/>
    </xf>
    <xf numFmtId="0" fontId="57" fillId="0" borderId="25" xfId="3" applyFont="1" applyFill="1" applyBorder="1" applyAlignment="1">
      <alignment horizontal="center" vertical="center" wrapText="1"/>
    </xf>
    <xf numFmtId="38" fontId="57" fillId="0" borderId="25" xfId="3" applyNumberFormat="1" applyFont="1" applyFill="1" applyBorder="1" applyAlignment="1">
      <alignment vertical="center"/>
    </xf>
    <xf numFmtId="9" fontId="57" fillId="0" borderId="25" xfId="1" applyFont="1" applyFill="1" applyBorder="1" applyAlignment="1">
      <alignment horizontal="center" vertical="center"/>
    </xf>
    <xf numFmtId="0" fontId="58" fillId="0" borderId="0" xfId="3" applyFont="1" applyFill="1" applyBorder="1" applyAlignment="1">
      <alignment vertical="center"/>
    </xf>
    <xf numFmtId="0" fontId="58" fillId="2" borderId="0" xfId="3" applyFont="1" applyFill="1" applyBorder="1" applyAlignment="1">
      <alignment vertical="center"/>
    </xf>
    <xf numFmtId="176" fontId="58" fillId="2" borderId="0" xfId="3" applyNumberFormat="1" applyFont="1" applyFill="1" applyBorder="1" applyAlignment="1">
      <alignment vertical="center"/>
    </xf>
    <xf numFmtId="176" fontId="58" fillId="2" borderId="28" xfId="3" applyNumberFormat="1" applyFont="1" applyFill="1" applyBorder="1" applyAlignment="1">
      <alignment vertical="center"/>
    </xf>
    <xf numFmtId="176" fontId="58" fillId="2" borderId="28" xfId="3" applyNumberFormat="1" applyFont="1" applyFill="1" applyBorder="1" applyAlignment="1">
      <alignment horizontal="right" vertical="center"/>
    </xf>
    <xf numFmtId="176" fontId="58" fillId="2" borderId="29" xfId="3" applyNumberFormat="1" applyFont="1" applyFill="1" applyBorder="1" applyAlignment="1">
      <alignment vertical="center"/>
    </xf>
    <xf numFmtId="0" fontId="58" fillId="2" borderId="48" xfId="3" applyFont="1" applyFill="1" applyBorder="1" applyAlignment="1">
      <alignment vertical="center"/>
    </xf>
    <xf numFmtId="176" fontId="58" fillId="2" borderId="48" xfId="3" applyNumberFormat="1" applyFont="1" applyFill="1" applyBorder="1" applyAlignment="1">
      <alignment vertical="center"/>
    </xf>
    <xf numFmtId="0" fontId="58" fillId="2" borderId="48" xfId="3" applyFont="1" applyFill="1" applyBorder="1" applyAlignment="1">
      <alignment horizontal="center" vertical="center"/>
    </xf>
    <xf numFmtId="176" fontId="58" fillId="2" borderId="49" xfId="3" applyNumberFormat="1" applyFont="1" applyFill="1" applyBorder="1" applyAlignment="1">
      <alignment vertical="center"/>
    </xf>
    <xf numFmtId="0" fontId="58" fillId="0" borderId="28" xfId="3" applyFont="1" applyFill="1" applyBorder="1" applyAlignment="1">
      <alignment vertical="center"/>
    </xf>
    <xf numFmtId="176" fontId="58" fillId="0" borderId="28" xfId="3" applyNumberFormat="1" applyFont="1" applyFill="1" applyBorder="1" applyAlignment="1">
      <alignment vertical="center"/>
    </xf>
    <xf numFmtId="176" fontId="58" fillId="0" borderId="28" xfId="3" applyNumberFormat="1" applyFont="1" applyFill="1" applyBorder="1" applyAlignment="1">
      <alignment horizontal="right" vertical="center"/>
    </xf>
    <xf numFmtId="176" fontId="58" fillId="0" borderId="29" xfId="3" applyNumberFormat="1" applyFont="1" applyFill="1" applyBorder="1" applyAlignment="1">
      <alignment vertical="center"/>
    </xf>
    <xf numFmtId="0" fontId="57" fillId="0" borderId="11" xfId="3" applyFont="1" applyFill="1" applyBorder="1" applyAlignment="1">
      <alignment horizontal="center" vertical="center" wrapText="1"/>
    </xf>
    <xf numFmtId="38" fontId="57" fillId="0" borderId="33" xfId="3" applyNumberFormat="1" applyFont="1" applyFill="1" applyBorder="1" applyAlignment="1">
      <alignment vertical="center"/>
    </xf>
    <xf numFmtId="38" fontId="57" fillId="0" borderId="11" xfId="3" applyNumberFormat="1" applyFont="1" applyFill="1" applyBorder="1" applyAlignment="1">
      <alignment vertical="center"/>
    </xf>
    <xf numFmtId="176" fontId="57" fillId="0" borderId="11" xfId="0" applyNumberFormat="1" applyFont="1" applyFill="1" applyBorder="1" applyAlignment="1">
      <alignment vertical="center"/>
    </xf>
    <xf numFmtId="9" fontId="57" fillId="0" borderId="11" xfId="1" applyFont="1" applyFill="1" applyBorder="1" applyAlignment="1">
      <alignment horizontal="center" vertical="center"/>
    </xf>
    <xf numFmtId="0" fontId="58" fillId="0" borderId="13" xfId="3" applyFont="1" applyFill="1" applyBorder="1" applyAlignment="1">
      <alignment vertical="center"/>
    </xf>
    <xf numFmtId="176" fontId="58" fillId="0" borderId="13" xfId="3" applyNumberFormat="1" applyFont="1" applyFill="1" applyBorder="1" applyAlignment="1">
      <alignment vertical="center"/>
    </xf>
    <xf numFmtId="176" fontId="58" fillId="0" borderId="13" xfId="3" applyNumberFormat="1" applyFont="1" applyFill="1" applyBorder="1" applyAlignment="1">
      <alignment horizontal="right" vertical="center"/>
    </xf>
    <xf numFmtId="176" fontId="58" fillId="0" borderId="34" xfId="3" applyNumberFormat="1" applyFont="1" applyFill="1" applyBorder="1" applyAlignment="1">
      <alignment vertical="center"/>
    </xf>
    <xf numFmtId="0" fontId="57" fillId="2" borderId="19" xfId="3" applyFont="1" applyFill="1" applyBorder="1" applyAlignment="1">
      <alignment horizontal="center" vertical="center" wrapText="1"/>
    </xf>
    <xf numFmtId="38" fontId="57" fillId="2" borderId="38" xfId="3" applyNumberFormat="1" applyFont="1" applyFill="1" applyBorder="1" applyAlignment="1">
      <alignment vertical="center"/>
    </xf>
    <xf numFmtId="38" fontId="57" fillId="2" borderId="19" xfId="3" applyNumberFormat="1" applyFont="1" applyFill="1" applyBorder="1" applyAlignment="1">
      <alignment vertical="center"/>
    </xf>
    <xf numFmtId="9" fontId="57" fillId="2" borderId="19" xfId="1" applyFont="1" applyFill="1" applyBorder="1" applyAlignment="1">
      <alignment horizontal="center" vertical="center"/>
    </xf>
    <xf numFmtId="0" fontId="57" fillId="2" borderId="48" xfId="3" applyFont="1" applyFill="1" applyBorder="1" applyAlignment="1">
      <alignment vertical="center"/>
    </xf>
    <xf numFmtId="176" fontId="57" fillId="2" borderId="48" xfId="3" applyNumberFormat="1" applyFont="1" applyFill="1" applyBorder="1" applyAlignment="1">
      <alignment vertical="center"/>
    </xf>
    <xf numFmtId="176" fontId="58" fillId="2" borderId="48" xfId="3" applyNumberFormat="1" applyFont="1" applyFill="1" applyBorder="1" applyAlignment="1">
      <alignment horizontal="right" vertical="center"/>
    </xf>
    <xf numFmtId="38" fontId="57" fillId="0" borderId="31" xfId="3" applyNumberFormat="1" applyFont="1" applyFill="1" applyBorder="1" applyAlignment="1">
      <alignment vertical="center"/>
    </xf>
    <xf numFmtId="176" fontId="57" fillId="0" borderId="1" xfId="0" applyNumberFormat="1" applyFont="1" applyFill="1" applyBorder="1" applyAlignment="1">
      <alignment vertical="center"/>
    </xf>
    <xf numFmtId="176" fontId="58" fillId="0" borderId="0" xfId="3" applyNumberFormat="1" applyFont="1" applyFill="1" applyBorder="1" applyAlignment="1">
      <alignment vertical="center"/>
    </xf>
    <xf numFmtId="0" fontId="57" fillId="0" borderId="1" xfId="3" applyFont="1" applyFill="1" applyBorder="1" applyAlignment="1">
      <alignment horizontal="center" vertical="center" wrapText="1"/>
    </xf>
    <xf numFmtId="38" fontId="57" fillId="0" borderId="1" xfId="3" applyNumberFormat="1" applyFont="1" applyFill="1" applyBorder="1" applyAlignment="1">
      <alignment vertical="center"/>
    </xf>
    <xf numFmtId="9" fontId="57" fillId="0" borderId="1" xfId="1" applyFont="1" applyFill="1" applyBorder="1" applyAlignment="1">
      <alignment horizontal="center" vertical="center"/>
    </xf>
    <xf numFmtId="176" fontId="58" fillId="0" borderId="48" xfId="3" applyNumberFormat="1" applyFont="1" applyFill="1" applyBorder="1" applyAlignment="1">
      <alignment horizontal="right" vertical="center"/>
    </xf>
    <xf numFmtId="3" fontId="39" fillId="0" borderId="0" xfId="0" applyNumberFormat="1" applyFont="1" applyFill="1" applyAlignment="1">
      <alignment vertical="center"/>
    </xf>
    <xf numFmtId="184" fontId="29" fillId="2" borderId="0" xfId="1" applyNumberFormat="1" applyFont="1" applyFill="1" applyBorder="1" applyAlignment="1">
      <alignment horizontal="center" vertical="center"/>
    </xf>
    <xf numFmtId="41" fontId="29" fillId="2" borderId="0" xfId="2" applyNumberFormat="1" applyFont="1" applyFill="1" applyBorder="1" applyAlignment="1">
      <alignment horizontal="left" vertical="center"/>
    </xf>
    <xf numFmtId="176" fontId="36" fillId="2" borderId="0" xfId="3" applyNumberFormat="1" applyFont="1" applyFill="1" applyBorder="1" applyAlignment="1">
      <alignment horizontal="right" vertical="center"/>
    </xf>
    <xf numFmtId="0" fontId="29" fillId="2" borderId="32" xfId="3" applyFont="1" applyFill="1" applyBorder="1" applyAlignment="1">
      <alignment vertical="center"/>
    </xf>
    <xf numFmtId="176" fontId="20" fillId="2" borderId="28" xfId="3" applyNumberFormat="1" applyFont="1" applyFill="1" applyBorder="1" applyAlignment="1">
      <alignment horizontal="right" vertical="center"/>
    </xf>
    <xf numFmtId="176" fontId="20" fillId="2" borderId="29" xfId="3" applyNumberFormat="1" applyFont="1" applyFill="1" applyBorder="1" applyAlignment="1">
      <alignment vertical="center"/>
    </xf>
    <xf numFmtId="0" fontId="38" fillId="2" borderId="33" xfId="3" applyFont="1" applyFill="1" applyBorder="1" applyAlignment="1">
      <alignment vertical="center"/>
    </xf>
    <xf numFmtId="0" fontId="38" fillId="2" borderId="13" xfId="3" applyFont="1" applyFill="1" applyBorder="1" applyAlignment="1">
      <alignment vertical="center"/>
    </xf>
    <xf numFmtId="0" fontId="20" fillId="2" borderId="13" xfId="3" applyFont="1" applyFill="1" applyBorder="1" applyAlignment="1">
      <alignment vertical="center"/>
    </xf>
    <xf numFmtId="0" fontId="36" fillId="2" borderId="0" xfId="3" applyFont="1" applyFill="1" applyBorder="1" applyAlignment="1">
      <alignment vertical="center"/>
    </xf>
    <xf numFmtId="0" fontId="18" fillId="2" borderId="33" xfId="3" applyFont="1" applyFill="1" applyBorder="1" applyAlignment="1">
      <alignment vertical="center"/>
    </xf>
    <xf numFmtId="0" fontId="36" fillId="2" borderId="13" xfId="3" applyFont="1" applyFill="1" applyBorder="1" applyAlignment="1">
      <alignment vertical="center"/>
    </xf>
    <xf numFmtId="178" fontId="27" fillId="2" borderId="0" xfId="3" applyNumberFormat="1" applyFont="1" applyFill="1" applyBorder="1" applyAlignment="1">
      <alignment horizontal="center" vertical="center"/>
    </xf>
    <xf numFmtId="178" fontId="27" fillId="2" borderId="0" xfId="0" applyNumberFormat="1" applyFont="1" applyFill="1" applyBorder="1">
      <alignment vertical="center"/>
    </xf>
    <xf numFmtId="176" fontId="18" fillId="2" borderId="28" xfId="3" applyNumberFormat="1" applyFont="1" applyFill="1" applyBorder="1" applyAlignment="1">
      <alignment horizontal="right" vertical="center"/>
    </xf>
    <xf numFmtId="0" fontId="33" fillId="0" borderId="40" xfId="6" applyFont="1" applyBorder="1" applyAlignment="1">
      <alignment horizontal="center" vertical="center"/>
    </xf>
    <xf numFmtId="0" fontId="33" fillId="0" borderId="8" xfId="6" applyFont="1" applyBorder="1" applyAlignment="1">
      <alignment horizontal="center" vertical="center"/>
    </xf>
    <xf numFmtId="0" fontId="33" fillId="0" borderId="10" xfId="6" applyFont="1" applyBorder="1" applyAlignment="1">
      <alignment horizontal="center" vertical="center"/>
    </xf>
    <xf numFmtId="0" fontId="33" fillId="0" borderId="9" xfId="6" applyFont="1" applyBorder="1" applyAlignment="1">
      <alignment horizontal="center" vertical="center"/>
    </xf>
    <xf numFmtId="0" fontId="33" fillId="0" borderId="14" xfId="6" applyFont="1" applyBorder="1" applyAlignment="1">
      <alignment horizontal="center" vertical="center"/>
    </xf>
    <xf numFmtId="0" fontId="33" fillId="0" borderId="19" xfId="6" applyFont="1" applyBorder="1" applyAlignment="1">
      <alignment horizontal="center" vertical="center"/>
    </xf>
    <xf numFmtId="0" fontId="33" fillId="0" borderId="43" xfId="6" applyFont="1" applyBorder="1" applyAlignment="1">
      <alignment horizontal="center" vertical="center"/>
    </xf>
    <xf numFmtId="0" fontId="33" fillId="0" borderId="44" xfId="6" applyFont="1" applyBorder="1" applyAlignment="1">
      <alignment horizontal="center" vertical="center"/>
    </xf>
    <xf numFmtId="0" fontId="33" fillId="0" borderId="19" xfId="6" applyFont="1" applyBorder="1" applyAlignment="1">
      <alignment horizontal="center" vertical="center" wrapText="1"/>
    </xf>
    <xf numFmtId="0" fontId="33" fillId="0" borderId="44" xfId="6" applyFont="1" applyBorder="1" applyAlignment="1">
      <alignment horizontal="center" vertical="center" wrapText="1"/>
    </xf>
    <xf numFmtId="0" fontId="33" fillId="0" borderId="38" xfId="6" applyFont="1" applyBorder="1" applyAlignment="1">
      <alignment horizontal="center" vertical="center"/>
    </xf>
    <xf numFmtId="0" fontId="33" fillId="0" borderId="45" xfId="6" applyFont="1" applyBorder="1" applyAlignment="1">
      <alignment horizontal="center" vertical="center"/>
    </xf>
    <xf numFmtId="0" fontId="33" fillId="0" borderId="17" xfId="6" applyFont="1" applyBorder="1" applyAlignment="1">
      <alignment horizontal="center" vertical="center"/>
    </xf>
    <xf numFmtId="0" fontId="33" fillId="0" borderId="46" xfId="6" applyFont="1" applyBorder="1" applyAlignment="1">
      <alignment horizontal="center" vertical="center"/>
    </xf>
    <xf numFmtId="0" fontId="9" fillId="0" borderId="2" xfId="6" applyBorder="1" applyAlignment="1">
      <alignment horizontal="center" vertical="center"/>
    </xf>
    <xf numFmtId="0" fontId="9" fillId="0" borderId="16" xfId="6" applyBorder="1" applyAlignment="1">
      <alignment horizontal="center" vertical="center"/>
    </xf>
    <xf numFmtId="0" fontId="9" fillId="0" borderId="30" xfId="6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9" fillId="0" borderId="16" xfId="6" applyFont="1" applyBorder="1" applyAlignment="1">
      <alignment horizontal="center" vertical="center"/>
    </xf>
    <xf numFmtId="0" fontId="9" fillId="0" borderId="6" xfId="6" applyBorder="1" applyAlignment="1">
      <alignment horizontal="center" vertical="center"/>
    </xf>
    <xf numFmtId="0" fontId="44" fillId="0" borderId="16" xfId="6" applyFont="1" applyBorder="1" applyAlignment="1">
      <alignment horizontal="center" vertical="center"/>
    </xf>
    <xf numFmtId="0" fontId="44" fillId="0" borderId="11" xfId="6" applyFont="1" applyBorder="1" applyAlignment="1">
      <alignment horizontal="center" vertical="center"/>
    </xf>
    <xf numFmtId="0" fontId="5" fillId="0" borderId="30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53" fillId="0" borderId="12" xfId="3" applyFont="1" applyFill="1" applyBorder="1" applyAlignment="1">
      <alignment horizontal="left" vertical="center" wrapText="1"/>
    </xf>
    <xf numFmtId="0" fontId="18" fillId="0" borderId="40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178" fontId="19" fillId="0" borderId="22" xfId="3" applyNumberFormat="1" applyFont="1" applyFill="1" applyBorder="1" applyAlignment="1">
      <alignment horizontal="center" vertical="center" wrapText="1"/>
    </xf>
    <xf numFmtId="178" fontId="19" fillId="0" borderId="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50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/>
    </xf>
    <xf numFmtId="0" fontId="36" fillId="0" borderId="38" xfId="3" applyFont="1" applyFill="1" applyBorder="1" applyAlignment="1">
      <alignment horizontal="center" vertical="center" wrapText="1"/>
    </xf>
    <xf numFmtId="0" fontId="36" fillId="0" borderId="18" xfId="3" applyFont="1" applyFill="1" applyBorder="1" applyAlignment="1">
      <alignment horizontal="center" vertical="center" wrapText="1"/>
    </xf>
    <xf numFmtId="176" fontId="18" fillId="0" borderId="48" xfId="3" applyNumberFormat="1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35" fillId="0" borderId="38" xfId="3" applyFont="1" applyFill="1" applyBorder="1" applyAlignment="1">
      <alignment horizontal="center" vertical="center" wrapText="1"/>
    </xf>
    <xf numFmtId="0" fontId="35" fillId="0" borderId="18" xfId="3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center" vertical="center" wrapText="1"/>
    </xf>
    <xf numFmtId="0" fontId="20" fillId="0" borderId="32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0" fontId="35" fillId="0" borderId="19" xfId="3" applyFont="1" applyFill="1" applyBorder="1" applyAlignment="1">
      <alignment horizontal="center" vertical="center" wrapText="1"/>
    </xf>
    <xf numFmtId="0" fontId="18" fillId="0" borderId="37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58" fillId="2" borderId="48" xfId="3" applyNumberFormat="1" applyFont="1" applyFill="1" applyBorder="1" applyAlignment="1">
      <alignment vertical="center"/>
    </xf>
    <xf numFmtId="0" fontId="58" fillId="2" borderId="48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 wrapText="1"/>
    </xf>
    <xf numFmtId="0" fontId="35" fillId="0" borderId="31" xfId="3" applyFont="1" applyFill="1" applyBorder="1" applyAlignment="1">
      <alignment horizontal="center" vertical="center" wrapText="1"/>
    </xf>
    <xf numFmtId="0" fontId="35" fillId="0" borderId="24" xfId="3" applyFont="1" applyFill="1" applyBorder="1" applyAlignment="1">
      <alignment horizontal="center" vertical="center" wrapText="1"/>
    </xf>
    <xf numFmtId="0" fontId="37" fillId="0" borderId="40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178" fontId="19" fillId="0" borderId="10" xfId="3" applyNumberFormat="1" applyFont="1" applyFill="1" applyBorder="1" applyAlignment="1">
      <alignment horizontal="center" vertical="center" wrapText="1"/>
    </xf>
    <xf numFmtId="178" fontId="19" fillId="0" borderId="41" xfId="3" applyNumberFormat="1" applyFont="1" applyFill="1" applyBorder="1" applyAlignment="1">
      <alignment horizontal="center" vertical="center" wrapText="1"/>
    </xf>
    <xf numFmtId="178" fontId="19" fillId="0" borderId="47" xfId="3" applyNumberFormat="1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1212F6"/>
      <color rgb="FFCC0099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zoomScaleNormal="100" workbookViewId="0">
      <selection activeCell="B2" sqref="B2"/>
    </sheetView>
  </sheetViews>
  <sheetFormatPr defaultRowHeight="16.5"/>
  <cols>
    <col min="1" max="1" width="1.44140625" style="167" customWidth="1"/>
    <col min="2" max="2" width="11.5546875" style="167" bestFit="1" customWidth="1"/>
    <col min="3" max="3" width="13.33203125" style="167" bestFit="1" customWidth="1"/>
    <col min="4" max="5" width="18" style="167" bestFit="1" customWidth="1"/>
    <col min="6" max="6" width="16" style="167" bestFit="1" customWidth="1"/>
    <col min="7" max="7" width="9.6640625" style="167" bestFit="1" customWidth="1"/>
    <col min="8" max="8" width="13.33203125" style="167" bestFit="1" customWidth="1"/>
    <col min="9" max="10" width="18" style="167" bestFit="1" customWidth="1"/>
    <col min="11" max="11" width="16" style="167" bestFit="1" customWidth="1"/>
    <col min="12" max="16384" width="8.88671875" style="167"/>
  </cols>
  <sheetData>
    <row r="1" spans="2:11" ht="9.9499999999999993" customHeight="1"/>
    <row r="2" spans="2:11" ht="26.25">
      <c r="B2" s="168" t="s">
        <v>429</v>
      </c>
      <c r="K2" s="169" t="s">
        <v>335</v>
      </c>
    </row>
    <row r="3" spans="2:11" ht="9.9499999999999993" customHeight="1" thickBot="1"/>
    <row r="4" spans="2:11" ht="30" customHeight="1">
      <c r="B4" s="580" t="s">
        <v>97</v>
      </c>
      <c r="C4" s="581"/>
      <c r="D4" s="581"/>
      <c r="E4" s="581"/>
      <c r="F4" s="582"/>
      <c r="G4" s="580" t="s">
        <v>98</v>
      </c>
      <c r="H4" s="581"/>
      <c r="I4" s="581"/>
      <c r="J4" s="581"/>
      <c r="K4" s="583"/>
    </row>
    <row r="5" spans="2:11" ht="16.5" customHeight="1">
      <c r="B5" s="584" t="s">
        <v>99</v>
      </c>
      <c r="C5" s="585"/>
      <c r="D5" s="588" t="s">
        <v>426</v>
      </c>
      <c r="E5" s="588" t="s">
        <v>428</v>
      </c>
      <c r="F5" s="590" t="s">
        <v>390</v>
      </c>
      <c r="G5" s="584" t="s">
        <v>99</v>
      </c>
      <c r="H5" s="585"/>
      <c r="I5" s="588" t="s">
        <v>425</v>
      </c>
      <c r="J5" s="588" t="s">
        <v>427</v>
      </c>
      <c r="K5" s="592" t="s">
        <v>390</v>
      </c>
    </row>
    <row r="6" spans="2:11" ht="22.5" customHeight="1" thickBot="1">
      <c r="B6" s="586"/>
      <c r="C6" s="587"/>
      <c r="D6" s="589"/>
      <c r="E6" s="589"/>
      <c r="F6" s="591"/>
      <c r="G6" s="586"/>
      <c r="H6" s="587"/>
      <c r="I6" s="589"/>
      <c r="J6" s="589"/>
      <c r="K6" s="593"/>
    </row>
    <row r="7" spans="2:11" ht="24.95" customHeight="1" thickTop="1">
      <c r="B7" s="600" t="s">
        <v>100</v>
      </c>
      <c r="C7" s="601"/>
      <c r="D7" s="312">
        <f>SUM(D8:D23)/2</f>
        <v>466255</v>
      </c>
      <c r="E7" s="312">
        <f>SUM(E8:E23)/2</f>
        <v>507951</v>
      </c>
      <c r="F7" s="313">
        <f>SUM(F8:F23)/2</f>
        <v>41696</v>
      </c>
      <c r="G7" s="600" t="s">
        <v>100</v>
      </c>
      <c r="H7" s="601"/>
      <c r="I7" s="312">
        <f>SUM(I8:I24)/2</f>
        <v>466255</v>
      </c>
      <c r="J7" s="312">
        <f>SUM(J8:J24)/2</f>
        <v>507951</v>
      </c>
      <c r="K7" s="500">
        <f>SUM(K8:K24)/2</f>
        <v>41696</v>
      </c>
    </row>
    <row r="8" spans="2:11" ht="24.95" customHeight="1">
      <c r="B8" s="597" t="s">
        <v>315</v>
      </c>
      <c r="C8" s="383" t="s">
        <v>388</v>
      </c>
      <c r="D8" s="384">
        <f>D9</f>
        <v>0</v>
      </c>
      <c r="E8" s="384">
        <f>E9</f>
        <v>0</v>
      </c>
      <c r="F8" s="396">
        <f>F9</f>
        <v>0</v>
      </c>
      <c r="G8" s="594" t="s">
        <v>101</v>
      </c>
      <c r="H8" s="383" t="s">
        <v>388</v>
      </c>
      <c r="I8" s="384">
        <f>SUM(I9:I11)</f>
        <v>107381</v>
      </c>
      <c r="J8" s="384">
        <f>SUM(J9:J11)</f>
        <v>113305</v>
      </c>
      <c r="K8" s="402">
        <f>SUM(K9:K11)</f>
        <v>5924</v>
      </c>
    </row>
    <row r="9" spans="2:11" ht="24.95" customHeight="1">
      <c r="B9" s="595"/>
      <c r="C9" s="391" t="s">
        <v>316</v>
      </c>
      <c r="D9" s="388">
        <v>0</v>
      </c>
      <c r="E9" s="388">
        <v>0</v>
      </c>
      <c r="F9" s="397">
        <f>E9-D9</f>
        <v>0</v>
      </c>
      <c r="G9" s="596"/>
      <c r="H9" s="385" t="s">
        <v>102</v>
      </c>
      <c r="I9" s="386">
        <v>80933</v>
      </c>
      <c r="J9" s="386">
        <f>세출!AA6/1000</f>
        <v>83007</v>
      </c>
      <c r="K9" s="399">
        <f>J9-I9</f>
        <v>2074</v>
      </c>
    </row>
    <row r="10" spans="2:11" ht="24.95" customHeight="1">
      <c r="B10" s="594" t="s">
        <v>103</v>
      </c>
      <c r="C10" s="383" t="s">
        <v>388</v>
      </c>
      <c r="D10" s="389">
        <f>SUM(D11:D14)</f>
        <v>22774</v>
      </c>
      <c r="E10" s="389">
        <f>SUM(E11:E14)</f>
        <v>15000</v>
      </c>
      <c r="F10" s="398">
        <f>SUM(F11:F14)</f>
        <v>-7774</v>
      </c>
      <c r="G10" s="596"/>
      <c r="H10" s="385" t="s">
        <v>104</v>
      </c>
      <c r="I10" s="386">
        <v>1100</v>
      </c>
      <c r="J10" s="386">
        <f>세출!AA43/1000</f>
        <v>1420</v>
      </c>
      <c r="K10" s="399">
        <f>J10-I10</f>
        <v>320</v>
      </c>
    </row>
    <row r="11" spans="2:11" ht="24.95" customHeight="1">
      <c r="B11" s="596"/>
      <c r="C11" s="392" t="s">
        <v>126</v>
      </c>
      <c r="D11" s="386">
        <v>0</v>
      </c>
      <c r="E11" s="386">
        <v>0</v>
      </c>
      <c r="F11" s="399">
        <f t="shared" ref="F11:F23" si="0">E11-D11</f>
        <v>0</v>
      </c>
      <c r="G11" s="595"/>
      <c r="H11" s="387" t="s">
        <v>67</v>
      </c>
      <c r="I11" s="388">
        <v>25348</v>
      </c>
      <c r="J11" s="388">
        <f>세출!AA53/1000</f>
        <v>28878</v>
      </c>
      <c r="K11" s="397">
        <f>J11-I11</f>
        <v>3530</v>
      </c>
    </row>
    <row r="12" spans="2:11" ht="24.95" customHeight="1">
      <c r="B12" s="596"/>
      <c r="C12" s="392" t="s">
        <v>127</v>
      </c>
      <c r="D12" s="386">
        <v>0</v>
      </c>
      <c r="E12" s="386">
        <v>0</v>
      </c>
      <c r="F12" s="399">
        <f t="shared" si="0"/>
        <v>0</v>
      </c>
      <c r="G12" s="594" t="s">
        <v>68</v>
      </c>
      <c r="H12" s="383" t="s">
        <v>388</v>
      </c>
      <c r="I12" s="389">
        <f>SUM(I13:I15)</f>
        <v>2500</v>
      </c>
      <c r="J12" s="389">
        <f>SUM(J13:J15)</f>
        <v>2500</v>
      </c>
      <c r="K12" s="402">
        <f>SUM(K13:K15)</f>
        <v>0</v>
      </c>
    </row>
    <row r="13" spans="2:11" ht="24.95" customHeight="1">
      <c r="B13" s="596"/>
      <c r="C13" s="392" t="s">
        <v>128</v>
      </c>
      <c r="D13" s="386">
        <v>0</v>
      </c>
      <c r="E13" s="386">
        <v>0</v>
      </c>
      <c r="F13" s="399">
        <f>E13-D13</f>
        <v>0</v>
      </c>
      <c r="G13" s="596"/>
      <c r="H13" s="385" t="s">
        <v>69</v>
      </c>
      <c r="I13" s="386">
        <v>0</v>
      </c>
      <c r="J13" s="386">
        <f>세출!AA98/1000</f>
        <v>0</v>
      </c>
      <c r="K13" s="399">
        <f>J13-I13</f>
        <v>0</v>
      </c>
    </row>
    <row r="14" spans="2:11" ht="24.95" customHeight="1">
      <c r="B14" s="595"/>
      <c r="C14" s="393" t="s">
        <v>230</v>
      </c>
      <c r="D14" s="388">
        <v>22774</v>
      </c>
      <c r="E14" s="388">
        <f>세입!X18/1000</f>
        <v>15000</v>
      </c>
      <c r="F14" s="397">
        <f t="shared" si="0"/>
        <v>-7774</v>
      </c>
      <c r="G14" s="596"/>
      <c r="H14" s="385" t="s">
        <v>71</v>
      </c>
      <c r="I14" s="386">
        <v>1500</v>
      </c>
      <c r="J14" s="386">
        <f>세출!AA101/1000</f>
        <v>1500</v>
      </c>
      <c r="K14" s="399">
        <f>J14-I14</f>
        <v>0</v>
      </c>
    </row>
    <row r="15" spans="2:11" ht="24.95" customHeight="1">
      <c r="B15" s="594" t="s">
        <v>70</v>
      </c>
      <c r="C15" s="383" t="s">
        <v>388</v>
      </c>
      <c r="D15" s="389">
        <f>SUM(D16:D17)</f>
        <v>92246</v>
      </c>
      <c r="E15" s="389">
        <f>SUM(E16:E17)</f>
        <v>486175</v>
      </c>
      <c r="F15" s="398">
        <f>SUM(F16:F17)</f>
        <v>393929</v>
      </c>
      <c r="G15" s="595"/>
      <c r="H15" s="387" t="s">
        <v>72</v>
      </c>
      <c r="I15" s="388">
        <v>1000</v>
      </c>
      <c r="J15" s="388">
        <f>세출!AA104/1000</f>
        <v>1000</v>
      </c>
      <c r="K15" s="397">
        <f>J15-I15</f>
        <v>0</v>
      </c>
    </row>
    <row r="16" spans="2:11" ht="24.95" customHeight="1">
      <c r="B16" s="596"/>
      <c r="C16" s="394" t="s">
        <v>380</v>
      </c>
      <c r="D16" s="386">
        <v>78446</v>
      </c>
      <c r="E16" s="386">
        <f>세입!X34/1000</f>
        <v>473215</v>
      </c>
      <c r="F16" s="399">
        <f t="shared" si="0"/>
        <v>394769</v>
      </c>
      <c r="G16" s="597" t="s">
        <v>318</v>
      </c>
      <c r="H16" s="383" t="s">
        <v>388</v>
      </c>
      <c r="I16" s="389">
        <f>SUM(I17:I20)</f>
        <v>356374</v>
      </c>
      <c r="J16" s="389">
        <f>SUM(J17:J20)</f>
        <v>392146</v>
      </c>
      <c r="K16" s="402">
        <f>SUM(K17:K20)</f>
        <v>35772</v>
      </c>
    </row>
    <row r="17" spans="2:11" ht="24.95" customHeight="1">
      <c r="B17" s="595"/>
      <c r="C17" s="395" t="s">
        <v>381</v>
      </c>
      <c r="D17" s="388">
        <v>13800</v>
      </c>
      <c r="E17" s="388">
        <f>세입!X44/1000</f>
        <v>12960</v>
      </c>
      <c r="F17" s="397">
        <f t="shared" si="0"/>
        <v>-840</v>
      </c>
      <c r="G17" s="602"/>
      <c r="H17" s="390" t="s">
        <v>319</v>
      </c>
      <c r="I17" s="386">
        <v>313374</v>
      </c>
      <c r="J17" s="386">
        <f>세출!AA118/1000</f>
        <v>377146</v>
      </c>
      <c r="K17" s="399">
        <f t="shared" ref="K17:K20" si="1">J17-I17</f>
        <v>63772</v>
      </c>
    </row>
    <row r="18" spans="2:11" ht="24.95" customHeight="1">
      <c r="B18" s="594" t="s">
        <v>73</v>
      </c>
      <c r="C18" s="383" t="s">
        <v>388</v>
      </c>
      <c r="D18" s="389">
        <f>D19</f>
        <v>0</v>
      </c>
      <c r="E18" s="389">
        <f>E19</f>
        <v>0</v>
      </c>
      <c r="F18" s="398">
        <f>F19</f>
        <v>0</v>
      </c>
      <c r="G18" s="602"/>
      <c r="H18" s="502" t="s">
        <v>403</v>
      </c>
      <c r="I18" s="386">
        <v>43000</v>
      </c>
      <c r="J18" s="386">
        <f>세출!AA135/1000</f>
        <v>15000</v>
      </c>
      <c r="K18" s="399">
        <f t="shared" si="1"/>
        <v>-28000</v>
      </c>
    </row>
    <row r="19" spans="2:11" ht="24.95" customHeight="1">
      <c r="B19" s="595"/>
      <c r="C19" s="391" t="s">
        <v>317</v>
      </c>
      <c r="D19" s="388">
        <v>0</v>
      </c>
      <c r="E19" s="388">
        <v>0</v>
      </c>
      <c r="F19" s="397">
        <f t="shared" si="0"/>
        <v>0</v>
      </c>
      <c r="G19" s="602"/>
      <c r="H19" s="385"/>
      <c r="I19" s="386">
        <v>0</v>
      </c>
      <c r="J19" s="386">
        <v>0</v>
      </c>
      <c r="K19" s="399">
        <f t="shared" si="1"/>
        <v>0</v>
      </c>
    </row>
    <row r="20" spans="2:11" ht="24.95" customHeight="1">
      <c r="B20" s="594" t="s">
        <v>74</v>
      </c>
      <c r="C20" s="383" t="s">
        <v>388</v>
      </c>
      <c r="D20" s="389">
        <f>D21</f>
        <v>350666</v>
      </c>
      <c r="E20" s="389">
        <f>E21</f>
        <v>6739</v>
      </c>
      <c r="F20" s="398">
        <f>F21</f>
        <v>-343927</v>
      </c>
      <c r="G20" s="603"/>
      <c r="H20" s="387"/>
      <c r="I20" s="388">
        <v>0</v>
      </c>
      <c r="J20" s="388">
        <v>0</v>
      </c>
      <c r="K20" s="397">
        <f t="shared" si="1"/>
        <v>0</v>
      </c>
    </row>
    <row r="21" spans="2:11" ht="24.95" customHeight="1">
      <c r="B21" s="595"/>
      <c r="C21" s="395" t="s">
        <v>382</v>
      </c>
      <c r="D21" s="388">
        <v>350666</v>
      </c>
      <c r="E21" s="388">
        <f>세입!F63</f>
        <v>6739</v>
      </c>
      <c r="F21" s="397">
        <f t="shared" si="0"/>
        <v>-343927</v>
      </c>
      <c r="G21" s="597" t="s">
        <v>320</v>
      </c>
      <c r="H21" s="383" t="s">
        <v>388</v>
      </c>
      <c r="I21" s="389">
        <f>I22</f>
        <v>0</v>
      </c>
      <c r="J21" s="389">
        <f>J22</f>
        <v>0</v>
      </c>
      <c r="K21" s="402">
        <f>K22</f>
        <v>0</v>
      </c>
    </row>
    <row r="22" spans="2:11" ht="24.95" customHeight="1">
      <c r="B22" s="594" t="s">
        <v>75</v>
      </c>
      <c r="C22" s="383" t="s">
        <v>388</v>
      </c>
      <c r="D22" s="389">
        <f>D23</f>
        <v>569</v>
      </c>
      <c r="E22" s="389">
        <f>E23</f>
        <v>37</v>
      </c>
      <c r="F22" s="398">
        <f>F23</f>
        <v>-532</v>
      </c>
      <c r="G22" s="598"/>
      <c r="H22" s="391" t="s">
        <v>77</v>
      </c>
      <c r="I22" s="388">
        <v>0</v>
      </c>
      <c r="J22" s="388">
        <f>세출!AA156/1000</f>
        <v>0</v>
      </c>
      <c r="K22" s="397">
        <f>J22-I22</f>
        <v>0</v>
      </c>
    </row>
    <row r="23" spans="2:11" ht="24.95" customHeight="1">
      <c r="B23" s="595"/>
      <c r="C23" s="387" t="s">
        <v>76</v>
      </c>
      <c r="D23" s="388">
        <v>569</v>
      </c>
      <c r="E23" s="388">
        <f>세입!X85/1000</f>
        <v>37</v>
      </c>
      <c r="F23" s="397">
        <f t="shared" si="0"/>
        <v>-532</v>
      </c>
      <c r="G23" s="597" t="s">
        <v>321</v>
      </c>
      <c r="H23" s="383" t="s">
        <v>388</v>
      </c>
      <c r="I23" s="389">
        <f>I24</f>
        <v>0</v>
      </c>
      <c r="J23" s="389">
        <f>J24</f>
        <v>0</v>
      </c>
      <c r="K23" s="402">
        <f>K24</f>
        <v>0</v>
      </c>
    </row>
    <row r="24" spans="2:11" ht="24.95" customHeight="1" thickBot="1">
      <c r="B24" s="376"/>
      <c r="C24" s="377"/>
      <c r="D24" s="377"/>
      <c r="E24" s="377"/>
      <c r="F24" s="377"/>
      <c r="G24" s="599"/>
      <c r="H24" s="501" t="s">
        <v>402</v>
      </c>
      <c r="I24" s="401">
        <v>0</v>
      </c>
      <c r="J24" s="401">
        <f>세출!AA159/1000</f>
        <v>0</v>
      </c>
      <c r="K24" s="400">
        <f>J24-I24</f>
        <v>0</v>
      </c>
    </row>
    <row r="25" spans="2:11" ht="24.95" customHeight="1"/>
  </sheetData>
  <mergeCells count="23">
    <mergeCell ref="B7:C7"/>
    <mergeCell ref="G7:H7"/>
    <mergeCell ref="B8:B9"/>
    <mergeCell ref="B10:B14"/>
    <mergeCell ref="B15:B17"/>
    <mergeCell ref="G16:G20"/>
    <mergeCell ref="B18:B19"/>
    <mergeCell ref="B20:B21"/>
    <mergeCell ref="B22:B23"/>
    <mergeCell ref="G8:G11"/>
    <mergeCell ref="G21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2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horizontalDpi="4294967293" verticalDpi="4294967293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0"/>
  <sheetViews>
    <sheetView zoomScaleNormal="100" workbookViewId="0">
      <pane xSplit="4" ySplit="4" topLeftCell="E40" activePane="bottomRight" state="frozen"/>
      <selection activeCell="D26" sqref="D26"/>
      <selection pane="topRight" activeCell="D26" sqref="D26"/>
      <selection pane="bottomLeft" activeCell="D26" sqref="D26"/>
      <selection pane="bottomRight" activeCell="X41" sqref="X41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10" style="9" customWidth="1"/>
    <col min="6" max="6" width="10.77734375" style="9" customWidth="1"/>
    <col min="7" max="7" width="9.44140625" style="10" bestFit="1" customWidth="1"/>
    <col min="8" max="8" width="7.77734375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04" t="s">
        <v>432</v>
      </c>
      <c r="B1" s="604"/>
      <c r="C1" s="604"/>
      <c r="D1" s="60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05" t="s">
        <v>229</v>
      </c>
      <c r="B2" s="606"/>
      <c r="C2" s="606"/>
      <c r="D2" s="606"/>
      <c r="E2" s="607" t="s">
        <v>430</v>
      </c>
      <c r="F2" s="607" t="s">
        <v>431</v>
      </c>
      <c r="G2" s="612" t="s">
        <v>23</v>
      </c>
      <c r="H2" s="612"/>
      <c r="I2" s="612" t="s">
        <v>228</v>
      </c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6"/>
      <c r="Z2" s="8"/>
    </row>
    <row r="3" spans="1:26" s="3" customFormat="1" ht="36.75" customHeight="1" thickBot="1">
      <c r="A3" s="22" t="s">
        <v>1</v>
      </c>
      <c r="B3" s="23" t="s">
        <v>2</v>
      </c>
      <c r="C3" s="23" t="s">
        <v>227</v>
      </c>
      <c r="D3" s="23" t="s">
        <v>226</v>
      </c>
      <c r="E3" s="608"/>
      <c r="F3" s="608"/>
      <c r="G3" s="135" t="s">
        <v>225</v>
      </c>
      <c r="H3" s="24" t="s">
        <v>4</v>
      </c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8"/>
      <c r="Z3" s="8"/>
    </row>
    <row r="4" spans="1:26" s="3" customFormat="1" ht="19.5" customHeight="1">
      <c r="A4" s="609" t="s">
        <v>24</v>
      </c>
      <c r="B4" s="610"/>
      <c r="C4" s="610"/>
      <c r="D4" s="611"/>
      <c r="E4" s="190">
        <f>SUM(E5,E14,E16,E18,E33,E50,E57,E63,E85)</f>
        <v>466255</v>
      </c>
      <c r="F4" s="190">
        <f>SUM(F5,F14,F16,F18,F33,F50,F57,F63,F85)</f>
        <v>507951</v>
      </c>
      <c r="G4" s="242">
        <f>SUM(G5,G14,G16,G18,G33,G50,G57,G63,G85)</f>
        <v>41696</v>
      </c>
      <c r="H4" s="191">
        <f>IF(E4=0,0,G4/E4)</f>
        <v>8.9427459222957389E-2</v>
      </c>
      <c r="I4" s="25" t="s">
        <v>224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34">
        <f>SUM(X5,X14,X16,X18,X33,X50,X57,X63,X85)</f>
        <v>507951000</v>
      </c>
      <c r="Y4" s="27" t="s">
        <v>175</v>
      </c>
      <c r="Z4" s="8"/>
    </row>
    <row r="5" spans="1:26" ht="21" customHeight="1">
      <c r="A5" s="30" t="s">
        <v>232</v>
      </c>
      <c r="B5" s="31" t="s">
        <v>234</v>
      </c>
      <c r="C5" s="613" t="s">
        <v>121</v>
      </c>
      <c r="D5" s="614"/>
      <c r="E5" s="342">
        <v>0</v>
      </c>
      <c r="F5" s="342">
        <f>ROUND(X5/1000,0)</f>
        <v>0</v>
      </c>
      <c r="G5" s="343">
        <f>F5-E5</f>
        <v>0</v>
      </c>
      <c r="H5" s="344">
        <f>IF(E5=0,0,G5/E5)</f>
        <v>0</v>
      </c>
      <c r="I5" s="345" t="s">
        <v>246</v>
      </c>
      <c r="J5" s="346"/>
      <c r="K5" s="347" t="s">
        <v>391</v>
      </c>
      <c r="L5" s="347"/>
      <c r="M5" s="347"/>
      <c r="N5" s="347"/>
      <c r="O5" s="347"/>
      <c r="P5" s="348"/>
      <c r="Q5" s="348" t="s">
        <v>221</v>
      </c>
      <c r="R5" s="348"/>
      <c r="S5" s="348"/>
      <c r="T5" s="348"/>
      <c r="U5" s="348"/>
      <c r="V5" s="348"/>
      <c r="W5" s="349"/>
      <c r="X5" s="349">
        <f>SUM(X6,X8,X10,X12)</f>
        <v>0</v>
      </c>
      <c r="Y5" s="350" t="s">
        <v>25</v>
      </c>
    </row>
    <row r="6" spans="1:26" ht="21" customHeight="1" thickBot="1">
      <c r="A6" s="40" t="s">
        <v>233</v>
      </c>
      <c r="B6" s="41" t="s">
        <v>232</v>
      </c>
      <c r="C6" s="41" t="s">
        <v>235</v>
      </c>
      <c r="D6" s="42" t="s">
        <v>236</v>
      </c>
      <c r="E6" s="339"/>
      <c r="F6" s="339"/>
      <c r="G6" s="340"/>
      <c r="H6" s="341"/>
      <c r="I6" s="35" t="s">
        <v>242</v>
      </c>
      <c r="J6" s="130"/>
      <c r="K6" s="36"/>
      <c r="L6" s="36"/>
      <c r="M6" s="36"/>
      <c r="N6" s="36"/>
      <c r="O6" s="36"/>
      <c r="P6" s="37"/>
      <c r="Q6" s="37" t="s">
        <v>79</v>
      </c>
      <c r="R6" s="37"/>
      <c r="S6" s="37"/>
      <c r="T6" s="37"/>
      <c r="U6" s="37"/>
      <c r="V6" s="37"/>
      <c r="W6" s="38"/>
      <c r="X6" s="38">
        <f>X7</f>
        <v>0</v>
      </c>
      <c r="Y6" s="39" t="s">
        <v>25</v>
      </c>
    </row>
    <row r="7" spans="1:26" ht="21" customHeight="1">
      <c r="A7" s="40"/>
      <c r="B7" s="41" t="s">
        <v>233</v>
      </c>
      <c r="C7" s="53" t="s">
        <v>233</v>
      </c>
      <c r="D7" s="324"/>
      <c r="E7" s="193"/>
      <c r="F7" s="193"/>
      <c r="G7" s="195"/>
      <c r="H7" s="196"/>
      <c r="I7" s="197"/>
      <c r="J7" s="198"/>
      <c r="K7" s="198"/>
      <c r="L7" s="199"/>
      <c r="M7" s="199"/>
      <c r="N7" s="199"/>
      <c r="O7" s="199"/>
      <c r="P7" s="200"/>
      <c r="Q7" s="200"/>
      <c r="R7" s="200"/>
      <c r="S7" s="200"/>
      <c r="T7" s="200"/>
      <c r="U7" s="200"/>
      <c r="V7" s="200"/>
      <c r="W7" s="201"/>
      <c r="X7" s="201"/>
      <c r="Y7" s="226"/>
    </row>
    <row r="8" spans="1:26" ht="21" hidden="1" customHeight="1" thickBot="1">
      <c r="A8" s="40"/>
      <c r="B8" s="41"/>
      <c r="C8" s="31" t="s">
        <v>389</v>
      </c>
      <c r="D8" s="171" t="s">
        <v>239</v>
      </c>
      <c r="E8" s="184"/>
      <c r="F8" s="184"/>
      <c r="G8" s="185"/>
      <c r="H8" s="186" t="s">
        <v>389</v>
      </c>
      <c r="I8" s="35" t="s">
        <v>242</v>
      </c>
      <c r="J8" s="130"/>
      <c r="K8" s="36"/>
      <c r="L8" s="36"/>
      <c r="M8" s="36"/>
      <c r="N8" s="36"/>
      <c r="O8" s="36"/>
      <c r="P8" s="37"/>
      <c r="Q8" s="37" t="s">
        <v>79</v>
      </c>
      <c r="R8" s="37"/>
      <c r="S8" s="37"/>
      <c r="T8" s="37"/>
      <c r="U8" s="37"/>
      <c r="V8" s="37"/>
      <c r="W8" s="38"/>
      <c r="X8" s="38">
        <f>X9</f>
        <v>0</v>
      </c>
      <c r="Y8" s="39" t="s">
        <v>25</v>
      </c>
    </row>
    <row r="9" spans="1:26" ht="21" hidden="1" customHeight="1">
      <c r="A9" s="40"/>
      <c r="B9" s="41"/>
      <c r="C9" s="53" t="s">
        <v>238</v>
      </c>
      <c r="D9" s="324" t="s">
        <v>238</v>
      </c>
      <c r="E9" s="193"/>
      <c r="F9" s="193"/>
      <c r="G9" s="195"/>
      <c r="H9" s="196"/>
      <c r="I9" s="197"/>
      <c r="J9" s="198"/>
      <c r="K9" s="199"/>
      <c r="L9" s="199"/>
      <c r="M9" s="199"/>
      <c r="N9" s="199"/>
      <c r="O9" s="199"/>
      <c r="P9" s="200"/>
      <c r="Q9" s="200"/>
      <c r="R9" s="200"/>
      <c r="S9" s="200"/>
      <c r="T9" s="200"/>
      <c r="U9" s="200"/>
      <c r="V9" s="200"/>
      <c r="W9" s="201"/>
      <c r="X9" s="201"/>
      <c r="Y9" s="226"/>
    </row>
    <row r="10" spans="1:26" ht="21" hidden="1" customHeight="1" thickBot="1">
      <c r="A10" s="40"/>
      <c r="B10" s="41"/>
      <c r="C10" s="31" t="s">
        <v>389</v>
      </c>
      <c r="D10" s="171" t="s">
        <v>240</v>
      </c>
      <c r="E10" s="184"/>
      <c r="F10" s="184"/>
      <c r="G10" s="185"/>
      <c r="H10" s="186"/>
      <c r="I10" s="35" t="s">
        <v>243</v>
      </c>
      <c r="J10" s="130"/>
      <c r="K10" s="36"/>
      <c r="L10" s="36"/>
      <c r="M10" s="36"/>
      <c r="N10" s="36"/>
      <c r="O10" s="36"/>
      <c r="P10" s="37"/>
      <c r="Q10" s="37" t="s">
        <v>79</v>
      </c>
      <c r="R10" s="37"/>
      <c r="S10" s="37"/>
      <c r="T10" s="37"/>
      <c r="U10" s="37"/>
      <c r="V10" s="37"/>
      <c r="W10" s="38"/>
      <c r="X10" s="38">
        <f>X11</f>
        <v>0</v>
      </c>
      <c r="Y10" s="39" t="s">
        <v>25</v>
      </c>
    </row>
    <row r="11" spans="1:26" ht="21" hidden="1" customHeight="1">
      <c r="A11" s="40"/>
      <c r="B11" s="41"/>
      <c r="C11" s="53" t="s">
        <v>233</v>
      </c>
      <c r="D11" s="324" t="s">
        <v>233</v>
      </c>
      <c r="E11" s="193"/>
      <c r="F11" s="193"/>
      <c r="G11" s="195"/>
      <c r="H11" s="196"/>
      <c r="I11" s="197"/>
      <c r="J11" s="198"/>
      <c r="K11" s="199"/>
      <c r="L11" s="199"/>
      <c r="M11" s="199"/>
      <c r="N11" s="199"/>
      <c r="O11" s="199"/>
      <c r="P11" s="200"/>
      <c r="Q11" s="200"/>
      <c r="R11" s="200"/>
      <c r="S11" s="200"/>
      <c r="T11" s="200"/>
      <c r="U11" s="200"/>
      <c r="V11" s="200"/>
      <c r="W11" s="201"/>
      <c r="X11" s="201"/>
      <c r="Y11" s="226"/>
    </row>
    <row r="12" spans="1:26" ht="21" customHeight="1" thickBot="1">
      <c r="A12" s="40"/>
      <c r="B12" s="41"/>
      <c r="C12" s="42" t="s">
        <v>241</v>
      </c>
      <c r="D12" s="42" t="s">
        <v>241</v>
      </c>
      <c r="E12" s="339"/>
      <c r="F12" s="339"/>
      <c r="G12" s="340"/>
      <c r="H12" s="341" t="s">
        <v>389</v>
      </c>
      <c r="I12" s="35" t="s">
        <v>244</v>
      </c>
      <c r="J12" s="130"/>
      <c r="K12" s="36"/>
      <c r="L12" s="36"/>
      <c r="M12" s="36"/>
      <c r="N12" s="36"/>
      <c r="O12" s="36"/>
      <c r="P12" s="37"/>
      <c r="Q12" s="37" t="s">
        <v>79</v>
      </c>
      <c r="R12" s="37"/>
      <c r="S12" s="37"/>
      <c r="T12" s="37"/>
      <c r="U12" s="37"/>
      <c r="V12" s="37"/>
      <c r="W12" s="38"/>
      <c r="X12" s="38">
        <f>X13</f>
        <v>0</v>
      </c>
      <c r="Y12" s="39" t="s">
        <v>25</v>
      </c>
    </row>
    <row r="13" spans="1:26" ht="21" customHeight="1">
      <c r="A13" s="40"/>
      <c r="B13" s="41"/>
      <c r="C13" s="42" t="s">
        <v>233</v>
      </c>
      <c r="D13" s="42" t="s">
        <v>233</v>
      </c>
      <c r="E13" s="43"/>
      <c r="F13" s="43"/>
      <c r="G13" s="44"/>
      <c r="H13" s="28"/>
      <c r="I13" s="365"/>
      <c r="J13" s="122"/>
      <c r="K13" s="79"/>
      <c r="L13" s="79"/>
      <c r="M13" s="192"/>
      <c r="N13" s="192"/>
      <c r="O13" s="288"/>
      <c r="P13" s="358"/>
      <c r="Q13" s="192"/>
      <c r="R13" s="288"/>
      <c r="S13" s="366"/>
      <c r="T13" s="170"/>
      <c r="U13" s="170"/>
      <c r="V13" s="170"/>
      <c r="W13" s="192"/>
      <c r="X13" s="192">
        <f>M13*P13*S13</f>
        <v>0</v>
      </c>
      <c r="Y13" s="67" t="s">
        <v>167</v>
      </c>
    </row>
    <row r="14" spans="1:26" s="11" customFormat="1" ht="19.5" hidden="1" customHeight="1" thickBot="1">
      <c r="A14" s="30" t="s">
        <v>223</v>
      </c>
      <c r="B14" s="31" t="s">
        <v>223</v>
      </c>
      <c r="C14" s="31" t="s">
        <v>223</v>
      </c>
      <c r="D14" s="31" t="s">
        <v>223</v>
      </c>
      <c r="E14" s="184">
        <v>0</v>
      </c>
      <c r="F14" s="184">
        <f>ROUND(X14/1000,0)</f>
        <v>0</v>
      </c>
      <c r="G14" s="185">
        <f>F14-E14</f>
        <v>0</v>
      </c>
      <c r="H14" s="186">
        <f>IF(E14=0,0,G14/E14)</f>
        <v>0</v>
      </c>
      <c r="I14" s="35" t="s">
        <v>222</v>
      </c>
      <c r="J14" s="130"/>
      <c r="K14" s="36"/>
      <c r="L14" s="36"/>
      <c r="M14" s="36"/>
      <c r="N14" s="36"/>
      <c r="O14" s="36"/>
      <c r="P14" s="37"/>
      <c r="Q14" s="37" t="s">
        <v>221</v>
      </c>
      <c r="R14" s="37"/>
      <c r="S14" s="37"/>
      <c r="T14" s="37"/>
      <c r="U14" s="37"/>
      <c r="V14" s="37"/>
      <c r="W14" s="38"/>
      <c r="X14" s="38">
        <f>X15</f>
        <v>0</v>
      </c>
      <c r="Y14" s="39" t="s">
        <v>25</v>
      </c>
      <c r="Z14" s="6"/>
    </row>
    <row r="15" spans="1:26" ht="21" hidden="1" customHeight="1">
      <c r="A15" s="52" t="s">
        <v>215</v>
      </c>
      <c r="B15" s="53" t="s">
        <v>215</v>
      </c>
      <c r="C15" s="53" t="s">
        <v>389</v>
      </c>
      <c r="D15" s="53" t="s">
        <v>215</v>
      </c>
      <c r="E15" s="43"/>
      <c r="F15" s="43"/>
      <c r="G15" s="44"/>
      <c r="H15" s="28"/>
      <c r="I15" s="47" t="s">
        <v>245</v>
      </c>
      <c r="J15" s="48"/>
      <c r="K15" s="49"/>
      <c r="L15" s="49"/>
      <c r="M15" s="246"/>
      <c r="N15" s="246"/>
      <c r="O15" s="247"/>
      <c r="P15" s="246"/>
      <c r="Q15" s="246"/>
      <c r="R15" s="247"/>
      <c r="S15" s="50"/>
      <c r="T15" s="318"/>
      <c r="U15" s="318"/>
      <c r="V15" s="318"/>
      <c r="W15" s="246"/>
      <c r="X15" s="246">
        <v>0</v>
      </c>
      <c r="Y15" s="51" t="s">
        <v>167</v>
      </c>
    </row>
    <row r="16" spans="1:26" ht="21" hidden="1" customHeight="1" thickBot="1">
      <c r="A16" s="30" t="s">
        <v>220</v>
      </c>
      <c r="B16" s="31" t="s">
        <v>220</v>
      </c>
      <c r="C16" s="31" t="s">
        <v>220</v>
      </c>
      <c r="D16" s="31" t="s">
        <v>220</v>
      </c>
      <c r="E16" s="184">
        <v>0</v>
      </c>
      <c r="F16" s="184">
        <f>ROUND(X16/1000,0)</f>
        <v>0</v>
      </c>
      <c r="G16" s="185">
        <f>F16-E16</f>
        <v>0</v>
      </c>
      <c r="H16" s="186" t="s">
        <v>388</v>
      </c>
      <c r="I16" s="35" t="s">
        <v>219</v>
      </c>
      <c r="J16" s="130"/>
      <c r="K16" s="36"/>
      <c r="L16" s="36"/>
      <c r="M16" s="36"/>
      <c r="N16" s="36"/>
      <c r="O16" s="36"/>
      <c r="P16" s="37"/>
      <c r="Q16" s="37" t="s">
        <v>218</v>
      </c>
      <c r="R16" s="37"/>
      <c r="S16" s="37"/>
      <c r="T16" s="37"/>
      <c r="U16" s="37"/>
      <c r="V16" s="37"/>
      <c r="W16" s="38"/>
      <c r="X16" s="38">
        <f>X17</f>
        <v>0</v>
      </c>
      <c r="Y16" s="39" t="s">
        <v>25</v>
      </c>
    </row>
    <row r="17" spans="1:26" ht="21" hidden="1" customHeight="1">
      <c r="A17" s="52" t="s">
        <v>215</v>
      </c>
      <c r="B17" s="53" t="s">
        <v>215</v>
      </c>
      <c r="C17" s="53" t="s">
        <v>215</v>
      </c>
      <c r="D17" s="324" t="s">
        <v>215</v>
      </c>
      <c r="E17" s="193"/>
      <c r="F17" s="194">
        <v>0</v>
      </c>
      <c r="G17" s="195"/>
      <c r="H17" s="196"/>
      <c r="I17" s="197"/>
      <c r="J17" s="198"/>
      <c r="K17" s="199"/>
      <c r="L17" s="199"/>
      <c r="M17" s="199"/>
      <c r="N17" s="199"/>
      <c r="O17" s="199"/>
      <c r="P17" s="200"/>
      <c r="Q17" s="200"/>
      <c r="R17" s="200"/>
      <c r="S17" s="200"/>
      <c r="T17" s="200"/>
      <c r="U17" s="200"/>
      <c r="V17" s="200"/>
      <c r="W17" s="201"/>
      <c r="X17" s="201">
        <v>0</v>
      </c>
      <c r="Y17" s="226" t="s">
        <v>167</v>
      </c>
    </row>
    <row r="18" spans="1:26" s="11" customFormat="1" ht="19.5" customHeight="1">
      <c r="A18" s="30" t="s">
        <v>209</v>
      </c>
      <c r="B18" s="31" t="s">
        <v>209</v>
      </c>
      <c r="C18" s="613" t="s">
        <v>389</v>
      </c>
      <c r="D18" s="614"/>
      <c r="E18" s="209">
        <f>SUM(E19,E22,E25,E28)</f>
        <v>22774</v>
      </c>
      <c r="F18" s="209">
        <f>SUM(F19,F22,F25,F28)</f>
        <v>15000</v>
      </c>
      <c r="G18" s="210">
        <f>F18-E18</f>
        <v>-7774</v>
      </c>
      <c r="H18" s="211">
        <f>IF(E18=0,0,G18/E18)</f>
        <v>-0.34135417581452532</v>
      </c>
      <c r="I18" s="212" t="s">
        <v>217</v>
      </c>
      <c r="J18" s="213"/>
      <c r="K18" s="214"/>
      <c r="L18" s="214"/>
      <c r="M18" s="213"/>
      <c r="N18" s="213"/>
      <c r="O18" s="213"/>
      <c r="P18" s="213"/>
      <c r="Q18" s="213"/>
      <c r="R18" s="215"/>
      <c r="S18" s="215"/>
      <c r="T18" s="215"/>
      <c r="U18" s="215"/>
      <c r="V18" s="215"/>
      <c r="W18" s="215"/>
      <c r="X18" s="216">
        <f>SUM(X19,X22,X25,X28)</f>
        <v>15000000</v>
      </c>
      <c r="Y18" s="227" t="s">
        <v>25</v>
      </c>
      <c r="Z18" s="6"/>
    </row>
    <row r="19" spans="1:26" s="11" customFormat="1" ht="19.5" customHeight="1">
      <c r="A19" s="40" t="s">
        <v>216</v>
      </c>
      <c r="B19" s="41" t="s">
        <v>215</v>
      </c>
      <c r="C19" s="31" t="s">
        <v>214</v>
      </c>
      <c r="D19" s="319" t="s">
        <v>170</v>
      </c>
      <c r="E19" s="187">
        <f>SUM(E20:E20)</f>
        <v>0</v>
      </c>
      <c r="F19" s="187">
        <f>SUM(F20:F20)</f>
        <v>0</v>
      </c>
      <c r="G19" s="188">
        <f>F19-E19</f>
        <v>0</v>
      </c>
      <c r="H19" s="189">
        <f>IF(E19=0,0,G19/E19)</f>
        <v>0</v>
      </c>
      <c r="I19" s="173" t="s">
        <v>213</v>
      </c>
      <c r="J19" s="174"/>
      <c r="K19" s="175"/>
      <c r="L19" s="175"/>
      <c r="M19" s="175"/>
      <c r="N19" s="175"/>
      <c r="O19" s="175"/>
      <c r="P19" s="176"/>
      <c r="Q19" s="176"/>
      <c r="R19" s="176"/>
      <c r="S19" s="176"/>
      <c r="T19" s="176"/>
      <c r="U19" s="176"/>
      <c r="V19" s="202" t="s">
        <v>168</v>
      </c>
      <c r="W19" s="203"/>
      <c r="X19" s="204">
        <f>X20</f>
        <v>0</v>
      </c>
      <c r="Y19" s="228" t="s">
        <v>167</v>
      </c>
      <c r="Z19" s="6"/>
    </row>
    <row r="20" spans="1:26" s="11" customFormat="1" ht="19.5" customHeight="1">
      <c r="A20" s="40"/>
      <c r="B20" s="41"/>
      <c r="C20" s="41" t="s">
        <v>389</v>
      </c>
      <c r="D20" s="41" t="s">
        <v>247</v>
      </c>
      <c r="E20" s="323">
        <v>0</v>
      </c>
      <c r="F20" s="323">
        <f>ROUND(X20/1000,0)</f>
        <v>0</v>
      </c>
      <c r="G20" s="231">
        <f>F20-E20</f>
        <v>0</v>
      </c>
      <c r="H20" s="232">
        <f>IF(E20=0,0,G20/E20)</f>
        <v>0</v>
      </c>
      <c r="I20" s="131"/>
      <c r="J20" s="247"/>
      <c r="K20" s="246"/>
      <c r="L20" s="246"/>
      <c r="M20" s="246"/>
      <c r="N20" s="318"/>
      <c r="O20" s="177"/>
      <c r="P20" s="246"/>
      <c r="Q20" s="48"/>
      <c r="R20" s="178"/>
      <c r="S20" s="179"/>
      <c r="T20" s="179"/>
      <c r="U20" s="318"/>
      <c r="V20" s="320" t="s">
        <v>208</v>
      </c>
      <c r="W20" s="132"/>
      <c r="X20" s="132">
        <f>X21</f>
        <v>0</v>
      </c>
      <c r="Y20" s="133" t="s">
        <v>167</v>
      </c>
      <c r="Z20" s="6"/>
    </row>
    <row r="21" spans="1:26" s="11" customFormat="1" ht="19.5" customHeight="1">
      <c r="A21" s="54"/>
      <c r="B21" s="41"/>
      <c r="C21" s="41"/>
      <c r="D21" s="53" t="s">
        <v>248</v>
      </c>
      <c r="E21" s="55"/>
      <c r="F21" s="55"/>
      <c r="G21" s="56"/>
      <c r="H21" s="78" t="s">
        <v>388</v>
      </c>
      <c r="I21" s="284"/>
      <c r="J21" s="286"/>
      <c r="K21" s="289"/>
      <c r="L21" s="289"/>
      <c r="M21" s="285"/>
      <c r="N21" s="285"/>
      <c r="O21" s="290"/>
      <c r="P21" s="285"/>
      <c r="Q21" s="291"/>
      <c r="R21" s="292"/>
      <c r="S21" s="293"/>
      <c r="T21" s="294"/>
      <c r="U21" s="294"/>
      <c r="V21" s="295"/>
      <c r="W21" s="296"/>
      <c r="X21" s="286"/>
      <c r="Y21" s="287"/>
      <c r="Z21" s="6"/>
    </row>
    <row r="22" spans="1:26" s="11" customFormat="1" ht="19.5" customHeight="1">
      <c r="A22" s="54"/>
      <c r="B22" s="41"/>
      <c r="C22" s="31" t="s">
        <v>389</v>
      </c>
      <c r="D22" s="319" t="s">
        <v>170</v>
      </c>
      <c r="E22" s="187">
        <f>SUM(E23:E24)</f>
        <v>0</v>
      </c>
      <c r="F22" s="187">
        <f>SUM(F23:F24)</f>
        <v>0</v>
      </c>
      <c r="G22" s="188">
        <f>F22-E22</f>
        <v>0</v>
      </c>
      <c r="H22" s="189">
        <f>IF(E22=0,0,G22/E22)</f>
        <v>0</v>
      </c>
      <c r="I22" s="173" t="s">
        <v>212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02" t="s">
        <v>168</v>
      </c>
      <c r="W22" s="203"/>
      <c r="X22" s="203">
        <f>X23</f>
        <v>0</v>
      </c>
      <c r="Y22" s="228" t="s">
        <v>167</v>
      </c>
      <c r="Z22" s="6"/>
    </row>
    <row r="23" spans="1:26" s="11" customFormat="1" ht="19.5" customHeight="1">
      <c r="A23" s="54"/>
      <c r="B23" s="41"/>
      <c r="C23" s="41" t="s">
        <v>209</v>
      </c>
      <c r="D23" s="31" t="s">
        <v>249</v>
      </c>
      <c r="E23" s="32">
        <v>0</v>
      </c>
      <c r="F23" s="205">
        <f>ROUND(X23/1000,0)</f>
        <v>0</v>
      </c>
      <c r="G23" s="33">
        <f>F23-E23</f>
        <v>0</v>
      </c>
      <c r="H23" s="112">
        <f>IF(E23=0,0,G23/E23)</f>
        <v>0</v>
      </c>
      <c r="I23" s="131"/>
      <c r="J23" s="148"/>
      <c r="K23" s="82"/>
      <c r="L23" s="82"/>
      <c r="M23" s="82"/>
      <c r="N23" s="208"/>
      <c r="O23" s="206"/>
      <c r="P23" s="82"/>
      <c r="Q23" s="207"/>
      <c r="R23" s="322"/>
      <c r="S23" s="321"/>
      <c r="T23" s="321"/>
      <c r="U23" s="208"/>
      <c r="V23" s="320" t="s">
        <v>208</v>
      </c>
      <c r="W23" s="132"/>
      <c r="X23" s="132">
        <f>X24</f>
        <v>0</v>
      </c>
      <c r="Y23" s="133" t="s">
        <v>167</v>
      </c>
      <c r="Z23" s="6"/>
    </row>
    <row r="24" spans="1:26" s="11" customFormat="1" ht="19.5" customHeight="1">
      <c r="A24" s="54"/>
      <c r="B24" s="76"/>
      <c r="C24" s="77"/>
      <c r="D24" s="53" t="s">
        <v>248</v>
      </c>
      <c r="E24" s="55"/>
      <c r="F24" s="55"/>
      <c r="G24" s="56"/>
      <c r="H24" s="78"/>
      <c r="I24" s="288"/>
      <c r="J24" s="192"/>
      <c r="K24" s="79"/>
      <c r="L24" s="79"/>
      <c r="M24" s="192"/>
      <c r="N24" s="192"/>
      <c r="O24" s="288"/>
      <c r="P24" s="192"/>
      <c r="Q24" s="192"/>
      <c r="R24" s="288"/>
      <c r="S24" s="288"/>
      <c r="T24" s="288"/>
      <c r="U24" s="288"/>
      <c r="V24" s="288"/>
      <c r="W24" s="288"/>
      <c r="X24" s="192"/>
      <c r="Y24" s="67"/>
      <c r="Z24" s="6"/>
    </row>
    <row r="25" spans="1:26" s="11" customFormat="1" ht="19.5" customHeight="1">
      <c r="A25" s="40"/>
      <c r="B25" s="41"/>
      <c r="C25" s="41" t="s">
        <v>211</v>
      </c>
      <c r="D25" s="319" t="s">
        <v>170</v>
      </c>
      <c r="E25" s="187">
        <f>SUM(E26:E27)</f>
        <v>0</v>
      </c>
      <c r="F25" s="187">
        <f>SUM(F26:F27)</f>
        <v>0</v>
      </c>
      <c r="G25" s="188">
        <f>F25-E25</f>
        <v>0</v>
      </c>
      <c r="H25" s="189">
        <f>IF(E25=0,0,G25/E25)</f>
        <v>0</v>
      </c>
      <c r="I25" s="173" t="s">
        <v>210</v>
      </c>
      <c r="J25" s="174"/>
      <c r="K25" s="175"/>
      <c r="L25" s="175"/>
      <c r="M25" s="175"/>
      <c r="N25" s="175"/>
      <c r="O25" s="175"/>
      <c r="P25" s="176"/>
      <c r="Q25" s="176"/>
      <c r="R25" s="176"/>
      <c r="S25" s="176"/>
      <c r="T25" s="176"/>
      <c r="U25" s="176"/>
      <c r="V25" s="202" t="s">
        <v>168</v>
      </c>
      <c r="W25" s="203"/>
      <c r="X25" s="204">
        <f>X26</f>
        <v>0</v>
      </c>
      <c r="Y25" s="228" t="s">
        <v>167</v>
      </c>
      <c r="Z25" s="6"/>
    </row>
    <row r="26" spans="1:26" s="11" customFormat="1" ht="19.5" customHeight="1">
      <c r="A26" s="40"/>
      <c r="B26" s="41"/>
      <c r="C26" s="41" t="s">
        <v>209</v>
      </c>
      <c r="D26" s="31" t="s">
        <v>250</v>
      </c>
      <c r="E26" s="205">
        <v>0</v>
      </c>
      <c r="F26" s="205">
        <f>ROUND(X26/1000,0)</f>
        <v>0</v>
      </c>
      <c r="G26" s="233">
        <f>F26-E26</f>
        <v>0</v>
      </c>
      <c r="H26" s="163">
        <f>IF(E26=0,0,G26/E26)</f>
        <v>0</v>
      </c>
      <c r="I26" s="131"/>
      <c r="J26" s="148"/>
      <c r="K26" s="82"/>
      <c r="L26" s="82"/>
      <c r="M26" s="82"/>
      <c r="N26" s="208"/>
      <c r="O26" s="206"/>
      <c r="P26" s="82"/>
      <c r="Q26" s="207"/>
      <c r="R26" s="322"/>
      <c r="S26" s="321"/>
      <c r="T26" s="321"/>
      <c r="U26" s="208"/>
      <c r="V26" s="320" t="s">
        <v>208</v>
      </c>
      <c r="W26" s="132"/>
      <c r="X26" s="132">
        <f>X27</f>
        <v>0</v>
      </c>
      <c r="Y26" s="133" t="s">
        <v>167</v>
      </c>
      <c r="Z26" s="6"/>
    </row>
    <row r="27" spans="1:26" s="11" customFormat="1" ht="19.5" customHeight="1">
      <c r="A27" s="40"/>
      <c r="B27" s="41"/>
      <c r="C27" s="41"/>
      <c r="D27" s="41" t="s">
        <v>248</v>
      </c>
      <c r="E27" s="43"/>
      <c r="F27" s="43"/>
      <c r="G27" s="44"/>
      <c r="H27" s="64"/>
      <c r="I27" s="61"/>
      <c r="J27" s="247"/>
      <c r="K27" s="246"/>
      <c r="L27" s="246"/>
      <c r="M27" s="246"/>
      <c r="N27" s="48"/>
      <c r="O27" s="68"/>
      <c r="P27" s="72"/>
      <c r="Q27" s="68"/>
      <c r="R27" s="68"/>
      <c r="S27" s="71"/>
      <c r="T27" s="70"/>
      <c r="U27" s="318"/>
      <c r="V27" s="246"/>
      <c r="W27" s="62"/>
      <c r="X27" s="62"/>
      <c r="Y27" s="51"/>
      <c r="Z27" s="6"/>
    </row>
    <row r="28" spans="1:26" s="11" customFormat="1" ht="19.5" customHeight="1">
      <c r="A28" s="40"/>
      <c r="B28" s="41"/>
      <c r="C28" s="31" t="s">
        <v>207</v>
      </c>
      <c r="D28" s="319" t="s">
        <v>177</v>
      </c>
      <c r="E28" s="187">
        <f>E29</f>
        <v>22774</v>
      </c>
      <c r="F28" s="187">
        <f>F29</f>
        <v>15000</v>
      </c>
      <c r="G28" s="188">
        <f>F28-E28</f>
        <v>-7774</v>
      </c>
      <c r="H28" s="189">
        <f>IF(E28=0,0,G28/E28)</f>
        <v>-0.34135417581452532</v>
      </c>
      <c r="I28" s="173" t="s">
        <v>206</v>
      </c>
      <c r="J28" s="174"/>
      <c r="K28" s="175"/>
      <c r="L28" s="175"/>
      <c r="M28" s="175"/>
      <c r="N28" s="175"/>
      <c r="O28" s="175"/>
      <c r="P28" s="176"/>
      <c r="Q28" s="176"/>
      <c r="R28" s="176"/>
      <c r="S28" s="176"/>
      <c r="T28" s="176"/>
      <c r="U28" s="176"/>
      <c r="V28" s="202" t="s">
        <v>176</v>
      </c>
      <c r="W28" s="203"/>
      <c r="X28" s="203">
        <f>SUM(X29:X29)</f>
        <v>15000000</v>
      </c>
      <c r="Y28" s="228" t="s">
        <v>175</v>
      </c>
      <c r="Z28" s="6"/>
    </row>
    <row r="29" spans="1:26" s="11" customFormat="1" ht="19.5" customHeight="1">
      <c r="A29" s="40"/>
      <c r="B29" s="41"/>
      <c r="C29" s="41" t="s">
        <v>205</v>
      </c>
      <c r="D29" s="41" t="s">
        <v>204</v>
      </c>
      <c r="E29" s="43">
        <v>22774</v>
      </c>
      <c r="F29" s="43">
        <f>ROUND(X29/1000,0)</f>
        <v>15000</v>
      </c>
      <c r="G29" s="233">
        <f>F29-E29</f>
        <v>-7774</v>
      </c>
      <c r="H29" s="163">
        <f>IF(E29=0,0,G29/E29)</f>
        <v>-0.34135417581452532</v>
      </c>
      <c r="I29" s="131" t="s">
        <v>357</v>
      </c>
      <c r="J29" s="148"/>
      <c r="K29" s="82"/>
      <c r="L29" s="82"/>
      <c r="M29" s="82"/>
      <c r="N29" s="208"/>
      <c r="O29" s="206"/>
      <c r="P29" s="82"/>
      <c r="Q29" s="207"/>
      <c r="R29" s="322"/>
      <c r="S29" s="321"/>
      <c r="T29" s="321"/>
      <c r="U29" s="208"/>
      <c r="V29" s="320" t="s">
        <v>208</v>
      </c>
      <c r="W29" s="132"/>
      <c r="X29" s="132">
        <f>SUM(X30:X31)</f>
        <v>15000000</v>
      </c>
      <c r="Y29" s="133" t="s">
        <v>125</v>
      </c>
      <c r="Z29" s="6"/>
    </row>
    <row r="30" spans="1:26" s="11" customFormat="1" ht="19.5" customHeight="1">
      <c r="A30" s="40"/>
      <c r="B30" s="41"/>
      <c r="C30" s="41"/>
      <c r="D30" s="41"/>
      <c r="E30" s="43"/>
      <c r="F30" s="43"/>
      <c r="G30" s="231"/>
      <c r="H30" s="232"/>
      <c r="I30" s="428" t="s">
        <v>456</v>
      </c>
      <c r="J30" s="451"/>
      <c r="K30" s="433"/>
      <c r="L30" s="433"/>
      <c r="M30" s="433"/>
      <c r="N30" s="453"/>
      <c r="O30" s="458"/>
      <c r="P30" s="577"/>
      <c r="Q30" s="458"/>
      <c r="R30" s="470"/>
      <c r="S30" s="466"/>
      <c r="T30" s="466"/>
      <c r="U30" s="453"/>
      <c r="V30" s="433"/>
      <c r="W30" s="436"/>
      <c r="X30" s="436">
        <v>15000000</v>
      </c>
      <c r="Y30" s="424" t="s">
        <v>359</v>
      </c>
      <c r="Z30" s="403"/>
    </row>
    <row r="31" spans="1:26" s="11" customFormat="1" ht="19.5" customHeight="1">
      <c r="A31" s="40"/>
      <c r="B31" s="41"/>
      <c r="C31" s="41"/>
      <c r="D31" s="41"/>
      <c r="E31" s="43"/>
      <c r="F31" s="43"/>
      <c r="G31" s="231"/>
      <c r="H31" s="232"/>
      <c r="I31" s="419" t="s">
        <v>358</v>
      </c>
      <c r="J31" s="420"/>
      <c r="K31" s="421"/>
      <c r="L31" s="421"/>
      <c r="M31" s="410"/>
      <c r="N31" s="409" t="s">
        <v>125</v>
      </c>
      <c r="O31" s="425" t="s">
        <v>141</v>
      </c>
      <c r="P31" s="426"/>
      <c r="Q31" s="425" t="s">
        <v>0</v>
      </c>
      <c r="R31" s="427"/>
      <c r="S31" s="408"/>
      <c r="T31" s="408"/>
      <c r="U31" s="409" t="s">
        <v>52</v>
      </c>
      <c r="V31" s="410"/>
      <c r="W31" s="411"/>
      <c r="X31" s="412">
        <f>M31*P31</f>
        <v>0</v>
      </c>
      <c r="Y31" s="413" t="s">
        <v>125</v>
      </c>
      <c r="Z31" s="6"/>
    </row>
    <row r="32" spans="1:26" s="11" customFormat="1" ht="19.5" customHeight="1">
      <c r="A32" s="229"/>
      <c r="B32" s="77"/>
      <c r="C32" s="77"/>
      <c r="D32" s="53"/>
      <c r="E32" s="55"/>
      <c r="F32" s="55"/>
      <c r="G32" s="56"/>
      <c r="H32" s="78"/>
      <c r="I32" s="65"/>
      <c r="J32" s="192"/>
      <c r="K32" s="79"/>
      <c r="L32" s="79"/>
      <c r="M32" s="80"/>
      <c r="N32" s="192"/>
      <c r="O32" s="79"/>
      <c r="P32" s="192"/>
      <c r="Q32" s="192"/>
      <c r="R32" s="192"/>
      <c r="S32" s="192"/>
      <c r="T32" s="192"/>
      <c r="U32" s="192"/>
      <c r="V32" s="192"/>
      <c r="W32" s="192"/>
      <c r="X32" s="192"/>
      <c r="Y32" s="67"/>
      <c r="Z32" s="6"/>
    </row>
    <row r="33" spans="1:27" s="11" customFormat="1" ht="19.5" customHeight="1">
      <c r="A33" s="30" t="s">
        <v>193</v>
      </c>
      <c r="B33" s="31" t="s">
        <v>30</v>
      </c>
      <c r="C33" s="613" t="s">
        <v>203</v>
      </c>
      <c r="D33" s="614"/>
      <c r="E33" s="209">
        <f>SUM(E34,E44)</f>
        <v>92246</v>
      </c>
      <c r="F33" s="209">
        <f>SUM(F34,F44)</f>
        <v>486175</v>
      </c>
      <c r="G33" s="210">
        <f>F33-E33</f>
        <v>393929</v>
      </c>
      <c r="H33" s="211">
        <f>IF(E33=0,0,G33/E33)</f>
        <v>4.2704182295167268</v>
      </c>
      <c r="I33" s="212" t="s">
        <v>202</v>
      </c>
      <c r="J33" s="213"/>
      <c r="K33" s="214"/>
      <c r="L33" s="214"/>
      <c r="M33" s="213"/>
      <c r="N33" s="213"/>
      <c r="O33" s="213"/>
      <c r="P33" s="213"/>
      <c r="Q33" s="213" t="s">
        <v>201</v>
      </c>
      <c r="R33" s="215"/>
      <c r="S33" s="215"/>
      <c r="T33" s="215"/>
      <c r="U33" s="215"/>
      <c r="V33" s="215"/>
      <c r="W33" s="215"/>
      <c r="X33" s="216">
        <f>X34+X44</f>
        <v>486175000</v>
      </c>
      <c r="Y33" s="227" t="s">
        <v>25</v>
      </c>
      <c r="Z33" s="6"/>
    </row>
    <row r="34" spans="1:27" s="11" customFormat="1" ht="19.5" customHeight="1">
      <c r="A34" s="40" t="s">
        <v>200</v>
      </c>
      <c r="B34" s="41" t="s">
        <v>200</v>
      </c>
      <c r="C34" s="31" t="s">
        <v>199</v>
      </c>
      <c r="D34" s="319" t="s">
        <v>177</v>
      </c>
      <c r="E34" s="187">
        <f>E35</f>
        <v>78446</v>
      </c>
      <c r="F34" s="187">
        <f>F35</f>
        <v>473215</v>
      </c>
      <c r="G34" s="188">
        <f>F34-E34</f>
        <v>394769</v>
      </c>
      <c r="H34" s="189">
        <f>IF(E34=0,0,G34/E34)</f>
        <v>5.0323662137011445</v>
      </c>
      <c r="I34" s="173" t="s">
        <v>198</v>
      </c>
      <c r="J34" s="174"/>
      <c r="K34" s="175"/>
      <c r="L34" s="175"/>
      <c r="M34" s="175"/>
      <c r="N34" s="175"/>
      <c r="O34" s="175"/>
      <c r="P34" s="176"/>
      <c r="Q34" s="176"/>
      <c r="R34" s="176"/>
      <c r="S34" s="176"/>
      <c r="T34" s="176"/>
      <c r="U34" s="176"/>
      <c r="V34" s="202" t="s">
        <v>176</v>
      </c>
      <c r="W34" s="203"/>
      <c r="X34" s="204">
        <f>SUM(X35)</f>
        <v>473215000</v>
      </c>
      <c r="Y34" s="228" t="s">
        <v>175</v>
      </c>
      <c r="Z34" s="246"/>
      <c r="AA34" s="6"/>
    </row>
    <row r="35" spans="1:27" s="11" customFormat="1" ht="19.5" customHeight="1">
      <c r="A35" s="40"/>
      <c r="B35" s="41"/>
      <c r="C35" s="41" t="s">
        <v>193</v>
      </c>
      <c r="D35" s="31" t="s">
        <v>197</v>
      </c>
      <c r="E35" s="32">
        <v>78446</v>
      </c>
      <c r="F35" s="43">
        <f>ROUND(X35/1000,0)</f>
        <v>473215</v>
      </c>
      <c r="G35" s="233">
        <f>F35-E35</f>
        <v>394769</v>
      </c>
      <c r="H35" s="163">
        <f>IF(E35=0,0,G35/E35)</f>
        <v>5.0323662137011445</v>
      </c>
      <c r="I35" s="131" t="s">
        <v>196</v>
      </c>
      <c r="J35" s="148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615" t="s">
        <v>176</v>
      </c>
      <c r="W35" s="615"/>
      <c r="X35" s="132">
        <f>SUM(X36:X42)</f>
        <v>473215000</v>
      </c>
      <c r="Y35" s="133" t="s">
        <v>175</v>
      </c>
      <c r="Z35" s="6"/>
    </row>
    <row r="36" spans="1:27" s="11" customFormat="1" ht="19.5" customHeight="1">
      <c r="A36" s="40"/>
      <c r="B36" s="41"/>
      <c r="C36" s="41"/>
      <c r="D36" s="41"/>
      <c r="E36" s="43"/>
      <c r="F36" s="43"/>
      <c r="G36" s="44"/>
      <c r="H36" s="28"/>
      <c r="I36" s="428" t="s">
        <v>367</v>
      </c>
      <c r="J36" s="451"/>
      <c r="K36" s="433"/>
      <c r="L36" s="433"/>
      <c r="M36" s="433"/>
      <c r="N36" s="453"/>
      <c r="O36" s="458"/>
      <c r="P36" s="577"/>
      <c r="Q36" s="458"/>
      <c r="R36" s="470"/>
      <c r="S36" s="578" t="s">
        <v>366</v>
      </c>
      <c r="T36" s="578"/>
      <c r="U36" s="453"/>
      <c r="V36" s="433"/>
      <c r="W36" s="436"/>
      <c r="X36" s="436">
        <v>376746000</v>
      </c>
      <c r="Y36" s="413" t="s">
        <v>175</v>
      </c>
      <c r="Z36" s="507"/>
      <c r="AA36" s="11" t="s">
        <v>355</v>
      </c>
    </row>
    <row r="37" spans="1:27" s="11" customFormat="1" ht="19.5" customHeight="1">
      <c r="A37" s="40"/>
      <c r="B37" s="41"/>
      <c r="C37" s="41"/>
      <c r="D37" s="41"/>
      <c r="E37" s="43"/>
      <c r="F37" s="43"/>
      <c r="G37" s="44"/>
      <c r="H37" s="28"/>
      <c r="I37" s="428"/>
      <c r="J37" s="429"/>
      <c r="K37" s="410"/>
      <c r="L37" s="410"/>
      <c r="M37" s="410"/>
      <c r="N37" s="409"/>
      <c r="O37" s="425"/>
      <c r="P37" s="426"/>
      <c r="Q37" s="425"/>
      <c r="R37" s="427"/>
      <c r="S37" s="407" t="s">
        <v>372</v>
      </c>
      <c r="T37" s="408"/>
      <c r="U37" s="409"/>
      <c r="V37" s="410"/>
      <c r="W37" s="411"/>
      <c r="X37" s="412">
        <v>77937000</v>
      </c>
      <c r="Y37" s="413" t="s">
        <v>359</v>
      </c>
      <c r="Z37" s="6"/>
    </row>
    <row r="38" spans="1:27" s="11" customFormat="1" ht="19.5" customHeight="1">
      <c r="A38" s="40"/>
      <c r="B38" s="41"/>
      <c r="C38" s="41"/>
      <c r="D38" s="41"/>
      <c r="E38" s="43"/>
      <c r="F38" s="43"/>
      <c r="G38" s="44"/>
      <c r="H38" s="28"/>
      <c r="I38" s="428"/>
      <c r="J38" s="429"/>
      <c r="K38" s="410"/>
      <c r="L38" s="410"/>
      <c r="M38" s="410"/>
      <c r="N38" s="409"/>
      <c r="O38" s="425"/>
      <c r="P38" s="426"/>
      <c r="Q38" s="425"/>
      <c r="R38" s="427"/>
      <c r="S38" s="407" t="s">
        <v>368</v>
      </c>
      <c r="T38" s="408"/>
      <c r="U38" s="409"/>
      <c r="V38" s="410"/>
      <c r="W38" s="411"/>
      <c r="X38" s="412">
        <v>1420000</v>
      </c>
      <c r="Y38" s="413" t="s">
        <v>359</v>
      </c>
      <c r="Z38" s="6"/>
    </row>
    <row r="39" spans="1:27" s="11" customFormat="1" ht="19.5" customHeight="1">
      <c r="A39" s="40"/>
      <c r="B39" s="41"/>
      <c r="C39" s="41"/>
      <c r="D39" s="41"/>
      <c r="E39" s="43"/>
      <c r="F39" s="43"/>
      <c r="G39" s="44"/>
      <c r="H39" s="28"/>
      <c r="I39" s="428"/>
      <c r="J39" s="429"/>
      <c r="K39" s="410"/>
      <c r="L39" s="410"/>
      <c r="M39" s="410"/>
      <c r="N39" s="409"/>
      <c r="O39" s="425"/>
      <c r="P39" s="426"/>
      <c r="Q39" s="425"/>
      <c r="R39" s="427"/>
      <c r="S39" s="407" t="s">
        <v>419</v>
      </c>
      <c r="T39" s="408"/>
      <c r="U39" s="409"/>
      <c r="V39" s="410"/>
      <c r="W39" s="411"/>
      <c r="X39" s="412">
        <v>15080000</v>
      </c>
      <c r="Y39" s="413" t="s">
        <v>359</v>
      </c>
      <c r="Z39" s="6"/>
    </row>
    <row r="40" spans="1:27" s="11" customFormat="1" ht="19.5" customHeight="1">
      <c r="A40" s="40"/>
      <c r="B40" s="41"/>
      <c r="C40" s="41"/>
      <c r="D40" s="41"/>
      <c r="E40" s="43"/>
      <c r="F40" s="43"/>
      <c r="G40" s="44"/>
      <c r="H40" s="28"/>
      <c r="I40" s="428"/>
      <c r="J40" s="429"/>
      <c r="K40" s="410"/>
      <c r="L40" s="410"/>
      <c r="M40" s="410"/>
      <c r="N40" s="409"/>
      <c r="O40" s="425"/>
      <c r="P40" s="426"/>
      <c r="Q40" s="425"/>
      <c r="R40" s="427"/>
      <c r="S40" s="407" t="s">
        <v>374</v>
      </c>
      <c r="T40" s="408"/>
      <c r="U40" s="409"/>
      <c r="V40" s="410"/>
      <c r="W40" s="411"/>
      <c r="X40" s="412">
        <v>1912000</v>
      </c>
      <c r="Y40" s="413" t="s">
        <v>359</v>
      </c>
      <c r="Z40" s="6"/>
    </row>
    <row r="41" spans="1:27" s="11" customFormat="1" ht="19.5" customHeight="1">
      <c r="A41" s="40"/>
      <c r="B41" s="41"/>
      <c r="C41" s="41"/>
      <c r="D41" s="41"/>
      <c r="E41" s="43"/>
      <c r="F41" s="43"/>
      <c r="G41" s="44"/>
      <c r="H41" s="28"/>
      <c r="I41" s="428"/>
      <c r="J41" s="429"/>
      <c r="K41" s="410"/>
      <c r="L41" s="410"/>
      <c r="M41" s="410"/>
      <c r="N41" s="409"/>
      <c r="O41" s="425"/>
      <c r="P41" s="426"/>
      <c r="Q41" s="425"/>
      <c r="R41" s="427"/>
      <c r="S41" s="407"/>
      <c r="T41" s="407"/>
      <c r="U41" s="409"/>
      <c r="V41" s="410"/>
      <c r="W41" s="411"/>
      <c r="X41" s="412"/>
      <c r="Y41" s="413"/>
      <c r="Z41" s="6"/>
    </row>
    <row r="42" spans="1:27" s="11" customFormat="1" ht="19.5" customHeight="1">
      <c r="A42" s="40"/>
      <c r="B42" s="41"/>
      <c r="C42" s="41"/>
      <c r="D42" s="41"/>
      <c r="E42" s="43"/>
      <c r="F42" s="43"/>
      <c r="G42" s="44"/>
      <c r="H42" s="28"/>
      <c r="I42" s="359" t="s">
        <v>387</v>
      </c>
      <c r="J42" s="247"/>
      <c r="K42" s="246"/>
      <c r="L42" s="246"/>
      <c r="M42" s="246">
        <v>10000</v>
      </c>
      <c r="N42" s="331" t="s">
        <v>125</v>
      </c>
      <c r="O42" s="68" t="s">
        <v>141</v>
      </c>
      <c r="P42" s="63">
        <v>12</v>
      </c>
      <c r="Q42" s="68" t="s">
        <v>0</v>
      </c>
      <c r="R42" s="73"/>
      <c r="S42" s="70"/>
      <c r="T42" s="70"/>
      <c r="U42" s="331" t="s">
        <v>52</v>
      </c>
      <c r="V42" s="246"/>
      <c r="W42" s="62"/>
      <c r="X42" s="124">
        <f>M42*P42</f>
        <v>120000</v>
      </c>
      <c r="Y42" s="51" t="s">
        <v>125</v>
      </c>
      <c r="Z42" s="6"/>
    </row>
    <row r="43" spans="1:27" s="11" customFormat="1" ht="19.5" customHeight="1">
      <c r="A43" s="40"/>
      <c r="B43" s="41"/>
      <c r="C43" s="53"/>
      <c r="D43" s="53"/>
      <c r="E43" s="55"/>
      <c r="F43" s="55"/>
      <c r="G43" s="56"/>
      <c r="H43" s="172"/>
      <c r="I43" s="239"/>
      <c r="J43" s="328"/>
      <c r="K43" s="327"/>
      <c r="L43" s="327"/>
      <c r="M43" s="327"/>
      <c r="N43" s="243"/>
      <c r="O43" s="301"/>
      <c r="P43" s="302"/>
      <c r="Q43" s="301"/>
      <c r="R43" s="303"/>
      <c r="S43" s="70"/>
      <c r="T43" s="70"/>
      <c r="U43" s="243"/>
      <c r="V43" s="327"/>
      <c r="W43" s="124"/>
      <c r="X43" s="124"/>
      <c r="Y43" s="125"/>
      <c r="Z43" s="6"/>
    </row>
    <row r="44" spans="1:27" s="11" customFormat="1" ht="19.5" customHeight="1">
      <c r="A44" s="40"/>
      <c r="B44" s="41"/>
      <c r="C44" s="41" t="s">
        <v>195</v>
      </c>
      <c r="D44" s="319" t="s">
        <v>177</v>
      </c>
      <c r="E44" s="187">
        <f>E45</f>
        <v>13800</v>
      </c>
      <c r="F44" s="187">
        <f>F45</f>
        <v>12960</v>
      </c>
      <c r="G44" s="188">
        <f>F44-E44</f>
        <v>-840</v>
      </c>
      <c r="H44" s="189">
        <f>IF(E44=0,0,G44/E44)</f>
        <v>-6.0869565217391307E-2</v>
      </c>
      <c r="I44" s="173" t="s">
        <v>194</v>
      </c>
      <c r="J44" s="174"/>
      <c r="K44" s="175"/>
      <c r="L44" s="175"/>
      <c r="M44" s="175"/>
      <c r="N44" s="175"/>
      <c r="O44" s="175"/>
      <c r="P44" s="176"/>
      <c r="Q44" s="176"/>
      <c r="R44" s="176"/>
      <c r="S44" s="176"/>
      <c r="T44" s="176"/>
      <c r="U44" s="176"/>
      <c r="V44" s="202" t="s">
        <v>176</v>
      </c>
      <c r="W44" s="203"/>
      <c r="X44" s="203">
        <f>X45</f>
        <v>12960000</v>
      </c>
      <c r="Y44" s="228" t="s">
        <v>175</v>
      </c>
      <c r="Z44" s="6"/>
    </row>
    <row r="45" spans="1:27" s="11" customFormat="1" ht="19.5" customHeight="1">
      <c r="A45" s="40"/>
      <c r="B45" s="41"/>
      <c r="C45" s="41" t="s">
        <v>193</v>
      </c>
      <c r="D45" s="41" t="s">
        <v>192</v>
      </c>
      <c r="E45" s="43">
        <v>13800</v>
      </c>
      <c r="F45" s="43">
        <f>ROUND(X45/1000,0)</f>
        <v>12960</v>
      </c>
      <c r="G45" s="233">
        <f>F45-E45</f>
        <v>-840</v>
      </c>
      <c r="H45" s="163">
        <f>IF(E45=0,0,G45/E45)</f>
        <v>-6.0869565217391307E-2</v>
      </c>
      <c r="I45" s="131" t="s">
        <v>191</v>
      </c>
      <c r="J45" s="148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615" t="s">
        <v>168</v>
      </c>
      <c r="W45" s="615"/>
      <c r="X45" s="132">
        <f>ROUNDUP(SUM(X46:X48),-3)</f>
        <v>12960000</v>
      </c>
      <c r="Y45" s="133" t="s">
        <v>167</v>
      </c>
      <c r="Z45" s="6"/>
    </row>
    <row r="46" spans="1:27" s="11" customFormat="1" ht="19.5" customHeight="1">
      <c r="A46" s="40"/>
      <c r="B46" s="41"/>
      <c r="C46" s="41"/>
      <c r="D46" s="41"/>
      <c r="E46" s="43"/>
      <c r="F46" s="43"/>
      <c r="G46" s="231"/>
      <c r="H46" s="232"/>
      <c r="I46" s="61" t="s">
        <v>190</v>
      </c>
      <c r="J46" s="247"/>
      <c r="K46" s="246"/>
      <c r="L46" s="246"/>
      <c r="M46" s="246">
        <v>830000</v>
      </c>
      <c r="N46" s="331" t="s">
        <v>58</v>
      </c>
      <c r="O46" s="68" t="s">
        <v>55</v>
      </c>
      <c r="P46" s="63">
        <v>12</v>
      </c>
      <c r="Q46" s="68" t="s">
        <v>0</v>
      </c>
      <c r="R46" s="73"/>
      <c r="S46" s="70"/>
      <c r="T46" s="70"/>
      <c r="U46" s="331" t="s">
        <v>52</v>
      </c>
      <c r="V46" s="246"/>
      <c r="W46" s="62"/>
      <c r="X46" s="124">
        <f>M46*P46</f>
        <v>9960000</v>
      </c>
      <c r="Y46" s="51" t="s">
        <v>58</v>
      </c>
      <c r="Z46" s="6"/>
    </row>
    <row r="47" spans="1:27" s="11" customFormat="1" ht="19.5" customHeight="1">
      <c r="A47" s="40"/>
      <c r="B47" s="41"/>
      <c r="C47" s="41"/>
      <c r="D47" s="41"/>
      <c r="E47" s="43"/>
      <c r="F47" s="43"/>
      <c r="G47" s="231"/>
      <c r="H47" s="232"/>
      <c r="I47" s="418" t="s">
        <v>332</v>
      </c>
      <c r="J47" s="429"/>
      <c r="K47" s="410"/>
      <c r="L47" s="410"/>
      <c r="M47" s="410">
        <v>250000</v>
      </c>
      <c r="N47" s="409" t="s">
        <v>54</v>
      </c>
      <c r="O47" s="425" t="s">
        <v>55</v>
      </c>
      <c r="P47" s="426">
        <v>12</v>
      </c>
      <c r="Q47" s="425" t="s">
        <v>0</v>
      </c>
      <c r="R47" s="427"/>
      <c r="S47" s="408"/>
      <c r="T47" s="408"/>
      <c r="U47" s="409" t="s">
        <v>52</v>
      </c>
      <c r="V47" s="410"/>
      <c r="W47" s="411"/>
      <c r="X47" s="412">
        <f>M47*P47</f>
        <v>3000000</v>
      </c>
      <c r="Y47" s="413" t="s">
        <v>54</v>
      </c>
      <c r="Z47" s="6"/>
    </row>
    <row r="48" spans="1:27" s="11" customFormat="1" ht="19.5" customHeight="1">
      <c r="A48" s="40"/>
      <c r="B48" s="41"/>
      <c r="C48" s="41"/>
      <c r="D48" s="41"/>
      <c r="E48" s="43"/>
      <c r="F48" s="43"/>
      <c r="G48" s="231"/>
      <c r="H48" s="232"/>
      <c r="I48" s="61" t="s">
        <v>339</v>
      </c>
      <c r="J48" s="247"/>
      <c r="K48" s="246"/>
      <c r="L48" s="246"/>
      <c r="M48" s="246"/>
      <c r="N48" s="331"/>
      <c r="O48" s="68"/>
      <c r="P48" s="63"/>
      <c r="Q48" s="68"/>
      <c r="R48" s="73"/>
      <c r="S48" s="70"/>
      <c r="T48" s="70"/>
      <c r="U48" s="331"/>
      <c r="V48" s="246"/>
      <c r="W48" s="62"/>
      <c r="X48" s="374">
        <v>0</v>
      </c>
      <c r="Y48" s="51" t="s">
        <v>340</v>
      </c>
      <c r="Z48" s="6"/>
    </row>
    <row r="49" spans="1:26" s="11" customFormat="1" ht="19.5" customHeight="1">
      <c r="A49" s="52"/>
      <c r="B49" s="53"/>
      <c r="C49" s="53"/>
      <c r="D49" s="53"/>
      <c r="E49" s="55"/>
      <c r="F49" s="55"/>
      <c r="G49" s="56"/>
      <c r="H49" s="172"/>
      <c r="I49" s="65"/>
      <c r="J49" s="288"/>
      <c r="K49" s="192"/>
      <c r="L49" s="192"/>
      <c r="M49" s="192"/>
      <c r="N49" s="170"/>
      <c r="O49" s="180"/>
      <c r="P49" s="181"/>
      <c r="Q49" s="180"/>
      <c r="R49" s="182"/>
      <c r="S49" s="183"/>
      <c r="T49" s="183"/>
      <c r="U49" s="170"/>
      <c r="V49" s="192"/>
      <c r="W49" s="66"/>
      <c r="X49" s="66"/>
      <c r="Y49" s="67"/>
      <c r="Z49" s="6"/>
    </row>
    <row r="50" spans="1:26" s="11" customFormat="1" ht="19.5" hidden="1" customHeight="1">
      <c r="A50" s="30" t="s">
        <v>181</v>
      </c>
      <c r="B50" s="31" t="s">
        <v>181</v>
      </c>
      <c r="C50" s="613" t="s">
        <v>174</v>
      </c>
      <c r="D50" s="614"/>
      <c r="E50" s="209">
        <f>E51+E54</f>
        <v>0</v>
      </c>
      <c r="F50" s="209">
        <f>F51+F54</f>
        <v>0</v>
      </c>
      <c r="G50" s="210">
        <f>F50-E50</f>
        <v>0</v>
      </c>
      <c r="H50" s="211">
        <f>IF(E50=0,0,G50/E50)</f>
        <v>0</v>
      </c>
      <c r="I50" s="212" t="s">
        <v>189</v>
      </c>
      <c r="J50" s="213"/>
      <c r="K50" s="214"/>
      <c r="L50" s="214"/>
      <c r="M50" s="213"/>
      <c r="N50" s="213"/>
      <c r="O50" s="213"/>
      <c r="P50" s="213"/>
      <c r="Q50" s="213" t="s">
        <v>172</v>
      </c>
      <c r="R50" s="215"/>
      <c r="S50" s="215"/>
      <c r="T50" s="215"/>
      <c r="U50" s="215"/>
      <c r="V50" s="215"/>
      <c r="W50" s="215"/>
      <c r="X50" s="216">
        <f>X51+X54</f>
        <v>0</v>
      </c>
      <c r="Y50" s="227" t="s">
        <v>25</v>
      </c>
      <c r="Z50" s="6"/>
    </row>
    <row r="51" spans="1:26" s="11" customFormat="1" ht="19.5" hidden="1" customHeight="1">
      <c r="A51" s="40"/>
      <c r="B51" s="41"/>
      <c r="C51" s="31" t="s">
        <v>188</v>
      </c>
      <c r="D51" s="319" t="s">
        <v>170</v>
      </c>
      <c r="E51" s="187">
        <f>E52</f>
        <v>0</v>
      </c>
      <c r="F51" s="187">
        <f>F52</f>
        <v>0</v>
      </c>
      <c r="G51" s="188">
        <f>F51-E51</f>
        <v>0</v>
      </c>
      <c r="H51" s="189">
        <f>IF(E51=0,0,G51/E51)</f>
        <v>0</v>
      </c>
      <c r="I51" s="173" t="s">
        <v>185</v>
      </c>
      <c r="J51" s="174"/>
      <c r="K51" s="175"/>
      <c r="L51" s="175"/>
      <c r="M51" s="175"/>
      <c r="N51" s="175"/>
      <c r="O51" s="175"/>
      <c r="P51" s="176"/>
      <c r="Q51" s="176"/>
      <c r="R51" s="176"/>
      <c r="S51" s="176"/>
      <c r="T51" s="176"/>
      <c r="U51" s="176"/>
      <c r="V51" s="202" t="s">
        <v>168</v>
      </c>
      <c r="W51" s="203"/>
      <c r="X51" s="204">
        <f>X52</f>
        <v>0</v>
      </c>
      <c r="Y51" s="228" t="s">
        <v>167</v>
      </c>
      <c r="Z51" s="6"/>
    </row>
    <row r="52" spans="1:26" s="11" customFormat="1" ht="19.5" hidden="1" customHeight="1">
      <c r="A52" s="40"/>
      <c r="B52" s="41"/>
      <c r="C52" s="41" t="s">
        <v>187</v>
      </c>
      <c r="D52" s="31" t="s">
        <v>186</v>
      </c>
      <c r="E52" s="32">
        <v>0</v>
      </c>
      <c r="F52" s="43">
        <f>ROUND(X52/1000,0)</f>
        <v>0</v>
      </c>
      <c r="G52" s="33">
        <f>F52-E52</f>
        <v>0</v>
      </c>
      <c r="H52" s="34">
        <f>IF(E52=0,0,G52/E52)</f>
        <v>0</v>
      </c>
      <c r="I52" s="131" t="s">
        <v>185</v>
      </c>
      <c r="J52" s="148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615" t="s">
        <v>168</v>
      </c>
      <c r="W52" s="615"/>
      <c r="X52" s="132">
        <f>X53</f>
        <v>0</v>
      </c>
      <c r="Y52" s="133" t="s">
        <v>167</v>
      </c>
      <c r="Z52" s="6"/>
    </row>
    <row r="53" spans="1:26" s="11" customFormat="1" ht="19.5" hidden="1" customHeight="1">
      <c r="A53" s="40"/>
      <c r="B53" s="41"/>
      <c r="C53" s="41" t="s">
        <v>181</v>
      </c>
      <c r="D53" s="41" t="s">
        <v>181</v>
      </c>
      <c r="E53" s="43"/>
      <c r="F53" s="43"/>
      <c r="G53" s="44"/>
      <c r="H53" s="28"/>
      <c r="I53" s="61" t="s">
        <v>184</v>
      </c>
      <c r="J53" s="247"/>
      <c r="K53" s="246"/>
      <c r="L53" s="246"/>
      <c r="M53" s="246"/>
      <c r="N53" s="318"/>
      <c r="O53" s="68"/>
      <c r="P53" s="63"/>
      <c r="Q53" s="68"/>
      <c r="R53" s="73"/>
      <c r="S53" s="70"/>
      <c r="T53" s="70"/>
      <c r="U53" s="318"/>
      <c r="V53" s="246"/>
      <c r="W53" s="62"/>
      <c r="X53" s="62">
        <v>0</v>
      </c>
      <c r="Y53" s="51" t="s">
        <v>167</v>
      </c>
      <c r="Z53" s="6"/>
    </row>
    <row r="54" spans="1:26" s="11" customFormat="1" ht="19.5" hidden="1" customHeight="1">
      <c r="A54" s="40"/>
      <c r="B54" s="41"/>
      <c r="C54" s="31" t="s">
        <v>183</v>
      </c>
      <c r="D54" s="319" t="s">
        <v>170</v>
      </c>
      <c r="E54" s="187">
        <f>E55</f>
        <v>0</v>
      </c>
      <c r="F54" s="187">
        <f>F55</f>
        <v>0</v>
      </c>
      <c r="G54" s="188">
        <f>F54-E54</f>
        <v>0</v>
      </c>
      <c r="H54" s="189">
        <f>IF(E54=0,0,G54/E54)</f>
        <v>0</v>
      </c>
      <c r="I54" s="173" t="s">
        <v>182</v>
      </c>
      <c r="J54" s="174"/>
      <c r="K54" s="175"/>
      <c r="L54" s="175"/>
      <c r="M54" s="175"/>
      <c r="N54" s="175"/>
      <c r="O54" s="175"/>
      <c r="P54" s="176"/>
      <c r="Q54" s="176"/>
      <c r="R54" s="176"/>
      <c r="S54" s="176"/>
      <c r="T54" s="176"/>
      <c r="U54" s="176"/>
      <c r="V54" s="202" t="s">
        <v>168</v>
      </c>
      <c r="W54" s="203"/>
      <c r="X54" s="203">
        <f>X55</f>
        <v>0</v>
      </c>
      <c r="Y54" s="228" t="s">
        <v>167</v>
      </c>
      <c r="Z54" s="6"/>
    </row>
    <row r="55" spans="1:26" s="11" customFormat="1" ht="19.5" hidden="1" customHeight="1">
      <c r="A55" s="40"/>
      <c r="B55" s="41"/>
      <c r="C55" s="41" t="s">
        <v>181</v>
      </c>
      <c r="D55" s="41" t="s">
        <v>180</v>
      </c>
      <c r="E55" s="43">
        <v>0</v>
      </c>
      <c r="F55" s="43">
        <f>ROUND(X55/1000,0)</f>
        <v>0</v>
      </c>
      <c r="G55" s="33">
        <f>F55-E55</f>
        <v>0</v>
      </c>
      <c r="H55" s="34">
        <f>IF(E55=0,0,G55/E55)</f>
        <v>0</v>
      </c>
      <c r="I55" s="61" t="s">
        <v>179</v>
      </c>
      <c r="J55" s="247"/>
      <c r="K55" s="246"/>
      <c r="L55" s="246"/>
      <c r="M55" s="246"/>
      <c r="N55" s="318"/>
      <c r="O55" s="68"/>
      <c r="P55" s="63"/>
      <c r="Q55" s="68"/>
      <c r="R55" s="73"/>
      <c r="S55" s="70"/>
      <c r="T55" s="70"/>
      <c r="U55" s="318"/>
      <c r="V55" s="246"/>
      <c r="W55" s="62"/>
      <c r="X55" s="62">
        <v>0</v>
      </c>
      <c r="Y55" s="51" t="s">
        <v>167</v>
      </c>
      <c r="Z55" s="6"/>
    </row>
    <row r="56" spans="1:26" s="11" customFormat="1" ht="19.5" hidden="1" customHeight="1">
      <c r="A56" s="52"/>
      <c r="B56" s="53"/>
      <c r="C56" s="53"/>
      <c r="D56" s="53"/>
      <c r="E56" s="55"/>
      <c r="F56" s="55"/>
      <c r="G56" s="56"/>
      <c r="H56" s="172"/>
      <c r="I56" s="65"/>
      <c r="J56" s="288"/>
      <c r="K56" s="192"/>
      <c r="L56" s="192"/>
      <c r="M56" s="192"/>
      <c r="N56" s="170"/>
      <c r="O56" s="180"/>
      <c r="P56" s="181"/>
      <c r="Q56" s="180"/>
      <c r="R56" s="182"/>
      <c r="S56" s="183"/>
      <c r="T56" s="183"/>
      <c r="U56" s="170"/>
      <c r="V56" s="192"/>
      <c r="W56" s="66"/>
      <c r="X56" s="66"/>
      <c r="Y56" s="67"/>
      <c r="Z56" s="6"/>
    </row>
    <row r="57" spans="1:26" s="11" customFormat="1" ht="19.5" customHeight="1">
      <c r="A57" s="30" t="s">
        <v>178</v>
      </c>
      <c r="B57" s="31" t="s">
        <v>13</v>
      </c>
      <c r="C57" s="613" t="s">
        <v>174</v>
      </c>
      <c r="D57" s="614"/>
      <c r="E57" s="209">
        <f>SUM(E58)</f>
        <v>0</v>
      </c>
      <c r="F57" s="209">
        <f>SUM(F58)</f>
        <v>0</v>
      </c>
      <c r="G57" s="210">
        <f>F57-E57</f>
        <v>0</v>
      </c>
      <c r="H57" s="211">
        <f>IF(E57=0,0,G57/E57)</f>
        <v>0</v>
      </c>
      <c r="I57" s="212" t="s">
        <v>324</v>
      </c>
      <c r="J57" s="213"/>
      <c r="K57" s="214"/>
      <c r="L57" s="214"/>
      <c r="M57" s="213"/>
      <c r="N57" s="213"/>
      <c r="O57" s="213"/>
      <c r="P57" s="213"/>
      <c r="Q57" s="213" t="s">
        <v>172</v>
      </c>
      <c r="R57" s="215"/>
      <c r="S57" s="215"/>
      <c r="T57" s="215"/>
      <c r="U57" s="215"/>
      <c r="V57" s="215"/>
      <c r="W57" s="215"/>
      <c r="X57" s="216">
        <f>X58</f>
        <v>0</v>
      </c>
      <c r="Y57" s="227" t="s">
        <v>25</v>
      </c>
      <c r="Z57" s="6"/>
    </row>
    <row r="58" spans="1:26" s="11" customFormat="1" ht="19.5" customHeight="1">
      <c r="A58" s="40"/>
      <c r="B58" s="41"/>
      <c r="C58" s="31" t="s">
        <v>254</v>
      </c>
      <c r="D58" s="319" t="s">
        <v>170</v>
      </c>
      <c r="E58" s="187">
        <f>E59</f>
        <v>0</v>
      </c>
      <c r="F58" s="187">
        <f>F59</f>
        <v>0</v>
      </c>
      <c r="G58" s="188">
        <f>F58-E58</f>
        <v>0</v>
      </c>
      <c r="H58" s="189">
        <f>IF(E58=0,0,G58/E58)</f>
        <v>0</v>
      </c>
      <c r="I58" s="173" t="s">
        <v>325</v>
      </c>
      <c r="J58" s="174"/>
      <c r="K58" s="175"/>
      <c r="L58" s="175"/>
      <c r="M58" s="175"/>
      <c r="N58" s="175"/>
      <c r="O58" s="175"/>
      <c r="P58" s="176"/>
      <c r="Q58" s="176"/>
      <c r="R58" s="176"/>
      <c r="S58" s="176"/>
      <c r="T58" s="176"/>
      <c r="U58" s="176"/>
      <c r="V58" s="202" t="s">
        <v>168</v>
      </c>
      <c r="W58" s="203"/>
      <c r="X58" s="204">
        <f>SUM(X59:X59)</f>
        <v>0</v>
      </c>
      <c r="Y58" s="228" t="s">
        <v>167</v>
      </c>
      <c r="Z58" s="6"/>
    </row>
    <row r="59" spans="1:26" s="11" customFormat="1" ht="19.5" customHeight="1">
      <c r="A59" s="40"/>
      <c r="B59" s="41"/>
      <c r="C59" s="41" t="s">
        <v>255</v>
      </c>
      <c r="D59" s="31" t="s">
        <v>251</v>
      </c>
      <c r="E59" s="32">
        <v>0</v>
      </c>
      <c r="F59" s="43">
        <f>ROUND(X59/1000,0)</f>
        <v>0</v>
      </c>
      <c r="G59" s="33">
        <f>F59-E59</f>
        <v>0</v>
      </c>
      <c r="H59" s="34">
        <f>IF(E59=0,0,G59/E59)</f>
        <v>0</v>
      </c>
      <c r="I59" s="131" t="s">
        <v>365</v>
      </c>
      <c r="J59" s="148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615" t="s">
        <v>168</v>
      </c>
      <c r="W59" s="615"/>
      <c r="X59" s="132">
        <f>SUM(X60:X62)</f>
        <v>0</v>
      </c>
      <c r="Y59" s="133" t="s">
        <v>167</v>
      </c>
      <c r="Z59" s="6"/>
    </row>
    <row r="60" spans="1:26" s="11" customFormat="1" ht="19.5" customHeight="1">
      <c r="A60" s="40"/>
      <c r="B60" s="41"/>
      <c r="C60" s="41" t="s">
        <v>253</v>
      </c>
      <c r="D60" s="41" t="s">
        <v>252</v>
      </c>
      <c r="E60" s="43"/>
      <c r="F60" s="43"/>
      <c r="G60" s="44"/>
      <c r="H60" s="28"/>
      <c r="I60" s="61" t="s">
        <v>326</v>
      </c>
      <c r="J60" s="247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318"/>
      <c r="W60" s="318"/>
      <c r="X60" s="62">
        <v>0</v>
      </c>
      <c r="Y60" s="51" t="s">
        <v>167</v>
      </c>
      <c r="Z60" s="6"/>
    </row>
    <row r="61" spans="1:26" s="11" customFormat="1" ht="19.5" customHeight="1">
      <c r="A61" s="40"/>
      <c r="B61" s="41"/>
      <c r="C61" s="41"/>
      <c r="D61" s="41" t="s">
        <v>178</v>
      </c>
      <c r="E61" s="43"/>
      <c r="F61" s="43"/>
      <c r="G61" s="44"/>
      <c r="H61" s="28"/>
      <c r="I61" s="61" t="s">
        <v>331</v>
      </c>
      <c r="J61" s="247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331"/>
      <c r="W61" s="331"/>
      <c r="X61" s="62">
        <v>0</v>
      </c>
      <c r="Y61" s="51" t="s">
        <v>328</v>
      </c>
      <c r="Z61" s="6"/>
    </row>
    <row r="62" spans="1:26" s="11" customFormat="1" ht="19.5" customHeight="1">
      <c r="A62" s="52"/>
      <c r="B62" s="53"/>
      <c r="C62" s="53"/>
      <c r="D62" s="53"/>
      <c r="E62" s="55"/>
      <c r="F62" s="55"/>
      <c r="G62" s="56"/>
      <c r="H62" s="172"/>
      <c r="I62" s="65"/>
      <c r="J62" s="288"/>
      <c r="K62" s="192"/>
      <c r="L62" s="192"/>
      <c r="M62" s="192"/>
      <c r="N62" s="170"/>
      <c r="O62" s="180"/>
      <c r="P62" s="181"/>
      <c r="Q62" s="180"/>
      <c r="R62" s="182"/>
      <c r="S62" s="183"/>
      <c r="T62" s="183"/>
      <c r="U62" s="170"/>
      <c r="V62" s="192"/>
      <c r="W62" s="66"/>
      <c r="X62" s="66"/>
      <c r="Y62" s="67"/>
      <c r="Z62" s="6"/>
    </row>
    <row r="63" spans="1:26" s="11" customFormat="1" ht="19.5" customHeight="1">
      <c r="A63" s="30" t="s">
        <v>14</v>
      </c>
      <c r="B63" s="31" t="s">
        <v>14</v>
      </c>
      <c r="C63" s="613" t="s">
        <v>174</v>
      </c>
      <c r="D63" s="614"/>
      <c r="E63" s="209">
        <f>SUM(E64,E75,E82)</f>
        <v>350666</v>
      </c>
      <c r="F63" s="209">
        <f>SUM(F64,F75,F82)</f>
        <v>6739</v>
      </c>
      <c r="G63" s="210">
        <f>F63-E63</f>
        <v>-343927</v>
      </c>
      <c r="H63" s="211">
        <f>IF(E63=0,0,G63/E63)</f>
        <v>-0.98078228285605107</v>
      </c>
      <c r="I63" s="212" t="s">
        <v>173</v>
      </c>
      <c r="J63" s="213"/>
      <c r="K63" s="214"/>
      <c r="L63" s="214"/>
      <c r="M63" s="213"/>
      <c r="N63" s="213"/>
      <c r="O63" s="213"/>
      <c r="P63" s="213"/>
      <c r="Q63" s="213" t="s">
        <v>172</v>
      </c>
      <c r="R63" s="215"/>
      <c r="S63" s="215"/>
      <c r="T63" s="215"/>
      <c r="U63" s="215"/>
      <c r="V63" s="215"/>
      <c r="W63" s="215"/>
      <c r="X63" s="216">
        <f>SUM(X64,X75,X82)</f>
        <v>6739000</v>
      </c>
      <c r="Y63" s="227" t="s">
        <v>25</v>
      </c>
      <c r="Z63" s="6"/>
    </row>
    <row r="64" spans="1:26" s="11" customFormat="1" ht="19.5" customHeight="1">
      <c r="A64" s="40"/>
      <c r="B64" s="41"/>
      <c r="C64" s="31" t="s">
        <v>171</v>
      </c>
      <c r="D64" s="319" t="s">
        <v>170</v>
      </c>
      <c r="E64" s="187">
        <f>SUM(E65,E69,E72)</f>
        <v>27232</v>
      </c>
      <c r="F64" s="187">
        <f>SUM(F65,F69,F72)</f>
        <v>1646</v>
      </c>
      <c r="G64" s="188">
        <f>F64-E64</f>
        <v>-25586</v>
      </c>
      <c r="H64" s="189">
        <f>IF(E64=0,0,G64/E64)</f>
        <v>-0.93955640423031728</v>
      </c>
      <c r="I64" s="173" t="s">
        <v>169</v>
      </c>
      <c r="J64" s="174"/>
      <c r="K64" s="175"/>
      <c r="L64" s="175"/>
      <c r="M64" s="175"/>
      <c r="N64" s="175"/>
      <c r="O64" s="175"/>
      <c r="P64" s="176"/>
      <c r="Q64" s="176"/>
      <c r="R64" s="176"/>
      <c r="S64" s="176"/>
      <c r="T64" s="176"/>
      <c r="U64" s="176"/>
      <c r="V64" s="202" t="s">
        <v>168</v>
      </c>
      <c r="W64" s="203"/>
      <c r="X64" s="204">
        <f>SUM(X65,X69,X72)</f>
        <v>1646000</v>
      </c>
      <c r="Y64" s="228" t="s">
        <v>167</v>
      </c>
      <c r="Z64" s="6"/>
    </row>
    <row r="65" spans="1:26" s="11" customFormat="1" ht="19.5" customHeight="1">
      <c r="A65" s="40"/>
      <c r="B65" s="41"/>
      <c r="C65" s="41" t="s">
        <v>109</v>
      </c>
      <c r="D65" s="31" t="s">
        <v>375</v>
      </c>
      <c r="E65" s="32">
        <v>22229</v>
      </c>
      <c r="F65" s="43">
        <f>ROUND(X65/1000,0)</f>
        <v>916</v>
      </c>
      <c r="G65" s="33">
        <f>F65-E65</f>
        <v>-21313</v>
      </c>
      <c r="H65" s="34">
        <f>IF(E65=0,0,G65/E65)</f>
        <v>-0.95879256826667869</v>
      </c>
      <c r="I65" s="131" t="s">
        <v>369</v>
      </c>
      <c r="J65" s="148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332" t="s">
        <v>60</v>
      </c>
      <c r="W65" s="332"/>
      <c r="X65" s="132">
        <f>ROUNDUP(SUM(W66:X67),-3)</f>
        <v>916000</v>
      </c>
      <c r="Y65" s="133" t="s">
        <v>54</v>
      </c>
      <c r="Z65" s="6"/>
    </row>
    <row r="66" spans="1:26" s="11" customFormat="1" ht="19.5" customHeight="1">
      <c r="A66" s="40"/>
      <c r="B66" s="41"/>
      <c r="C66" s="41"/>
      <c r="D66" s="41" t="s">
        <v>376</v>
      </c>
      <c r="E66" s="43"/>
      <c r="F66" s="43"/>
      <c r="G66" s="44"/>
      <c r="H66" s="28"/>
      <c r="I66" s="419" t="s">
        <v>370</v>
      </c>
      <c r="J66" s="429"/>
      <c r="K66" s="410"/>
      <c r="L66" s="410"/>
      <c r="M66" s="410"/>
      <c r="N66" s="410"/>
      <c r="O66" s="410"/>
      <c r="P66" s="410"/>
      <c r="Q66" s="410"/>
      <c r="R66" s="410"/>
      <c r="S66" s="410"/>
      <c r="T66" s="410"/>
      <c r="U66" s="410"/>
      <c r="V66" s="409"/>
      <c r="W66" s="409"/>
      <c r="X66" s="411">
        <v>916000</v>
      </c>
      <c r="Y66" s="413" t="s">
        <v>54</v>
      </c>
      <c r="Z66" s="6"/>
    </row>
    <row r="67" spans="1:26" s="11" customFormat="1" ht="19.5" customHeight="1">
      <c r="A67" s="40"/>
      <c r="B67" s="41"/>
      <c r="C67" s="41"/>
      <c r="D67" s="41"/>
      <c r="E67" s="43"/>
      <c r="F67" s="43"/>
      <c r="G67" s="44"/>
      <c r="H67" s="28"/>
      <c r="I67" s="239" t="s">
        <v>364</v>
      </c>
      <c r="J67" s="247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331"/>
      <c r="W67" s="331"/>
      <c r="X67" s="62">
        <v>0</v>
      </c>
      <c r="Y67" s="51" t="s">
        <v>54</v>
      </c>
      <c r="Z67" s="6"/>
    </row>
    <row r="68" spans="1:26" s="11" customFormat="1" ht="19.5" customHeight="1">
      <c r="A68" s="40"/>
      <c r="B68" s="41"/>
      <c r="C68" s="41"/>
      <c r="D68" s="53"/>
      <c r="E68" s="55"/>
      <c r="F68" s="55"/>
      <c r="G68" s="56"/>
      <c r="H68" s="172"/>
      <c r="I68" s="65"/>
      <c r="J68" s="288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70"/>
      <c r="W68" s="170"/>
      <c r="X68" s="66"/>
      <c r="Y68" s="67"/>
      <c r="Z68" s="6"/>
    </row>
    <row r="69" spans="1:26" s="11" customFormat="1" ht="19.5" customHeight="1">
      <c r="A69" s="40"/>
      <c r="B69" s="41"/>
      <c r="C69" s="41"/>
      <c r="D69" s="41" t="s">
        <v>166</v>
      </c>
      <c r="E69" s="43">
        <v>5003</v>
      </c>
      <c r="F69" s="43">
        <f>ROUND(X69/1000,0)</f>
        <v>730</v>
      </c>
      <c r="G69" s="33">
        <f>F69-E69</f>
        <v>-4273</v>
      </c>
      <c r="H69" s="34">
        <f>IF(E69=0,0,G69/E69)</f>
        <v>-0.85408754747151705</v>
      </c>
      <c r="I69" s="131" t="s">
        <v>119</v>
      </c>
      <c r="J69" s="148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615" t="s">
        <v>60</v>
      </c>
      <c r="W69" s="615"/>
      <c r="X69" s="132">
        <f>ROUNDUP(SUM(W70:X71),-3)</f>
        <v>730000</v>
      </c>
      <c r="Y69" s="133" t="s">
        <v>54</v>
      </c>
      <c r="Z69" s="6"/>
    </row>
    <row r="70" spans="1:26" s="11" customFormat="1" ht="19.5" customHeight="1">
      <c r="A70" s="40"/>
      <c r="B70" s="41"/>
      <c r="C70" s="41"/>
      <c r="D70" s="41"/>
      <c r="E70" s="43"/>
      <c r="F70" s="43"/>
      <c r="G70" s="44"/>
      <c r="H70" s="28"/>
      <c r="I70" s="239" t="s">
        <v>129</v>
      </c>
      <c r="J70" s="247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331"/>
      <c r="W70" s="331"/>
      <c r="X70" s="62">
        <v>730000</v>
      </c>
      <c r="Y70" s="51" t="s">
        <v>54</v>
      </c>
      <c r="Z70" s="6"/>
    </row>
    <row r="71" spans="1:26" s="11" customFormat="1" ht="19.5" customHeight="1">
      <c r="A71" s="40"/>
      <c r="B71" s="41"/>
      <c r="C71" s="41"/>
      <c r="D71" s="53"/>
      <c r="E71" s="55"/>
      <c r="F71" s="43"/>
      <c r="G71" s="44"/>
      <c r="H71" s="28"/>
      <c r="I71" s="239" t="s">
        <v>351</v>
      </c>
      <c r="J71" s="247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331"/>
      <c r="W71" s="331"/>
      <c r="X71" s="62">
        <v>0</v>
      </c>
      <c r="Y71" s="51" t="s">
        <v>54</v>
      </c>
      <c r="Z71" s="6"/>
    </row>
    <row r="72" spans="1:26" s="11" customFormat="1" ht="19.5" customHeight="1">
      <c r="A72" s="40"/>
      <c r="B72" s="41"/>
      <c r="C72" s="41"/>
      <c r="D72" s="41" t="s">
        <v>452</v>
      </c>
      <c r="E72" s="43">
        <v>0</v>
      </c>
      <c r="F72" s="32">
        <f>ROUND(X72/1000,0)</f>
        <v>0</v>
      </c>
      <c r="G72" s="33">
        <f>F72-E72</f>
        <v>0</v>
      </c>
      <c r="H72" s="34">
        <f>IF(E72=0,0,G72/E72)</f>
        <v>0</v>
      </c>
      <c r="I72" s="131" t="s">
        <v>453</v>
      </c>
      <c r="J72" s="148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615" t="s">
        <v>60</v>
      </c>
      <c r="W72" s="615"/>
      <c r="X72" s="132"/>
      <c r="Y72" s="133" t="s">
        <v>54</v>
      </c>
      <c r="Z72" s="6"/>
    </row>
    <row r="73" spans="1:26" s="11" customFormat="1" ht="19.5" customHeight="1">
      <c r="A73" s="40"/>
      <c r="B73" s="41"/>
      <c r="C73" s="41"/>
      <c r="D73" s="41"/>
      <c r="E73" s="43"/>
      <c r="F73" s="43"/>
      <c r="G73" s="44"/>
      <c r="H73" s="28"/>
      <c r="I73" s="239"/>
      <c r="J73" s="247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318"/>
      <c r="W73" s="318"/>
      <c r="X73" s="62"/>
      <c r="Y73" s="51" t="s">
        <v>54</v>
      </c>
      <c r="Z73" s="6"/>
    </row>
    <row r="74" spans="1:26" s="11" customFormat="1" ht="19.5" customHeight="1">
      <c r="A74" s="40"/>
      <c r="B74" s="41"/>
      <c r="C74" s="41"/>
      <c r="D74" s="41"/>
      <c r="E74" s="43"/>
      <c r="F74" s="43"/>
      <c r="G74" s="44"/>
      <c r="H74" s="28"/>
      <c r="I74" s="61"/>
      <c r="J74" s="247"/>
      <c r="K74" s="246"/>
      <c r="L74" s="246"/>
      <c r="M74" s="246"/>
      <c r="N74" s="318"/>
      <c r="O74" s="68"/>
      <c r="P74" s="63"/>
      <c r="Q74" s="68"/>
      <c r="R74" s="73"/>
      <c r="S74" s="70"/>
      <c r="T74" s="70"/>
      <c r="U74" s="318"/>
      <c r="V74" s="246"/>
      <c r="W74" s="62"/>
      <c r="X74" s="62"/>
      <c r="Y74" s="51"/>
      <c r="Z74" s="6"/>
    </row>
    <row r="75" spans="1:26" s="11" customFormat="1" ht="19.5" customHeight="1">
      <c r="A75" s="40"/>
      <c r="B75" s="41"/>
      <c r="C75" s="31" t="s">
        <v>108</v>
      </c>
      <c r="D75" s="319" t="s">
        <v>89</v>
      </c>
      <c r="E75" s="187">
        <f>E76</f>
        <v>323434</v>
      </c>
      <c r="F75" s="187">
        <f>F76</f>
        <v>5093</v>
      </c>
      <c r="G75" s="188">
        <f>F75-E75</f>
        <v>-318341</v>
      </c>
      <c r="H75" s="189">
        <f>IF(E75=0,0,G75/E75)</f>
        <v>-0.98425335617158372</v>
      </c>
      <c r="I75" s="173" t="s">
        <v>110</v>
      </c>
      <c r="J75" s="174"/>
      <c r="K75" s="175"/>
      <c r="L75" s="175"/>
      <c r="M75" s="175"/>
      <c r="N75" s="175"/>
      <c r="O75" s="175"/>
      <c r="P75" s="176"/>
      <c r="Q75" s="176"/>
      <c r="R75" s="176"/>
      <c r="S75" s="176"/>
      <c r="T75" s="176"/>
      <c r="U75" s="176"/>
      <c r="V75" s="202" t="s">
        <v>60</v>
      </c>
      <c r="W75" s="203"/>
      <c r="X75" s="203">
        <f>X76</f>
        <v>5093000</v>
      </c>
      <c r="Y75" s="228" t="s">
        <v>54</v>
      </c>
      <c r="Z75" s="6"/>
    </row>
    <row r="76" spans="1:26" s="11" customFormat="1" ht="19.5" customHeight="1">
      <c r="A76" s="40"/>
      <c r="B76" s="41"/>
      <c r="C76" s="41" t="s">
        <v>109</v>
      </c>
      <c r="D76" s="41" t="s">
        <v>165</v>
      </c>
      <c r="E76" s="43">
        <v>323434</v>
      </c>
      <c r="F76" s="32">
        <f>ROUND(X76/1000,0)</f>
        <v>5093</v>
      </c>
      <c r="G76" s="33">
        <f>F76-E76</f>
        <v>-318341</v>
      </c>
      <c r="H76" s="34">
        <f>IF(E76=0,0,G76/E76)</f>
        <v>-0.98425335617158372</v>
      </c>
      <c r="I76" s="240" t="s">
        <v>130</v>
      </c>
      <c r="J76" s="148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615"/>
      <c r="W76" s="615"/>
      <c r="X76" s="132">
        <f>ROUNDUP(SUM(W77:X81),-3)</f>
        <v>5093000</v>
      </c>
      <c r="Y76" s="133" t="s">
        <v>54</v>
      </c>
      <c r="Z76" s="6"/>
    </row>
    <row r="77" spans="1:26" s="11" customFormat="1" ht="19.5" customHeight="1">
      <c r="A77" s="40"/>
      <c r="B77" s="41"/>
      <c r="C77" s="41" t="s">
        <v>107</v>
      </c>
      <c r="D77" s="41" t="s">
        <v>164</v>
      </c>
      <c r="E77" s="43"/>
      <c r="F77" s="43"/>
      <c r="G77" s="44"/>
      <c r="H77" s="64"/>
      <c r="I77" s="419" t="s">
        <v>373</v>
      </c>
      <c r="J77" s="429"/>
      <c r="K77" s="410"/>
      <c r="L77" s="410"/>
      <c r="M77" s="410"/>
      <c r="N77" s="410"/>
      <c r="O77" s="410"/>
      <c r="P77" s="410"/>
      <c r="Q77" s="430"/>
      <c r="R77" s="430"/>
      <c r="S77" s="430"/>
      <c r="T77" s="410"/>
      <c r="U77" s="410"/>
      <c r="V77" s="410"/>
      <c r="W77" s="411"/>
      <c r="X77" s="411">
        <v>470000</v>
      </c>
      <c r="Y77" s="413" t="s">
        <v>54</v>
      </c>
      <c r="Z77" s="6"/>
    </row>
    <row r="78" spans="1:26" s="11" customFormat="1" ht="19.5" customHeight="1">
      <c r="A78" s="40"/>
      <c r="B78" s="41"/>
      <c r="C78" s="41"/>
      <c r="D78" s="41"/>
      <c r="E78" s="43"/>
      <c r="F78" s="43"/>
      <c r="G78" s="44"/>
      <c r="H78" s="64"/>
      <c r="I78" s="419" t="s">
        <v>401</v>
      </c>
      <c r="J78" s="429"/>
      <c r="K78" s="410"/>
      <c r="L78" s="410"/>
      <c r="M78" s="410"/>
      <c r="N78" s="410"/>
      <c r="O78" s="410"/>
      <c r="P78" s="410"/>
      <c r="Q78" s="430"/>
      <c r="R78" s="430"/>
      <c r="S78" s="430"/>
      <c r="T78" s="410"/>
      <c r="U78" s="410"/>
      <c r="V78" s="410"/>
      <c r="W78" s="411"/>
      <c r="X78" s="412">
        <v>0</v>
      </c>
      <c r="Y78" s="413" t="s">
        <v>54</v>
      </c>
      <c r="Z78" s="506"/>
    </row>
    <row r="79" spans="1:26" s="11" customFormat="1" ht="19.5" customHeight="1">
      <c r="A79" s="40"/>
      <c r="B79" s="41"/>
      <c r="C79" s="41"/>
      <c r="D79" s="41"/>
      <c r="E79" s="43"/>
      <c r="F79" s="43"/>
      <c r="G79" s="44"/>
      <c r="H79" s="64"/>
      <c r="I79" s="419" t="s">
        <v>399</v>
      </c>
      <c r="J79" s="429"/>
      <c r="K79" s="410"/>
      <c r="L79" s="410"/>
      <c r="M79" s="410"/>
      <c r="N79" s="410"/>
      <c r="O79" s="410"/>
      <c r="P79" s="410"/>
      <c r="Q79" s="430"/>
      <c r="R79" s="430"/>
      <c r="S79" s="430"/>
      <c r="T79" s="410"/>
      <c r="U79" s="410"/>
      <c r="V79" s="410"/>
      <c r="W79" s="411"/>
      <c r="X79" s="411">
        <v>367000</v>
      </c>
      <c r="Y79" s="413" t="s">
        <v>25</v>
      </c>
      <c r="Z79" s="6"/>
    </row>
    <row r="80" spans="1:26" s="11" customFormat="1" ht="19.5" customHeight="1">
      <c r="A80" s="40"/>
      <c r="B80" s="41"/>
      <c r="C80" s="41"/>
      <c r="D80" s="41"/>
      <c r="E80" s="43"/>
      <c r="F80" s="43"/>
      <c r="G80" s="44"/>
      <c r="H80" s="64"/>
      <c r="I80" s="419" t="s">
        <v>418</v>
      </c>
      <c r="J80" s="429"/>
      <c r="K80" s="410"/>
      <c r="L80" s="410"/>
      <c r="M80" s="410"/>
      <c r="N80" s="410"/>
      <c r="O80" s="410"/>
      <c r="P80" s="410"/>
      <c r="Q80" s="430"/>
      <c r="R80" s="430"/>
      <c r="S80" s="430"/>
      <c r="T80" s="410"/>
      <c r="U80" s="410"/>
      <c r="V80" s="410"/>
      <c r="W80" s="567"/>
      <c r="X80" s="412">
        <v>1946000</v>
      </c>
      <c r="Y80" s="413" t="s">
        <v>25</v>
      </c>
      <c r="Z80" s="6"/>
    </row>
    <row r="81" spans="1:26" s="11" customFormat="1" ht="19.5" customHeight="1">
      <c r="A81" s="40"/>
      <c r="B81" s="41"/>
      <c r="C81" s="41"/>
      <c r="D81" s="41"/>
      <c r="E81" s="43"/>
      <c r="F81" s="43"/>
      <c r="G81" s="44"/>
      <c r="H81" s="64"/>
      <c r="I81" s="61" t="s">
        <v>400</v>
      </c>
      <c r="J81" s="247"/>
      <c r="K81" s="246"/>
      <c r="L81" s="246"/>
      <c r="M81" s="246"/>
      <c r="N81" s="246"/>
      <c r="O81" s="246"/>
      <c r="P81" s="246"/>
      <c r="Q81" s="48"/>
      <c r="R81" s="48"/>
      <c r="S81" s="48"/>
      <c r="T81" s="246"/>
      <c r="U81" s="246"/>
      <c r="V81" s="246"/>
      <c r="W81" s="62"/>
      <c r="X81" s="62">
        <v>2310000</v>
      </c>
      <c r="Y81" s="51" t="s">
        <v>25</v>
      </c>
      <c r="Z81" s="6"/>
    </row>
    <row r="82" spans="1:26" s="11" customFormat="1" ht="19.5" customHeight="1">
      <c r="A82" s="40"/>
      <c r="B82" s="41"/>
      <c r="C82" s="31" t="s">
        <v>111</v>
      </c>
      <c r="D82" s="319" t="s">
        <v>89</v>
      </c>
      <c r="E82" s="187">
        <f>E83</f>
        <v>0</v>
      </c>
      <c r="F82" s="187">
        <f>F83</f>
        <v>0</v>
      </c>
      <c r="G82" s="188">
        <f>F82-E82</f>
        <v>0</v>
      </c>
      <c r="H82" s="189">
        <f>IF(E82=0,0,G82/E82)</f>
        <v>0</v>
      </c>
      <c r="I82" s="173" t="s">
        <v>112</v>
      </c>
      <c r="J82" s="174"/>
      <c r="K82" s="175"/>
      <c r="L82" s="175"/>
      <c r="M82" s="175"/>
      <c r="N82" s="175"/>
      <c r="O82" s="175"/>
      <c r="P82" s="176"/>
      <c r="Q82" s="176"/>
      <c r="R82" s="176"/>
      <c r="S82" s="176"/>
      <c r="T82" s="176"/>
      <c r="U82" s="176"/>
      <c r="V82" s="202" t="s">
        <v>60</v>
      </c>
      <c r="W82" s="203"/>
      <c r="X82" s="203">
        <f>ROUND(SUM(W83:X84),-3)</f>
        <v>0</v>
      </c>
      <c r="Y82" s="228" t="s">
        <v>54</v>
      </c>
      <c r="Z82" s="6"/>
    </row>
    <row r="83" spans="1:26" s="11" customFormat="1" ht="19.5" customHeight="1">
      <c r="A83" s="40"/>
      <c r="B83" s="41"/>
      <c r="C83" s="41" t="s">
        <v>82</v>
      </c>
      <c r="D83" s="41" t="s">
        <v>163</v>
      </c>
      <c r="E83" s="43">
        <v>0</v>
      </c>
      <c r="F83" s="43">
        <f>ROUND(X83/1000,0)</f>
        <v>0</v>
      </c>
      <c r="G83" s="33">
        <f>F83-E83</f>
        <v>0</v>
      </c>
      <c r="H83" s="34">
        <f>IF(E83=0,0,G83/E83)</f>
        <v>0</v>
      </c>
      <c r="I83" s="61"/>
      <c r="J83" s="247"/>
      <c r="K83" s="246"/>
      <c r="L83" s="246"/>
      <c r="M83" s="246"/>
      <c r="N83" s="318"/>
      <c r="O83" s="68"/>
      <c r="P83" s="63"/>
      <c r="Q83" s="68"/>
      <c r="R83" s="73"/>
      <c r="S83" s="70"/>
      <c r="T83" s="70"/>
      <c r="U83" s="318"/>
      <c r="V83" s="246"/>
      <c r="W83" s="62"/>
      <c r="X83" s="62">
        <f>M83*P83</f>
        <v>0</v>
      </c>
      <c r="Y83" s="51" t="s">
        <v>54</v>
      </c>
      <c r="Z83" s="6"/>
    </row>
    <row r="84" spans="1:26" s="11" customFormat="1" ht="19.5" customHeight="1">
      <c r="A84" s="52"/>
      <c r="B84" s="53"/>
      <c r="C84" s="53"/>
      <c r="D84" s="53"/>
      <c r="E84" s="55"/>
      <c r="F84" s="55"/>
      <c r="G84" s="56"/>
      <c r="H84" s="78"/>
      <c r="I84" s="65"/>
      <c r="J84" s="288"/>
      <c r="K84" s="192"/>
      <c r="L84" s="192"/>
      <c r="M84" s="192"/>
      <c r="N84" s="192"/>
      <c r="O84" s="192"/>
      <c r="P84" s="192"/>
      <c r="Q84" s="122"/>
      <c r="R84" s="122"/>
      <c r="S84" s="122"/>
      <c r="T84" s="192"/>
      <c r="U84" s="192"/>
      <c r="V84" s="192"/>
      <c r="W84" s="66"/>
      <c r="X84" s="66">
        <v>0</v>
      </c>
      <c r="Y84" s="67" t="s">
        <v>54</v>
      </c>
      <c r="Z84" s="6"/>
    </row>
    <row r="85" spans="1:26" ht="21" customHeight="1">
      <c r="A85" s="40" t="s">
        <v>56</v>
      </c>
      <c r="B85" s="81" t="s">
        <v>16</v>
      </c>
      <c r="C85" s="613" t="s">
        <v>121</v>
      </c>
      <c r="D85" s="614"/>
      <c r="E85" s="209">
        <f>SUM(E86,E90,E96)</f>
        <v>569</v>
      </c>
      <c r="F85" s="209">
        <f>SUM(F86,F90,F96)</f>
        <v>37</v>
      </c>
      <c r="G85" s="210">
        <f>F85-E85</f>
        <v>-532</v>
      </c>
      <c r="H85" s="211">
        <f>IF(E85=0,0,G85/E85)</f>
        <v>-0.9349736379613357</v>
      </c>
      <c r="I85" s="212" t="s">
        <v>122</v>
      </c>
      <c r="J85" s="213"/>
      <c r="K85" s="214"/>
      <c r="L85" s="214"/>
      <c r="M85" s="213"/>
      <c r="N85" s="213"/>
      <c r="O85" s="213"/>
      <c r="P85" s="213"/>
      <c r="Q85" s="213" t="s">
        <v>59</v>
      </c>
      <c r="R85" s="215"/>
      <c r="S85" s="215"/>
      <c r="T85" s="215"/>
      <c r="U85" s="215"/>
      <c r="V85" s="215"/>
      <c r="W85" s="215"/>
      <c r="X85" s="225">
        <f>SUM(X86,X90,X96)</f>
        <v>37000</v>
      </c>
      <c r="Y85" s="230" t="s">
        <v>54</v>
      </c>
    </row>
    <row r="86" spans="1:26" ht="21" customHeight="1">
      <c r="A86" s="40"/>
      <c r="B86" s="88"/>
      <c r="C86" s="31" t="s">
        <v>113</v>
      </c>
      <c r="D86" s="319" t="s">
        <v>89</v>
      </c>
      <c r="E86" s="187">
        <f>E87</f>
        <v>0</v>
      </c>
      <c r="F86" s="187">
        <f>F87</f>
        <v>0</v>
      </c>
      <c r="G86" s="188">
        <f>F86-E86</f>
        <v>0</v>
      </c>
      <c r="H86" s="189">
        <f>IF(E86=0,0,G86/E86)</f>
        <v>0</v>
      </c>
      <c r="I86" s="173" t="s">
        <v>117</v>
      </c>
      <c r="J86" s="174"/>
      <c r="K86" s="175"/>
      <c r="L86" s="175"/>
      <c r="M86" s="175"/>
      <c r="N86" s="175"/>
      <c r="O86" s="175"/>
      <c r="P86" s="176"/>
      <c r="Q86" s="176"/>
      <c r="R86" s="176"/>
      <c r="S86" s="176"/>
      <c r="T86" s="176"/>
      <c r="U86" s="176"/>
      <c r="V86" s="202" t="s">
        <v>60</v>
      </c>
      <c r="W86" s="203"/>
      <c r="X86" s="204">
        <f>SUM(X87:X87)</f>
        <v>0</v>
      </c>
      <c r="Y86" s="228" t="s">
        <v>54</v>
      </c>
    </row>
    <row r="87" spans="1:26" ht="21" customHeight="1">
      <c r="A87" s="54"/>
      <c r="B87" s="90"/>
      <c r="C87" s="41" t="s">
        <v>114</v>
      </c>
      <c r="D87" s="31" t="s">
        <v>162</v>
      </c>
      <c r="E87" s="32">
        <v>0</v>
      </c>
      <c r="F87" s="43">
        <f>ROUND(X87/1000,0)</f>
        <v>0</v>
      </c>
      <c r="G87" s="33">
        <f>F87-E87</f>
        <v>0</v>
      </c>
      <c r="H87" s="34">
        <f>IF(E87=0,0,G87/E87)</f>
        <v>0</v>
      </c>
      <c r="I87" s="131" t="s">
        <v>117</v>
      </c>
      <c r="J87" s="148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615" t="s">
        <v>60</v>
      </c>
      <c r="W87" s="615"/>
      <c r="X87" s="132">
        <f>ROUNDUP(SUM(W88:X88),-3)</f>
        <v>0</v>
      </c>
      <c r="Y87" s="133" t="s">
        <v>54</v>
      </c>
    </row>
    <row r="88" spans="1:26" ht="21" customHeight="1">
      <c r="A88" s="54"/>
      <c r="B88" s="90"/>
      <c r="C88" s="41"/>
      <c r="D88" s="41"/>
      <c r="E88" s="43"/>
      <c r="F88" s="43"/>
      <c r="G88" s="44"/>
      <c r="H88" s="28"/>
      <c r="I88" s="359" t="s">
        <v>322</v>
      </c>
      <c r="J88" s="236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69"/>
      <c r="W88" s="269"/>
      <c r="X88" s="237">
        <v>0</v>
      </c>
      <c r="Y88" s="249" t="s">
        <v>323</v>
      </c>
    </row>
    <row r="89" spans="1:26" ht="21" customHeight="1">
      <c r="A89" s="54"/>
      <c r="B89" s="84"/>
      <c r="C89" s="41"/>
      <c r="D89" s="41"/>
      <c r="E89" s="43"/>
      <c r="F89" s="43"/>
      <c r="G89" s="44"/>
      <c r="H89" s="28"/>
      <c r="I89" s="61"/>
      <c r="J89" s="247"/>
      <c r="K89" s="246"/>
      <c r="L89" s="246"/>
      <c r="M89" s="246"/>
      <c r="N89" s="318"/>
      <c r="O89" s="68"/>
      <c r="P89" s="63"/>
      <c r="Q89" s="68"/>
      <c r="R89" s="73"/>
      <c r="S89" s="70"/>
      <c r="T89" s="70"/>
      <c r="U89" s="318"/>
      <c r="V89" s="246"/>
      <c r="W89" s="62"/>
      <c r="X89" s="62">
        <f>M89*P89</f>
        <v>0</v>
      </c>
      <c r="Y89" s="51" t="s">
        <v>54</v>
      </c>
    </row>
    <row r="90" spans="1:26" ht="21" customHeight="1">
      <c r="A90" s="54"/>
      <c r="B90" s="84"/>
      <c r="C90" s="31" t="s">
        <v>115</v>
      </c>
      <c r="D90" s="319" t="s">
        <v>89</v>
      </c>
      <c r="E90" s="187">
        <f>E91</f>
        <v>130</v>
      </c>
      <c r="F90" s="187">
        <f>F91</f>
        <v>37</v>
      </c>
      <c r="G90" s="188">
        <f>F90-E90</f>
        <v>-93</v>
      </c>
      <c r="H90" s="189">
        <f>IF(E90=0,0,G90/E90)</f>
        <v>-0.7153846153846154</v>
      </c>
      <c r="I90" s="173" t="s">
        <v>118</v>
      </c>
      <c r="J90" s="174"/>
      <c r="K90" s="175"/>
      <c r="L90" s="175"/>
      <c r="M90" s="175"/>
      <c r="N90" s="175"/>
      <c r="O90" s="175"/>
      <c r="P90" s="176"/>
      <c r="Q90" s="176"/>
      <c r="R90" s="176"/>
      <c r="S90" s="176"/>
      <c r="T90" s="176"/>
      <c r="U90" s="176"/>
      <c r="V90" s="202" t="s">
        <v>60</v>
      </c>
      <c r="W90" s="203"/>
      <c r="X90" s="203">
        <f>SUM(X91:X91)</f>
        <v>37000</v>
      </c>
      <c r="Y90" s="228" t="s">
        <v>54</v>
      </c>
    </row>
    <row r="91" spans="1:26" ht="21" customHeight="1">
      <c r="A91" s="54"/>
      <c r="B91" s="84"/>
      <c r="C91" s="41" t="s">
        <v>116</v>
      </c>
      <c r="D91" s="41" t="s">
        <v>161</v>
      </c>
      <c r="E91" s="43">
        <v>130</v>
      </c>
      <c r="F91" s="43">
        <f>ROUND(X91/1000,0)</f>
        <v>37</v>
      </c>
      <c r="G91" s="33">
        <f>F91-E91</f>
        <v>-93</v>
      </c>
      <c r="H91" s="34">
        <f>IF(E91=0,0,G91/E91)</f>
        <v>-0.7153846153846154</v>
      </c>
      <c r="I91" s="131" t="s">
        <v>160</v>
      </c>
      <c r="J91" s="148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615"/>
      <c r="W91" s="615"/>
      <c r="X91" s="132">
        <f>ROUND(SUM(W92:X95),-3)</f>
        <v>37000</v>
      </c>
      <c r="Y91" s="133" t="s">
        <v>54</v>
      </c>
      <c r="Z91" s="1"/>
    </row>
    <row r="92" spans="1:26" ht="21" customHeight="1">
      <c r="A92" s="54"/>
      <c r="B92" s="84"/>
      <c r="C92" s="41" t="s">
        <v>105</v>
      </c>
      <c r="D92" s="41" t="s">
        <v>159</v>
      </c>
      <c r="E92" s="43"/>
      <c r="F92" s="43"/>
      <c r="G92" s="44"/>
      <c r="H92" s="64"/>
      <c r="I92" s="418" t="s">
        <v>256</v>
      </c>
      <c r="J92" s="429"/>
      <c r="K92" s="410"/>
      <c r="L92" s="410"/>
      <c r="M92" s="410"/>
      <c r="N92" s="410"/>
      <c r="O92" s="410"/>
      <c r="P92" s="410"/>
      <c r="Q92" s="430"/>
      <c r="R92" s="430"/>
      <c r="S92" s="430"/>
      <c r="T92" s="410"/>
      <c r="U92" s="410"/>
      <c r="V92" s="410"/>
      <c r="W92" s="411"/>
      <c r="X92" s="411">
        <v>4000</v>
      </c>
      <c r="Y92" s="413" t="s">
        <v>54</v>
      </c>
      <c r="Z92" s="1"/>
    </row>
    <row r="93" spans="1:26" ht="21" customHeight="1">
      <c r="A93" s="54"/>
      <c r="B93" s="84"/>
      <c r="C93" s="41"/>
      <c r="D93" s="41"/>
      <c r="E93" s="43"/>
      <c r="F93" s="43"/>
      <c r="G93" s="44"/>
      <c r="H93" s="64"/>
      <c r="I93" s="418" t="s">
        <v>371</v>
      </c>
      <c r="J93" s="429"/>
      <c r="K93" s="410"/>
      <c r="L93" s="410"/>
      <c r="M93" s="410"/>
      <c r="N93" s="410"/>
      <c r="O93" s="410"/>
      <c r="P93" s="410"/>
      <c r="Q93" s="430"/>
      <c r="R93" s="430"/>
      <c r="S93" s="430"/>
      <c r="T93" s="410"/>
      <c r="U93" s="410"/>
      <c r="V93" s="410"/>
      <c r="W93" s="411"/>
      <c r="X93" s="411">
        <v>31000</v>
      </c>
      <c r="Y93" s="413" t="s">
        <v>54</v>
      </c>
      <c r="Z93" s="1"/>
    </row>
    <row r="94" spans="1:26" ht="21" customHeight="1">
      <c r="A94" s="54"/>
      <c r="B94" s="84"/>
      <c r="C94" s="41"/>
      <c r="D94" s="41"/>
      <c r="E94" s="43"/>
      <c r="F94" s="43"/>
      <c r="G94" s="44"/>
      <c r="H94" s="64"/>
      <c r="I94" s="418" t="s">
        <v>450</v>
      </c>
      <c r="J94" s="429"/>
      <c r="K94" s="410"/>
      <c r="L94" s="410"/>
      <c r="M94" s="410"/>
      <c r="N94" s="410"/>
      <c r="O94" s="410"/>
      <c r="P94" s="410"/>
      <c r="Q94" s="430"/>
      <c r="R94" s="430"/>
      <c r="S94" s="430"/>
      <c r="T94" s="410"/>
      <c r="U94" s="410"/>
      <c r="V94" s="410"/>
      <c r="W94" s="411"/>
      <c r="X94" s="411">
        <v>2000</v>
      </c>
      <c r="Y94" s="413" t="s">
        <v>54</v>
      </c>
      <c r="Z94" s="1"/>
    </row>
    <row r="95" spans="1:26" ht="21" customHeight="1">
      <c r="A95" s="54"/>
      <c r="B95" s="84"/>
      <c r="C95" s="41"/>
      <c r="D95" s="41"/>
      <c r="E95" s="43"/>
      <c r="F95" s="43"/>
      <c r="G95" s="44"/>
      <c r="H95" s="64"/>
      <c r="I95" s="418"/>
      <c r="J95" s="429"/>
      <c r="K95" s="410"/>
      <c r="L95" s="410"/>
      <c r="M95" s="410"/>
      <c r="N95" s="410"/>
      <c r="O95" s="410"/>
      <c r="P95" s="410"/>
      <c r="Q95" s="430"/>
      <c r="R95" s="430"/>
      <c r="S95" s="430"/>
      <c r="T95" s="410"/>
      <c r="U95" s="410"/>
      <c r="V95" s="410"/>
      <c r="W95" s="411"/>
      <c r="X95" s="411"/>
      <c r="Y95" s="413"/>
      <c r="Z95" s="1"/>
    </row>
    <row r="96" spans="1:26" ht="21" customHeight="1">
      <c r="A96" s="54"/>
      <c r="B96" s="84"/>
      <c r="C96" s="31" t="s">
        <v>106</v>
      </c>
      <c r="D96" s="319" t="s">
        <v>89</v>
      </c>
      <c r="E96" s="187">
        <f>E97</f>
        <v>439</v>
      </c>
      <c r="F96" s="187">
        <f>F97</f>
        <v>0</v>
      </c>
      <c r="G96" s="188">
        <f>F96-E96</f>
        <v>-439</v>
      </c>
      <c r="H96" s="189">
        <f>IF(E96=0,0,G96/E96)</f>
        <v>-1</v>
      </c>
      <c r="I96" s="173" t="s">
        <v>120</v>
      </c>
      <c r="J96" s="174"/>
      <c r="K96" s="175"/>
      <c r="L96" s="175"/>
      <c r="M96" s="175"/>
      <c r="N96" s="175"/>
      <c r="O96" s="175"/>
      <c r="P96" s="176"/>
      <c r="Q96" s="176"/>
      <c r="R96" s="176"/>
      <c r="S96" s="176"/>
      <c r="T96" s="176"/>
      <c r="U96" s="176"/>
      <c r="V96" s="202" t="s">
        <v>60</v>
      </c>
      <c r="W96" s="203"/>
      <c r="X96" s="203">
        <f>SUM(X97:X97)</f>
        <v>0</v>
      </c>
      <c r="Y96" s="228" t="s">
        <v>54</v>
      </c>
      <c r="Z96" s="1"/>
    </row>
    <row r="97" spans="1:26" ht="21" customHeight="1">
      <c r="A97" s="54"/>
      <c r="B97" s="84"/>
      <c r="C97" s="41" t="s">
        <v>56</v>
      </c>
      <c r="D97" s="41" t="s">
        <v>158</v>
      </c>
      <c r="E97" s="43">
        <v>439</v>
      </c>
      <c r="F97" s="43">
        <f>ROUND(X97/1000,0)</f>
        <v>0</v>
      </c>
      <c r="G97" s="33">
        <f>F97-E97</f>
        <v>-439</v>
      </c>
      <c r="H97" s="34">
        <f>IF(E97=0,0,G97/E97)</f>
        <v>-1</v>
      </c>
      <c r="I97" s="131" t="s">
        <v>120</v>
      </c>
      <c r="J97" s="148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615"/>
      <c r="W97" s="615"/>
      <c r="X97" s="132">
        <f>ROUNDUP(SUM(W98:X98),-3)</f>
        <v>0</v>
      </c>
      <c r="Y97" s="133" t="s">
        <v>54</v>
      </c>
      <c r="Z97" s="515"/>
    </row>
    <row r="98" spans="1:26" ht="21" customHeight="1">
      <c r="A98" s="54"/>
      <c r="B98" s="84"/>
      <c r="C98" s="41"/>
      <c r="D98" s="41"/>
      <c r="E98" s="43"/>
      <c r="F98" s="43"/>
      <c r="G98" s="44"/>
      <c r="H98" s="28"/>
      <c r="I98" s="61" t="s">
        <v>451</v>
      </c>
      <c r="J98" s="246"/>
      <c r="K98" s="246"/>
      <c r="L98" s="246"/>
      <c r="M98" s="246"/>
      <c r="N98" s="246"/>
      <c r="O98" s="247"/>
      <c r="P98" s="246"/>
      <c r="Q98" s="247"/>
      <c r="R98" s="247"/>
      <c r="S98" s="246"/>
      <c r="T98" s="246"/>
      <c r="U98" s="318" t="s">
        <v>343</v>
      </c>
      <c r="V98" s="318"/>
      <c r="W98" s="247"/>
      <c r="X98" s="246">
        <v>0</v>
      </c>
      <c r="Y98" s="51" t="s">
        <v>54</v>
      </c>
      <c r="Z98" s="516"/>
    </row>
    <row r="99" spans="1:26" ht="21" customHeight="1" thickBot="1">
      <c r="A99" s="92"/>
      <c r="B99" s="93"/>
      <c r="C99" s="93"/>
      <c r="D99" s="94"/>
      <c r="E99" s="95"/>
      <c r="F99" s="95"/>
      <c r="G99" s="96"/>
      <c r="H99" s="97"/>
      <c r="I99" s="57"/>
      <c r="J99" s="59"/>
      <c r="K99" s="59"/>
      <c r="L99" s="59"/>
      <c r="M99" s="59"/>
      <c r="N99" s="59"/>
      <c r="O99" s="58"/>
      <c r="P99" s="59"/>
      <c r="Q99" s="58"/>
      <c r="R99" s="58"/>
      <c r="S99" s="59"/>
      <c r="T99" s="59"/>
      <c r="U99" s="98"/>
      <c r="V99" s="98"/>
      <c r="W99" s="58"/>
      <c r="X99" s="59"/>
      <c r="Y99" s="60"/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>
      <c r="Z125" s="1"/>
    </row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ht="21" customHeight="1"/>
    <row r="136" spans="1:26" s="11" customFormat="1" ht="19.5" customHeight="1">
      <c r="A136" s="7"/>
      <c r="B136" s="7"/>
      <c r="C136" s="7"/>
      <c r="D136" s="7"/>
      <c r="E136" s="9"/>
      <c r="F136" s="9"/>
      <c r="G136" s="10"/>
      <c r="H136" s="12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6"/>
    </row>
    <row r="137" spans="1:26" ht="21" customHeight="1"/>
    <row r="138" spans="1:26" ht="21" customHeight="1"/>
    <row r="139" spans="1:26" ht="21.75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/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18" customHeight="1">
      <c r="Z149" s="1"/>
    </row>
    <row r="150" spans="26:26" ht="25.5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1"/>
    </row>
    <row r="162" spans="26:27" ht="21" customHeight="1">
      <c r="Z162" s="20"/>
      <c r="AA162" s="21"/>
    </row>
    <row r="163" spans="26:27" ht="21" customHeight="1">
      <c r="Z163" s="20"/>
      <c r="AA163" s="21"/>
    </row>
    <row r="164" spans="26:27" ht="21" customHeight="1">
      <c r="Z164" s="20"/>
      <c r="AA164" s="21"/>
    </row>
    <row r="165" spans="26:27" ht="21" customHeight="1">
      <c r="Z165" s="20"/>
      <c r="AA165" s="21"/>
    </row>
    <row r="166" spans="26:27" ht="21" customHeight="1">
      <c r="Z166" s="20"/>
      <c r="AA166" s="21"/>
    </row>
    <row r="167" spans="26:27" ht="21" customHeight="1">
      <c r="Z167" s="20"/>
      <c r="AA167" s="21"/>
    </row>
    <row r="168" spans="26:27" ht="21" customHeight="1"/>
    <row r="169" spans="26:27" ht="21" customHeight="1"/>
    <row r="170" spans="26:27" ht="21" customHeight="1"/>
    <row r="171" spans="26:27" ht="21" customHeight="1"/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>
      <c r="Z218" s="1"/>
    </row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ht="21" customHeight="1"/>
    <row r="230" spans="1:47" s="4" customFormat="1" ht="21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17"/>
      <c r="AA230" s="218"/>
      <c r="AB230" s="218"/>
      <c r="AC230" s="219"/>
      <c r="AD230" s="220"/>
      <c r="AE230" s="221"/>
      <c r="AF230" s="222"/>
      <c r="AG230" s="223"/>
      <c r="AH230" s="223"/>
      <c r="AI230" s="222"/>
      <c r="AJ230" s="222"/>
      <c r="AK230" s="222"/>
      <c r="AL230" s="222"/>
      <c r="AM230" s="222"/>
      <c r="AN230" s="221"/>
      <c r="AO230" s="221"/>
      <c r="AP230" s="221"/>
      <c r="AQ230" s="221"/>
      <c r="AR230" s="221"/>
      <c r="AS230" s="221"/>
      <c r="AT230" s="224"/>
      <c r="AU230" s="222"/>
    </row>
    <row r="231" spans="1:47" ht="21" customHeight="1"/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59" spans="1:26" s="11" customFormat="1" ht="19.5" customHeight="1">
      <c r="A259" s="7"/>
      <c r="B259" s="7"/>
      <c r="C259" s="7"/>
      <c r="D259" s="7"/>
      <c r="E259" s="9"/>
      <c r="F259" s="9"/>
      <c r="G259" s="10"/>
      <c r="H259" s="12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6"/>
    </row>
    <row r="270" spans="1:26" ht="19.5" customHeight="1">
      <c r="Z270" s="6" t="s">
        <v>57</v>
      </c>
    </row>
  </sheetData>
  <mergeCells count="24">
    <mergeCell ref="V97:W97"/>
    <mergeCell ref="V91:W91"/>
    <mergeCell ref="V45:W45"/>
    <mergeCell ref="V76:W76"/>
    <mergeCell ref="V72:W72"/>
    <mergeCell ref="V59:W59"/>
    <mergeCell ref="C85:D85"/>
    <mergeCell ref="V87:W87"/>
    <mergeCell ref="F2:F3"/>
    <mergeCell ref="C18:D18"/>
    <mergeCell ref="C33:D33"/>
    <mergeCell ref="C50:D50"/>
    <mergeCell ref="V52:W52"/>
    <mergeCell ref="C57:D57"/>
    <mergeCell ref="V35:W35"/>
    <mergeCell ref="V69:W69"/>
    <mergeCell ref="I2:Y3"/>
    <mergeCell ref="C5:D5"/>
    <mergeCell ref="C63:D63"/>
    <mergeCell ref="A1:D1"/>
    <mergeCell ref="A2:D2"/>
    <mergeCell ref="E2:E3"/>
    <mergeCell ref="A4:D4"/>
    <mergeCell ref="G2:H2"/>
  </mergeCells>
  <phoneticPr fontId="12" type="noConversion"/>
  <printOptions horizontalCentered="1"/>
  <pageMargins left="0" right="0" top="0.35433070866141736" bottom="0.35433070866141736" header="0.15748031496062992" footer="0.15748031496062992"/>
  <pageSetup paperSize="9" scale="70" firstPageNumber="16" orientation="landscape" horizontalDpi="4294967293" verticalDpi="4294967293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3"/>
  <sheetViews>
    <sheetView zoomScaleNormal="100" workbookViewId="0">
      <pane xSplit="3" ySplit="5" topLeftCell="D6" activePane="bottomRight" state="frozen"/>
      <selection activeCell="D26" sqref="D26"/>
      <selection pane="topRight" activeCell="D26" sqref="D26"/>
      <selection pane="bottomLeft" activeCell="D26" sqref="D26"/>
      <selection pane="bottomRight" activeCell="B5" sqref="B5:C5"/>
    </sheetView>
  </sheetViews>
  <sheetFormatPr defaultColWidth="13.77734375" defaultRowHeight="21" customHeight="1"/>
  <cols>
    <col min="1" max="1" width="5.88671875" style="19" bestFit="1" customWidth="1"/>
    <col min="2" max="2" width="7.109375" style="19" bestFit="1" customWidth="1"/>
    <col min="3" max="3" width="8.5546875" style="19" bestFit="1" customWidth="1"/>
    <col min="4" max="4" width="9.21875" style="16" bestFit="1" customWidth="1"/>
    <col min="5" max="5" width="8.109375" style="16" bestFit="1" customWidth="1"/>
    <col min="6" max="6" width="7.6640625" style="16" customWidth="1"/>
    <col min="7" max="7" width="8.33203125" style="16" bestFit="1" customWidth="1"/>
    <col min="8" max="8" width="7.77734375" style="16" customWidth="1"/>
    <col min="9" max="9" width="7.44140625" style="16" bestFit="1" customWidth="1"/>
    <col min="10" max="10" width="7.6640625" style="16" bestFit="1" customWidth="1"/>
    <col min="11" max="11" width="7.33203125" style="156" customWidth="1"/>
    <col min="12" max="12" width="14.109375" style="4" customWidth="1"/>
    <col min="13" max="13" width="12" style="4" customWidth="1"/>
    <col min="14" max="14" width="6.44140625" style="4" customWidth="1"/>
    <col min="15" max="15" width="7.44140625" style="4" customWidth="1"/>
    <col min="16" max="16" width="11.109375" style="5" bestFit="1" customWidth="1"/>
    <col min="17" max="17" width="3.21875" style="5" bestFit="1" customWidth="1"/>
    <col min="18" max="18" width="4" style="5" bestFit="1" customWidth="1"/>
    <col min="19" max="19" width="8.33203125" style="5" bestFit="1" customWidth="1"/>
    <col min="20" max="20" width="3.21875" style="5" customWidth="1"/>
    <col min="21" max="21" width="4.88671875" style="5" customWidth="1"/>
    <col min="22" max="22" width="4.77734375" style="5" customWidth="1"/>
    <col min="23" max="23" width="3.6640625" style="5" customWidth="1"/>
    <col min="24" max="24" width="3" style="5" customWidth="1"/>
    <col min="25" max="25" width="3.33203125" style="5" customWidth="1"/>
    <col min="26" max="26" width="1.44140625" style="5" customWidth="1"/>
    <col min="27" max="27" width="12.44140625" style="5" bestFit="1" customWidth="1"/>
    <col min="28" max="28" width="2.77734375" style="5" customWidth="1"/>
    <col min="29" max="29" width="3.6640625" style="4" customWidth="1"/>
    <col min="30" max="16384" width="13.77734375" style="4"/>
  </cols>
  <sheetData>
    <row r="1" spans="1:29" s="11" customFormat="1" ht="44.25" customHeight="1" thickBot="1">
      <c r="A1" s="604" t="s">
        <v>433</v>
      </c>
      <c r="B1" s="604"/>
      <c r="C1" s="604"/>
      <c r="D1" s="604"/>
      <c r="E1" s="378"/>
      <c r="F1" s="378"/>
      <c r="G1" s="378"/>
      <c r="H1" s="378"/>
      <c r="I1" s="378"/>
      <c r="J1" s="378"/>
      <c r="K1" s="149"/>
      <c r="L1" s="58"/>
      <c r="M1" s="58"/>
      <c r="N1" s="58"/>
      <c r="O1" s="58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1"/>
    </row>
    <row r="2" spans="1:29" s="3" customFormat="1" ht="27" customHeight="1">
      <c r="A2" s="605" t="s">
        <v>22</v>
      </c>
      <c r="B2" s="606"/>
      <c r="C2" s="606"/>
      <c r="D2" s="607" t="s">
        <v>434</v>
      </c>
      <c r="E2" s="641" t="s">
        <v>435</v>
      </c>
      <c r="F2" s="642"/>
      <c r="G2" s="642"/>
      <c r="H2" s="642"/>
      <c r="I2" s="643"/>
      <c r="J2" s="612" t="s">
        <v>23</v>
      </c>
      <c r="K2" s="612"/>
      <c r="L2" s="626" t="s">
        <v>53</v>
      </c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8"/>
    </row>
    <row r="3" spans="1:29" s="3" customFormat="1" ht="27" customHeight="1" thickBot="1">
      <c r="A3" s="22" t="s">
        <v>1</v>
      </c>
      <c r="B3" s="23" t="s">
        <v>2</v>
      </c>
      <c r="C3" s="23" t="s">
        <v>3</v>
      </c>
      <c r="D3" s="608"/>
      <c r="E3" s="136" t="s">
        <v>383</v>
      </c>
      <c r="F3" s="157" t="s">
        <v>300</v>
      </c>
      <c r="G3" s="157" t="s">
        <v>377</v>
      </c>
      <c r="H3" s="157" t="s">
        <v>378</v>
      </c>
      <c r="I3" s="136" t="s">
        <v>56</v>
      </c>
      <c r="J3" s="135" t="s">
        <v>78</v>
      </c>
      <c r="K3" s="99" t="s">
        <v>4</v>
      </c>
      <c r="L3" s="629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1"/>
    </row>
    <row r="4" spans="1:29" s="11" customFormat="1" ht="21" customHeight="1">
      <c r="A4" s="639" t="s">
        <v>31</v>
      </c>
      <c r="B4" s="640"/>
      <c r="C4" s="640"/>
      <c r="D4" s="256">
        <f t="shared" ref="D4:I4" si="0">SUM(D5,D96,D107,D117,D148,D151,D156,D159)</f>
        <v>466255</v>
      </c>
      <c r="E4" s="256">
        <f t="shared" si="0"/>
        <v>507951</v>
      </c>
      <c r="F4" s="256">
        <f t="shared" si="0"/>
        <v>15918</v>
      </c>
      <c r="G4" s="256">
        <f t="shared" si="0"/>
        <v>474083</v>
      </c>
      <c r="H4" s="256">
        <f t="shared" si="0"/>
        <v>17220</v>
      </c>
      <c r="I4" s="256">
        <f t="shared" ca="1" si="0"/>
        <v>730</v>
      </c>
      <c r="J4" s="257">
        <f>E4-D4</f>
        <v>41696</v>
      </c>
      <c r="K4" s="258">
        <f>IF(D4=0,0,J4/D4)</f>
        <v>8.9427459222957389E-2</v>
      </c>
      <c r="L4" s="259" t="s">
        <v>133</v>
      </c>
      <c r="M4" s="260"/>
      <c r="N4" s="260"/>
      <c r="O4" s="260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>
        <f>SUM(AA5,AA96,AA107,AA117,AA148,AA151,AA156,AA159)</f>
        <v>507951000</v>
      </c>
      <c r="AB4" s="262" t="s">
        <v>25</v>
      </c>
      <c r="AC4" s="2"/>
    </row>
    <row r="5" spans="1:29" s="11" customFormat="1" ht="21" customHeight="1">
      <c r="A5" s="103" t="s">
        <v>6</v>
      </c>
      <c r="B5" s="637" t="s">
        <v>7</v>
      </c>
      <c r="C5" s="638"/>
      <c r="D5" s="263">
        <f t="shared" ref="D5:I5" si="1">SUM(D6,D43,D53)</f>
        <v>107381</v>
      </c>
      <c r="E5" s="263">
        <f t="shared" si="1"/>
        <v>113305</v>
      </c>
      <c r="F5" s="263">
        <f t="shared" si="1"/>
        <v>918</v>
      </c>
      <c r="G5" s="263">
        <f t="shared" si="1"/>
        <v>94437</v>
      </c>
      <c r="H5" s="263">
        <f t="shared" si="1"/>
        <v>17220</v>
      </c>
      <c r="I5" s="263">
        <f t="shared" ca="1" si="1"/>
        <v>730</v>
      </c>
      <c r="J5" s="264">
        <f>E5-D5</f>
        <v>5924</v>
      </c>
      <c r="K5" s="265" t="s">
        <v>391</v>
      </c>
      <c r="L5" s="266" t="s">
        <v>134</v>
      </c>
      <c r="M5" s="266"/>
      <c r="N5" s="266"/>
      <c r="O5" s="266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>
        <f>SUM(AA6,AA43,AA53)</f>
        <v>113305000</v>
      </c>
      <c r="AB5" s="268" t="s">
        <v>25</v>
      </c>
      <c r="AC5" s="2"/>
    </row>
    <row r="6" spans="1:29" s="11" customFormat="1" ht="21" customHeight="1">
      <c r="A6" s="40"/>
      <c r="B6" s="31" t="s">
        <v>8</v>
      </c>
      <c r="C6" s="517" t="s">
        <v>5</v>
      </c>
      <c r="D6" s="518">
        <f t="shared" ref="D6:I6" si="2">SUM(D7,D10,D15,D18,D22,D40)</f>
        <v>80933</v>
      </c>
      <c r="E6" s="518">
        <f t="shared" si="2"/>
        <v>83007</v>
      </c>
      <c r="F6" s="518">
        <f t="shared" si="2"/>
        <v>0</v>
      </c>
      <c r="G6" s="518">
        <f t="shared" si="2"/>
        <v>77937</v>
      </c>
      <c r="H6" s="518">
        <f t="shared" si="2"/>
        <v>5070</v>
      </c>
      <c r="I6" s="518">
        <f t="shared" ca="1" si="2"/>
        <v>0</v>
      </c>
      <c r="J6" s="519">
        <f>E6-D6</f>
        <v>2074</v>
      </c>
      <c r="K6" s="520">
        <f>IF(D6=0,0,J6/D6)</f>
        <v>2.5626135198250403E-2</v>
      </c>
      <c r="L6" s="521" t="s">
        <v>135</v>
      </c>
      <c r="M6" s="521"/>
      <c r="N6" s="521"/>
      <c r="O6" s="521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>
        <f>SUM(AA7,AA10,AA15,AA18,AA22,AA40)</f>
        <v>83007000</v>
      </c>
      <c r="AB6" s="523" t="s">
        <v>25</v>
      </c>
      <c r="AC6" s="2"/>
    </row>
    <row r="7" spans="1:29" s="11" customFormat="1" ht="21" customHeight="1">
      <c r="A7" s="40"/>
      <c r="B7" s="41"/>
      <c r="C7" s="31" t="s">
        <v>32</v>
      </c>
      <c r="D7" s="144">
        <v>60240</v>
      </c>
      <c r="E7" s="100">
        <f>AA7/1000</f>
        <v>61440</v>
      </c>
      <c r="F7" s="105">
        <f>SUMIF($Y$8:$Y$8,"보조",$AA$8:$AA$8)/1000</f>
        <v>0</v>
      </c>
      <c r="G7" s="105">
        <f>SUMIF($Y$8:$Y$8,"지후",$AA$8:$AA$8)/1000</f>
        <v>61440</v>
      </c>
      <c r="H7" s="105">
        <f>SUMIF($Y$8:$Y$8,"후원",$AA$8:$AA$8)/1000</f>
        <v>0</v>
      </c>
      <c r="I7" s="105">
        <f ca="1">SUMIF($Y$1:$Y$11,"잡수",$AA$11:$AA$11)/1000</f>
        <v>0</v>
      </c>
      <c r="J7" s="104">
        <f>E7-D7</f>
        <v>1200</v>
      </c>
      <c r="K7" s="104">
        <f>IF(D7=0,0,J7/D7)</f>
        <v>1.9920318725099601E-2</v>
      </c>
      <c r="L7" s="107" t="s">
        <v>298</v>
      </c>
      <c r="M7" s="107"/>
      <c r="N7" s="141"/>
      <c r="O7" s="141"/>
      <c r="P7" s="141"/>
      <c r="Q7" s="140"/>
      <c r="R7" s="140"/>
      <c r="S7" s="140"/>
      <c r="T7" s="91" t="s">
        <v>79</v>
      </c>
      <c r="U7" s="91"/>
      <c r="V7" s="91"/>
      <c r="W7" s="91"/>
      <c r="X7" s="91"/>
      <c r="Y7" s="91"/>
      <c r="Z7" s="109"/>
      <c r="AA7" s="109">
        <f>SUM(AA8:AA8)</f>
        <v>61440000</v>
      </c>
      <c r="AB7" s="110" t="s">
        <v>54</v>
      </c>
      <c r="AC7" s="1"/>
    </row>
    <row r="8" spans="1:29" s="11" customFormat="1" ht="21" customHeight="1">
      <c r="A8" s="40"/>
      <c r="B8" s="41"/>
      <c r="C8" s="41"/>
      <c r="D8" s="142"/>
      <c r="E8" s="100"/>
      <c r="F8" s="100"/>
      <c r="G8" s="100"/>
      <c r="H8" s="100"/>
      <c r="I8" s="100"/>
      <c r="J8" s="100"/>
      <c r="K8" s="64"/>
      <c r="L8" s="359" t="s">
        <v>342</v>
      </c>
      <c r="M8" s="357"/>
      <c r="N8" s="357"/>
      <c r="O8" s="431"/>
      <c r="P8" s="432"/>
      <c r="Q8" s="433"/>
      <c r="R8" s="429"/>
      <c r="S8" s="434"/>
      <c r="T8" s="433"/>
      <c r="U8" s="435" t="s">
        <v>362</v>
      </c>
      <c r="V8" s="433"/>
      <c r="W8" s="433"/>
      <c r="X8" s="433"/>
      <c r="Y8" s="433" t="s">
        <v>379</v>
      </c>
      <c r="Z8" s="436"/>
      <c r="AA8" s="436">
        <v>61440000</v>
      </c>
      <c r="AB8" s="437" t="s">
        <v>333</v>
      </c>
      <c r="AC8" s="2"/>
    </row>
    <row r="9" spans="1:29" s="11" customFormat="1" ht="13.5">
      <c r="A9" s="40"/>
      <c r="B9" s="41"/>
      <c r="C9" s="41"/>
      <c r="D9" s="142"/>
      <c r="E9" s="100"/>
      <c r="F9" s="100"/>
      <c r="G9" s="100"/>
      <c r="H9" s="100"/>
      <c r="I9" s="100"/>
      <c r="J9" s="100"/>
      <c r="K9" s="64"/>
      <c r="L9" s="45"/>
      <c r="M9" s="45"/>
      <c r="N9" s="45"/>
      <c r="O9" s="429"/>
      <c r="P9" s="438"/>
      <c r="Q9" s="410"/>
      <c r="R9" s="410"/>
      <c r="S9" s="439"/>
      <c r="T9" s="439"/>
      <c r="U9" s="439"/>
      <c r="V9" s="439"/>
      <c r="W9" s="439"/>
      <c r="X9" s="439"/>
      <c r="Y9" s="439"/>
      <c r="Z9" s="440"/>
      <c r="AA9" s="440"/>
      <c r="AB9" s="441"/>
      <c r="AC9" s="1"/>
    </row>
    <row r="10" spans="1:29" s="11" customFormat="1" ht="21" customHeight="1">
      <c r="A10" s="40"/>
      <c r="B10" s="41"/>
      <c r="C10" s="31" t="s">
        <v>394</v>
      </c>
      <c r="D10" s="144">
        <v>10740</v>
      </c>
      <c r="E10" s="105">
        <f>ROUND(AA10/1000,0)</f>
        <v>10860</v>
      </c>
      <c r="F10" s="105">
        <f>SUMIF($Y$11:$Y$11,"보조",$AA$11:$AA$11)/1000</f>
        <v>0</v>
      </c>
      <c r="G10" s="105">
        <f>SUMIF($Y$11:$Y$14,"지후",$AA$11:$AA$14)/1000</f>
        <v>10860</v>
      </c>
      <c r="H10" s="105">
        <f>SUMIF($Y$11:$Y$11,"후원",$AA$11:$AA$11)/1000</f>
        <v>0</v>
      </c>
      <c r="I10" s="105">
        <f>SUMIF($Y$8:$Y$8,"잡수",$AA$8:$AA$8)/1000</f>
        <v>0</v>
      </c>
      <c r="J10" s="114">
        <f>E10-D10</f>
        <v>120</v>
      </c>
      <c r="K10" s="112">
        <f>IF(D10=0,0,J10/D10)</f>
        <v>1.11731843575419E-2</v>
      </c>
      <c r="L10" s="89" t="s">
        <v>33</v>
      </c>
      <c r="M10" s="152"/>
      <c r="N10" s="85"/>
      <c r="O10" s="442"/>
      <c r="P10" s="442"/>
      <c r="Q10" s="443"/>
      <c r="R10" s="443"/>
      <c r="S10" s="405"/>
      <c r="T10" s="444" t="s">
        <v>79</v>
      </c>
      <c r="U10" s="444"/>
      <c r="V10" s="444"/>
      <c r="W10" s="444"/>
      <c r="X10" s="444"/>
      <c r="Y10" s="444"/>
      <c r="Z10" s="445"/>
      <c r="AA10" s="445">
        <f>SUM(AA11:AA12)</f>
        <v>10860000</v>
      </c>
      <c r="AB10" s="446" t="s">
        <v>54</v>
      </c>
      <c r="AC10" s="1"/>
    </row>
    <row r="11" spans="1:29" s="11" customFormat="1" ht="21" customHeight="1">
      <c r="A11" s="40"/>
      <c r="B11" s="41"/>
      <c r="C11" s="41"/>
      <c r="D11" s="142"/>
      <c r="E11" s="100"/>
      <c r="F11" s="100"/>
      <c r="G11" s="100"/>
      <c r="H11" s="100"/>
      <c r="I11" s="100"/>
      <c r="J11" s="100"/>
      <c r="K11" s="64"/>
      <c r="L11" s="359" t="s">
        <v>395</v>
      </c>
      <c r="M11" s="357"/>
      <c r="N11" s="357"/>
      <c r="O11" s="431"/>
      <c r="P11" s="432"/>
      <c r="Q11" s="433"/>
      <c r="R11" s="429"/>
      <c r="S11" s="434"/>
      <c r="T11" s="433"/>
      <c r="U11" s="435" t="s">
        <v>362</v>
      </c>
      <c r="V11" s="433"/>
      <c r="W11" s="433"/>
      <c r="X11" s="433"/>
      <c r="Y11" s="433" t="s">
        <v>379</v>
      </c>
      <c r="Z11" s="436"/>
      <c r="AA11" s="436">
        <v>5100000</v>
      </c>
      <c r="AB11" s="437" t="s">
        <v>54</v>
      </c>
      <c r="AC11" s="1"/>
    </row>
    <row r="12" spans="1:29" s="11" customFormat="1" ht="21" customHeight="1">
      <c r="A12" s="40"/>
      <c r="B12" s="41"/>
      <c r="C12" s="41"/>
      <c r="D12" s="142"/>
      <c r="E12" s="100"/>
      <c r="F12" s="100"/>
      <c r="G12" s="100"/>
      <c r="H12" s="100"/>
      <c r="I12" s="100"/>
      <c r="J12" s="100"/>
      <c r="K12" s="64"/>
      <c r="L12" s="359" t="s">
        <v>405</v>
      </c>
      <c r="M12" s="357"/>
      <c r="N12" s="357"/>
      <c r="O12" s="431"/>
      <c r="P12" s="432"/>
      <c r="Q12" s="433"/>
      <c r="R12" s="429"/>
      <c r="S12" s="434"/>
      <c r="T12" s="433"/>
      <c r="U12" s="435" t="s">
        <v>362</v>
      </c>
      <c r="V12" s="433"/>
      <c r="W12" s="433"/>
      <c r="X12" s="433"/>
      <c r="Y12" s="433" t="s">
        <v>379</v>
      </c>
      <c r="Z12" s="436"/>
      <c r="AA12" s="436">
        <f>SUM(AA13:AA14)</f>
        <v>5760000</v>
      </c>
      <c r="AB12" s="437" t="s">
        <v>54</v>
      </c>
      <c r="AC12" s="1"/>
    </row>
    <row r="13" spans="1:29" s="11" customFormat="1" ht="21" customHeight="1">
      <c r="A13" s="40"/>
      <c r="B13" s="41"/>
      <c r="C13" s="41"/>
      <c r="D13" s="142"/>
      <c r="E13" s="100"/>
      <c r="F13" s="100"/>
      <c r="G13" s="100"/>
      <c r="H13" s="100"/>
      <c r="I13" s="100"/>
      <c r="J13" s="100"/>
      <c r="K13" s="64"/>
      <c r="L13" s="359" t="s">
        <v>407</v>
      </c>
      <c r="M13" s="357"/>
      <c r="N13" s="357"/>
      <c r="O13" s="431"/>
      <c r="P13" s="337">
        <v>200000</v>
      </c>
      <c r="Q13" s="248" t="s">
        <v>125</v>
      </c>
      <c r="R13" s="248" t="s">
        <v>26</v>
      </c>
      <c r="S13" s="337">
        <v>12</v>
      </c>
      <c r="T13" s="338" t="s">
        <v>29</v>
      </c>
      <c r="U13" s="337" t="s">
        <v>27</v>
      </c>
      <c r="V13" s="337"/>
      <c r="W13" s="337"/>
      <c r="X13" s="337"/>
      <c r="Y13" s="337"/>
      <c r="Z13" s="253"/>
      <c r="AA13" s="337">
        <f t="shared" ref="AA13:AA14" si="3">P13*S13</f>
        <v>2400000</v>
      </c>
      <c r="AB13" s="380" t="s">
        <v>125</v>
      </c>
      <c r="AC13" s="1"/>
    </row>
    <row r="14" spans="1:29" s="11" customFormat="1" ht="21" customHeight="1">
      <c r="A14" s="40"/>
      <c r="B14" s="41"/>
      <c r="C14" s="41"/>
      <c r="D14" s="142"/>
      <c r="E14" s="100"/>
      <c r="F14" s="100"/>
      <c r="G14" s="100"/>
      <c r="H14" s="100"/>
      <c r="I14" s="100"/>
      <c r="J14" s="100"/>
      <c r="K14" s="64"/>
      <c r="L14" s="359" t="s">
        <v>408</v>
      </c>
      <c r="M14" s="357"/>
      <c r="N14" s="357"/>
      <c r="O14" s="431"/>
      <c r="P14" s="337">
        <v>280000</v>
      </c>
      <c r="Q14" s="248" t="s">
        <v>125</v>
      </c>
      <c r="R14" s="248" t="s">
        <v>26</v>
      </c>
      <c r="S14" s="337">
        <v>12</v>
      </c>
      <c r="T14" s="338" t="s">
        <v>29</v>
      </c>
      <c r="U14" s="337" t="s">
        <v>27</v>
      </c>
      <c r="V14" s="337"/>
      <c r="W14" s="337"/>
      <c r="X14" s="337"/>
      <c r="Y14" s="337"/>
      <c r="Z14" s="253"/>
      <c r="AA14" s="337">
        <f t="shared" si="3"/>
        <v>3360000</v>
      </c>
      <c r="AB14" s="380" t="s">
        <v>125</v>
      </c>
      <c r="AC14" s="1"/>
    </row>
    <row r="15" spans="1:29" s="11" customFormat="1" ht="21" hidden="1" customHeight="1">
      <c r="A15" s="40"/>
      <c r="B15" s="41"/>
      <c r="C15" s="31" t="s">
        <v>257</v>
      </c>
      <c r="D15" s="144">
        <v>0</v>
      </c>
      <c r="E15" s="105">
        <f>ROUND(AA15/1000,0)</f>
        <v>0</v>
      </c>
      <c r="F15" s="105">
        <f>SUMIF(Y16:Y17,"보조",AA16:AA17)/1000</f>
        <v>0</v>
      </c>
      <c r="G15" s="105">
        <f>SUMIF(Y16:Y17,"후원",AA16:AA17)/1000</f>
        <v>0</v>
      </c>
      <c r="H15" s="105">
        <f>SUMIF(Y16:Y17,"입소",AA16:AA17)/1000</f>
        <v>0</v>
      </c>
      <c r="I15" s="105">
        <f>SUMIF(Y16:Y17,"잡수",AA16:AA17)/1000</f>
        <v>0</v>
      </c>
      <c r="J15" s="104">
        <f>E15-D15</f>
        <v>0</v>
      </c>
      <c r="K15" s="112">
        <f>IF(D15=0,0,J15/D15)</f>
        <v>0</v>
      </c>
      <c r="L15" s="89" t="s">
        <v>309</v>
      </c>
      <c r="M15" s="152"/>
      <c r="N15" s="85"/>
      <c r="O15" s="442"/>
      <c r="P15" s="442"/>
      <c r="Q15" s="443"/>
      <c r="R15" s="443"/>
      <c r="S15" s="443"/>
      <c r="T15" s="448" t="s">
        <v>79</v>
      </c>
      <c r="U15" s="448"/>
      <c r="V15" s="448"/>
      <c r="W15" s="448"/>
      <c r="X15" s="448"/>
      <c r="Y15" s="448"/>
      <c r="Z15" s="449"/>
      <c r="AA15" s="449">
        <f>AA16</f>
        <v>0</v>
      </c>
      <c r="AB15" s="450" t="s">
        <v>54</v>
      </c>
      <c r="AC15" s="1"/>
    </row>
    <row r="16" spans="1:29" s="11" customFormat="1" ht="21" hidden="1" customHeight="1">
      <c r="A16" s="40"/>
      <c r="B16" s="41"/>
      <c r="C16" s="41"/>
      <c r="D16" s="142"/>
      <c r="E16" s="100"/>
      <c r="F16" s="100"/>
      <c r="G16" s="100"/>
      <c r="H16" s="100"/>
      <c r="I16" s="100"/>
      <c r="J16" s="100"/>
      <c r="K16" s="64"/>
      <c r="L16" s="644"/>
      <c r="M16" s="645"/>
      <c r="N16" s="235"/>
      <c r="O16" s="433"/>
      <c r="P16" s="433">
        <v>0</v>
      </c>
      <c r="Q16" s="433" t="s">
        <v>137</v>
      </c>
      <c r="R16" s="451" t="s">
        <v>141</v>
      </c>
      <c r="S16" s="433">
        <v>4</v>
      </c>
      <c r="T16" s="433" t="s">
        <v>139</v>
      </c>
      <c r="U16" s="451" t="s">
        <v>141</v>
      </c>
      <c r="V16" s="452">
        <v>12</v>
      </c>
      <c r="W16" s="453" t="s">
        <v>138</v>
      </c>
      <c r="X16" s="453" t="s">
        <v>142</v>
      </c>
      <c r="Y16" s="453"/>
      <c r="Z16" s="451"/>
      <c r="AA16" s="433">
        <f>P16*S16*V16</f>
        <v>0</v>
      </c>
      <c r="AB16" s="437" t="s">
        <v>137</v>
      </c>
      <c r="AC16" s="15"/>
    </row>
    <row r="17" spans="1:30" s="11" customFormat="1" ht="21" hidden="1" customHeight="1">
      <c r="A17" s="40"/>
      <c r="B17" s="41"/>
      <c r="C17" s="41" t="s">
        <v>389</v>
      </c>
      <c r="D17" s="142"/>
      <c r="E17" s="100"/>
      <c r="F17" s="100"/>
      <c r="G17" s="100"/>
      <c r="H17" s="100"/>
      <c r="I17" s="100"/>
      <c r="J17" s="100"/>
      <c r="K17" s="64"/>
      <c r="L17" s="236"/>
      <c r="M17" s="236"/>
      <c r="N17" s="236"/>
      <c r="O17" s="451"/>
      <c r="P17" s="433"/>
      <c r="Q17" s="454"/>
      <c r="R17" s="455"/>
      <c r="S17" s="454"/>
      <c r="T17" s="456"/>
      <c r="U17" s="456"/>
      <c r="V17" s="433"/>
      <c r="W17" s="433"/>
      <c r="X17" s="433"/>
      <c r="Y17" s="433"/>
      <c r="Z17" s="433"/>
      <c r="AA17" s="433"/>
      <c r="AB17" s="437"/>
      <c r="AC17" s="15"/>
    </row>
    <row r="18" spans="1:30" s="11" customFormat="1" ht="21" customHeight="1">
      <c r="A18" s="40"/>
      <c r="B18" s="41"/>
      <c r="C18" s="31" t="s">
        <v>9</v>
      </c>
      <c r="D18" s="144">
        <v>5436</v>
      </c>
      <c r="E18" s="104">
        <f>AA18/1000</f>
        <v>5547</v>
      </c>
      <c r="F18" s="105">
        <f>SUMIF($Y$19:$Y$20,"보조",$AA$19:$AA$20)/1000</f>
        <v>0</v>
      </c>
      <c r="G18" s="105">
        <f>SUMIF($Y$19:$Y$20,"지후",$AA$19:$AA$20)/1000</f>
        <v>5547</v>
      </c>
      <c r="H18" s="105">
        <f>SUMIF($Y$19:$Y$20,"후원",$AA$19:$AA$20)/1000</f>
        <v>0</v>
      </c>
      <c r="I18" s="105">
        <f>SUMIF($Y$19:$Y$20,"잡수",$AA$19:$AA$20)/1000</f>
        <v>0</v>
      </c>
      <c r="J18" s="104">
        <f>E18-D18</f>
        <v>111</v>
      </c>
      <c r="K18" s="112">
        <f>IF(D18=0,0,J18/D18)</f>
        <v>2.0419426048565122E-2</v>
      </c>
      <c r="L18" s="89" t="s">
        <v>34</v>
      </c>
      <c r="M18" s="152"/>
      <c r="N18" s="138"/>
      <c r="O18" s="442"/>
      <c r="P18" s="442"/>
      <c r="Q18" s="443"/>
      <c r="R18" s="443"/>
      <c r="S18" s="443"/>
      <c r="T18" s="448" t="s">
        <v>123</v>
      </c>
      <c r="U18" s="448"/>
      <c r="V18" s="448"/>
      <c r="W18" s="448"/>
      <c r="X18" s="448"/>
      <c r="Y18" s="448"/>
      <c r="Z18" s="449" t="s">
        <v>124</v>
      </c>
      <c r="AA18" s="449">
        <f>ROUNDUP(SUM(AA19,AA20,AA21),-3)</f>
        <v>5547000</v>
      </c>
      <c r="AB18" s="450" t="s">
        <v>125</v>
      </c>
      <c r="AC18" s="2"/>
    </row>
    <row r="19" spans="1:30" s="11" customFormat="1" ht="21" customHeight="1">
      <c r="A19" s="40"/>
      <c r="B19" s="41"/>
      <c r="C19" s="41"/>
      <c r="D19" s="145"/>
      <c r="E19" s="100"/>
      <c r="F19" s="100"/>
      <c r="G19" s="100"/>
      <c r="H19" s="100"/>
      <c r="I19" s="100"/>
      <c r="J19" s="106"/>
      <c r="K19" s="64"/>
      <c r="L19" s="236"/>
      <c r="M19" s="236"/>
      <c r="N19" s="236"/>
      <c r="O19" s="451"/>
      <c r="P19" s="433">
        <f>기본급+AA11</f>
        <v>66540000</v>
      </c>
      <c r="Q19" s="453" t="s">
        <v>137</v>
      </c>
      <c r="R19" s="453" t="s">
        <v>145</v>
      </c>
      <c r="S19" s="457">
        <v>12</v>
      </c>
      <c r="T19" s="458" t="s">
        <v>138</v>
      </c>
      <c r="U19" s="435" t="s">
        <v>362</v>
      </c>
      <c r="V19" s="433"/>
      <c r="W19" s="433"/>
      <c r="X19" s="433" t="s">
        <v>142</v>
      </c>
      <c r="Y19" s="433" t="s">
        <v>379</v>
      </c>
      <c r="Z19" s="436"/>
      <c r="AA19" s="436">
        <f>ROUNDUP(P19/S19,-3)+2000</f>
        <v>5547000</v>
      </c>
      <c r="AB19" s="437" t="s">
        <v>137</v>
      </c>
      <c r="AC19" s="2"/>
      <c r="AD19" s="505"/>
    </row>
    <row r="20" spans="1:30" s="11" customFormat="1" ht="21" customHeight="1">
      <c r="A20" s="40"/>
      <c r="B20" s="41"/>
      <c r="C20" s="41"/>
      <c r="D20" s="145"/>
      <c r="E20" s="100"/>
      <c r="F20" s="100"/>
      <c r="G20" s="100"/>
      <c r="H20" s="100"/>
      <c r="I20" s="100"/>
      <c r="J20" s="106"/>
      <c r="K20" s="64"/>
      <c r="L20" s="236"/>
      <c r="M20" s="236"/>
      <c r="N20" s="236"/>
      <c r="O20" s="451"/>
      <c r="P20" s="433"/>
      <c r="Q20" s="453"/>
      <c r="R20" s="453"/>
      <c r="S20" s="457"/>
      <c r="T20" s="458"/>
      <c r="U20" s="435"/>
      <c r="V20" s="433"/>
      <c r="W20" s="433"/>
      <c r="X20" s="433"/>
      <c r="Y20" s="433"/>
      <c r="Z20" s="436"/>
      <c r="AA20" s="436"/>
      <c r="AB20" s="437" t="s">
        <v>54</v>
      </c>
      <c r="AC20" s="2"/>
    </row>
    <row r="21" spans="1:30" s="11" customFormat="1" ht="21" customHeight="1">
      <c r="A21" s="40"/>
      <c r="B21" s="41"/>
      <c r="C21" s="41"/>
      <c r="D21" s="146"/>
      <c r="E21" s="100"/>
      <c r="F21" s="100"/>
      <c r="G21" s="100"/>
      <c r="H21" s="100"/>
      <c r="I21" s="100"/>
      <c r="J21" s="106"/>
      <c r="K21" s="64"/>
      <c r="L21" s="29"/>
      <c r="M21" s="29"/>
      <c r="N21" s="29"/>
      <c r="O21" s="404"/>
      <c r="P21" s="404"/>
      <c r="Q21" s="405"/>
      <c r="R21" s="405"/>
      <c r="S21" s="405"/>
      <c r="T21" s="405"/>
      <c r="U21" s="405"/>
      <c r="V21" s="405"/>
      <c r="W21" s="405"/>
      <c r="X21" s="405"/>
      <c r="Y21" s="405"/>
      <c r="Z21" s="459"/>
      <c r="AA21" s="459"/>
      <c r="AB21" s="460"/>
      <c r="AC21" s="2"/>
    </row>
    <row r="22" spans="1:30" s="11" customFormat="1" ht="21" customHeight="1">
      <c r="A22" s="40"/>
      <c r="B22" s="41"/>
      <c r="C22" s="113" t="s">
        <v>61</v>
      </c>
      <c r="D22" s="144">
        <v>4427</v>
      </c>
      <c r="E22" s="104">
        <f>AA22/1000</f>
        <v>5070</v>
      </c>
      <c r="F22" s="105">
        <f>SUMIF($Y$23:$Y$39,"보조",$AA$23:$AA$39)/1000</f>
        <v>0</v>
      </c>
      <c r="G22" s="105">
        <f>SUMIF($Y$23:$Y$39,"지후",$AA$23:$AA$39)/1000</f>
        <v>0</v>
      </c>
      <c r="H22" s="105">
        <f>SUMIF($Y$25:$Y$38,"후원",$AA$25:$AA$38)/1000</f>
        <v>5070</v>
      </c>
      <c r="I22" s="105">
        <f>SUMIF($Y$23:$Y$39,"잡수",$AA$23:$AA$39)/1000</f>
        <v>0</v>
      </c>
      <c r="J22" s="114">
        <f>E22-D22</f>
        <v>643</v>
      </c>
      <c r="K22" s="112">
        <f>IF(D22=0,0,J22/D22)</f>
        <v>0.14524508696634289</v>
      </c>
      <c r="L22" s="89" t="s">
        <v>35</v>
      </c>
      <c r="M22" s="152"/>
      <c r="N22" s="85"/>
      <c r="O22" s="442"/>
      <c r="P22" s="442"/>
      <c r="Q22" s="443"/>
      <c r="R22" s="443"/>
      <c r="S22" s="443"/>
      <c r="T22" s="448" t="s">
        <v>79</v>
      </c>
      <c r="U22" s="448"/>
      <c r="V22" s="448"/>
      <c r="W22" s="448"/>
      <c r="X22" s="448"/>
      <c r="Y22" s="448"/>
      <c r="Z22" s="449"/>
      <c r="AA22" s="449">
        <f>SUM(AA24,AA28,AA31,AA34,AA37)</f>
        <v>5070000</v>
      </c>
      <c r="AB22" s="450" t="s">
        <v>25</v>
      </c>
    </row>
    <row r="23" spans="1:30" s="11" customFormat="1" ht="21" customHeight="1">
      <c r="A23" s="40"/>
      <c r="B23" s="41"/>
      <c r="C23" s="41"/>
      <c r="D23" s="142"/>
      <c r="E23" s="100"/>
      <c r="F23" s="100"/>
      <c r="G23" s="100"/>
      <c r="H23" s="100"/>
      <c r="I23" s="100"/>
      <c r="J23" s="100"/>
      <c r="K23" s="64"/>
      <c r="L23" s="141"/>
      <c r="M23" s="29"/>
      <c r="N23" s="29"/>
      <c r="O23" s="404"/>
      <c r="P23" s="404"/>
      <c r="Q23" s="405"/>
      <c r="R23" s="405"/>
      <c r="S23" s="405"/>
      <c r="T23" s="405"/>
      <c r="U23" s="405"/>
      <c r="V23" s="405"/>
      <c r="W23" s="405"/>
      <c r="X23" s="405"/>
      <c r="Y23" s="405"/>
      <c r="Z23" s="459"/>
      <c r="AA23" s="459"/>
      <c r="AB23" s="460"/>
      <c r="AC23" s="2"/>
    </row>
    <row r="24" spans="1:30" s="11" customFormat="1" ht="21" customHeight="1">
      <c r="A24" s="40"/>
      <c r="B24" s="41"/>
      <c r="C24" s="41"/>
      <c r="D24" s="142"/>
      <c r="E24" s="100"/>
      <c r="F24" s="100"/>
      <c r="G24" s="100"/>
      <c r="H24" s="100"/>
      <c r="I24" s="100"/>
      <c r="J24" s="100"/>
      <c r="K24" s="64"/>
      <c r="L24" s="296" t="s">
        <v>344</v>
      </c>
      <c r="M24" s="236"/>
      <c r="N24" s="236"/>
      <c r="O24" s="451"/>
      <c r="P24" s="451"/>
      <c r="Q24" s="433"/>
      <c r="R24" s="433"/>
      <c r="S24" s="433"/>
      <c r="T24" s="461" t="s">
        <v>144</v>
      </c>
      <c r="U24" s="461"/>
      <c r="V24" s="461"/>
      <c r="W24" s="461"/>
      <c r="X24" s="461"/>
      <c r="Y24" s="461"/>
      <c r="Z24" s="462"/>
      <c r="AA24" s="462">
        <f>ROUND(SUM(AA25:AA27),-3)</f>
        <v>1218000</v>
      </c>
      <c r="AB24" s="463" t="s">
        <v>137</v>
      </c>
      <c r="AC24" s="2"/>
    </row>
    <row r="25" spans="1:30" s="11" customFormat="1" ht="21" customHeight="1">
      <c r="A25" s="40"/>
      <c r="B25" s="41"/>
      <c r="C25" s="41"/>
      <c r="D25" s="142"/>
      <c r="E25" s="100"/>
      <c r="F25" s="100"/>
      <c r="G25" s="100"/>
      <c r="H25" s="100"/>
      <c r="I25" s="100"/>
      <c r="J25" s="100"/>
      <c r="K25" s="64"/>
      <c r="L25" s="236"/>
      <c r="M25" s="236"/>
      <c r="N25" s="338" t="s">
        <v>438</v>
      </c>
      <c r="O25" s="420"/>
      <c r="P25" s="421">
        <f>24600000+2460000</f>
        <v>27060000</v>
      </c>
      <c r="Q25" s="422" t="s">
        <v>137</v>
      </c>
      <c r="R25" s="423" t="s">
        <v>141</v>
      </c>
      <c r="S25" s="565">
        <v>4.4999999999999998E-2</v>
      </c>
      <c r="T25" s="422"/>
      <c r="U25" s="566"/>
      <c r="V25" s="408"/>
      <c r="W25" s="408"/>
      <c r="X25" s="422" t="s">
        <v>142</v>
      </c>
      <c r="Y25" s="421" t="s">
        <v>330</v>
      </c>
      <c r="Z25" s="412"/>
      <c r="AA25" s="412">
        <f>ROUND(P25*S25,-3)</f>
        <v>1218000</v>
      </c>
      <c r="AB25" s="424" t="s">
        <v>137</v>
      </c>
      <c r="AC25" s="2"/>
      <c r="AD25" s="505"/>
    </row>
    <row r="26" spans="1:30" s="11" customFormat="1" ht="21" customHeight="1">
      <c r="A26" s="40"/>
      <c r="B26" s="41"/>
      <c r="C26" s="41"/>
      <c r="D26" s="142"/>
      <c r="E26" s="100"/>
      <c r="F26" s="100"/>
      <c r="G26" s="100"/>
      <c r="H26" s="100"/>
      <c r="I26" s="100"/>
      <c r="J26" s="100"/>
      <c r="K26" s="64"/>
      <c r="L26" s="236"/>
      <c r="M26" s="236"/>
      <c r="N26" s="236"/>
      <c r="O26" s="451"/>
      <c r="P26" s="433"/>
      <c r="Q26" s="453"/>
      <c r="R26" s="458"/>
      <c r="S26" s="464"/>
      <c r="T26" s="453"/>
      <c r="U26" s="465"/>
      <c r="V26" s="466"/>
      <c r="W26" s="466"/>
      <c r="X26" s="453"/>
      <c r="Y26" s="433"/>
      <c r="Z26" s="436"/>
      <c r="AA26" s="436"/>
      <c r="AB26" s="437"/>
      <c r="AC26" s="2"/>
    </row>
    <row r="27" spans="1:30" s="11" customFormat="1" ht="21" customHeight="1">
      <c r="A27" s="40"/>
      <c r="B27" s="41"/>
      <c r="C27" s="41"/>
      <c r="D27" s="142"/>
      <c r="E27" s="100"/>
      <c r="F27" s="100"/>
      <c r="G27" s="100"/>
      <c r="H27" s="100"/>
      <c r="I27" s="100"/>
      <c r="J27" s="100"/>
      <c r="K27" s="64"/>
      <c r="L27" s="236"/>
      <c r="M27" s="236"/>
      <c r="N27" s="236"/>
      <c r="O27" s="451"/>
      <c r="P27" s="433"/>
      <c r="Q27" s="453"/>
      <c r="R27" s="458"/>
      <c r="S27" s="467"/>
      <c r="T27" s="453"/>
      <c r="U27" s="465"/>
      <c r="V27" s="466"/>
      <c r="W27" s="466"/>
      <c r="X27" s="453"/>
      <c r="Y27" s="433"/>
      <c r="Z27" s="436"/>
      <c r="AA27" s="436"/>
      <c r="AB27" s="437"/>
      <c r="AC27" s="2"/>
    </row>
    <row r="28" spans="1:30" s="11" customFormat="1" ht="21" customHeight="1">
      <c r="A28" s="40"/>
      <c r="B28" s="41"/>
      <c r="C28" s="41"/>
      <c r="D28" s="142"/>
      <c r="E28" s="100"/>
      <c r="F28" s="100"/>
      <c r="G28" s="100"/>
      <c r="H28" s="100"/>
      <c r="I28" s="100"/>
      <c r="J28" s="100"/>
      <c r="K28" s="64"/>
      <c r="L28" s="296" t="s">
        <v>345</v>
      </c>
      <c r="M28" s="236"/>
      <c r="N28" s="236"/>
      <c r="O28" s="451"/>
      <c r="P28" s="451"/>
      <c r="Q28" s="433"/>
      <c r="R28" s="433"/>
      <c r="S28" s="433"/>
      <c r="T28" s="461" t="s">
        <v>143</v>
      </c>
      <c r="U28" s="461"/>
      <c r="V28" s="461"/>
      <c r="W28" s="461"/>
      <c r="X28" s="461"/>
      <c r="Y28" s="461"/>
      <c r="Z28" s="462" t="s">
        <v>147</v>
      </c>
      <c r="AA28" s="462">
        <f>ROUNDUP(SUM(AA29:AA30),-3)</f>
        <v>2326000</v>
      </c>
      <c r="AB28" s="463" t="s">
        <v>140</v>
      </c>
      <c r="AC28" s="2"/>
    </row>
    <row r="29" spans="1:30" s="11" customFormat="1" ht="21" customHeight="1">
      <c r="A29" s="40"/>
      <c r="B29" s="41"/>
      <c r="C29" s="41"/>
      <c r="D29" s="142"/>
      <c r="E29" s="100"/>
      <c r="F29" s="100"/>
      <c r="G29" s="100"/>
      <c r="H29" s="100"/>
      <c r="I29" s="100"/>
      <c r="J29" s="100"/>
      <c r="K29" s="64"/>
      <c r="L29" s="236"/>
      <c r="M29" s="236"/>
      <c r="N29" s="236"/>
      <c r="O29" s="451"/>
      <c r="P29" s="433">
        <f>기본급+AA11</f>
        <v>66540000</v>
      </c>
      <c r="Q29" s="453" t="s">
        <v>140</v>
      </c>
      <c r="R29" s="458" t="s">
        <v>148</v>
      </c>
      <c r="S29" s="499">
        <v>3.4950000000000002E-2</v>
      </c>
      <c r="T29" s="453"/>
      <c r="U29" s="469"/>
      <c r="V29" s="466"/>
      <c r="W29" s="466"/>
      <c r="X29" s="453" t="s">
        <v>146</v>
      </c>
      <c r="Y29" s="433" t="s">
        <v>330</v>
      </c>
      <c r="Z29" s="436"/>
      <c r="AA29" s="436">
        <f>ROUNDUP(P29*S29,-3)</f>
        <v>2326000</v>
      </c>
      <c r="AB29" s="437" t="s">
        <v>140</v>
      </c>
      <c r="AC29" s="2"/>
    </row>
    <row r="30" spans="1:30" s="11" customFormat="1" ht="21" customHeight="1">
      <c r="A30" s="40"/>
      <c r="B30" s="41"/>
      <c r="C30" s="41"/>
      <c r="D30" s="142"/>
      <c r="E30" s="100"/>
      <c r="F30" s="100"/>
      <c r="G30" s="100"/>
      <c r="H30" s="100"/>
      <c r="I30" s="100"/>
      <c r="J30" s="100"/>
      <c r="K30" s="64"/>
      <c r="L30" s="236"/>
      <c r="M30" s="236"/>
      <c r="N30" s="236"/>
      <c r="O30" s="451"/>
      <c r="P30" s="433"/>
      <c r="Q30" s="453"/>
      <c r="R30" s="458"/>
      <c r="S30" s="468"/>
      <c r="T30" s="453"/>
      <c r="U30" s="469"/>
      <c r="V30" s="466"/>
      <c r="W30" s="466"/>
      <c r="X30" s="453"/>
      <c r="Y30" s="433"/>
      <c r="Z30" s="436"/>
      <c r="AA30" s="436"/>
      <c r="AB30" s="437"/>
      <c r="AC30" s="2"/>
    </row>
    <row r="31" spans="1:30" s="11" customFormat="1" ht="21" customHeight="1">
      <c r="A31" s="40"/>
      <c r="B31" s="41"/>
      <c r="C31" s="41"/>
      <c r="D31" s="142"/>
      <c r="E31" s="100"/>
      <c r="F31" s="100"/>
      <c r="G31" s="100"/>
      <c r="H31" s="100"/>
      <c r="I31" s="100"/>
      <c r="J31" s="100"/>
      <c r="K31" s="64"/>
      <c r="L31" s="296" t="s">
        <v>346</v>
      </c>
      <c r="M31" s="236"/>
      <c r="N31" s="236"/>
      <c r="O31" s="451"/>
      <c r="P31" s="451"/>
      <c r="Q31" s="433"/>
      <c r="R31" s="433"/>
      <c r="S31" s="433"/>
      <c r="T31" s="461" t="s">
        <v>143</v>
      </c>
      <c r="U31" s="461"/>
      <c r="V31" s="461"/>
      <c r="W31" s="461"/>
      <c r="X31" s="461"/>
      <c r="Y31" s="461"/>
      <c r="Z31" s="462" t="s">
        <v>147</v>
      </c>
      <c r="AA31" s="462">
        <f>ROUND(SUM(AA32:AA33),-3)</f>
        <v>286000</v>
      </c>
      <c r="AB31" s="463" t="s">
        <v>140</v>
      </c>
      <c r="AC31" s="2"/>
    </row>
    <row r="32" spans="1:30" s="11" customFormat="1" ht="21" customHeight="1">
      <c r="A32" s="40"/>
      <c r="B32" s="41"/>
      <c r="C32" s="41"/>
      <c r="D32" s="142"/>
      <c r="E32" s="100"/>
      <c r="F32" s="100"/>
      <c r="G32" s="100"/>
      <c r="H32" s="100"/>
      <c r="I32" s="100"/>
      <c r="J32" s="100"/>
      <c r="K32" s="64"/>
      <c r="L32" s="236"/>
      <c r="M32" s="236"/>
      <c r="N32" s="236"/>
      <c r="O32" s="451"/>
      <c r="P32" s="432">
        <f>AA28</f>
        <v>2326000</v>
      </c>
      <c r="Q32" s="453" t="s">
        <v>140</v>
      </c>
      <c r="R32" s="458" t="s">
        <v>148</v>
      </c>
      <c r="S32" s="468">
        <v>0.1227</v>
      </c>
      <c r="T32" s="458"/>
      <c r="U32" s="470"/>
      <c r="V32" s="466"/>
      <c r="W32" s="466"/>
      <c r="X32" s="453" t="s">
        <v>146</v>
      </c>
      <c r="Y32" s="433" t="s">
        <v>330</v>
      </c>
      <c r="Z32" s="436"/>
      <c r="AA32" s="436">
        <f>ROUNDUP(P32*S32,-3)</f>
        <v>286000</v>
      </c>
      <c r="AB32" s="437" t="s">
        <v>140</v>
      </c>
      <c r="AC32" s="2"/>
    </row>
    <row r="33" spans="1:29" s="11" customFormat="1" ht="21" customHeight="1">
      <c r="A33" s="40"/>
      <c r="B33" s="41"/>
      <c r="C33" s="41"/>
      <c r="D33" s="142"/>
      <c r="E33" s="100"/>
      <c r="F33" s="100"/>
      <c r="G33" s="100"/>
      <c r="H33" s="100"/>
      <c r="I33" s="100"/>
      <c r="J33" s="100"/>
      <c r="K33" s="64"/>
      <c r="L33" s="236"/>
      <c r="M33" s="236"/>
      <c r="N33" s="236"/>
      <c r="O33" s="451"/>
      <c r="P33" s="432"/>
      <c r="Q33" s="453"/>
      <c r="R33" s="458"/>
      <c r="S33" s="468"/>
      <c r="T33" s="458"/>
      <c r="U33" s="470"/>
      <c r="V33" s="466"/>
      <c r="W33" s="466"/>
      <c r="X33" s="453"/>
      <c r="Y33" s="433"/>
      <c r="Z33" s="436"/>
      <c r="AA33" s="436"/>
      <c r="AB33" s="437"/>
      <c r="AC33" s="2"/>
    </row>
    <row r="34" spans="1:29" s="11" customFormat="1" ht="21" customHeight="1">
      <c r="A34" s="40"/>
      <c r="B34" s="41"/>
      <c r="C34" s="41"/>
      <c r="D34" s="142"/>
      <c r="E34" s="100"/>
      <c r="F34" s="100"/>
      <c r="G34" s="100"/>
      <c r="H34" s="100"/>
      <c r="I34" s="100"/>
      <c r="J34" s="100"/>
      <c r="K34" s="64"/>
      <c r="L34" s="296" t="s">
        <v>347</v>
      </c>
      <c r="M34" s="236"/>
      <c r="N34" s="236"/>
      <c r="O34" s="451"/>
      <c r="P34" s="451"/>
      <c r="Q34" s="433"/>
      <c r="R34" s="433"/>
      <c r="S34" s="433"/>
      <c r="T34" s="461" t="s">
        <v>143</v>
      </c>
      <c r="U34" s="461"/>
      <c r="V34" s="461"/>
      <c r="W34" s="461"/>
      <c r="X34" s="461"/>
      <c r="Y34" s="461"/>
      <c r="Z34" s="462" t="s">
        <v>147</v>
      </c>
      <c r="AA34" s="462">
        <f>ROUND(SUM(AA35:AA36),-3)</f>
        <v>733000</v>
      </c>
      <c r="AB34" s="463" t="s">
        <v>140</v>
      </c>
      <c r="AC34" s="2"/>
    </row>
    <row r="35" spans="1:29" s="11" customFormat="1" ht="21" customHeight="1">
      <c r="A35" s="40"/>
      <c r="B35" s="41"/>
      <c r="C35" s="41"/>
      <c r="D35" s="142"/>
      <c r="E35" s="100"/>
      <c r="F35" s="100"/>
      <c r="G35" s="100"/>
      <c r="H35" s="100"/>
      <c r="I35" s="100"/>
      <c r="J35" s="100"/>
      <c r="K35" s="64"/>
      <c r="L35" s="236"/>
      <c r="M35" s="236"/>
      <c r="N35" s="236"/>
      <c r="O35" s="451"/>
      <c r="P35" s="433">
        <f>P29</f>
        <v>66540000</v>
      </c>
      <c r="Q35" s="453" t="s">
        <v>140</v>
      </c>
      <c r="R35" s="458" t="s">
        <v>148</v>
      </c>
      <c r="S35" s="468">
        <v>1.0999999999999999E-2</v>
      </c>
      <c r="T35" s="458"/>
      <c r="U35" s="470"/>
      <c r="V35" s="466"/>
      <c r="W35" s="466"/>
      <c r="X35" s="453" t="s">
        <v>146</v>
      </c>
      <c r="Y35" s="433" t="s">
        <v>330</v>
      </c>
      <c r="Z35" s="436"/>
      <c r="AA35" s="436">
        <f>ROUND(P35*S35,-3)+1000</f>
        <v>733000</v>
      </c>
      <c r="AB35" s="437" t="s">
        <v>140</v>
      </c>
      <c r="AC35" s="2"/>
    </row>
    <row r="36" spans="1:29" s="11" customFormat="1" ht="21" customHeight="1">
      <c r="A36" s="40"/>
      <c r="B36" s="41"/>
      <c r="C36" s="41"/>
      <c r="D36" s="142"/>
      <c r="E36" s="100"/>
      <c r="F36" s="100"/>
      <c r="G36" s="100"/>
      <c r="H36" s="100"/>
      <c r="I36" s="100"/>
      <c r="J36" s="100"/>
      <c r="K36" s="64"/>
      <c r="L36" s="236"/>
      <c r="M36" s="236"/>
      <c r="N36" s="236"/>
      <c r="O36" s="451"/>
      <c r="P36" s="433"/>
      <c r="Q36" s="453"/>
      <c r="R36" s="458"/>
      <c r="S36" s="468"/>
      <c r="T36" s="458"/>
      <c r="U36" s="470"/>
      <c r="V36" s="466"/>
      <c r="W36" s="466"/>
      <c r="X36" s="453"/>
      <c r="Y36" s="433"/>
      <c r="Z36" s="436"/>
      <c r="AA36" s="436"/>
      <c r="AB36" s="437"/>
      <c r="AC36" s="2"/>
    </row>
    <row r="37" spans="1:29" s="11" customFormat="1" ht="21" customHeight="1">
      <c r="A37" s="40"/>
      <c r="B37" s="41"/>
      <c r="C37" s="41"/>
      <c r="D37" s="142"/>
      <c r="E37" s="100"/>
      <c r="F37" s="100"/>
      <c r="G37" s="100"/>
      <c r="H37" s="100"/>
      <c r="I37" s="100"/>
      <c r="J37" s="100"/>
      <c r="K37" s="64"/>
      <c r="L37" s="296" t="s">
        <v>348</v>
      </c>
      <c r="M37" s="236"/>
      <c r="N37" s="236"/>
      <c r="O37" s="451"/>
      <c r="P37" s="451"/>
      <c r="Q37" s="433"/>
      <c r="R37" s="433"/>
      <c r="S37" s="433"/>
      <c r="T37" s="461" t="s">
        <v>143</v>
      </c>
      <c r="U37" s="461"/>
      <c r="V37" s="461"/>
      <c r="W37" s="461"/>
      <c r="X37" s="461"/>
      <c r="Y37" s="461"/>
      <c r="Z37" s="462" t="s">
        <v>147</v>
      </c>
      <c r="AA37" s="462">
        <f>ROUND(SUM(AA38:AA38),-3)</f>
        <v>507000</v>
      </c>
      <c r="AB37" s="463" t="s">
        <v>140</v>
      </c>
      <c r="AC37" s="2"/>
    </row>
    <row r="38" spans="1:29" s="11" customFormat="1" ht="21" customHeight="1">
      <c r="A38" s="40"/>
      <c r="B38" s="41"/>
      <c r="C38" s="41"/>
      <c r="D38" s="142"/>
      <c r="E38" s="100"/>
      <c r="F38" s="100"/>
      <c r="G38" s="100"/>
      <c r="H38" s="100"/>
      <c r="I38" s="100"/>
      <c r="J38" s="100"/>
      <c r="K38" s="64"/>
      <c r="L38" s="236"/>
      <c r="M38" s="236"/>
      <c r="N38" s="236"/>
      <c r="O38" s="451"/>
      <c r="P38" s="433">
        <f>P35</f>
        <v>66540000</v>
      </c>
      <c r="Q38" s="453" t="s">
        <v>140</v>
      </c>
      <c r="R38" s="458" t="s">
        <v>148</v>
      </c>
      <c r="S38" s="468">
        <v>7.6E-3</v>
      </c>
      <c r="T38" s="458"/>
      <c r="U38" s="470"/>
      <c r="V38" s="466"/>
      <c r="W38" s="466"/>
      <c r="X38" s="453" t="s">
        <v>146</v>
      </c>
      <c r="Y38" s="433" t="s">
        <v>330</v>
      </c>
      <c r="Z38" s="436"/>
      <c r="AA38" s="436">
        <f>ROUNDUP(P38*S38,-3)+1000</f>
        <v>507000</v>
      </c>
      <c r="AB38" s="437" t="s">
        <v>140</v>
      </c>
      <c r="AC38" s="2"/>
    </row>
    <row r="39" spans="1:29" s="11" customFormat="1" ht="21" customHeight="1">
      <c r="A39" s="40"/>
      <c r="B39" s="41"/>
      <c r="C39" s="41"/>
      <c r="D39" s="142"/>
      <c r="E39" s="100"/>
      <c r="F39" s="100"/>
      <c r="G39" s="100"/>
      <c r="H39" s="100"/>
      <c r="I39" s="100"/>
      <c r="J39" s="100"/>
      <c r="K39" s="64"/>
      <c r="L39" s="236"/>
      <c r="M39" s="236"/>
      <c r="N39" s="236"/>
      <c r="O39" s="451"/>
      <c r="P39" s="451"/>
      <c r="Q39" s="433"/>
      <c r="R39" s="433"/>
      <c r="S39" s="433"/>
      <c r="T39" s="433"/>
      <c r="U39" s="433"/>
      <c r="V39" s="433"/>
      <c r="W39" s="433"/>
      <c r="X39" s="433"/>
      <c r="Y39" s="433"/>
      <c r="Z39" s="436"/>
      <c r="AA39" s="436"/>
      <c r="AB39" s="437"/>
      <c r="AC39" s="2"/>
    </row>
    <row r="40" spans="1:29" s="11" customFormat="1" ht="21" customHeight="1">
      <c r="A40" s="40"/>
      <c r="B40" s="41"/>
      <c r="C40" s="31" t="s">
        <v>62</v>
      </c>
      <c r="D40" s="144">
        <v>90</v>
      </c>
      <c r="E40" s="104">
        <f>AA40/1000</f>
        <v>90</v>
      </c>
      <c r="F40" s="105">
        <f>SUMIF($Y$41:$Y$42,"보조",$AA$41:$AA$42)/1000</f>
        <v>0</v>
      </c>
      <c r="G40" s="105">
        <f>SUMIF($Y$41:$Y$42,"지후",$AA$41:$AA$42)/1000</f>
        <v>90</v>
      </c>
      <c r="H40" s="105">
        <f>SUMIF($Y$41:$Y$42,"후원",$AA$41:$AA$42)/1000</f>
        <v>0</v>
      </c>
      <c r="I40" s="105">
        <f>SUMIF($Y$41:$Y$42,"잡수",$AA$41:$AA$42)/1000</f>
        <v>0</v>
      </c>
      <c r="J40" s="104">
        <f>E40-D40</f>
        <v>0</v>
      </c>
      <c r="K40" s="112">
        <f>IF(D40=0,0,J40/D40)</f>
        <v>0</v>
      </c>
      <c r="L40" s="89" t="s">
        <v>63</v>
      </c>
      <c r="M40" s="152"/>
      <c r="N40" s="85"/>
      <c r="O40" s="442"/>
      <c r="P40" s="442"/>
      <c r="Q40" s="443"/>
      <c r="R40" s="443"/>
      <c r="S40" s="443"/>
      <c r="T40" s="448" t="s">
        <v>79</v>
      </c>
      <c r="U40" s="448"/>
      <c r="V40" s="448"/>
      <c r="W40" s="448"/>
      <c r="X40" s="448"/>
      <c r="Y40" s="448"/>
      <c r="Z40" s="449"/>
      <c r="AA40" s="449">
        <f>SUM(AA41:AA41)</f>
        <v>90000</v>
      </c>
      <c r="AB40" s="450" t="s">
        <v>25</v>
      </c>
      <c r="AC40" s="18"/>
    </row>
    <row r="41" spans="1:29" s="11" customFormat="1" ht="21" customHeight="1">
      <c r="A41" s="40"/>
      <c r="B41" s="41"/>
      <c r="C41" s="41" t="s">
        <v>81</v>
      </c>
      <c r="D41" s="142"/>
      <c r="E41" s="100"/>
      <c r="F41" s="100"/>
      <c r="G41" s="100"/>
      <c r="H41" s="100"/>
      <c r="I41" s="100"/>
      <c r="J41" s="100"/>
      <c r="K41" s="64"/>
      <c r="L41" s="298" t="s">
        <v>349</v>
      </c>
      <c r="M41" s="298"/>
      <c r="N41" s="297"/>
      <c r="O41" s="421"/>
      <c r="P41" s="421">
        <v>30000</v>
      </c>
      <c r="Q41" s="421" t="s">
        <v>149</v>
      </c>
      <c r="R41" s="423" t="s">
        <v>150</v>
      </c>
      <c r="S41" s="421">
        <v>3</v>
      </c>
      <c r="T41" s="421" t="s">
        <v>151</v>
      </c>
      <c r="U41" s="435" t="s">
        <v>362</v>
      </c>
      <c r="V41" s="421"/>
      <c r="W41" s="421"/>
      <c r="X41" s="421" t="s">
        <v>152</v>
      </c>
      <c r="Y41" s="421" t="s">
        <v>406</v>
      </c>
      <c r="Z41" s="412"/>
      <c r="AA41" s="412">
        <f>P41*S41</f>
        <v>90000</v>
      </c>
      <c r="AB41" s="424" t="s">
        <v>149</v>
      </c>
      <c r="AC41" s="2"/>
    </row>
    <row r="42" spans="1:29" s="11" customFormat="1" ht="21" customHeight="1">
      <c r="A42" s="40"/>
      <c r="B42" s="53"/>
      <c r="C42" s="53"/>
      <c r="D42" s="143"/>
      <c r="E42" s="102"/>
      <c r="F42" s="102"/>
      <c r="G42" s="102"/>
      <c r="H42" s="102"/>
      <c r="I42" s="102"/>
      <c r="J42" s="102"/>
      <c r="K42" s="78"/>
      <c r="L42" s="241"/>
      <c r="M42" s="241"/>
      <c r="N42" s="241"/>
      <c r="O42" s="471"/>
      <c r="P42" s="472"/>
      <c r="Q42" s="473"/>
      <c r="R42" s="473"/>
      <c r="S42" s="473"/>
      <c r="T42" s="472"/>
      <c r="U42" s="473"/>
      <c r="V42" s="473"/>
      <c r="W42" s="473"/>
      <c r="X42" s="472"/>
      <c r="Y42" s="473"/>
      <c r="Z42" s="473"/>
      <c r="AA42" s="472"/>
      <c r="AB42" s="474"/>
      <c r="AC42" s="2"/>
    </row>
    <row r="43" spans="1:29" s="11" customFormat="1" ht="21" customHeight="1">
      <c r="A43" s="40"/>
      <c r="B43" s="41" t="s">
        <v>80</v>
      </c>
      <c r="C43" s="524" t="s">
        <v>5</v>
      </c>
      <c r="D43" s="525">
        <f t="shared" ref="D43:I43" si="4">SUM(D44,D47,D49)</f>
        <v>1100</v>
      </c>
      <c r="E43" s="525">
        <f t="shared" si="4"/>
        <v>1420</v>
      </c>
      <c r="F43" s="525">
        <f t="shared" si="4"/>
        <v>0</v>
      </c>
      <c r="G43" s="525">
        <f t="shared" si="4"/>
        <v>1420</v>
      </c>
      <c r="H43" s="525">
        <f t="shared" si="4"/>
        <v>0</v>
      </c>
      <c r="I43" s="525">
        <f t="shared" si="4"/>
        <v>0</v>
      </c>
      <c r="J43" s="525">
        <f>E43-D43</f>
        <v>320</v>
      </c>
      <c r="K43" s="526">
        <f>IF(D43=0,0,J43/D43)</f>
        <v>0.29090909090909089</v>
      </c>
      <c r="L43" s="527" t="s">
        <v>84</v>
      </c>
      <c r="M43" s="527"/>
      <c r="N43" s="527"/>
      <c r="O43" s="528"/>
      <c r="P43" s="529"/>
      <c r="Q43" s="529"/>
      <c r="R43" s="529"/>
      <c r="S43" s="529"/>
      <c r="T43" s="530"/>
      <c r="U43" s="530"/>
      <c r="V43" s="530"/>
      <c r="W43" s="530"/>
      <c r="X43" s="530"/>
      <c r="Y43" s="530"/>
      <c r="Z43" s="531"/>
      <c r="AA43" s="531">
        <f>SUM(AA44,AA47,AA49)</f>
        <v>1420000</v>
      </c>
      <c r="AB43" s="532" t="s">
        <v>25</v>
      </c>
      <c r="AC43" s="5"/>
    </row>
    <row r="44" spans="1:29" s="11" customFormat="1" ht="21" customHeight="1">
      <c r="A44" s="40"/>
      <c r="B44" s="41" t="s">
        <v>83</v>
      </c>
      <c r="C44" s="31" t="s">
        <v>10</v>
      </c>
      <c r="D44" s="144">
        <v>100</v>
      </c>
      <c r="E44" s="104">
        <f>AA44/1000</f>
        <v>100</v>
      </c>
      <c r="F44" s="105">
        <f>SUMIF($Y$45:$Y$46,"보조",$AA$45:$AA$46)/1000</f>
        <v>0</v>
      </c>
      <c r="G44" s="105">
        <f>SUMIF($Y$45:$Y$46,"지후",$AA$45:$AA$46)/1000</f>
        <v>100</v>
      </c>
      <c r="H44" s="105">
        <f>SUMIF($Y$45:$Y$46,"후원",$AA$45:$AA$46)/1000</f>
        <v>0</v>
      </c>
      <c r="I44" s="105">
        <f>SUMIF($Y$45:$Y$46,"잡수",$AA$45:$AA$46)/1000</f>
        <v>0</v>
      </c>
      <c r="J44" s="104">
        <f>E44-D44</f>
        <v>0</v>
      </c>
      <c r="K44" s="112">
        <f>IF(D44=0,0,J44/D44)</f>
        <v>0</v>
      </c>
      <c r="L44" s="89" t="s">
        <v>36</v>
      </c>
      <c r="M44" s="134"/>
      <c r="N44" s="148"/>
      <c r="O44" s="475"/>
      <c r="P44" s="475"/>
      <c r="Q44" s="406"/>
      <c r="R44" s="406"/>
      <c r="S44" s="406"/>
      <c r="T44" s="406"/>
      <c r="U44" s="406"/>
      <c r="V44" s="448" t="s">
        <v>86</v>
      </c>
      <c r="W44" s="448"/>
      <c r="X44" s="448"/>
      <c r="Y44" s="448"/>
      <c r="Z44" s="449"/>
      <c r="AA44" s="449">
        <f>AA45</f>
        <v>100000</v>
      </c>
      <c r="AB44" s="450" t="s">
        <v>25</v>
      </c>
    </row>
    <row r="45" spans="1:29" s="11" customFormat="1" ht="21" customHeight="1">
      <c r="A45" s="40"/>
      <c r="B45" s="41"/>
      <c r="C45" s="41"/>
      <c r="D45" s="142"/>
      <c r="E45" s="100"/>
      <c r="F45" s="100"/>
      <c r="G45" s="100"/>
      <c r="H45" s="100"/>
      <c r="I45" s="100"/>
      <c r="J45" s="100"/>
      <c r="K45" s="64"/>
      <c r="L45" s="330" t="s">
        <v>350</v>
      </c>
      <c r="M45" s="298"/>
      <c r="N45" s="298"/>
      <c r="O45" s="420"/>
      <c r="P45" s="421"/>
      <c r="Q45" s="476"/>
      <c r="R45" s="476"/>
      <c r="S45" s="421"/>
      <c r="T45" s="420"/>
      <c r="U45" s="435" t="s">
        <v>362</v>
      </c>
      <c r="V45" s="421"/>
      <c r="W45" s="421"/>
      <c r="X45" s="421"/>
      <c r="Y45" s="421" t="s">
        <v>379</v>
      </c>
      <c r="Z45" s="421"/>
      <c r="AA45" s="421">
        <v>100000</v>
      </c>
      <c r="AB45" s="424" t="s">
        <v>153</v>
      </c>
      <c r="AC45" s="2"/>
    </row>
    <row r="46" spans="1:29" s="11" customFormat="1" ht="21" customHeight="1">
      <c r="A46" s="40"/>
      <c r="B46" s="41"/>
      <c r="C46" s="53"/>
      <c r="D46" s="143"/>
      <c r="E46" s="102"/>
      <c r="F46" s="102"/>
      <c r="G46" s="102"/>
      <c r="H46" s="102"/>
      <c r="I46" s="102"/>
      <c r="J46" s="102"/>
      <c r="K46" s="78"/>
      <c r="L46" s="80"/>
      <c r="M46" s="80"/>
      <c r="N46" s="80"/>
      <c r="O46" s="477"/>
      <c r="P46" s="477"/>
      <c r="Q46" s="477"/>
      <c r="R46" s="477"/>
      <c r="S46" s="477"/>
      <c r="T46" s="477"/>
      <c r="U46" s="477"/>
      <c r="V46" s="477"/>
      <c r="W46" s="477"/>
      <c r="X46" s="477"/>
      <c r="Y46" s="477"/>
      <c r="Z46" s="477"/>
      <c r="AA46" s="477"/>
      <c r="AB46" s="478"/>
      <c r="AC46" s="1"/>
    </row>
    <row r="47" spans="1:29" s="11" customFormat="1" ht="21" customHeight="1">
      <c r="A47" s="40"/>
      <c r="B47" s="41"/>
      <c r="C47" s="41" t="s">
        <v>11</v>
      </c>
      <c r="D47" s="142">
        <v>0</v>
      </c>
      <c r="E47" s="104">
        <f>AA47/1000</f>
        <v>0</v>
      </c>
      <c r="F47" s="105">
        <f>SUMIF($Y$48:$Y$48,"보조",$AA$48:$AA$48)/1000</f>
        <v>0</v>
      </c>
      <c r="G47" s="105">
        <f>SUMIF($Y$48:$Y$48,"지후",$AA$48:$AA$48)/1000</f>
        <v>0</v>
      </c>
      <c r="H47" s="105">
        <f>SUMIF($Y$48:$Y$48,"후원",$AA$48:$AA$48)/1000</f>
        <v>0</v>
      </c>
      <c r="I47" s="105">
        <f>SUMIF($Y$48:$Y$48,"잡수",$AA$48:$AA$48)/1000</f>
        <v>0</v>
      </c>
      <c r="J47" s="100">
        <f>E47-D47</f>
        <v>0</v>
      </c>
      <c r="K47" s="64">
        <f>IF(D47=0,0,J47/D47)</f>
        <v>0</v>
      </c>
      <c r="L47" s="89" t="s">
        <v>85</v>
      </c>
      <c r="M47" s="152"/>
      <c r="N47" s="29"/>
      <c r="O47" s="404"/>
      <c r="P47" s="404"/>
      <c r="Q47" s="405"/>
      <c r="R47" s="405"/>
      <c r="S47" s="405"/>
      <c r="T47" s="405"/>
      <c r="U47" s="405"/>
      <c r="V47" s="448" t="s">
        <v>86</v>
      </c>
      <c r="W47" s="448"/>
      <c r="X47" s="448"/>
      <c r="Y47" s="448"/>
      <c r="Z47" s="449"/>
      <c r="AA47" s="449">
        <f>AA48</f>
        <v>0</v>
      </c>
      <c r="AB47" s="450" t="s">
        <v>25</v>
      </c>
      <c r="AC47" s="1"/>
    </row>
    <row r="48" spans="1:29" s="11" customFormat="1" ht="21" customHeight="1">
      <c r="A48" s="40"/>
      <c r="B48" s="41"/>
      <c r="C48" s="53"/>
      <c r="D48" s="143"/>
      <c r="E48" s="102"/>
      <c r="F48" s="102"/>
      <c r="G48" s="102"/>
      <c r="H48" s="102"/>
      <c r="I48" s="102"/>
      <c r="J48" s="102"/>
      <c r="K48" s="78"/>
      <c r="L48" s="137"/>
      <c r="M48" s="75"/>
      <c r="N48" s="75"/>
      <c r="O48" s="479"/>
      <c r="P48" s="439"/>
      <c r="Q48" s="480"/>
      <c r="R48" s="480"/>
      <c r="S48" s="439"/>
      <c r="T48" s="479"/>
      <c r="U48" s="439"/>
      <c r="V48" s="439"/>
      <c r="W48" s="439"/>
      <c r="X48" s="439"/>
      <c r="Y48" s="439"/>
      <c r="Z48" s="439"/>
      <c r="AA48" s="439"/>
      <c r="AB48" s="441" t="s">
        <v>310</v>
      </c>
      <c r="AC48" s="1"/>
    </row>
    <row r="49" spans="1:31" s="11" customFormat="1" ht="21" customHeight="1">
      <c r="A49" s="40"/>
      <c r="B49" s="41"/>
      <c r="C49" s="41" t="s">
        <v>64</v>
      </c>
      <c r="D49" s="142">
        <v>1000</v>
      </c>
      <c r="E49" s="104">
        <f>AA49/1000</f>
        <v>1320</v>
      </c>
      <c r="F49" s="105">
        <f>SUMIF($Y$50:$Y$52,"보조",$AA$50:$AA$52)/1000</f>
        <v>0</v>
      </c>
      <c r="G49" s="105">
        <f>SUMIF($Y$50:$Y$52,"지후",$AA$50:$AA$52)/1000</f>
        <v>1320</v>
      </c>
      <c r="H49" s="105">
        <f>SUMIF($Y$50:$Y$52,"후원",$AA$50:$AA$52)/1000</f>
        <v>0</v>
      </c>
      <c r="I49" s="105">
        <f>SUMIF($Y$50:$Y$52,"잡수",$AA$50:$AA$52)/1000</f>
        <v>0</v>
      </c>
      <c r="J49" s="100">
        <f>E49-D49</f>
        <v>320</v>
      </c>
      <c r="K49" s="64">
        <f>IF(D49=0,0,J49/D49)</f>
        <v>0.32</v>
      </c>
      <c r="L49" s="107" t="s">
        <v>37</v>
      </c>
      <c r="M49" s="29"/>
      <c r="N49" s="29"/>
      <c r="O49" s="404"/>
      <c r="P49" s="404"/>
      <c r="Q49" s="405"/>
      <c r="R49" s="405"/>
      <c r="S49" s="405"/>
      <c r="T49" s="405"/>
      <c r="U49" s="405"/>
      <c r="V49" s="448" t="s">
        <v>86</v>
      </c>
      <c r="W49" s="448"/>
      <c r="X49" s="448"/>
      <c r="Y49" s="448"/>
      <c r="Z49" s="449"/>
      <c r="AA49" s="449">
        <f>SUM(AA50:AA51)</f>
        <v>1320000</v>
      </c>
      <c r="AB49" s="450" t="s">
        <v>25</v>
      </c>
      <c r="AC49" s="1"/>
    </row>
    <row r="50" spans="1:31" s="14" customFormat="1" ht="21" customHeight="1">
      <c r="A50" s="40"/>
      <c r="B50" s="41"/>
      <c r="C50" s="41"/>
      <c r="D50" s="142"/>
      <c r="E50" s="100"/>
      <c r="F50" s="100"/>
      <c r="G50" s="100"/>
      <c r="H50" s="100"/>
      <c r="I50" s="100"/>
      <c r="J50" s="100"/>
      <c r="K50" s="64"/>
      <c r="L50" s="236" t="s">
        <v>131</v>
      </c>
      <c r="M50" s="236"/>
      <c r="N50" s="299" t="s">
        <v>362</v>
      </c>
      <c r="O50" s="420"/>
      <c r="P50" s="421">
        <v>50000</v>
      </c>
      <c r="Q50" s="421" t="s">
        <v>54</v>
      </c>
      <c r="R50" s="420" t="s">
        <v>55</v>
      </c>
      <c r="S50" s="421">
        <v>4</v>
      </c>
      <c r="T50" s="421" t="s">
        <v>420</v>
      </c>
      <c r="U50" s="435"/>
      <c r="V50" s="433"/>
      <c r="W50" s="433"/>
      <c r="X50" s="453" t="s">
        <v>439</v>
      </c>
      <c r="Y50" s="421" t="s">
        <v>379</v>
      </c>
      <c r="Z50" s="421"/>
      <c r="AA50" s="421">
        <f>P50*S50</f>
        <v>200000</v>
      </c>
      <c r="AB50" s="424" t="s">
        <v>54</v>
      </c>
      <c r="AC50" s="4"/>
    </row>
    <row r="51" spans="1:31" s="14" customFormat="1" ht="21" customHeight="1">
      <c r="A51" s="40"/>
      <c r="B51" s="41"/>
      <c r="C51" s="41"/>
      <c r="D51" s="142"/>
      <c r="E51" s="100"/>
      <c r="F51" s="100"/>
      <c r="G51" s="100"/>
      <c r="H51" s="100"/>
      <c r="I51" s="100"/>
      <c r="J51" s="100"/>
      <c r="K51" s="64"/>
      <c r="L51" s="338" t="s">
        <v>308</v>
      </c>
      <c r="M51" s="298"/>
      <c r="N51" s="299" t="s">
        <v>362</v>
      </c>
      <c r="O51" s="420"/>
      <c r="P51" s="421">
        <v>70000</v>
      </c>
      <c r="Q51" s="421" t="s">
        <v>153</v>
      </c>
      <c r="R51" s="420" t="s">
        <v>154</v>
      </c>
      <c r="S51" s="421">
        <v>4</v>
      </c>
      <c r="T51" s="421" t="s">
        <v>155</v>
      </c>
      <c r="U51" s="420" t="s">
        <v>154</v>
      </c>
      <c r="V51" s="447">
        <v>4</v>
      </c>
      <c r="W51" s="422" t="s">
        <v>231</v>
      </c>
      <c r="X51" s="422" t="s">
        <v>157</v>
      </c>
      <c r="Y51" s="422" t="s">
        <v>379</v>
      </c>
      <c r="Z51" s="420"/>
      <c r="AA51" s="421">
        <f>P51*S51*V51</f>
        <v>1120000</v>
      </c>
      <c r="AB51" s="424" t="s">
        <v>153</v>
      </c>
      <c r="AC51" s="4"/>
      <c r="AD51" s="503"/>
    </row>
    <row r="52" spans="1:31" s="14" customFormat="1" ht="21" customHeight="1">
      <c r="A52" s="40"/>
      <c r="B52" s="41"/>
      <c r="C52" s="41"/>
      <c r="D52" s="142"/>
      <c r="E52" s="100"/>
      <c r="F52" s="100"/>
      <c r="G52" s="100"/>
      <c r="H52" s="100"/>
      <c r="I52" s="100"/>
      <c r="J52" s="100"/>
      <c r="K52" s="64"/>
      <c r="L52" s="298"/>
      <c r="M52" s="298"/>
      <c r="N52" s="298"/>
      <c r="O52" s="420"/>
      <c r="P52" s="421"/>
      <c r="Q52" s="476"/>
      <c r="R52" s="476"/>
      <c r="S52" s="421"/>
      <c r="T52" s="420"/>
      <c r="U52" s="421"/>
      <c r="V52" s="421"/>
      <c r="W52" s="421"/>
      <c r="X52" s="421"/>
      <c r="Y52" s="421"/>
      <c r="Z52" s="421"/>
      <c r="AA52" s="421"/>
      <c r="AB52" s="424"/>
      <c r="AC52" s="4"/>
    </row>
    <row r="53" spans="1:31" s="11" customFormat="1" ht="21" customHeight="1">
      <c r="A53" s="40"/>
      <c r="B53" s="31" t="s">
        <v>12</v>
      </c>
      <c r="C53" s="517" t="s">
        <v>5</v>
      </c>
      <c r="D53" s="519">
        <f>SUM(D54,D57,D70,D73,D78,D82,D85)</f>
        <v>25348</v>
      </c>
      <c r="E53" s="519">
        <f>SUM(E54,E57,E70,E73,E78,E82,E85)</f>
        <v>28878</v>
      </c>
      <c r="F53" s="519">
        <f>SUM(F54,F57,F70,F78,F73,F82,F85)</f>
        <v>918</v>
      </c>
      <c r="G53" s="519">
        <f>SUM(G54,G57,G70,G78,G73,G82,G85)</f>
        <v>15080</v>
      </c>
      <c r="H53" s="519">
        <f>SUM(H54,H57,H70,H78,H73,H82,H85)</f>
        <v>12150</v>
      </c>
      <c r="I53" s="519">
        <f>SUM(I54,I57,I70,I78,I73,I82,I85)</f>
        <v>730</v>
      </c>
      <c r="J53" s="519">
        <f>E53-D53</f>
        <v>3530</v>
      </c>
      <c r="K53" s="520">
        <f>IF(D53=0,0,J53/D53)</f>
        <v>0.13926148019567619</v>
      </c>
      <c r="L53" s="521" t="s">
        <v>87</v>
      </c>
      <c r="M53" s="521"/>
      <c r="N53" s="521"/>
      <c r="O53" s="533"/>
      <c r="P53" s="534"/>
      <c r="Q53" s="535"/>
      <c r="R53" s="534"/>
      <c r="S53" s="634"/>
      <c r="T53" s="635"/>
      <c r="U53" s="534"/>
      <c r="V53" s="534"/>
      <c r="W53" s="534"/>
      <c r="X53" s="534"/>
      <c r="Y53" s="534"/>
      <c r="Z53" s="534"/>
      <c r="AA53" s="534">
        <f>SUM(AA54,AA57,AA70,AA73,AA78,AA82,AA85)</f>
        <v>28878000</v>
      </c>
      <c r="AB53" s="536" t="s">
        <v>25</v>
      </c>
      <c r="AC53" s="1"/>
    </row>
    <row r="54" spans="1:31" s="11" customFormat="1" ht="21" customHeight="1">
      <c r="A54" s="40"/>
      <c r="B54" s="41"/>
      <c r="C54" s="41" t="s">
        <v>65</v>
      </c>
      <c r="D54" s="142">
        <v>100</v>
      </c>
      <c r="E54" s="104">
        <f>AA54/1000</f>
        <v>100</v>
      </c>
      <c r="F54" s="105">
        <f>SUMIF($Y$55:$Y$56,"보조",$AA$55:$AA$56)/1000</f>
        <v>0</v>
      </c>
      <c r="G54" s="105">
        <f>SUMIF($Y$55:$Y$56,"지후",$AA$55:$AA$56)/1000</f>
        <v>100</v>
      </c>
      <c r="H54" s="105">
        <f>SUMIF($Y$55:$Y$56,"후원",$AA$55:$AA$56)/1000</f>
        <v>0</v>
      </c>
      <c r="I54" s="105">
        <f>SUMIF($Y$55:$Y$56,"잡수",$AA$55:$AA$56)/1000</f>
        <v>0</v>
      </c>
      <c r="J54" s="100">
        <f>E54-D54</f>
        <v>0</v>
      </c>
      <c r="K54" s="64">
        <f>IF(D54=0,0,J54/D54)</f>
        <v>0</v>
      </c>
      <c r="L54" s="107" t="s">
        <v>39</v>
      </c>
      <c r="M54" s="29"/>
      <c r="N54" s="29"/>
      <c r="O54" s="404"/>
      <c r="P54" s="404"/>
      <c r="Q54" s="405"/>
      <c r="R54" s="405"/>
      <c r="S54" s="405"/>
      <c r="T54" s="405"/>
      <c r="U54" s="405"/>
      <c r="V54" s="448" t="s">
        <v>86</v>
      </c>
      <c r="W54" s="448"/>
      <c r="X54" s="448"/>
      <c r="Y54" s="448"/>
      <c r="Z54" s="449"/>
      <c r="AA54" s="449">
        <f>SUM(AA55:AA55)</f>
        <v>100000</v>
      </c>
      <c r="AB54" s="450" t="s">
        <v>25</v>
      </c>
      <c r="AC54" s="17"/>
      <c r="AD54" s="504"/>
      <c r="AE54" s="504"/>
    </row>
    <row r="55" spans="1:31" s="11" customFormat="1" ht="21" customHeight="1">
      <c r="A55" s="40"/>
      <c r="B55" s="41"/>
      <c r="C55" s="41"/>
      <c r="D55" s="142"/>
      <c r="E55" s="100"/>
      <c r="F55" s="100"/>
      <c r="G55" s="100"/>
      <c r="H55" s="100"/>
      <c r="I55" s="100"/>
      <c r="J55" s="100"/>
      <c r="K55" s="64"/>
      <c r="L55" s="338" t="s">
        <v>327</v>
      </c>
      <c r="M55" s="298"/>
      <c r="N55" s="299" t="s">
        <v>362</v>
      </c>
      <c r="O55" s="420"/>
      <c r="P55" s="421">
        <v>50000</v>
      </c>
      <c r="Q55" s="421" t="s">
        <v>153</v>
      </c>
      <c r="R55" s="423" t="s">
        <v>154</v>
      </c>
      <c r="S55" s="421">
        <v>2</v>
      </c>
      <c r="T55" s="421" t="s">
        <v>155</v>
      </c>
      <c r="U55" s="423" t="s">
        <v>154</v>
      </c>
      <c r="V55" s="421"/>
      <c r="W55" s="421" t="s">
        <v>29</v>
      </c>
      <c r="X55" s="421" t="s">
        <v>157</v>
      </c>
      <c r="Y55" s="421" t="s">
        <v>379</v>
      </c>
      <c r="Z55" s="412"/>
      <c r="AA55" s="412">
        <v>100000</v>
      </c>
      <c r="AB55" s="424" t="s">
        <v>25</v>
      </c>
      <c r="AC55" s="2"/>
    </row>
    <row r="56" spans="1:31" s="11" customFormat="1" ht="21" customHeight="1">
      <c r="A56" s="40"/>
      <c r="B56" s="41"/>
      <c r="C56" s="41"/>
      <c r="D56" s="142"/>
      <c r="E56" s="100"/>
      <c r="F56" s="100"/>
      <c r="G56" s="100"/>
      <c r="H56" s="100"/>
      <c r="I56" s="100"/>
      <c r="J56" s="100"/>
      <c r="K56" s="64"/>
      <c r="L56" s="159"/>
      <c r="M56" s="45"/>
      <c r="N56" s="45"/>
      <c r="O56" s="429"/>
      <c r="P56" s="410"/>
      <c r="Q56" s="481"/>
      <c r="R56" s="481"/>
      <c r="S56" s="410"/>
      <c r="T56" s="481"/>
      <c r="U56" s="410"/>
      <c r="V56" s="410"/>
      <c r="W56" s="410"/>
      <c r="X56" s="410"/>
      <c r="Y56" s="410"/>
      <c r="Z56" s="410"/>
      <c r="AA56" s="410"/>
      <c r="AB56" s="413" t="s">
        <v>58</v>
      </c>
      <c r="AC56" s="2"/>
    </row>
    <row r="57" spans="1:31" s="11" customFormat="1" ht="21" customHeight="1">
      <c r="A57" s="40"/>
      <c r="B57" s="41"/>
      <c r="C57" s="31" t="s">
        <v>40</v>
      </c>
      <c r="D57" s="144">
        <v>10227</v>
      </c>
      <c r="E57" s="104">
        <f>AA57/1000</f>
        <v>12622</v>
      </c>
      <c r="F57" s="105">
        <f>SUMIF($Y$58:$Y$69,"보조",$AA$58:$AA$69)/1000</f>
        <v>0</v>
      </c>
      <c r="G57" s="105">
        <f>SUMIF($Y$58:$Y$69,"지후",$AA$58:$AA$69)/1000</f>
        <v>7980</v>
      </c>
      <c r="H57" s="105">
        <f>SUMIF($Y$58:$Y$69,"후원",$AA$58:$AA$69)/1000</f>
        <v>4642</v>
      </c>
      <c r="I57" s="105">
        <f>SUMIF($Y$58:$Y$69,"잡수",$AA$58:$AA$69)/1000</f>
        <v>0</v>
      </c>
      <c r="J57" s="104">
        <f>E57-D57</f>
        <v>2395</v>
      </c>
      <c r="K57" s="112">
        <f>IF(D57=0,0,J57/D57)</f>
        <v>0.23418402268504937</v>
      </c>
      <c r="L57" s="250" t="s">
        <v>41</v>
      </c>
      <c r="M57" s="251"/>
      <c r="N57" s="251"/>
      <c r="O57" s="482"/>
      <c r="P57" s="482"/>
      <c r="Q57" s="483"/>
      <c r="R57" s="483"/>
      <c r="S57" s="483"/>
      <c r="T57" s="483"/>
      <c r="U57" s="483"/>
      <c r="V57" s="484" t="s">
        <v>28</v>
      </c>
      <c r="W57" s="484"/>
      <c r="X57" s="484"/>
      <c r="Y57" s="484"/>
      <c r="Z57" s="485"/>
      <c r="AA57" s="485">
        <f>SUM(AA58,AA59,AA60,AA61,AA64,AA65,AA66)</f>
        <v>12622000</v>
      </c>
      <c r="AB57" s="450" t="s">
        <v>25</v>
      </c>
      <c r="AC57" s="1"/>
    </row>
    <row r="58" spans="1:31" s="11" customFormat="1" ht="21" customHeight="1">
      <c r="A58" s="40"/>
      <c r="B58" s="41"/>
      <c r="C58" s="41" t="s">
        <v>91</v>
      </c>
      <c r="D58" s="142"/>
      <c r="E58" s="100"/>
      <c r="F58" s="100"/>
      <c r="G58" s="100"/>
      <c r="H58" s="100"/>
      <c r="I58" s="100"/>
      <c r="J58" s="100"/>
      <c r="K58" s="64"/>
      <c r="L58" s="252" t="s">
        <v>454</v>
      </c>
      <c r="M58" s="298"/>
      <c r="N58" s="298"/>
      <c r="O58" s="298"/>
      <c r="P58" s="297"/>
      <c r="Q58" s="254"/>
      <c r="R58" s="253"/>
      <c r="S58" s="337">
        <v>50000</v>
      </c>
      <c r="T58" s="248" t="s">
        <v>54</v>
      </c>
      <c r="U58" s="248" t="s">
        <v>26</v>
      </c>
      <c r="V58" s="337">
        <v>12</v>
      </c>
      <c r="W58" s="338" t="s">
        <v>29</v>
      </c>
      <c r="X58" s="337" t="s">
        <v>27</v>
      </c>
      <c r="Y58" s="244" t="s">
        <v>361</v>
      </c>
      <c r="Z58" s="244"/>
      <c r="AA58" s="314">
        <f>S58*V58</f>
        <v>600000</v>
      </c>
      <c r="AB58" s="305" t="s">
        <v>25</v>
      </c>
      <c r="AC58" s="1"/>
      <c r="AD58" s="505"/>
    </row>
    <row r="59" spans="1:31" s="11" customFormat="1" ht="21" customHeight="1">
      <c r="A59" s="40"/>
      <c r="B59" s="41"/>
      <c r="C59" s="41"/>
      <c r="D59" s="142"/>
      <c r="E59" s="100"/>
      <c r="F59" s="100"/>
      <c r="G59" s="100"/>
      <c r="H59" s="100"/>
      <c r="I59" s="100"/>
      <c r="J59" s="100"/>
      <c r="K59" s="64"/>
      <c r="L59" s="338" t="s">
        <v>412</v>
      </c>
      <c r="M59" s="338"/>
      <c r="N59" s="338"/>
      <c r="O59" s="338"/>
      <c r="P59" s="337"/>
      <c r="Q59" s="248"/>
      <c r="R59" s="248"/>
      <c r="S59" s="253"/>
      <c r="T59" s="254"/>
      <c r="U59" s="254"/>
      <c r="V59" s="253"/>
      <c r="W59" s="255"/>
      <c r="X59" s="253"/>
      <c r="Y59" s="337" t="s">
        <v>341</v>
      </c>
      <c r="Z59" s="337"/>
      <c r="AA59" s="235">
        <v>400000</v>
      </c>
      <c r="AB59" s="125" t="s">
        <v>299</v>
      </c>
      <c r="AC59" s="17"/>
      <c r="AD59" s="505"/>
    </row>
    <row r="60" spans="1:31" s="11" customFormat="1" ht="21" customHeight="1">
      <c r="A60" s="40"/>
      <c r="B60" s="41"/>
      <c r="C60" s="41"/>
      <c r="D60" s="142"/>
      <c r="E60" s="100"/>
      <c r="F60" s="100"/>
      <c r="G60" s="100"/>
      <c r="H60" s="100"/>
      <c r="I60" s="100"/>
      <c r="J60" s="100"/>
      <c r="K60" s="64"/>
      <c r="L60" s="338" t="s">
        <v>410</v>
      </c>
      <c r="M60" s="298"/>
      <c r="N60" s="298"/>
      <c r="O60" s="298"/>
      <c r="P60" s="297"/>
      <c r="Q60" s="248"/>
      <c r="R60" s="297"/>
      <c r="S60" s="297"/>
      <c r="T60" s="298"/>
      <c r="U60" s="435" t="s">
        <v>362</v>
      </c>
      <c r="V60" s="297"/>
      <c r="W60" s="297"/>
      <c r="X60" s="297"/>
      <c r="Y60" s="297" t="s">
        <v>411</v>
      </c>
      <c r="Z60" s="297"/>
      <c r="AA60" s="235">
        <v>60000</v>
      </c>
      <c r="AB60" s="125" t="s">
        <v>149</v>
      </c>
      <c r="AC60" s="1"/>
    </row>
    <row r="61" spans="1:31" s="11" customFormat="1" ht="21" customHeight="1">
      <c r="A61" s="40"/>
      <c r="B61" s="41"/>
      <c r="C61" s="41"/>
      <c r="D61" s="142"/>
      <c r="E61" s="100"/>
      <c r="F61" s="100"/>
      <c r="G61" s="100"/>
      <c r="H61" s="100"/>
      <c r="I61" s="100"/>
      <c r="J61" s="100"/>
      <c r="K61" s="64"/>
      <c r="L61" s="338" t="s">
        <v>413</v>
      </c>
      <c r="M61" s="338"/>
      <c r="N61" s="338"/>
      <c r="O61" s="338"/>
      <c r="P61" s="337"/>
      <c r="Q61" s="248"/>
      <c r="R61" s="337"/>
      <c r="S61" s="337"/>
      <c r="T61" s="338"/>
      <c r="U61" s="337"/>
      <c r="V61" s="337"/>
      <c r="W61" s="337"/>
      <c r="X61" s="337"/>
      <c r="Y61" s="337" t="s">
        <v>95</v>
      </c>
      <c r="Z61" s="337"/>
      <c r="AA61" s="337">
        <f>AA62+AA63</f>
        <v>642000</v>
      </c>
      <c r="AB61" s="125" t="s">
        <v>54</v>
      </c>
      <c r="AC61" s="1"/>
    </row>
    <row r="62" spans="1:31" s="11" customFormat="1" ht="21" customHeight="1">
      <c r="A62" s="40"/>
      <c r="B62" s="41"/>
      <c r="C62" s="41"/>
      <c r="D62" s="142"/>
      <c r="E62" s="100"/>
      <c r="F62" s="100"/>
      <c r="G62" s="100"/>
      <c r="H62" s="100"/>
      <c r="I62" s="100"/>
      <c r="J62" s="100"/>
      <c r="K62" s="64"/>
      <c r="L62" s="338" t="s">
        <v>422</v>
      </c>
      <c r="M62" s="338"/>
      <c r="N62" s="338"/>
      <c r="O62" s="338"/>
      <c r="P62" s="337">
        <v>51000</v>
      </c>
      <c r="Q62" s="248" t="s">
        <v>54</v>
      </c>
      <c r="R62" s="248" t="s">
        <v>26</v>
      </c>
      <c r="S62" s="337">
        <v>12</v>
      </c>
      <c r="T62" s="338" t="s">
        <v>29</v>
      </c>
      <c r="U62" s="337" t="s">
        <v>27</v>
      </c>
      <c r="V62" s="337"/>
      <c r="W62" s="337"/>
      <c r="X62" s="337"/>
      <c r="Y62" s="337"/>
      <c r="Z62" s="253"/>
      <c r="AA62" s="337">
        <f>P62*S62</f>
        <v>612000</v>
      </c>
      <c r="AB62" s="380" t="s">
        <v>54</v>
      </c>
      <c r="AC62" s="1"/>
    </row>
    <row r="63" spans="1:31" s="11" customFormat="1" ht="21" customHeight="1">
      <c r="A63" s="40"/>
      <c r="B63" s="41"/>
      <c r="C63" s="41"/>
      <c r="D63" s="142"/>
      <c r="E63" s="100"/>
      <c r="F63" s="100"/>
      <c r="G63" s="100"/>
      <c r="H63" s="100"/>
      <c r="I63" s="100"/>
      <c r="J63" s="100"/>
      <c r="K63" s="64"/>
      <c r="L63" s="338" t="s">
        <v>423</v>
      </c>
      <c r="M63" s="338"/>
      <c r="N63" s="338"/>
      <c r="O63" s="338"/>
      <c r="P63" s="337"/>
      <c r="Q63" s="248"/>
      <c r="R63" s="248"/>
      <c r="S63" s="337"/>
      <c r="T63" s="338"/>
      <c r="U63" s="337"/>
      <c r="V63" s="337"/>
      <c r="W63" s="337"/>
      <c r="X63" s="337"/>
      <c r="Y63" s="337"/>
      <c r="Z63" s="253"/>
      <c r="AA63" s="381">
        <v>30000</v>
      </c>
      <c r="AB63" s="380" t="s">
        <v>54</v>
      </c>
      <c r="AC63" s="1"/>
    </row>
    <row r="64" spans="1:31" s="11" customFormat="1" ht="21" customHeight="1">
      <c r="A64" s="40"/>
      <c r="B64" s="41"/>
      <c r="C64" s="41"/>
      <c r="D64" s="142"/>
      <c r="E64" s="100"/>
      <c r="F64" s="100"/>
      <c r="G64" s="100"/>
      <c r="H64" s="100"/>
      <c r="I64" s="100"/>
      <c r="J64" s="100"/>
      <c r="K64" s="64"/>
      <c r="L64" s="497" t="s">
        <v>414</v>
      </c>
      <c r="M64" s="498"/>
      <c r="N64" s="498"/>
      <c r="O64" s="498"/>
      <c r="P64" s="421">
        <v>50000</v>
      </c>
      <c r="Q64" s="476" t="s">
        <v>54</v>
      </c>
      <c r="R64" s="476" t="s">
        <v>26</v>
      </c>
      <c r="S64" s="421">
        <v>12</v>
      </c>
      <c r="T64" s="420" t="s">
        <v>29</v>
      </c>
      <c r="U64" s="421" t="s">
        <v>27</v>
      </c>
      <c r="V64" s="421"/>
      <c r="W64" s="421"/>
      <c r="X64" s="421"/>
      <c r="Y64" s="421" t="s">
        <v>95</v>
      </c>
      <c r="Z64" s="421"/>
      <c r="AA64" s="421">
        <f>P64*S64</f>
        <v>600000</v>
      </c>
      <c r="AB64" s="380" t="s">
        <v>54</v>
      </c>
      <c r="AC64" s="1"/>
    </row>
    <row r="65" spans="1:31" s="11" customFormat="1" ht="21" customHeight="1">
      <c r="A65" s="40"/>
      <c r="B65" s="41"/>
      <c r="C65" s="41"/>
      <c r="D65" s="142"/>
      <c r="E65" s="100"/>
      <c r="F65" s="100"/>
      <c r="G65" s="100"/>
      <c r="H65" s="100"/>
      <c r="I65" s="100"/>
      <c r="J65" s="100"/>
      <c r="K65" s="64"/>
      <c r="L65" s="497" t="s">
        <v>424</v>
      </c>
      <c r="M65" s="498"/>
      <c r="N65" s="498"/>
      <c r="O65" s="498"/>
      <c r="P65" s="421"/>
      <c r="Q65" s="476"/>
      <c r="R65" s="476"/>
      <c r="S65" s="421"/>
      <c r="T65" s="420"/>
      <c r="U65" s="421"/>
      <c r="V65" s="421"/>
      <c r="W65" s="421"/>
      <c r="X65" s="421"/>
      <c r="Y65" s="421" t="s">
        <v>95</v>
      </c>
      <c r="Z65" s="421"/>
      <c r="AA65" s="421">
        <v>2400000</v>
      </c>
      <c r="AB65" s="424" t="s">
        <v>54</v>
      </c>
      <c r="AC65" s="1"/>
      <c r="AD65" s="505"/>
    </row>
    <row r="66" spans="1:31" s="11" customFormat="1" ht="21" customHeight="1">
      <c r="A66" s="40"/>
      <c r="B66" s="41"/>
      <c r="C66" s="41"/>
      <c r="D66" s="142"/>
      <c r="E66" s="100"/>
      <c r="F66" s="100"/>
      <c r="G66" s="100"/>
      <c r="H66" s="100"/>
      <c r="I66" s="100"/>
      <c r="J66" s="100"/>
      <c r="K66" s="64"/>
      <c r="L66" s="498" t="s">
        <v>421</v>
      </c>
      <c r="M66" s="498"/>
      <c r="N66" s="299" t="s">
        <v>362</v>
      </c>
      <c r="O66" s="498"/>
      <c r="P66" s="337">
        <v>660000</v>
      </c>
      <c r="Q66" s="248" t="s">
        <v>54</v>
      </c>
      <c r="R66" s="476" t="s">
        <v>26</v>
      </c>
      <c r="S66" s="421">
        <v>12</v>
      </c>
      <c r="T66" s="420" t="s">
        <v>29</v>
      </c>
      <c r="U66" s="421" t="s">
        <v>27</v>
      </c>
      <c r="V66" s="337"/>
      <c r="W66" s="337"/>
      <c r="X66" s="337"/>
      <c r="Y66" s="337" t="s">
        <v>379</v>
      </c>
      <c r="Z66" s="337"/>
      <c r="AA66" s="235">
        <f>P66*S66</f>
        <v>7920000</v>
      </c>
      <c r="AB66" s="125" t="s">
        <v>54</v>
      </c>
      <c r="AC66" s="1"/>
    </row>
    <row r="67" spans="1:31" s="11" customFormat="1" ht="21" customHeight="1">
      <c r="A67" s="40"/>
      <c r="B67" s="41"/>
      <c r="C67" s="41"/>
      <c r="D67" s="142"/>
      <c r="E67" s="100"/>
      <c r="F67" s="100"/>
      <c r="G67" s="100"/>
      <c r="H67" s="100"/>
      <c r="I67" s="100"/>
      <c r="J67" s="100"/>
      <c r="K67" s="64"/>
      <c r="L67" s="498"/>
      <c r="M67" s="498"/>
      <c r="N67" s="498"/>
      <c r="O67" s="498"/>
      <c r="P67" s="337"/>
      <c r="Q67" s="248"/>
      <c r="R67" s="248"/>
      <c r="S67" s="337"/>
      <c r="T67" s="338"/>
      <c r="U67" s="337"/>
      <c r="V67" s="337"/>
      <c r="W67" s="337"/>
      <c r="X67" s="337"/>
      <c r="Y67" s="337"/>
      <c r="Z67" s="253"/>
      <c r="AA67" s="337"/>
      <c r="AB67" s="380"/>
      <c r="AC67" s="1"/>
    </row>
    <row r="68" spans="1:31" s="11" customFormat="1" ht="21" customHeight="1">
      <c r="A68" s="40"/>
      <c r="B68" s="41"/>
      <c r="C68" s="41"/>
      <c r="D68" s="142"/>
      <c r="E68" s="100"/>
      <c r="F68" s="100"/>
      <c r="G68" s="100"/>
      <c r="H68" s="100"/>
      <c r="I68" s="100"/>
      <c r="J68" s="100"/>
      <c r="K68" s="64"/>
      <c r="L68" s="498"/>
      <c r="M68" s="498"/>
      <c r="N68" s="498"/>
      <c r="O68" s="498"/>
      <c r="P68" s="337"/>
      <c r="Q68" s="248"/>
      <c r="R68" s="248"/>
      <c r="S68" s="337"/>
      <c r="T68" s="338"/>
      <c r="U68" s="337"/>
      <c r="V68" s="337"/>
      <c r="W68" s="337"/>
      <c r="X68" s="337"/>
      <c r="Y68" s="337"/>
      <c r="Z68" s="253"/>
      <c r="AA68" s="337"/>
      <c r="AB68" s="380"/>
      <c r="AC68" s="1"/>
    </row>
    <row r="69" spans="1:31" s="11" customFormat="1" ht="21" customHeight="1">
      <c r="A69" s="40"/>
      <c r="B69" s="41"/>
      <c r="C69" s="53"/>
      <c r="D69" s="143"/>
      <c r="E69" s="102"/>
      <c r="F69" s="102"/>
      <c r="G69" s="102"/>
      <c r="H69" s="102"/>
      <c r="I69" s="102"/>
      <c r="J69" s="102"/>
      <c r="K69" s="78"/>
      <c r="L69" s="473"/>
      <c r="M69" s="473"/>
      <c r="N69" s="473"/>
      <c r="O69" s="473"/>
      <c r="P69" s="509"/>
      <c r="Q69" s="306"/>
      <c r="R69" s="486"/>
      <c r="S69" s="472"/>
      <c r="T69" s="471"/>
      <c r="U69" s="472"/>
      <c r="V69" s="509"/>
      <c r="W69" s="509"/>
      <c r="X69" s="509"/>
      <c r="Y69" s="509"/>
      <c r="Z69" s="509"/>
      <c r="AA69" s="509"/>
      <c r="AB69" s="424"/>
      <c r="AC69" s="1"/>
      <c r="AD69" s="14"/>
      <c r="AE69" s="14"/>
    </row>
    <row r="70" spans="1:31" s="11" customFormat="1" ht="21" customHeight="1">
      <c r="A70" s="40"/>
      <c r="B70" s="41"/>
      <c r="C70" s="41" t="s">
        <v>38</v>
      </c>
      <c r="D70" s="142">
        <v>360</v>
      </c>
      <c r="E70" s="104">
        <f>AA70/1000</f>
        <v>360</v>
      </c>
      <c r="F70" s="105">
        <f>SUMIF($Y$71:$Y$72,"보조",$AA$71:$AA$72)/1000</f>
        <v>0</v>
      </c>
      <c r="G70" s="105">
        <f>SUMIF($Y$71:$Y$72,"지후",$AA$71:$AA$72)/1000</f>
        <v>0</v>
      </c>
      <c r="H70" s="105">
        <f>SUMIF($Y$71:$Y$72,"후원",$AA$71:$AA$72)/1000</f>
        <v>360</v>
      </c>
      <c r="I70" s="105">
        <f>SUMIF($Y$71:$Y$72,"잡수",$AA$71:$AA$72)/1000</f>
        <v>0</v>
      </c>
      <c r="J70" s="100">
        <f>E70-D70</f>
        <v>0</v>
      </c>
      <c r="K70" s="64">
        <f>IF(D70=0,0,J70/D70)</f>
        <v>0</v>
      </c>
      <c r="L70" s="271" t="s">
        <v>42</v>
      </c>
      <c r="M70" s="272"/>
      <c r="N70" s="272"/>
      <c r="O70" s="272"/>
      <c r="P70" s="272"/>
      <c r="Q70" s="273"/>
      <c r="R70" s="273"/>
      <c r="S70" s="273"/>
      <c r="T70" s="273"/>
      <c r="U70" s="273"/>
      <c r="V70" s="382" t="s">
        <v>132</v>
      </c>
      <c r="W70" s="382"/>
      <c r="X70" s="382"/>
      <c r="Y70" s="382"/>
      <c r="Z70" s="511"/>
      <c r="AA70" s="511">
        <f>ROUND(SUM(AA71:AA71),-3)</f>
        <v>360000</v>
      </c>
      <c r="AB70" s="276" t="s">
        <v>25</v>
      </c>
      <c r="AC70" s="1"/>
      <c r="AD70" s="4"/>
      <c r="AE70" s="4"/>
    </row>
    <row r="71" spans="1:31" s="11" customFormat="1" ht="21" customHeight="1">
      <c r="A71" s="40"/>
      <c r="B71" s="41"/>
      <c r="C71" s="41"/>
      <c r="D71" s="142"/>
      <c r="E71" s="100"/>
      <c r="F71" s="100"/>
      <c r="G71" s="100"/>
      <c r="H71" s="100"/>
      <c r="I71" s="100"/>
      <c r="J71" s="100"/>
      <c r="K71" s="64"/>
      <c r="L71" s="277" t="s">
        <v>301</v>
      </c>
      <c r="M71" s="236"/>
      <c r="N71" s="236"/>
      <c r="O71" s="236"/>
      <c r="P71" s="235">
        <v>30000</v>
      </c>
      <c r="Q71" s="279" t="s">
        <v>25</v>
      </c>
      <c r="R71" s="279" t="s">
        <v>26</v>
      </c>
      <c r="S71" s="278">
        <v>12</v>
      </c>
      <c r="T71" s="280" t="s">
        <v>29</v>
      </c>
      <c r="U71" s="278" t="s">
        <v>27</v>
      </c>
      <c r="V71" s="235"/>
      <c r="W71" s="235"/>
      <c r="X71" s="235"/>
      <c r="Y71" s="235" t="s">
        <v>307</v>
      </c>
      <c r="Z71" s="235"/>
      <c r="AA71" s="235">
        <f>P71*S71</f>
        <v>360000</v>
      </c>
      <c r="AB71" s="249" t="s">
        <v>25</v>
      </c>
      <c r="AC71" s="1"/>
      <c r="AD71" s="564"/>
      <c r="AE71" s="505"/>
    </row>
    <row r="72" spans="1:31" s="14" customFormat="1" ht="21" customHeight="1">
      <c r="A72" s="40"/>
      <c r="B72" s="41"/>
      <c r="C72" s="41"/>
      <c r="D72" s="142"/>
      <c r="E72" s="100"/>
      <c r="F72" s="100"/>
      <c r="G72" s="100"/>
      <c r="H72" s="100"/>
      <c r="I72" s="100"/>
      <c r="J72" s="100"/>
      <c r="K72" s="64"/>
      <c r="L72" s="111"/>
      <c r="M72" s="45"/>
      <c r="N72" s="45"/>
      <c r="O72" s="45"/>
      <c r="P72" s="46"/>
      <c r="Q72" s="49"/>
      <c r="R72" s="49"/>
      <c r="S72" s="46"/>
      <c r="T72" s="45"/>
      <c r="U72" s="46"/>
      <c r="V72" s="46"/>
      <c r="W72" s="46"/>
      <c r="X72" s="46"/>
      <c r="Y72" s="129"/>
      <c r="Z72" s="46"/>
      <c r="AA72" s="46"/>
      <c r="AB72" s="51"/>
      <c r="AC72" s="4"/>
      <c r="AD72" s="11"/>
      <c r="AE72" s="11"/>
    </row>
    <row r="73" spans="1:31" ht="21" customHeight="1">
      <c r="A73" s="40"/>
      <c r="B73" s="41"/>
      <c r="C73" s="31" t="s">
        <v>15</v>
      </c>
      <c r="D73" s="144">
        <v>3915</v>
      </c>
      <c r="E73" s="104">
        <f>AA73/1000</f>
        <v>4318</v>
      </c>
      <c r="F73" s="105">
        <f>SUMIF($Y$74:$Y$77,"보조",$AA$74:$AA$77)/1000</f>
        <v>918</v>
      </c>
      <c r="G73" s="105">
        <f>SUMIF($Y$74:$Y$77,"지후",$AA$74:$AA$77)/1000</f>
        <v>0</v>
      </c>
      <c r="H73" s="105">
        <f>SUMIF($Y$74:$Y$77,"후원",$AA$74:$AA$77)/1000</f>
        <v>3400</v>
      </c>
      <c r="I73" s="105">
        <f>SUMIF($Y$74:$Y$77,"잡수",$AA$74:$AA$77)/1000</f>
        <v>0</v>
      </c>
      <c r="J73" s="162">
        <f>E73-D73</f>
        <v>403</v>
      </c>
      <c r="K73" s="112">
        <f>IF(D73=0,0,J73/D73)</f>
        <v>0.10293742017879949</v>
      </c>
      <c r="L73" s="281" t="s">
        <v>43</v>
      </c>
      <c r="M73" s="282"/>
      <c r="N73" s="282"/>
      <c r="O73" s="282"/>
      <c r="P73" s="282"/>
      <c r="Q73" s="283"/>
      <c r="R73" s="283"/>
      <c r="S73" s="283"/>
      <c r="T73" s="283"/>
      <c r="U73" s="283"/>
      <c r="V73" s="274" t="s">
        <v>132</v>
      </c>
      <c r="W73" s="274"/>
      <c r="X73" s="274"/>
      <c r="Y73" s="274"/>
      <c r="Z73" s="275"/>
      <c r="AA73" s="275">
        <f>SUM(AA74,AA75,AA76)</f>
        <v>4318000</v>
      </c>
      <c r="AB73" s="276" t="s">
        <v>25</v>
      </c>
      <c r="AD73" s="11"/>
      <c r="AE73" s="11"/>
    </row>
    <row r="74" spans="1:31" s="11" customFormat="1" ht="21" customHeight="1">
      <c r="A74" s="40"/>
      <c r="B74" s="41"/>
      <c r="C74" s="41"/>
      <c r="D74" s="142"/>
      <c r="E74" s="100"/>
      <c r="F74" s="100"/>
      <c r="G74" s="100"/>
      <c r="H74" s="100"/>
      <c r="I74" s="100"/>
      <c r="J74" s="100"/>
      <c r="K74" s="64"/>
      <c r="L74" s="300" t="s">
        <v>440</v>
      </c>
      <c r="M74" s="236"/>
      <c r="N74" s="236"/>
      <c r="O74" s="236"/>
      <c r="P74" s="235"/>
      <c r="Q74" s="270"/>
      <c r="R74" s="270"/>
      <c r="S74" s="235"/>
      <c r="T74" s="236"/>
      <c r="U74" s="235"/>
      <c r="V74" s="235"/>
      <c r="W74" s="235"/>
      <c r="X74" s="235"/>
      <c r="Y74" s="235" t="s">
        <v>338</v>
      </c>
      <c r="Z74" s="235"/>
      <c r="AA74" s="235">
        <v>2500000</v>
      </c>
      <c r="AB74" s="249" t="s">
        <v>25</v>
      </c>
      <c r="AC74" s="1"/>
      <c r="AD74" s="564"/>
      <c r="AE74" s="505"/>
    </row>
    <row r="75" spans="1:31" s="11" customFormat="1" ht="21" customHeight="1">
      <c r="A75" s="40"/>
      <c r="B75" s="41"/>
      <c r="C75" s="41"/>
      <c r="D75" s="142"/>
      <c r="E75" s="100"/>
      <c r="F75" s="100"/>
      <c r="G75" s="100"/>
      <c r="H75" s="100"/>
      <c r="I75" s="100"/>
      <c r="J75" s="100"/>
      <c r="K75" s="64"/>
      <c r="L75" s="636" t="s">
        <v>415</v>
      </c>
      <c r="M75" s="636"/>
      <c r="N75" s="636"/>
      <c r="O75" s="636"/>
      <c r="P75" s="636"/>
      <c r="Q75" s="236"/>
      <c r="R75" s="235"/>
      <c r="S75" s="236"/>
      <c r="T75" s="270"/>
      <c r="U75" s="235"/>
      <c r="V75" s="235"/>
      <c r="W75" s="235"/>
      <c r="X75" s="236"/>
      <c r="Y75" s="236" t="s">
        <v>361</v>
      </c>
      <c r="Z75" s="235"/>
      <c r="AA75" s="235">
        <v>900000</v>
      </c>
      <c r="AB75" s="249" t="s">
        <v>299</v>
      </c>
      <c r="AC75" s="1"/>
    </row>
    <row r="76" spans="1:31" s="11" customFormat="1" ht="21" customHeight="1">
      <c r="A76" s="40"/>
      <c r="B76" s="41"/>
      <c r="C76" s="41"/>
      <c r="D76" s="142"/>
      <c r="E76" s="100"/>
      <c r="F76" s="100"/>
      <c r="G76" s="100"/>
      <c r="H76" s="100"/>
      <c r="I76" s="100"/>
      <c r="J76" s="100"/>
      <c r="K76" s="64"/>
      <c r="L76" s="636" t="s">
        <v>416</v>
      </c>
      <c r="M76" s="636"/>
      <c r="N76" s="636"/>
      <c r="O76" s="636"/>
      <c r="P76" s="636"/>
      <c r="Q76" s="236"/>
      <c r="R76" s="235"/>
      <c r="S76" s="236"/>
      <c r="T76" s="270"/>
      <c r="U76" s="235"/>
      <c r="V76" s="235"/>
      <c r="W76" s="235"/>
      <c r="X76" s="236"/>
      <c r="Y76" s="236" t="s">
        <v>417</v>
      </c>
      <c r="Z76" s="235"/>
      <c r="AA76" s="235">
        <v>918000</v>
      </c>
      <c r="AB76" s="249" t="s">
        <v>54</v>
      </c>
      <c r="AC76" s="1"/>
    </row>
    <row r="77" spans="1:31" s="11" customFormat="1" ht="21" customHeight="1">
      <c r="A77" s="40"/>
      <c r="B77" s="41"/>
      <c r="C77" s="41"/>
      <c r="D77" s="142"/>
      <c r="E77" s="100"/>
      <c r="F77" s="100"/>
      <c r="G77" s="100"/>
      <c r="H77" s="100"/>
      <c r="I77" s="100"/>
      <c r="J77" s="100"/>
      <c r="K77" s="64"/>
      <c r="L77" s="117"/>
      <c r="M77" s="118"/>
      <c r="N77" s="118"/>
      <c r="O77" s="118"/>
      <c r="P77" s="118"/>
      <c r="Q77" s="118"/>
      <c r="R77" s="118"/>
      <c r="S77" s="118"/>
      <c r="T77" s="118"/>
      <c r="U77" s="118"/>
      <c r="V77" s="69"/>
      <c r="W77" s="69"/>
      <c r="X77" s="69"/>
      <c r="Y77" s="69"/>
      <c r="Z77" s="69"/>
      <c r="AA77" s="46"/>
      <c r="AB77" s="51"/>
      <c r="AC77" s="1"/>
    </row>
    <row r="78" spans="1:31" s="11" customFormat="1" ht="21" customHeight="1">
      <c r="A78" s="40"/>
      <c r="B78" s="41"/>
      <c r="C78" s="31" t="s">
        <v>44</v>
      </c>
      <c r="D78" s="144">
        <v>0</v>
      </c>
      <c r="E78" s="104">
        <f>ROUND(AA78/1000,0)</f>
        <v>0</v>
      </c>
      <c r="F78" s="105">
        <f>SUMIF($Y$79:$Y$81,"보조",$AA$79:$AA$81)/1000</f>
        <v>0</v>
      </c>
      <c r="G78" s="105">
        <f>SUMIF($Y$79:$Y$81,"지후",$AA$79:$AA$81)/1000</f>
        <v>0</v>
      </c>
      <c r="H78" s="105">
        <f>SUMIF($Y$79:$Y$81,"후원",$AA$79:$AA$81)/1000</f>
        <v>0</v>
      </c>
      <c r="I78" s="105">
        <f>SUMIF($Y$79:$Y$81,"잡수",$AA$79:$AA$81)/1000</f>
        <v>0</v>
      </c>
      <c r="J78" s="104">
        <f>E78-D78</f>
        <v>0</v>
      </c>
      <c r="K78" s="112">
        <f>IF(D78=0,0,J78/D78)</f>
        <v>0</v>
      </c>
      <c r="L78" s="89" t="s">
        <v>45</v>
      </c>
      <c r="M78" s="161"/>
      <c r="N78" s="161"/>
      <c r="O78" s="161"/>
      <c r="P78" s="161"/>
      <c r="Q78" s="160"/>
      <c r="R78" s="160"/>
      <c r="S78" s="160"/>
      <c r="T78" s="160"/>
      <c r="U78" s="160"/>
      <c r="V78" s="367" t="s">
        <v>86</v>
      </c>
      <c r="W78" s="367"/>
      <c r="X78" s="367"/>
      <c r="Y78" s="367"/>
      <c r="Z78" s="155"/>
      <c r="AA78" s="155">
        <f>SUM(AA79:AA80)</f>
        <v>0</v>
      </c>
      <c r="AB78" s="154" t="s">
        <v>25</v>
      </c>
      <c r="AC78" s="1"/>
    </row>
    <row r="79" spans="1:31" s="11" customFormat="1" ht="21" customHeight="1">
      <c r="A79" s="40"/>
      <c r="B79" s="41"/>
      <c r="C79" s="41"/>
      <c r="D79" s="101"/>
      <c r="E79" s="100"/>
      <c r="F79" s="100"/>
      <c r="G79" s="100"/>
      <c r="H79" s="100"/>
      <c r="I79" s="100"/>
      <c r="J79" s="100"/>
      <c r="K79" s="64"/>
      <c r="L79" s="419" t="s">
        <v>397</v>
      </c>
      <c r="M79" s="420"/>
      <c r="N79" s="420"/>
      <c r="O79" s="420"/>
      <c r="P79" s="421"/>
      <c r="Q79" s="476"/>
      <c r="R79" s="476"/>
      <c r="S79" s="421"/>
      <c r="T79" s="420"/>
      <c r="U79" s="421"/>
      <c r="V79" s="421"/>
      <c r="W79" s="421"/>
      <c r="X79" s="421"/>
      <c r="Y79" s="421"/>
      <c r="Z79" s="421"/>
      <c r="AA79" s="421"/>
      <c r="AB79" s="424"/>
      <c r="AC79" s="1"/>
    </row>
    <row r="80" spans="1:31" s="11" customFormat="1" ht="21" customHeight="1">
      <c r="A80" s="40"/>
      <c r="B80" s="41"/>
      <c r="C80" s="41"/>
      <c r="D80" s="101"/>
      <c r="E80" s="100"/>
      <c r="F80" s="100"/>
      <c r="G80" s="100"/>
      <c r="H80" s="100"/>
      <c r="I80" s="100"/>
      <c r="J80" s="100"/>
      <c r="K80" s="64"/>
      <c r="L80" s="419" t="s">
        <v>396</v>
      </c>
      <c r="M80" s="420"/>
      <c r="N80" s="420"/>
      <c r="O80" s="420"/>
      <c r="P80" s="421"/>
      <c r="Q80" s="476"/>
      <c r="R80" s="476"/>
      <c r="S80" s="421"/>
      <c r="T80" s="420"/>
      <c r="U80" s="421"/>
      <c r="V80" s="421"/>
      <c r="W80" s="421"/>
      <c r="X80" s="421"/>
      <c r="Y80" s="421"/>
      <c r="Z80" s="421"/>
      <c r="AA80" s="421"/>
      <c r="AB80" s="424"/>
      <c r="AC80" s="1"/>
    </row>
    <row r="81" spans="1:30" s="11" customFormat="1" ht="21" customHeight="1">
      <c r="A81" s="40"/>
      <c r="B81" s="41"/>
      <c r="C81" s="41"/>
      <c r="D81" s="142"/>
      <c r="E81" s="100"/>
      <c r="F81" s="100"/>
      <c r="G81" s="100"/>
      <c r="H81" s="100"/>
      <c r="I81" s="100"/>
      <c r="J81" s="100"/>
      <c r="K81" s="64"/>
      <c r="L81" s="65"/>
      <c r="M81" s="368"/>
      <c r="N81" s="368"/>
      <c r="O81" s="368"/>
      <c r="P81" s="368"/>
      <c r="Q81" s="368"/>
      <c r="R81" s="368"/>
      <c r="S81" s="368"/>
      <c r="T81" s="368"/>
      <c r="U81" s="368"/>
      <c r="V81" s="80"/>
      <c r="W81" s="80"/>
      <c r="X81" s="80"/>
      <c r="Y81" s="80"/>
      <c r="Z81" s="80"/>
      <c r="AA81" s="192"/>
      <c r="AB81" s="67"/>
      <c r="AC81" s="1"/>
    </row>
    <row r="82" spans="1:30" s="11" customFormat="1" ht="21" hidden="1" customHeight="1">
      <c r="A82" s="40"/>
      <c r="B82" s="41"/>
      <c r="C82" s="31" t="s">
        <v>258</v>
      </c>
      <c r="D82" s="144">
        <v>0</v>
      </c>
      <c r="E82" s="104">
        <f>ROUND(AA82/1000,0)</f>
        <v>0</v>
      </c>
      <c r="F82" s="105">
        <f>SUMIF($Y$83:$Y$84,"보조",$AA$83:$AA$84)/1000</f>
        <v>0</v>
      </c>
      <c r="G82" s="105">
        <f>SUMIF($Y$83:$Y$84,"후원",$AA$83:$AA$84)/1000</f>
        <v>0</v>
      </c>
      <c r="H82" s="105">
        <f>SUMIF($Y$83:$Y$84,"입소",$AA$83:$AA$84)/1000</f>
        <v>0</v>
      </c>
      <c r="I82" s="105">
        <f>SUMIF($Y$83:$Y$84,"잡수",$AA$83:$AA$84)/1000</f>
        <v>0</v>
      </c>
      <c r="J82" s="104">
        <f>E82-D82</f>
        <v>0</v>
      </c>
      <c r="K82" s="112">
        <f>IF(D82=0,0,J82/D82)</f>
        <v>0</v>
      </c>
      <c r="L82" s="89" t="s">
        <v>259</v>
      </c>
      <c r="M82" s="85"/>
      <c r="N82" s="85"/>
      <c r="O82" s="85"/>
      <c r="P82" s="85"/>
      <c r="Q82" s="83"/>
      <c r="R82" s="83"/>
      <c r="S82" s="83"/>
      <c r="T82" s="83"/>
      <c r="U82" s="83"/>
      <c r="V82" s="153" t="s">
        <v>86</v>
      </c>
      <c r="W82" s="153"/>
      <c r="X82" s="153"/>
      <c r="Y82" s="153"/>
      <c r="Z82" s="155"/>
      <c r="AA82" s="155">
        <f>SUM(AA83:AA83)</f>
        <v>0</v>
      </c>
      <c r="AB82" s="154" t="s">
        <v>25</v>
      </c>
      <c r="AC82" s="1"/>
      <c r="AD82" s="505" t="s">
        <v>436</v>
      </c>
    </row>
    <row r="83" spans="1:30" s="11" customFormat="1" ht="21" hidden="1" customHeight="1">
      <c r="A83" s="40"/>
      <c r="B83" s="41"/>
      <c r="C83" s="41"/>
      <c r="D83" s="101"/>
      <c r="E83" s="100"/>
      <c r="F83" s="100"/>
      <c r="G83" s="100"/>
      <c r="H83" s="100"/>
      <c r="I83" s="100"/>
      <c r="J83" s="100"/>
      <c r="K83" s="64"/>
      <c r="L83" s="338" t="s">
        <v>260</v>
      </c>
      <c r="M83" s="298"/>
      <c r="N83" s="298"/>
      <c r="O83" s="298"/>
      <c r="P83" s="297">
        <v>0</v>
      </c>
      <c r="Q83" s="248" t="s">
        <v>153</v>
      </c>
      <c r="R83" s="248" t="s">
        <v>26</v>
      </c>
      <c r="S83" s="297">
        <v>12</v>
      </c>
      <c r="T83" s="298" t="s">
        <v>156</v>
      </c>
      <c r="U83" s="297" t="s">
        <v>27</v>
      </c>
      <c r="V83" s="297"/>
      <c r="W83" s="297"/>
      <c r="X83" s="297"/>
      <c r="Y83" s="337" t="s">
        <v>307</v>
      </c>
      <c r="Z83" s="297"/>
      <c r="AA83" s="297">
        <f>P83*S83</f>
        <v>0</v>
      </c>
      <c r="AB83" s="125" t="s">
        <v>25</v>
      </c>
      <c r="AC83" s="1"/>
      <c r="AD83" s="505" t="s">
        <v>437</v>
      </c>
    </row>
    <row r="84" spans="1:30" s="11" customFormat="1" ht="21" hidden="1" customHeight="1">
      <c r="A84" s="40"/>
      <c r="B84" s="41"/>
      <c r="C84" s="53"/>
      <c r="D84" s="119"/>
      <c r="E84" s="102"/>
      <c r="F84" s="102"/>
      <c r="G84" s="102"/>
      <c r="H84" s="102"/>
      <c r="I84" s="102"/>
      <c r="J84" s="102"/>
      <c r="K84" s="78"/>
      <c r="L84" s="241"/>
      <c r="M84" s="241"/>
      <c r="N84" s="241"/>
      <c r="O84" s="241"/>
      <c r="P84" s="304"/>
      <c r="Q84" s="306"/>
      <c r="R84" s="304"/>
      <c r="S84" s="632"/>
      <c r="T84" s="633"/>
      <c r="U84" s="304"/>
      <c r="V84" s="304"/>
      <c r="W84" s="304"/>
      <c r="X84" s="304"/>
      <c r="Y84" s="304"/>
      <c r="Z84" s="304"/>
      <c r="AA84" s="304"/>
      <c r="AB84" s="307"/>
      <c r="AC84" s="1"/>
    </row>
    <row r="85" spans="1:30" s="11" customFormat="1" ht="21" customHeight="1">
      <c r="A85" s="40"/>
      <c r="B85" s="41"/>
      <c r="C85" s="31" t="s">
        <v>66</v>
      </c>
      <c r="D85" s="120">
        <v>10746</v>
      </c>
      <c r="E85" s="104">
        <f>AA85/1000</f>
        <v>11478</v>
      </c>
      <c r="F85" s="105">
        <f>SUMIF($Y$86:$Y$95,"보조",$AA$86:$AA$95)/1000</f>
        <v>0</v>
      </c>
      <c r="G85" s="105">
        <f>SUMIF($Y$86:$Y$95,"지후",$AA$86:$AA$95)/1000</f>
        <v>7000</v>
      </c>
      <c r="H85" s="105">
        <f>SUMIF($Y$86:$Y$95,"후원",$AA$86:$AA$95)/1000</f>
        <v>3748</v>
      </c>
      <c r="I85" s="105">
        <f>SUMIF($Y$86:$Y$95,"잡수",$AA$86:$AA$95)/1000</f>
        <v>730</v>
      </c>
      <c r="J85" s="104">
        <f>E85-D85</f>
        <v>732</v>
      </c>
      <c r="K85" s="112">
        <f>IF(D85=0,0,J85/D85)</f>
        <v>6.811836962590731E-2</v>
      </c>
      <c r="L85" s="107" t="s">
        <v>386</v>
      </c>
      <c r="M85" s="85"/>
      <c r="N85" s="85"/>
      <c r="O85" s="85"/>
      <c r="P85" s="85"/>
      <c r="Q85" s="83"/>
      <c r="R85" s="83"/>
      <c r="S85" s="83"/>
      <c r="T85" s="83"/>
      <c r="U85" s="83"/>
      <c r="V85" s="153" t="s">
        <v>86</v>
      </c>
      <c r="W85" s="153"/>
      <c r="X85" s="153"/>
      <c r="Y85" s="153"/>
      <c r="Z85" s="155"/>
      <c r="AA85" s="155">
        <f>SUM(AA86:AA92)</f>
        <v>11478000</v>
      </c>
      <c r="AB85" s="154" t="s">
        <v>25</v>
      </c>
      <c r="AC85" s="1"/>
      <c r="AD85" s="505"/>
    </row>
    <row r="86" spans="1:30" s="11" customFormat="1" ht="20.25" customHeight="1">
      <c r="A86" s="40"/>
      <c r="B86" s="41"/>
      <c r="C86" s="41"/>
      <c r="D86" s="121"/>
      <c r="E86" s="100"/>
      <c r="F86" s="100"/>
      <c r="G86" s="100"/>
      <c r="H86" s="100"/>
      <c r="I86" s="100"/>
      <c r="J86" s="100"/>
      <c r="K86" s="64"/>
      <c r="L86" s="429" t="s">
        <v>444</v>
      </c>
      <c r="M86" s="429"/>
      <c r="N86" s="429"/>
      <c r="O86" s="429"/>
      <c r="P86" s="433"/>
      <c r="Q86" s="433"/>
      <c r="R86" s="458"/>
      <c r="S86" s="433"/>
      <c r="T86" s="433"/>
      <c r="U86" s="458"/>
      <c r="V86" s="433"/>
      <c r="W86" s="433"/>
      <c r="X86" s="433"/>
      <c r="Y86" s="433" t="s">
        <v>409</v>
      </c>
      <c r="Z86" s="436"/>
      <c r="AA86" s="412">
        <v>1000000</v>
      </c>
      <c r="AB86" s="437" t="s">
        <v>352</v>
      </c>
      <c r="AC86" s="2"/>
      <c r="AD86" s="505"/>
    </row>
    <row r="87" spans="1:30" s="11" customFormat="1" ht="20.25" customHeight="1">
      <c r="A87" s="40"/>
      <c r="B87" s="41"/>
      <c r="C87" s="41"/>
      <c r="D87" s="121"/>
      <c r="E87" s="100"/>
      <c r="F87" s="100"/>
      <c r="G87" s="100"/>
      <c r="H87" s="100"/>
      <c r="I87" s="100"/>
      <c r="J87" s="100"/>
      <c r="K87" s="64"/>
      <c r="L87" s="429" t="s">
        <v>445</v>
      </c>
      <c r="M87" s="429"/>
      <c r="N87" s="429"/>
      <c r="O87" s="429"/>
      <c r="P87" s="433"/>
      <c r="Q87" s="433"/>
      <c r="R87" s="458"/>
      <c r="S87" s="433"/>
      <c r="T87" s="433"/>
      <c r="U87" s="435" t="s">
        <v>442</v>
      </c>
      <c r="V87" s="433"/>
      <c r="W87" s="433"/>
      <c r="X87" s="433"/>
      <c r="Y87" s="433" t="s">
        <v>443</v>
      </c>
      <c r="Z87" s="436"/>
      <c r="AA87" s="412">
        <v>6000000</v>
      </c>
      <c r="AB87" s="437" t="s">
        <v>352</v>
      </c>
      <c r="AC87" s="2"/>
      <c r="AD87" s="505"/>
    </row>
    <row r="88" spans="1:30" s="11" customFormat="1" ht="20.25" customHeight="1">
      <c r="A88" s="40"/>
      <c r="B88" s="41"/>
      <c r="C88" s="41"/>
      <c r="D88" s="121"/>
      <c r="E88" s="100"/>
      <c r="F88" s="100"/>
      <c r="G88" s="100"/>
      <c r="H88" s="100"/>
      <c r="I88" s="100"/>
      <c r="J88" s="100"/>
      <c r="K88" s="64"/>
      <c r="L88" s="429" t="s">
        <v>455</v>
      </c>
      <c r="M88" s="429"/>
      <c r="N88" s="429"/>
      <c r="O88" s="429"/>
      <c r="P88" s="433"/>
      <c r="Q88" s="433"/>
      <c r="R88" s="458"/>
      <c r="S88" s="433"/>
      <c r="T88" s="433"/>
      <c r="U88" s="435" t="s">
        <v>442</v>
      </c>
      <c r="V88" s="433"/>
      <c r="W88" s="433"/>
      <c r="X88" s="433"/>
      <c r="Y88" s="433" t="s">
        <v>443</v>
      </c>
      <c r="Z88" s="436"/>
      <c r="AA88" s="412">
        <v>1000000</v>
      </c>
      <c r="AB88" s="437" t="s">
        <v>54</v>
      </c>
      <c r="AC88" s="2"/>
    </row>
    <row r="89" spans="1:30" s="11" customFormat="1" ht="20.25" customHeight="1">
      <c r="A89" s="40"/>
      <c r="B89" s="41"/>
      <c r="C89" s="41"/>
      <c r="D89" s="121"/>
      <c r="E89" s="100"/>
      <c r="F89" s="100"/>
      <c r="G89" s="100"/>
      <c r="H89" s="100"/>
      <c r="I89" s="100"/>
      <c r="J89" s="100"/>
      <c r="K89" s="64"/>
      <c r="L89" s="429" t="s">
        <v>446</v>
      </c>
      <c r="M89" s="429"/>
      <c r="N89" s="429"/>
      <c r="O89" s="429"/>
      <c r="P89" s="433"/>
      <c r="Q89" s="433"/>
      <c r="R89" s="458"/>
      <c r="S89" s="433"/>
      <c r="T89" s="433"/>
      <c r="U89" s="435"/>
      <c r="V89" s="433"/>
      <c r="W89" s="433"/>
      <c r="X89" s="433"/>
      <c r="Y89" s="433" t="s">
        <v>409</v>
      </c>
      <c r="Z89" s="436"/>
      <c r="AA89" s="412">
        <v>200000</v>
      </c>
      <c r="AB89" s="437" t="s">
        <v>54</v>
      </c>
      <c r="AC89" s="2"/>
      <c r="AD89" s="505"/>
    </row>
    <row r="90" spans="1:30" s="11" customFormat="1" ht="20.25" customHeight="1">
      <c r="A90" s="40"/>
      <c r="B90" s="41"/>
      <c r="C90" s="41"/>
      <c r="D90" s="121"/>
      <c r="E90" s="100"/>
      <c r="F90" s="100"/>
      <c r="G90" s="100"/>
      <c r="H90" s="100"/>
      <c r="I90" s="100"/>
      <c r="J90" s="100"/>
      <c r="K90" s="64"/>
      <c r="L90" s="420" t="s">
        <v>447</v>
      </c>
      <c r="M90" s="420"/>
      <c r="N90" s="420"/>
      <c r="O90" s="420"/>
      <c r="P90" s="421"/>
      <c r="Q90" s="476"/>
      <c r="R90" s="476"/>
      <c r="S90" s="487"/>
      <c r="T90" s="488"/>
      <c r="U90" s="435"/>
      <c r="V90" s="337"/>
      <c r="W90" s="337"/>
      <c r="X90" s="337"/>
      <c r="Y90" s="337" t="s">
        <v>409</v>
      </c>
      <c r="Z90" s="421"/>
      <c r="AA90" s="433">
        <v>2000000</v>
      </c>
      <c r="AB90" s="424" t="s">
        <v>54</v>
      </c>
      <c r="AC90" s="2"/>
      <c r="AD90" s="505"/>
    </row>
    <row r="91" spans="1:30" s="11" customFormat="1" ht="20.25" customHeight="1">
      <c r="A91" s="40"/>
      <c r="B91" s="41"/>
      <c r="C91" s="41"/>
      <c r="D91" s="121"/>
      <c r="E91" s="100"/>
      <c r="F91" s="100"/>
      <c r="G91" s="100"/>
      <c r="H91" s="100"/>
      <c r="I91" s="100"/>
      <c r="J91" s="100"/>
      <c r="K91" s="64"/>
      <c r="L91" s="420" t="s">
        <v>448</v>
      </c>
      <c r="M91" s="420"/>
      <c r="N91" s="420"/>
      <c r="O91" s="420"/>
      <c r="P91" s="421"/>
      <c r="Q91" s="476"/>
      <c r="R91" s="476"/>
      <c r="S91" s="487"/>
      <c r="T91" s="488"/>
      <c r="U91" s="435"/>
      <c r="V91" s="337"/>
      <c r="W91" s="337"/>
      <c r="X91" s="337"/>
      <c r="Y91" s="337" t="s">
        <v>409</v>
      </c>
      <c r="Z91" s="421"/>
      <c r="AA91" s="421">
        <v>548000</v>
      </c>
      <c r="AB91" s="424" t="s">
        <v>54</v>
      </c>
      <c r="AC91" s="2"/>
      <c r="AD91" s="505"/>
    </row>
    <row r="92" spans="1:30" s="11" customFormat="1" ht="20.25" customHeight="1">
      <c r="A92" s="40"/>
      <c r="B92" s="41"/>
      <c r="C92" s="42"/>
      <c r="D92" s="121"/>
      <c r="E92" s="100"/>
      <c r="F92" s="100"/>
      <c r="G92" s="100"/>
      <c r="H92" s="100"/>
      <c r="I92" s="100"/>
      <c r="J92" s="100"/>
      <c r="K92" s="64"/>
      <c r="L92" s="498" t="s">
        <v>449</v>
      </c>
      <c r="M92" s="498"/>
      <c r="N92" s="498"/>
      <c r="O92" s="498"/>
      <c r="P92" s="337"/>
      <c r="Q92" s="248"/>
      <c r="R92" s="476"/>
      <c r="S92" s="421"/>
      <c r="T92" s="420"/>
      <c r="U92" s="421"/>
      <c r="V92" s="337"/>
      <c r="W92" s="337"/>
      <c r="X92" s="337"/>
      <c r="Y92" s="433" t="s">
        <v>441</v>
      </c>
      <c r="Z92" s="337"/>
      <c r="AA92" s="337">
        <v>730000</v>
      </c>
      <c r="AB92" s="125" t="s">
        <v>54</v>
      </c>
      <c r="AC92" s="2"/>
      <c r="AD92" s="505"/>
    </row>
    <row r="93" spans="1:30" s="11" customFormat="1" ht="20.25" customHeight="1">
      <c r="A93" s="40"/>
      <c r="B93" s="41"/>
      <c r="C93" s="42"/>
      <c r="D93" s="121"/>
      <c r="E93" s="100"/>
      <c r="F93" s="100"/>
      <c r="G93" s="100"/>
      <c r="H93" s="100"/>
      <c r="I93" s="100"/>
      <c r="J93" s="100"/>
      <c r="K93" s="64"/>
      <c r="L93" s="498"/>
      <c r="M93" s="498"/>
      <c r="N93" s="498"/>
      <c r="O93" s="498"/>
      <c r="P93" s="337"/>
      <c r="Q93" s="248"/>
      <c r="R93" s="248"/>
      <c r="S93" s="337"/>
      <c r="T93" s="338"/>
      <c r="U93" s="337"/>
      <c r="V93" s="337"/>
      <c r="W93" s="337"/>
      <c r="X93" s="337"/>
      <c r="Y93" s="337"/>
      <c r="Z93" s="253"/>
      <c r="AA93" s="337"/>
      <c r="AB93" s="380"/>
      <c r="AC93" s="2"/>
    </row>
    <row r="94" spans="1:30" s="11" customFormat="1" ht="20.25" customHeight="1">
      <c r="A94" s="40"/>
      <c r="B94" s="41"/>
      <c r="C94" s="42"/>
      <c r="D94" s="121"/>
      <c r="E94" s="100"/>
      <c r="F94" s="100"/>
      <c r="G94" s="100"/>
      <c r="H94" s="100"/>
      <c r="I94" s="100"/>
      <c r="J94" s="100"/>
      <c r="K94" s="64"/>
      <c r="L94" s="498"/>
      <c r="M94" s="498"/>
      <c r="N94" s="498"/>
      <c r="O94" s="498"/>
      <c r="P94" s="337"/>
      <c r="Q94" s="248"/>
      <c r="R94" s="248"/>
      <c r="S94" s="337"/>
      <c r="T94" s="338"/>
      <c r="U94" s="337"/>
      <c r="V94" s="337"/>
      <c r="W94" s="337"/>
      <c r="X94" s="337"/>
      <c r="Y94" s="337"/>
      <c r="Z94" s="253"/>
      <c r="AA94" s="337"/>
      <c r="AB94" s="380"/>
      <c r="AC94" s="2"/>
    </row>
    <row r="95" spans="1:30" s="11" customFormat="1" ht="21" customHeight="1">
      <c r="A95" s="40"/>
      <c r="B95" s="41"/>
      <c r="C95" s="42"/>
      <c r="D95" s="142"/>
      <c r="E95" s="100"/>
      <c r="F95" s="100"/>
      <c r="G95" s="100"/>
      <c r="H95" s="100"/>
      <c r="I95" s="100"/>
      <c r="J95" s="100"/>
      <c r="K95" s="78"/>
      <c r="L95" s="137"/>
      <c r="M95" s="75"/>
      <c r="N95" s="75"/>
      <c r="O95" s="75"/>
      <c r="P95" s="74"/>
      <c r="Q95" s="75"/>
      <c r="R95" s="74"/>
      <c r="S95" s="122"/>
      <c r="T95" s="122"/>
      <c r="U95" s="74"/>
      <c r="V95" s="74"/>
      <c r="W95" s="74"/>
      <c r="X95" s="74"/>
      <c r="Y95" s="74"/>
      <c r="Z95" s="74"/>
      <c r="AA95" s="74"/>
      <c r="AB95" s="67"/>
      <c r="AC95" s="2"/>
    </row>
    <row r="96" spans="1:30" s="11" customFormat="1" ht="21" customHeight="1">
      <c r="A96" s="103" t="s">
        <v>46</v>
      </c>
      <c r="B96" s="625" t="s">
        <v>20</v>
      </c>
      <c r="C96" s="625"/>
      <c r="D96" s="361">
        <f>D97</f>
        <v>2500</v>
      </c>
      <c r="E96" s="361">
        <f>E97</f>
        <v>2500</v>
      </c>
      <c r="F96" s="361">
        <f t="shared" ref="F96:I96" si="5">F97</f>
        <v>0</v>
      </c>
      <c r="G96" s="361">
        <f t="shared" si="5"/>
        <v>2500</v>
      </c>
      <c r="H96" s="361">
        <f t="shared" si="5"/>
        <v>0</v>
      </c>
      <c r="I96" s="361">
        <f t="shared" si="5"/>
        <v>0</v>
      </c>
      <c r="J96" s="361">
        <f>E96-D96</f>
        <v>0</v>
      </c>
      <c r="K96" s="265">
        <f>IF(D96=0,0,J96/D96)</f>
        <v>0</v>
      </c>
      <c r="L96" s="266" t="s">
        <v>88</v>
      </c>
      <c r="M96" s="266"/>
      <c r="N96" s="266"/>
      <c r="O96" s="266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>
        <f>AA97</f>
        <v>2500000</v>
      </c>
      <c r="AB96" s="268" t="s">
        <v>25</v>
      </c>
      <c r="AC96" s="2"/>
    </row>
    <row r="97" spans="1:29" s="11" customFormat="1" ht="21" customHeight="1">
      <c r="A97" s="164" t="s">
        <v>94</v>
      </c>
      <c r="B97" s="41" t="s">
        <v>17</v>
      </c>
      <c r="C97" s="524" t="s">
        <v>89</v>
      </c>
      <c r="D97" s="525">
        <f t="shared" ref="D97:I97" si="6">SUM(D98,D101,D104)</f>
        <v>2500</v>
      </c>
      <c r="E97" s="525">
        <f t="shared" si="6"/>
        <v>2500</v>
      </c>
      <c r="F97" s="525">
        <f t="shared" si="6"/>
        <v>0</v>
      </c>
      <c r="G97" s="525">
        <f t="shared" si="6"/>
        <v>2500</v>
      </c>
      <c r="H97" s="525">
        <f t="shared" si="6"/>
        <v>0</v>
      </c>
      <c r="I97" s="525">
        <f t="shared" si="6"/>
        <v>0</v>
      </c>
      <c r="J97" s="525">
        <f>E97-D97</f>
        <v>0</v>
      </c>
      <c r="K97" s="526">
        <f>IF(D97=0,0,J97/D97)</f>
        <v>0</v>
      </c>
      <c r="L97" s="537" t="s">
        <v>90</v>
      </c>
      <c r="M97" s="537"/>
      <c r="N97" s="537"/>
      <c r="O97" s="537"/>
      <c r="P97" s="537"/>
      <c r="Q97" s="538"/>
      <c r="R97" s="538"/>
      <c r="S97" s="538"/>
      <c r="T97" s="538"/>
      <c r="U97" s="538"/>
      <c r="V97" s="538"/>
      <c r="W97" s="538"/>
      <c r="X97" s="538"/>
      <c r="Y97" s="538"/>
      <c r="Z97" s="539"/>
      <c r="AA97" s="539">
        <f>SUM(AA98,AA101,AA104)</f>
        <v>2500000</v>
      </c>
      <c r="AB97" s="540" t="s">
        <v>25</v>
      </c>
      <c r="AC97" s="1"/>
    </row>
    <row r="98" spans="1:29" s="11" customFormat="1" ht="21" customHeight="1">
      <c r="A98" s="40"/>
      <c r="B98" s="41"/>
      <c r="C98" s="31" t="s">
        <v>90</v>
      </c>
      <c r="D98" s="162">
        <v>0</v>
      </c>
      <c r="E98" s="162">
        <f>ROUND(AA98/1000,0)</f>
        <v>0</v>
      </c>
      <c r="F98" s="105">
        <f>SUMIF($Y$99:$Y$100,"보조",$AA$99:$AA$100)/1000</f>
        <v>0</v>
      </c>
      <c r="G98" s="105">
        <f>SUMIF($Y$99:$Y$100,"지후",$AA$99:$AA$100)/1000</f>
        <v>0</v>
      </c>
      <c r="H98" s="105">
        <f>SUMIF($Y$99:$Y$100,"후원",$AA$99:$AA$100)/1000</f>
        <v>0</v>
      </c>
      <c r="I98" s="105">
        <f>SUMIF($Y$99:$Y$100,"잡수",$AA$99:$AA$100)/1000</f>
        <v>0</v>
      </c>
      <c r="J98" s="162">
        <f>E98-D98</f>
        <v>0</v>
      </c>
      <c r="K98" s="163">
        <f>IF(D98=0,0,J98/D98)</f>
        <v>0</v>
      </c>
      <c r="L98" s="89" t="s">
        <v>47</v>
      </c>
      <c r="M98" s="161"/>
      <c r="N98" s="161"/>
      <c r="O98" s="161"/>
      <c r="P98" s="161"/>
      <c r="Q98" s="160"/>
      <c r="R98" s="160"/>
      <c r="S98" s="160"/>
      <c r="T98" s="160"/>
      <c r="U98" s="160"/>
      <c r="V98" s="153" t="s">
        <v>86</v>
      </c>
      <c r="W98" s="153"/>
      <c r="X98" s="153"/>
      <c r="Y98" s="153"/>
      <c r="Z98" s="155"/>
      <c r="AA98" s="155">
        <f>SUM(AA99:AA99)</f>
        <v>0</v>
      </c>
      <c r="AB98" s="154" t="s">
        <v>25</v>
      </c>
      <c r="AC98" s="1"/>
    </row>
    <row r="99" spans="1:29" s="11" customFormat="1" ht="21" customHeight="1">
      <c r="A99" s="40"/>
      <c r="B99" s="41"/>
      <c r="C99" s="41"/>
      <c r="D99" s="101"/>
      <c r="E99" s="100"/>
      <c r="F99" s="100"/>
      <c r="G99" s="100"/>
      <c r="H99" s="100"/>
      <c r="I99" s="100"/>
      <c r="J99" s="100"/>
      <c r="K99" s="64"/>
      <c r="L99" s="236" t="s">
        <v>329</v>
      </c>
      <c r="M99" s="236"/>
      <c r="N99" s="236"/>
      <c r="O99" s="236"/>
      <c r="P99" s="236"/>
      <c r="Q99" s="236"/>
      <c r="R99" s="236"/>
      <c r="S99" s="236"/>
      <c r="T99" s="236"/>
      <c r="U99" s="299"/>
      <c r="V99" s="236"/>
      <c r="W99" s="236"/>
      <c r="X99" s="236"/>
      <c r="Y99" s="236" t="s">
        <v>379</v>
      </c>
      <c r="Z99" s="236"/>
      <c r="AA99" s="235">
        <v>0</v>
      </c>
      <c r="AB99" s="249" t="s">
        <v>323</v>
      </c>
      <c r="AC99" s="2"/>
    </row>
    <row r="100" spans="1:29" s="11" customFormat="1" ht="21" customHeight="1">
      <c r="A100" s="40"/>
      <c r="B100" s="41"/>
      <c r="C100" s="41"/>
      <c r="D100" s="142"/>
      <c r="E100" s="100"/>
      <c r="F100" s="100"/>
      <c r="G100" s="100"/>
      <c r="H100" s="100"/>
      <c r="I100" s="100"/>
      <c r="J100" s="100"/>
      <c r="K100" s="64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23"/>
      <c r="AB100" s="115"/>
      <c r="AC100" s="2"/>
    </row>
    <row r="101" spans="1:29" s="11" customFormat="1" ht="21" customHeight="1">
      <c r="A101" s="40"/>
      <c r="B101" s="41"/>
      <c r="C101" s="31" t="s">
        <v>18</v>
      </c>
      <c r="D101" s="144">
        <v>1500</v>
      </c>
      <c r="E101" s="162">
        <f>ROUND(AA101/1000,0)</f>
        <v>1500</v>
      </c>
      <c r="F101" s="105">
        <f>SUMIF($Y$102:$Y$103,"보조",$AA$102:$AA$103)/1000</f>
        <v>0</v>
      </c>
      <c r="G101" s="105">
        <f>SUMIF($Y$102:$Y$103,"지후",$AA$102:$AA$103)/1000</f>
        <v>1500</v>
      </c>
      <c r="H101" s="105">
        <f>SUMIF($Y$102:$Y$103,"후원",$AA$102:$AA$103)/1000</f>
        <v>0</v>
      </c>
      <c r="I101" s="105">
        <f>SUMIF($Y$102:$Y$103,"잡수",$AA$102:$AA$103)/1000</f>
        <v>0</v>
      </c>
      <c r="J101" s="104">
        <f>E101-D101</f>
        <v>0</v>
      </c>
      <c r="K101" s="112">
        <f>IF(D101=0,0,J101/D101)</f>
        <v>0</v>
      </c>
      <c r="L101" s="89" t="s">
        <v>48</v>
      </c>
      <c r="M101" s="85"/>
      <c r="N101" s="85"/>
      <c r="O101" s="85"/>
      <c r="P101" s="85"/>
      <c r="Q101" s="83"/>
      <c r="R101" s="83"/>
      <c r="S101" s="83"/>
      <c r="T101" s="83"/>
      <c r="U101" s="83"/>
      <c r="V101" s="153" t="s">
        <v>86</v>
      </c>
      <c r="W101" s="153"/>
      <c r="X101" s="153"/>
      <c r="Y101" s="153"/>
      <c r="Z101" s="155"/>
      <c r="AA101" s="155">
        <f>SUM(AA102:AA102)</f>
        <v>1500000</v>
      </c>
      <c r="AB101" s="154" t="s">
        <v>25</v>
      </c>
      <c r="AC101" s="1"/>
    </row>
    <row r="102" spans="1:29" s="11" customFormat="1" ht="21" customHeight="1">
      <c r="A102" s="40"/>
      <c r="B102" s="41"/>
      <c r="C102" s="41"/>
      <c r="D102" s="101"/>
      <c r="E102" s="100"/>
      <c r="F102" s="100"/>
      <c r="G102" s="100"/>
      <c r="H102" s="100"/>
      <c r="I102" s="100"/>
      <c r="J102" s="100"/>
      <c r="K102" s="64"/>
      <c r="L102" s="338" t="s">
        <v>353</v>
      </c>
      <c r="M102" s="326"/>
      <c r="N102" s="326"/>
      <c r="O102" s="326"/>
      <c r="P102" s="325"/>
      <c r="Q102" s="248"/>
      <c r="R102" s="248"/>
      <c r="S102" s="325"/>
      <c r="T102" s="326"/>
      <c r="U102" s="299" t="s">
        <v>362</v>
      </c>
      <c r="V102" s="299"/>
      <c r="W102" s="325"/>
      <c r="X102" s="325"/>
      <c r="Y102" s="337" t="s">
        <v>379</v>
      </c>
      <c r="Z102" s="325"/>
      <c r="AA102" s="325">
        <v>1500000</v>
      </c>
      <c r="AB102" s="125" t="s">
        <v>25</v>
      </c>
      <c r="AC102" s="2"/>
    </row>
    <row r="103" spans="1:29" s="11" customFormat="1" ht="21" customHeight="1">
      <c r="A103" s="40"/>
      <c r="B103" s="41"/>
      <c r="C103" s="41"/>
      <c r="D103" s="101"/>
      <c r="E103" s="100"/>
      <c r="F103" s="100"/>
      <c r="G103" s="100"/>
      <c r="H103" s="100"/>
      <c r="I103" s="100"/>
      <c r="J103" s="100"/>
      <c r="K103" s="64"/>
      <c r="L103" s="139"/>
      <c r="M103" s="45"/>
      <c r="N103" s="45"/>
      <c r="O103" s="45"/>
      <c r="P103" s="46"/>
      <c r="Q103" s="108"/>
      <c r="R103" s="49"/>
      <c r="S103" s="62"/>
      <c r="T103" s="62"/>
      <c r="U103" s="46"/>
      <c r="V103" s="46"/>
      <c r="W103" s="46"/>
      <c r="X103" s="46"/>
      <c r="Y103" s="46"/>
      <c r="Z103" s="46"/>
      <c r="AA103" s="46"/>
      <c r="AB103" s="51"/>
      <c r="AC103" s="2"/>
    </row>
    <row r="104" spans="1:29" s="11" customFormat="1" ht="21" customHeight="1">
      <c r="A104" s="40"/>
      <c r="B104" s="41"/>
      <c r="C104" s="31" t="s">
        <v>49</v>
      </c>
      <c r="D104" s="144">
        <v>1000</v>
      </c>
      <c r="E104" s="162">
        <f>ROUND(AA104/1000,0)</f>
        <v>1000</v>
      </c>
      <c r="F104" s="105">
        <f>SUMIF($Y$105:$Y$106,"보조",$AA$105:$AA$106)/1000</f>
        <v>0</v>
      </c>
      <c r="G104" s="105">
        <f>SUMIF($Y$105:$Y$106,"지후",$AA$105:$AA$106)/1000</f>
        <v>1000</v>
      </c>
      <c r="H104" s="105">
        <f>SUMIF($Y$105:$Y$106,"후원",$AA$105:$AA$106)/1000</f>
        <v>0</v>
      </c>
      <c r="I104" s="105">
        <f>SUMIF($Y$105:$Y$106,"잡수",$AA$105:$AA$106)/1000</f>
        <v>0</v>
      </c>
      <c r="J104" s="104">
        <f>E104-D104</f>
        <v>0</v>
      </c>
      <c r="K104" s="112">
        <f>IF(D104=0,0,J104/D104)</f>
        <v>0</v>
      </c>
      <c r="L104" s="89" t="s">
        <v>50</v>
      </c>
      <c r="M104" s="85"/>
      <c r="N104" s="85"/>
      <c r="O104" s="85"/>
      <c r="P104" s="85"/>
      <c r="Q104" s="83"/>
      <c r="R104" s="83"/>
      <c r="S104" s="83"/>
      <c r="T104" s="83"/>
      <c r="U104" s="83"/>
      <c r="V104" s="153" t="s">
        <v>86</v>
      </c>
      <c r="W104" s="153"/>
      <c r="X104" s="153"/>
      <c r="Y104" s="153"/>
      <c r="Z104" s="155"/>
      <c r="AA104" s="155">
        <f>SUM(AA105:AA105)</f>
        <v>1000000</v>
      </c>
      <c r="AB104" s="154" t="s">
        <v>25</v>
      </c>
      <c r="AC104" s="1"/>
    </row>
    <row r="105" spans="1:29" s="1" customFormat="1" ht="21" customHeight="1">
      <c r="A105" s="40"/>
      <c r="B105" s="41"/>
      <c r="C105" s="41" t="s">
        <v>96</v>
      </c>
      <c r="D105" s="142"/>
      <c r="E105" s="100"/>
      <c r="F105" s="100"/>
      <c r="G105" s="100"/>
      <c r="H105" s="100"/>
      <c r="I105" s="100"/>
      <c r="J105" s="100"/>
      <c r="K105" s="64"/>
      <c r="L105" s="338" t="s">
        <v>334</v>
      </c>
      <c r="M105" s="298"/>
      <c r="N105" s="298"/>
      <c r="O105" s="298"/>
      <c r="P105" s="297"/>
      <c r="Q105" s="248"/>
      <c r="R105" s="248"/>
      <c r="S105" s="297"/>
      <c r="T105" s="298"/>
      <c r="U105" s="299" t="s">
        <v>362</v>
      </c>
      <c r="V105" s="297"/>
      <c r="W105" s="297"/>
      <c r="X105" s="297"/>
      <c r="Y105" s="337" t="s">
        <v>379</v>
      </c>
      <c r="Z105" s="297"/>
      <c r="AA105" s="337">
        <v>1000000</v>
      </c>
      <c r="AB105" s="125" t="s">
        <v>25</v>
      </c>
      <c r="AC105" s="2"/>
    </row>
    <row r="106" spans="1:29" s="1" customFormat="1" ht="21" customHeight="1">
      <c r="A106" s="40"/>
      <c r="B106" s="41"/>
      <c r="C106" s="41"/>
      <c r="D106" s="142"/>
      <c r="E106" s="100"/>
      <c r="F106" s="100"/>
      <c r="G106" s="100"/>
      <c r="H106" s="100"/>
      <c r="I106" s="100"/>
      <c r="J106" s="100"/>
      <c r="K106" s="64"/>
      <c r="L106" s="139"/>
      <c r="M106" s="45"/>
      <c r="N106" s="45"/>
      <c r="O106" s="45"/>
      <c r="P106" s="46"/>
      <c r="Q106" s="49"/>
      <c r="R106" s="49"/>
      <c r="S106" s="46"/>
      <c r="T106" s="45"/>
      <c r="U106" s="46"/>
      <c r="V106" s="46"/>
      <c r="W106" s="46"/>
      <c r="X106" s="46"/>
      <c r="Y106" s="116"/>
      <c r="Z106" s="46"/>
      <c r="AA106" s="46"/>
      <c r="AB106" s="51"/>
      <c r="AC106" s="2"/>
    </row>
    <row r="107" spans="1:29" s="11" customFormat="1" ht="21" hidden="1" customHeight="1">
      <c r="A107" s="165" t="s">
        <v>19</v>
      </c>
      <c r="B107" s="623" t="s">
        <v>20</v>
      </c>
      <c r="C107" s="624"/>
      <c r="D107" s="166">
        <f>SUM(D108)</f>
        <v>0</v>
      </c>
      <c r="E107" s="166">
        <f t="shared" ref="E107:K107" si="7">SUM(E108)</f>
        <v>0</v>
      </c>
      <c r="F107" s="166">
        <f t="shared" si="7"/>
        <v>0</v>
      </c>
      <c r="G107" s="166">
        <f t="shared" si="7"/>
        <v>0</v>
      </c>
      <c r="H107" s="166">
        <f t="shared" si="7"/>
        <v>0</v>
      </c>
      <c r="I107" s="166">
        <f t="shared" si="7"/>
        <v>0</v>
      </c>
      <c r="J107" s="166">
        <f t="shared" si="7"/>
        <v>0</v>
      </c>
      <c r="K107" s="166">
        <f t="shared" si="7"/>
        <v>0</v>
      </c>
      <c r="L107" s="161" t="s">
        <v>92</v>
      </c>
      <c r="M107" s="85"/>
      <c r="N107" s="85"/>
      <c r="O107" s="85"/>
      <c r="P107" s="85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>
        <f>SUM(AA108)</f>
        <v>0</v>
      </c>
      <c r="AB107" s="87" t="s">
        <v>25</v>
      </c>
      <c r="AC107" s="13"/>
    </row>
    <row r="108" spans="1:29" s="11" customFormat="1" ht="21" hidden="1" customHeight="1">
      <c r="A108" s="41"/>
      <c r="B108" s="31" t="s">
        <v>261</v>
      </c>
      <c r="C108" s="31" t="s">
        <v>93</v>
      </c>
      <c r="D108" s="104">
        <f>SUM(D109,D113)</f>
        <v>0</v>
      </c>
      <c r="E108" s="104">
        <f t="shared" ref="E108:K108" si="8">SUM(E109,E113)</f>
        <v>0</v>
      </c>
      <c r="F108" s="104">
        <f t="shared" si="8"/>
        <v>0</v>
      </c>
      <c r="G108" s="104">
        <f t="shared" si="8"/>
        <v>0</v>
      </c>
      <c r="H108" s="104">
        <f t="shared" si="8"/>
        <v>0</v>
      </c>
      <c r="I108" s="104">
        <f t="shared" si="8"/>
        <v>0</v>
      </c>
      <c r="J108" s="104">
        <f t="shared" si="8"/>
        <v>0</v>
      </c>
      <c r="K108" s="104">
        <f t="shared" si="8"/>
        <v>0</v>
      </c>
      <c r="L108" s="85"/>
      <c r="M108" s="85"/>
      <c r="N108" s="85"/>
      <c r="O108" s="85"/>
      <c r="P108" s="85"/>
      <c r="Q108" s="83"/>
      <c r="R108" s="83"/>
      <c r="S108" s="83"/>
      <c r="T108" s="83"/>
      <c r="U108" s="83"/>
      <c r="V108" s="83" t="s">
        <v>28</v>
      </c>
      <c r="W108" s="83"/>
      <c r="X108" s="83"/>
      <c r="Y108" s="83"/>
      <c r="Z108" s="86"/>
      <c r="AA108" s="86">
        <f>SUM(AA109,AA113)</f>
        <v>0</v>
      </c>
      <c r="AB108" s="87" t="s">
        <v>25</v>
      </c>
      <c r="AC108" s="1"/>
    </row>
    <row r="109" spans="1:29" s="11" customFormat="1" ht="21" hidden="1" customHeight="1">
      <c r="A109" s="41"/>
      <c r="B109" s="41" t="s">
        <v>262</v>
      </c>
      <c r="C109" s="31" t="s">
        <v>263</v>
      </c>
      <c r="D109" s="144">
        <v>0</v>
      </c>
      <c r="E109" s="104">
        <f>AA109/1000</f>
        <v>0</v>
      </c>
      <c r="F109" s="105">
        <f>SUMIF($Y$110:$Y$112,"보조",$AA$110:$AA$112)/1000</f>
        <v>0</v>
      </c>
      <c r="G109" s="105">
        <f>SUMIF($Y$110:$Y$112,"후원",$AA$110:$AA$112)/1000</f>
        <v>0</v>
      </c>
      <c r="H109" s="105">
        <f>SUMIF($Y$110:$Y$112,"입소",$AA$110:$AA$112)/1000</f>
        <v>0</v>
      </c>
      <c r="I109" s="105">
        <f>SUMIF($Y$110:$Y$112,"잡수",$AA$110:$AA$112)/1000</f>
        <v>0</v>
      </c>
      <c r="J109" s="104">
        <f>E109-D109</f>
        <v>0</v>
      </c>
      <c r="K109" s="112">
        <f>IF(D109=0,0,J109/D109)</f>
        <v>0</v>
      </c>
      <c r="L109" s="89" t="s">
        <v>304</v>
      </c>
      <c r="M109" s="161"/>
      <c r="N109" s="161"/>
      <c r="O109" s="161"/>
      <c r="P109" s="161"/>
      <c r="Q109" s="160"/>
      <c r="R109" s="160"/>
      <c r="S109" s="160"/>
      <c r="T109" s="160"/>
      <c r="U109" s="160"/>
      <c r="V109" s="153" t="s">
        <v>86</v>
      </c>
      <c r="W109" s="153"/>
      <c r="X109" s="153"/>
      <c r="Y109" s="153"/>
      <c r="Z109" s="155"/>
      <c r="AA109" s="155">
        <f>SUM(AA110:AA111)</f>
        <v>0</v>
      </c>
      <c r="AB109" s="154" t="s">
        <v>25</v>
      </c>
      <c r="AC109" s="1"/>
    </row>
    <row r="110" spans="1:29" s="11" customFormat="1" ht="21" hidden="1" customHeight="1">
      <c r="A110" s="41"/>
      <c r="B110" s="41"/>
      <c r="C110" s="41"/>
      <c r="D110" s="101"/>
      <c r="E110" s="100"/>
      <c r="F110" s="100"/>
      <c r="G110" s="100"/>
      <c r="H110" s="100"/>
      <c r="I110" s="100"/>
      <c r="J110" s="100"/>
      <c r="K110" s="64"/>
      <c r="L110" s="338" t="s">
        <v>303</v>
      </c>
      <c r="M110" s="298"/>
      <c r="N110" s="297"/>
      <c r="O110" s="297"/>
      <c r="P110" s="297">
        <v>0</v>
      </c>
      <c r="Q110" s="297" t="s">
        <v>153</v>
      </c>
      <c r="R110" s="248" t="s">
        <v>154</v>
      </c>
      <c r="S110" s="297">
        <v>12</v>
      </c>
      <c r="T110" s="297" t="s">
        <v>156</v>
      </c>
      <c r="U110" s="248" t="s">
        <v>154</v>
      </c>
      <c r="V110" s="297">
        <v>23</v>
      </c>
      <c r="W110" s="297" t="s">
        <v>155</v>
      </c>
      <c r="X110" s="243" t="s">
        <v>157</v>
      </c>
      <c r="Y110" s="337" t="s">
        <v>307</v>
      </c>
      <c r="Z110" s="124"/>
      <c r="AA110" s="124">
        <f>ROUNDUP(P110*S110*V110,-3)</f>
        <v>0</v>
      </c>
      <c r="AB110" s="125" t="s">
        <v>25</v>
      </c>
      <c r="AC110" s="2"/>
    </row>
    <row r="111" spans="1:29" s="11" customFormat="1" ht="21" hidden="1" customHeight="1">
      <c r="A111" s="41"/>
      <c r="B111" s="41"/>
      <c r="C111" s="41"/>
      <c r="D111" s="101"/>
      <c r="E111" s="100"/>
      <c r="F111" s="100"/>
      <c r="G111" s="100"/>
      <c r="H111" s="100"/>
      <c r="I111" s="100"/>
      <c r="J111" s="100"/>
      <c r="K111" s="64"/>
      <c r="L111" s="338" t="s">
        <v>305</v>
      </c>
      <c r="M111" s="298"/>
      <c r="N111" s="298"/>
      <c r="O111" s="298"/>
      <c r="P111" s="297"/>
      <c r="Q111" s="297"/>
      <c r="R111" s="248"/>
      <c r="S111" s="297"/>
      <c r="T111" s="297"/>
      <c r="U111" s="248"/>
      <c r="V111" s="297"/>
      <c r="W111" s="297"/>
      <c r="X111" s="243"/>
      <c r="Y111" s="337" t="s">
        <v>307</v>
      </c>
      <c r="Z111" s="124"/>
      <c r="AA111" s="124">
        <v>0</v>
      </c>
      <c r="AB111" s="125" t="s">
        <v>25</v>
      </c>
      <c r="AC111" s="2"/>
    </row>
    <row r="112" spans="1:29" s="11" customFormat="1" ht="21" hidden="1" customHeight="1">
      <c r="A112" s="41"/>
      <c r="B112" s="41"/>
      <c r="C112" s="53"/>
      <c r="D112" s="143"/>
      <c r="E112" s="102"/>
      <c r="F112" s="102"/>
      <c r="G112" s="102"/>
      <c r="H112" s="102"/>
      <c r="I112" s="102"/>
      <c r="J112" s="102"/>
      <c r="K112" s="7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23"/>
      <c r="AB112" s="115"/>
      <c r="AC112" s="2"/>
    </row>
    <row r="113" spans="1:29" s="11" customFormat="1" ht="21" hidden="1" customHeight="1">
      <c r="A113" s="41"/>
      <c r="B113" s="41"/>
      <c r="C113" s="31" t="s">
        <v>302</v>
      </c>
      <c r="D113" s="142">
        <v>0</v>
      </c>
      <c r="E113" s="100">
        <f>ROUND(AA113/1000,0)</f>
        <v>0</v>
      </c>
      <c r="F113" s="105">
        <f>SUMIF($Y$114:$Y$116,"보조",$AA$114:$AA$116)/1000</f>
        <v>0</v>
      </c>
      <c r="G113" s="105">
        <f>SUMIF($Y$114:$Y$116,"후원",$AA$114:$AA$116)/1000</f>
        <v>0</v>
      </c>
      <c r="H113" s="105">
        <f>SUMIF($Y$114:$Y$116,"입소",$AA$114:$AA$116)/1000</f>
        <v>0</v>
      </c>
      <c r="I113" s="105">
        <f>SUMIF($Y$114:$Y$116,"잡수",$AA$114:$AA$116)/1000</f>
        <v>0</v>
      </c>
      <c r="J113" s="100">
        <f>E113-D113</f>
        <v>0</v>
      </c>
      <c r="K113" s="64">
        <f>IF(D113=0,0,J113/D113)</f>
        <v>0</v>
      </c>
      <c r="L113" s="89" t="s">
        <v>304</v>
      </c>
      <c r="M113" s="85"/>
      <c r="N113" s="85"/>
      <c r="O113" s="85"/>
      <c r="P113" s="85"/>
      <c r="Q113" s="83"/>
      <c r="R113" s="83"/>
      <c r="S113" s="83"/>
      <c r="T113" s="83"/>
      <c r="U113" s="83"/>
      <c r="V113" s="153" t="s">
        <v>86</v>
      </c>
      <c r="W113" s="153"/>
      <c r="X113" s="153"/>
      <c r="Y113" s="153"/>
      <c r="Z113" s="155"/>
      <c r="AA113" s="155">
        <f>SUM(AA114:AA116)</f>
        <v>0</v>
      </c>
      <c r="AB113" s="154" t="s">
        <v>25</v>
      </c>
      <c r="AC113" s="1"/>
    </row>
    <row r="114" spans="1:29" s="11" customFormat="1" ht="21" hidden="1" customHeight="1">
      <c r="A114" s="41"/>
      <c r="B114" s="41"/>
      <c r="C114" s="41"/>
      <c r="D114" s="142"/>
      <c r="E114" s="100"/>
      <c r="F114" s="100"/>
      <c r="G114" s="100"/>
      <c r="H114" s="100"/>
      <c r="I114" s="100"/>
      <c r="J114" s="100"/>
      <c r="K114" s="64"/>
      <c r="L114" s="338" t="s">
        <v>303</v>
      </c>
      <c r="M114" s="298"/>
      <c r="N114" s="298"/>
      <c r="O114" s="298"/>
      <c r="P114" s="297"/>
      <c r="Q114" s="248"/>
      <c r="R114" s="248"/>
      <c r="S114" s="297"/>
      <c r="T114" s="297"/>
      <c r="U114" s="297"/>
      <c r="V114" s="297"/>
      <c r="W114" s="297"/>
      <c r="X114" s="297"/>
      <c r="Y114" s="337" t="s">
        <v>307</v>
      </c>
      <c r="Z114" s="297"/>
      <c r="AA114" s="297">
        <v>0</v>
      </c>
      <c r="AB114" s="125" t="s">
        <v>149</v>
      </c>
      <c r="AC114" s="2"/>
    </row>
    <row r="115" spans="1:29" s="11" customFormat="1" ht="21" hidden="1" customHeight="1">
      <c r="A115" s="41"/>
      <c r="B115" s="41"/>
      <c r="C115" s="41"/>
      <c r="D115" s="142"/>
      <c r="E115" s="100"/>
      <c r="F115" s="100"/>
      <c r="G115" s="100"/>
      <c r="H115" s="100"/>
      <c r="I115" s="100"/>
      <c r="J115" s="100"/>
      <c r="K115" s="64"/>
      <c r="L115" s="338" t="s">
        <v>305</v>
      </c>
      <c r="M115" s="298"/>
      <c r="N115" s="298"/>
      <c r="O115" s="298"/>
      <c r="P115" s="297"/>
      <c r="Q115" s="248"/>
      <c r="R115" s="248"/>
      <c r="S115" s="297"/>
      <c r="T115" s="297"/>
      <c r="U115" s="297"/>
      <c r="V115" s="297"/>
      <c r="W115" s="297"/>
      <c r="X115" s="297"/>
      <c r="Y115" s="337" t="s">
        <v>307</v>
      </c>
      <c r="Z115" s="297"/>
      <c r="AA115" s="297">
        <v>0</v>
      </c>
      <c r="AB115" s="125" t="s">
        <v>149</v>
      </c>
      <c r="AC115" s="2"/>
    </row>
    <row r="116" spans="1:29" s="11" customFormat="1" ht="21" hidden="1" customHeight="1">
      <c r="A116" s="41"/>
      <c r="B116" s="41"/>
      <c r="C116" s="41"/>
      <c r="D116" s="142"/>
      <c r="E116" s="100"/>
      <c r="F116" s="100"/>
      <c r="G116" s="100"/>
      <c r="H116" s="100"/>
      <c r="I116" s="100"/>
      <c r="J116" s="100"/>
      <c r="K116" s="64"/>
      <c r="L116" s="315"/>
      <c r="M116" s="315"/>
      <c r="N116" s="315"/>
      <c r="O116" s="315"/>
      <c r="P116" s="299"/>
      <c r="Q116" s="317"/>
      <c r="R116" s="238"/>
      <c r="S116" s="329"/>
      <c r="T116" s="299"/>
      <c r="U116" s="299"/>
      <c r="V116" s="299"/>
      <c r="W116" s="299"/>
      <c r="X116" s="299"/>
      <c r="Y116" s="299"/>
      <c r="Z116" s="299"/>
      <c r="AA116" s="299"/>
      <c r="AB116" s="316"/>
      <c r="AC116" s="1"/>
    </row>
    <row r="117" spans="1:29" s="11" customFormat="1" ht="21" customHeight="1">
      <c r="A117" s="103" t="s">
        <v>264</v>
      </c>
      <c r="B117" s="619" t="s">
        <v>20</v>
      </c>
      <c r="C117" s="620"/>
      <c r="D117" s="360">
        <f>D118+D135</f>
        <v>356374</v>
      </c>
      <c r="E117" s="360">
        <f>SUM(E118,E135)</f>
        <v>392146</v>
      </c>
      <c r="F117" s="360">
        <f>SUM(F118,F135)</f>
        <v>15000</v>
      </c>
      <c r="G117" s="360">
        <f>SUM(G118,G135)</f>
        <v>377146</v>
      </c>
      <c r="H117" s="360">
        <f>SUM(H118,H135)</f>
        <v>0</v>
      </c>
      <c r="I117" s="360">
        <f>SUM(I118,I135)</f>
        <v>0</v>
      </c>
      <c r="J117" s="361">
        <f>E117-D117</f>
        <v>35772</v>
      </c>
      <c r="K117" s="265">
        <f>IF(D117=0,0,J117/D117)</f>
        <v>0.10037769309770073</v>
      </c>
      <c r="L117" s="362" t="s">
        <v>306</v>
      </c>
      <c r="M117" s="362"/>
      <c r="N117" s="362"/>
      <c r="O117" s="36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>
        <f>SUM(AA118,AA135)</f>
        <v>392146000</v>
      </c>
      <c r="AB117" s="228" t="s">
        <v>25</v>
      </c>
      <c r="AC117" s="1"/>
    </row>
    <row r="118" spans="1:29" s="11" customFormat="1" ht="21" customHeight="1">
      <c r="A118" s="164"/>
      <c r="B118" s="41" t="s">
        <v>264</v>
      </c>
      <c r="C118" s="541" t="s">
        <v>290</v>
      </c>
      <c r="D118" s="542">
        <f>SUM(D119,D122,D124,D126,D128,D131)</f>
        <v>313374</v>
      </c>
      <c r="E118" s="543">
        <f>AA118/1000</f>
        <v>377146</v>
      </c>
      <c r="F118" s="544">
        <f>SUM(F119,F124,F126,F128,F131)</f>
        <v>0</v>
      </c>
      <c r="G118" s="544">
        <f>SUM(G119,G122,G124,G126,G128,G131)</f>
        <v>377146</v>
      </c>
      <c r="H118" s="544">
        <f>SUM(H119,H124,H126,H128,H131)</f>
        <v>0</v>
      </c>
      <c r="I118" s="544">
        <f>SUM(I119,I124,I126,I128,I131)</f>
        <v>0</v>
      </c>
      <c r="J118" s="543">
        <f>E118-D118</f>
        <v>63772</v>
      </c>
      <c r="K118" s="545">
        <f>IF(D118=0,0,J118/D118)</f>
        <v>0.20350124771040354</v>
      </c>
      <c r="L118" s="546" t="s">
        <v>294</v>
      </c>
      <c r="M118" s="546"/>
      <c r="N118" s="546"/>
      <c r="O118" s="546"/>
      <c r="P118" s="546"/>
      <c r="Q118" s="547"/>
      <c r="R118" s="547"/>
      <c r="S118" s="547"/>
      <c r="T118" s="547"/>
      <c r="U118" s="547"/>
      <c r="V118" s="547"/>
      <c r="W118" s="547"/>
      <c r="X118" s="547"/>
      <c r="Y118" s="547"/>
      <c r="Z118" s="548"/>
      <c r="AA118" s="548">
        <f>SUM(AA119,AA122,AA124,AA126,AA128,AA131)</f>
        <v>377146000</v>
      </c>
      <c r="AB118" s="549" t="s">
        <v>25</v>
      </c>
      <c r="AC118" s="1"/>
    </row>
    <row r="119" spans="1:29" s="11" customFormat="1" ht="21" customHeight="1">
      <c r="A119" s="164"/>
      <c r="B119" s="41" t="s">
        <v>292</v>
      </c>
      <c r="C119" s="41" t="s">
        <v>266</v>
      </c>
      <c r="D119" s="104">
        <v>184378</v>
      </c>
      <c r="E119" s="104">
        <f>ROUND(AA119/1000,0)</f>
        <v>85571</v>
      </c>
      <c r="F119" s="105">
        <f>SUMIF($Y$120:$Y$121,"보조",$AA$120:$AA$121)/1000</f>
        <v>0</v>
      </c>
      <c r="G119" s="105">
        <f>SUMIF($Y$120:$Y$121,"지후",$AA$120:$AA$121)/1000</f>
        <v>85571</v>
      </c>
      <c r="H119" s="105">
        <f>SUMIF($Y$120:$Y$121,"후원",$AA$120:$AA$121)/1000</f>
        <v>0</v>
      </c>
      <c r="I119" s="105">
        <f>SUMIF($Y$120:$Y$121,"잡수",$AA$120:$AA$121)/1000</f>
        <v>0</v>
      </c>
      <c r="J119" s="104">
        <f>E119-D119</f>
        <v>-98807</v>
      </c>
      <c r="K119" s="112">
        <f>IF(D119=0,0,J119/D119)</f>
        <v>-0.5358936532558114</v>
      </c>
      <c r="L119" s="351" t="s">
        <v>295</v>
      </c>
      <c r="M119" s="158"/>
      <c r="N119" s="158"/>
      <c r="O119" s="158"/>
      <c r="P119" s="158"/>
      <c r="Q119" s="140"/>
      <c r="R119" s="140"/>
      <c r="S119" s="140"/>
      <c r="T119" s="140"/>
      <c r="U119" s="140"/>
      <c r="V119" s="335" t="s">
        <v>267</v>
      </c>
      <c r="W119" s="91"/>
      <c r="X119" s="91"/>
      <c r="Y119" s="91"/>
      <c r="Z119" s="109"/>
      <c r="AA119" s="109">
        <f>SUM(AA120:AA121)</f>
        <v>85571000</v>
      </c>
      <c r="AB119" s="110" t="s">
        <v>299</v>
      </c>
      <c r="AC119" s="1"/>
    </row>
    <row r="120" spans="1:29" s="11" customFormat="1" ht="21" customHeight="1">
      <c r="A120" s="164"/>
      <c r="B120" s="41"/>
      <c r="C120" s="41" t="s">
        <v>293</v>
      </c>
      <c r="D120" s="100"/>
      <c r="E120" s="100"/>
      <c r="F120" s="353"/>
      <c r="G120" s="353"/>
      <c r="H120" s="353"/>
      <c r="I120" s="353"/>
      <c r="J120" s="100"/>
      <c r="K120" s="64"/>
      <c r="L120" s="371"/>
      <c r="M120" s="158"/>
      <c r="N120" s="158"/>
      <c r="O120" s="158"/>
      <c r="P120" s="158"/>
      <c r="Q120" s="140"/>
      <c r="R120" s="140"/>
      <c r="S120" s="140"/>
      <c r="T120" s="140"/>
      <c r="U120" s="435" t="s">
        <v>362</v>
      </c>
      <c r="V120" s="140"/>
      <c r="W120" s="140"/>
      <c r="X120" s="140"/>
      <c r="Y120" s="246" t="s">
        <v>392</v>
      </c>
      <c r="Z120" s="62"/>
      <c r="AA120" s="62">
        <v>85571000</v>
      </c>
      <c r="AB120" s="51" t="s">
        <v>393</v>
      </c>
      <c r="AC120" s="1"/>
    </row>
    <row r="121" spans="1:29" ht="21" customHeight="1">
      <c r="A121" s="40"/>
      <c r="B121" s="41"/>
      <c r="C121" s="53"/>
      <c r="D121" s="102"/>
      <c r="E121" s="102"/>
      <c r="F121" s="102"/>
      <c r="G121" s="102"/>
      <c r="H121" s="102"/>
      <c r="I121" s="102"/>
      <c r="J121" s="102"/>
      <c r="K121" s="78"/>
      <c r="L121" s="372"/>
      <c r="M121" s="415"/>
      <c r="N121" s="415"/>
      <c r="O121" s="415"/>
      <c r="P121" s="414"/>
      <c r="Q121" s="414"/>
      <c r="R121" s="414"/>
      <c r="S121" s="414"/>
      <c r="T121" s="414"/>
      <c r="U121" s="414"/>
      <c r="V121" s="414"/>
      <c r="W121" s="414"/>
      <c r="X121" s="414"/>
      <c r="Y121" s="414" t="s">
        <v>307</v>
      </c>
      <c r="Z121" s="414"/>
      <c r="AA121" s="66">
        <v>0</v>
      </c>
      <c r="AB121" s="307" t="s">
        <v>25</v>
      </c>
    </row>
    <row r="122" spans="1:29" ht="21" customHeight="1">
      <c r="A122" s="40"/>
      <c r="B122" s="41"/>
      <c r="C122" s="489" t="s">
        <v>384</v>
      </c>
      <c r="D122" s="490">
        <v>0</v>
      </c>
      <c r="E122" s="490">
        <f>ROUND(AA122/1000,0)</f>
        <v>0</v>
      </c>
      <c r="F122" s="490">
        <f>SUMIF($Y$123:$Y$123,"보조",$AA$123:$AA$123)/1000</f>
        <v>0</v>
      </c>
      <c r="G122" s="490">
        <f>SUMIF($Y$123:$Y$123,"지후",$AA$123:$AA$137)/1000</f>
        <v>0</v>
      </c>
      <c r="H122" s="490">
        <f>SUMIF($Y$123:$Y$123,"후원",$AA$123:$AA$123)/1000</f>
        <v>0</v>
      </c>
      <c r="I122" s="490">
        <f>SUMIF($Y$123:$Y$123,"잡수",$AA$123:$AA$123)/1000</f>
        <v>0</v>
      </c>
      <c r="J122" s="490">
        <f>E122-D122</f>
        <v>0</v>
      </c>
      <c r="K122" s="491">
        <f>IF(D122=0,0,J122/D122)</f>
        <v>0</v>
      </c>
      <c r="L122" s="492" t="s">
        <v>385</v>
      </c>
      <c r="M122" s="442"/>
      <c r="N122" s="442"/>
      <c r="O122" s="442"/>
      <c r="P122" s="442"/>
      <c r="Q122" s="443"/>
      <c r="R122" s="443"/>
      <c r="S122" s="443"/>
      <c r="T122" s="443"/>
      <c r="U122" s="443"/>
      <c r="V122" s="448" t="s">
        <v>86</v>
      </c>
      <c r="W122" s="448"/>
      <c r="X122" s="448"/>
      <c r="Y122" s="448"/>
      <c r="Z122" s="449"/>
      <c r="AA122" s="449">
        <f>AA123</f>
        <v>0</v>
      </c>
      <c r="AB122" s="450" t="s">
        <v>25</v>
      </c>
    </row>
    <row r="123" spans="1:29" ht="21" customHeight="1">
      <c r="A123" s="40"/>
      <c r="B123" s="41"/>
      <c r="C123" s="493" t="s">
        <v>293</v>
      </c>
      <c r="D123" s="494"/>
      <c r="E123" s="494"/>
      <c r="F123" s="494"/>
      <c r="G123" s="494"/>
      <c r="H123" s="494"/>
      <c r="I123" s="494"/>
      <c r="J123" s="494"/>
      <c r="K123" s="495"/>
      <c r="L123" s="471"/>
      <c r="M123" s="471"/>
      <c r="N123" s="471"/>
      <c r="O123" s="471"/>
      <c r="P123" s="472"/>
      <c r="Q123" s="472"/>
      <c r="R123" s="472"/>
      <c r="S123" s="472"/>
      <c r="T123" s="472"/>
      <c r="U123" s="435"/>
      <c r="V123" s="472"/>
      <c r="W123" s="472"/>
      <c r="X123" s="472"/>
      <c r="Y123" s="472" t="s">
        <v>379</v>
      </c>
      <c r="Z123" s="472"/>
      <c r="AA123" s="440">
        <v>0</v>
      </c>
      <c r="AB123" s="496" t="s">
        <v>54</v>
      </c>
    </row>
    <row r="124" spans="1:29" ht="21" customHeight="1">
      <c r="A124" s="40"/>
      <c r="B124" s="41"/>
      <c r="C124" s="489" t="s">
        <v>268</v>
      </c>
      <c r="D124" s="490">
        <v>23996</v>
      </c>
      <c r="E124" s="490">
        <f>ROUND(AA124/1000,0)</f>
        <v>142850</v>
      </c>
      <c r="F124" s="490">
        <f>SUMIF($Y$125:$Y$125,"보조",$AA$125:$AA$125)/1000</f>
        <v>0</v>
      </c>
      <c r="G124" s="490">
        <f>SUMIF($Y$125:$Y$125,"지후",$AA$125:$AA$125)/1000</f>
        <v>142850</v>
      </c>
      <c r="H124" s="490">
        <f>SUMIF($Y$125:$Y$125,"후원",$AA$125:$AA$125)/1000</f>
        <v>0</v>
      </c>
      <c r="I124" s="490">
        <f>SUMIF($Y$125:$Y$125,"잡수",$AA$125:$AA$125)/1000</f>
        <v>0</v>
      </c>
      <c r="J124" s="490">
        <f>E124-D124</f>
        <v>118854</v>
      </c>
      <c r="K124" s="491">
        <f>IF(D124=0,0,J124/D124)</f>
        <v>4.9530755125854311</v>
      </c>
      <c r="L124" s="492" t="s">
        <v>296</v>
      </c>
      <c r="M124" s="442"/>
      <c r="N124" s="442"/>
      <c r="O124" s="442"/>
      <c r="P124" s="442"/>
      <c r="Q124" s="443"/>
      <c r="R124" s="443"/>
      <c r="S124" s="443"/>
      <c r="T124" s="443"/>
      <c r="U124" s="443"/>
      <c r="V124" s="448" t="s">
        <v>267</v>
      </c>
      <c r="W124" s="448"/>
      <c r="X124" s="448"/>
      <c r="Y124" s="448"/>
      <c r="Z124" s="449"/>
      <c r="AA124" s="449">
        <f>AA125</f>
        <v>142850000</v>
      </c>
      <c r="AB124" s="450" t="s">
        <v>25</v>
      </c>
    </row>
    <row r="125" spans="1:29" ht="21" customHeight="1">
      <c r="A125" s="40"/>
      <c r="B125" s="41"/>
      <c r="C125" s="493" t="s">
        <v>293</v>
      </c>
      <c r="D125" s="494"/>
      <c r="E125" s="494"/>
      <c r="F125" s="494"/>
      <c r="G125" s="494"/>
      <c r="H125" s="494"/>
      <c r="I125" s="494"/>
      <c r="J125" s="494"/>
      <c r="K125" s="495"/>
      <c r="L125" s="471"/>
      <c r="M125" s="471"/>
      <c r="N125" s="471"/>
      <c r="O125" s="471"/>
      <c r="P125" s="472"/>
      <c r="Q125" s="472"/>
      <c r="R125" s="472"/>
      <c r="S125" s="472"/>
      <c r="T125" s="472"/>
      <c r="U125" s="435" t="s">
        <v>362</v>
      </c>
      <c r="V125" s="472"/>
      <c r="W125" s="472"/>
      <c r="X125" s="472"/>
      <c r="Y125" s="472" t="s">
        <v>379</v>
      </c>
      <c r="Z125" s="472"/>
      <c r="AA125" s="440">
        <v>142850000</v>
      </c>
      <c r="AB125" s="496" t="s">
        <v>153</v>
      </c>
    </row>
    <row r="126" spans="1:29" ht="21" customHeight="1">
      <c r="A126" s="40"/>
      <c r="B126" s="41"/>
      <c r="C126" s="489" t="s">
        <v>269</v>
      </c>
      <c r="D126" s="490">
        <v>11000</v>
      </c>
      <c r="E126" s="490">
        <f>ROUND(AA126/1000,0)</f>
        <v>34000</v>
      </c>
      <c r="F126" s="490">
        <f>SUMIF(Y127:Y127,"보조",AA127:AA127)/1000</f>
        <v>0</v>
      </c>
      <c r="G126" s="490">
        <f>SUMIF(Y127:Y127,"지후",AA127:AA127)/1000</f>
        <v>34000</v>
      </c>
      <c r="H126" s="490">
        <f>SUMIF(Y127:Y127,"후원",AA127:AA127)/1000</f>
        <v>0</v>
      </c>
      <c r="I126" s="490">
        <f>SUMIF(Y127:Y127,"잡수",AA127:AA127)/1000</f>
        <v>0</v>
      </c>
      <c r="J126" s="490">
        <f>E126-D126</f>
        <v>23000</v>
      </c>
      <c r="K126" s="491">
        <f>IF(D126=0,0,J126/D126)</f>
        <v>2.0909090909090908</v>
      </c>
      <c r="L126" s="492" t="s">
        <v>297</v>
      </c>
      <c r="M126" s="442"/>
      <c r="N126" s="442"/>
      <c r="O126" s="442"/>
      <c r="P126" s="442"/>
      <c r="Q126" s="443"/>
      <c r="R126" s="443"/>
      <c r="S126" s="443"/>
      <c r="T126" s="443"/>
      <c r="U126" s="443"/>
      <c r="V126" s="448" t="s">
        <v>267</v>
      </c>
      <c r="W126" s="448"/>
      <c r="X126" s="448"/>
      <c r="Y126" s="448"/>
      <c r="Z126" s="449"/>
      <c r="AA126" s="449">
        <f>AA127</f>
        <v>34000000</v>
      </c>
      <c r="AB126" s="450" t="s">
        <v>25</v>
      </c>
    </row>
    <row r="127" spans="1:29" ht="21" customHeight="1">
      <c r="A127" s="40"/>
      <c r="B127" s="41"/>
      <c r="C127" s="493" t="s">
        <v>293</v>
      </c>
      <c r="D127" s="494"/>
      <c r="E127" s="494"/>
      <c r="F127" s="494"/>
      <c r="G127" s="494"/>
      <c r="H127" s="494"/>
      <c r="I127" s="494"/>
      <c r="J127" s="494"/>
      <c r="K127" s="495"/>
      <c r="L127" s="471"/>
      <c r="M127" s="471"/>
      <c r="N127" s="471"/>
      <c r="O127" s="471"/>
      <c r="P127" s="472"/>
      <c r="Q127" s="472"/>
      <c r="R127" s="472"/>
      <c r="S127" s="472"/>
      <c r="T127" s="472"/>
      <c r="U127" s="435" t="s">
        <v>362</v>
      </c>
      <c r="V127" s="472"/>
      <c r="W127" s="472"/>
      <c r="X127" s="472"/>
      <c r="Y127" s="472" t="s">
        <v>379</v>
      </c>
      <c r="Z127" s="472"/>
      <c r="AA127" s="440">
        <v>34000000</v>
      </c>
      <c r="AB127" s="496" t="s">
        <v>25</v>
      </c>
    </row>
    <row r="128" spans="1:29" ht="21" customHeight="1">
      <c r="A128" s="40"/>
      <c r="B128" s="41"/>
      <c r="C128" s="489" t="s">
        <v>457</v>
      </c>
      <c r="D128" s="490">
        <v>94000</v>
      </c>
      <c r="E128" s="490">
        <f>ROUND(AA128/1000,0)</f>
        <v>114325</v>
      </c>
      <c r="F128" s="490">
        <f>SUMIF($Y$129:$Y$130,"보조",$AA$129:$AA$130)/1000</f>
        <v>0</v>
      </c>
      <c r="G128" s="490">
        <f>SUMIF($Y$129:$Y$130,"지후",$AA$129:$AA$130)/1000</f>
        <v>114325</v>
      </c>
      <c r="H128" s="490">
        <f>SUMIF(Y129:Y130,"후원",AA129:AA130)/1000</f>
        <v>0</v>
      </c>
      <c r="I128" s="490">
        <f>SUMIF($Y$129:$Y$130,"잡수",$AA$129:$AA$130)/1000</f>
        <v>0</v>
      </c>
      <c r="J128" s="490">
        <f>E128-D128</f>
        <v>20325</v>
      </c>
      <c r="K128" s="491">
        <f>IF(D128=0,0,J128/D128)</f>
        <v>0.21622340425531916</v>
      </c>
      <c r="L128" s="492" t="s">
        <v>461</v>
      </c>
      <c r="M128" s="442"/>
      <c r="N128" s="442"/>
      <c r="O128" s="442"/>
      <c r="P128" s="442"/>
      <c r="Q128" s="443"/>
      <c r="R128" s="443"/>
      <c r="S128" s="443"/>
      <c r="T128" s="443"/>
      <c r="U128" s="443"/>
      <c r="V128" s="510" t="s">
        <v>86</v>
      </c>
      <c r="W128" s="510"/>
      <c r="X128" s="510"/>
      <c r="Y128" s="510"/>
      <c r="Z128" s="449"/>
      <c r="AA128" s="449">
        <f>SUM(AA129:AA130)</f>
        <v>114325000</v>
      </c>
      <c r="AB128" s="450" t="s">
        <v>25</v>
      </c>
    </row>
    <row r="129" spans="1:28" ht="21" customHeight="1">
      <c r="A129" s="40"/>
      <c r="B129" s="41"/>
      <c r="C129" s="512" t="s">
        <v>293</v>
      </c>
      <c r="D129" s="513"/>
      <c r="E129" s="513"/>
      <c r="F129" s="513"/>
      <c r="G129" s="513"/>
      <c r="H129" s="513"/>
      <c r="I129" s="513"/>
      <c r="J129" s="513"/>
      <c r="K129" s="514"/>
      <c r="L129" s="418"/>
      <c r="M129" s="429"/>
      <c r="N129" s="429"/>
      <c r="O129" s="429"/>
      <c r="P129" s="429"/>
      <c r="Q129" s="429"/>
      <c r="R129" s="429"/>
      <c r="S129" s="429"/>
      <c r="T129" s="574"/>
      <c r="U129" s="435" t="s">
        <v>362</v>
      </c>
      <c r="V129" s="421"/>
      <c r="W129" s="421"/>
      <c r="X129" s="421"/>
      <c r="Y129" s="421" t="s">
        <v>379</v>
      </c>
      <c r="Z129" s="429"/>
      <c r="AA129" s="410">
        <v>114325000</v>
      </c>
      <c r="AB129" s="413" t="s">
        <v>54</v>
      </c>
    </row>
    <row r="130" spans="1:28" ht="21" customHeight="1">
      <c r="A130" s="40"/>
      <c r="B130" s="41"/>
      <c r="C130" s="512"/>
      <c r="D130" s="494"/>
      <c r="E130" s="494"/>
      <c r="F130" s="494"/>
      <c r="G130" s="494"/>
      <c r="H130" s="494"/>
      <c r="I130" s="494"/>
      <c r="J130" s="494"/>
      <c r="K130" s="495"/>
      <c r="L130" s="575"/>
      <c r="M130" s="479"/>
      <c r="N130" s="479"/>
      <c r="O130" s="479"/>
      <c r="P130" s="479"/>
      <c r="Q130" s="479"/>
      <c r="R130" s="479"/>
      <c r="S130" s="479"/>
      <c r="T130" s="576"/>
      <c r="U130" s="576"/>
      <c r="V130" s="576"/>
      <c r="W130" s="479"/>
      <c r="X130" s="479"/>
      <c r="Y130" s="479" t="s">
        <v>404</v>
      </c>
      <c r="Z130" s="479"/>
      <c r="AA130" s="439">
        <v>0</v>
      </c>
      <c r="AB130" s="441" t="s">
        <v>54</v>
      </c>
    </row>
    <row r="131" spans="1:28" ht="21" customHeight="1">
      <c r="A131" s="40"/>
      <c r="B131" s="41"/>
      <c r="C131" s="489" t="s">
        <v>458</v>
      </c>
      <c r="D131" s="490">
        <v>0</v>
      </c>
      <c r="E131" s="490">
        <f>ROUND(AA131/1000,0)</f>
        <v>400</v>
      </c>
      <c r="F131" s="490">
        <f>SUMIF($Y$132:$Y$134,"보조",$AA$132:$AA$134)/1000</f>
        <v>0</v>
      </c>
      <c r="G131" s="490">
        <f>SUMIF($Y$132:$Y$134,"지후",$AA$132:$AA$134)/1000</f>
        <v>400</v>
      </c>
      <c r="H131" s="490">
        <f>SUMIF($Y$132:$Y$134,"후원",$AA$132:$AA$134)/1000</f>
        <v>0</v>
      </c>
      <c r="I131" s="490">
        <f>SUMIF($Y$132:$Y$134,"잡수",$AA$132:$AA$134)/1000</f>
        <v>0</v>
      </c>
      <c r="J131" s="490">
        <f>E131-D131</f>
        <v>400</v>
      </c>
      <c r="K131" s="491">
        <f>IF(D131=0,0,J131/D131)</f>
        <v>0</v>
      </c>
      <c r="L131" s="492" t="s">
        <v>460</v>
      </c>
      <c r="M131" s="442"/>
      <c r="N131" s="442"/>
      <c r="O131" s="442"/>
      <c r="P131" s="442"/>
      <c r="Q131" s="443"/>
      <c r="R131" s="443"/>
      <c r="S131" s="443"/>
      <c r="T131" s="443"/>
      <c r="U131" s="443"/>
      <c r="V131" s="510" t="s">
        <v>267</v>
      </c>
      <c r="W131" s="510"/>
      <c r="X131" s="510"/>
      <c r="Y131" s="510"/>
      <c r="Z131" s="449"/>
      <c r="AA131" s="449">
        <f>AA132+AA133+AA134</f>
        <v>400000</v>
      </c>
      <c r="AB131" s="450" t="s">
        <v>25</v>
      </c>
    </row>
    <row r="132" spans="1:28" ht="21" customHeight="1">
      <c r="A132" s="40"/>
      <c r="B132" s="41"/>
      <c r="C132" s="512" t="s">
        <v>459</v>
      </c>
      <c r="D132" s="513"/>
      <c r="E132" s="513"/>
      <c r="F132" s="513"/>
      <c r="G132" s="513"/>
      <c r="H132" s="513"/>
      <c r="I132" s="513"/>
      <c r="J132" s="513"/>
      <c r="K132" s="514"/>
      <c r="L132" s="568" t="s">
        <v>469</v>
      </c>
      <c r="M132" s="404"/>
      <c r="N132" s="404"/>
      <c r="O132" s="404"/>
      <c r="P132" s="404"/>
      <c r="Q132" s="405"/>
      <c r="R132" s="405"/>
      <c r="S132" s="405"/>
      <c r="T132" s="405"/>
      <c r="U132" s="435" t="s">
        <v>442</v>
      </c>
      <c r="V132" s="443"/>
      <c r="W132" s="443"/>
      <c r="X132" s="443"/>
      <c r="Y132" s="475" t="s">
        <v>379</v>
      </c>
      <c r="Z132" s="569"/>
      <c r="AA132" s="579">
        <v>0</v>
      </c>
      <c r="AB132" s="570" t="s">
        <v>468</v>
      </c>
    </row>
    <row r="133" spans="1:28" ht="21" customHeight="1">
      <c r="A133" s="40"/>
      <c r="B133" s="41"/>
      <c r="C133" s="512"/>
      <c r="D133" s="513"/>
      <c r="E133" s="513"/>
      <c r="F133" s="513"/>
      <c r="G133" s="513"/>
      <c r="H133" s="513"/>
      <c r="I133" s="513"/>
      <c r="J133" s="513"/>
      <c r="K133" s="514"/>
      <c r="L133" s="568" t="s">
        <v>470</v>
      </c>
      <c r="M133" s="404"/>
      <c r="N133" s="404"/>
      <c r="O133" s="404"/>
      <c r="P133" s="404"/>
      <c r="Q133" s="405"/>
      <c r="R133" s="405"/>
      <c r="S133" s="405"/>
      <c r="T133" s="405"/>
      <c r="U133" s="435"/>
      <c r="V133" s="405"/>
      <c r="W133" s="405"/>
      <c r="X133" s="405"/>
      <c r="Y133" s="429" t="s">
        <v>379</v>
      </c>
      <c r="Z133" s="459"/>
      <c r="AA133" s="411">
        <v>400000</v>
      </c>
      <c r="AB133" s="460" t="s">
        <v>468</v>
      </c>
    </row>
    <row r="134" spans="1:28" ht="21" customHeight="1">
      <c r="A134" s="40"/>
      <c r="B134" s="53"/>
      <c r="C134" s="493"/>
      <c r="D134" s="494"/>
      <c r="E134" s="494"/>
      <c r="F134" s="494"/>
      <c r="G134" s="494"/>
      <c r="H134" s="494"/>
      <c r="I134" s="494"/>
      <c r="J134" s="494"/>
      <c r="K134" s="495"/>
      <c r="L134" s="479" t="s">
        <v>462</v>
      </c>
      <c r="M134" s="479"/>
      <c r="N134" s="479"/>
      <c r="O134" s="479"/>
      <c r="P134" s="479"/>
      <c r="Q134" s="479"/>
      <c r="R134" s="479"/>
      <c r="S134" s="479"/>
      <c r="T134" s="479"/>
      <c r="U134" s="435"/>
      <c r="V134" s="479"/>
      <c r="W134" s="479"/>
      <c r="X134" s="479"/>
      <c r="Y134" s="479" t="s">
        <v>471</v>
      </c>
      <c r="Z134" s="479"/>
      <c r="AA134" s="439">
        <v>0</v>
      </c>
      <c r="AB134" s="441" t="s">
        <v>299</v>
      </c>
    </row>
    <row r="135" spans="1:28" ht="21" customHeight="1">
      <c r="A135" s="40"/>
      <c r="B135" s="41" t="s">
        <v>265</v>
      </c>
      <c r="C135" s="550" t="s">
        <v>290</v>
      </c>
      <c r="D135" s="551">
        <f>SUM(D136,D139,D141,D143,D145)</f>
        <v>43000</v>
      </c>
      <c r="E135" s="552">
        <f>AA135/1000</f>
        <v>15000</v>
      </c>
      <c r="F135" s="552">
        <f>SUM(F136,F139,F141,F143,F145)</f>
        <v>15000</v>
      </c>
      <c r="G135" s="552">
        <f>SUM(G136,G139,G141,G143,G145)</f>
        <v>0</v>
      </c>
      <c r="H135" s="552">
        <f>SUM(H136,H139,H141,H143,H145)</f>
        <v>0</v>
      </c>
      <c r="I135" s="552">
        <f>SUM(I136,I139,I141,I143,I145)</f>
        <v>0</v>
      </c>
      <c r="J135" s="552">
        <f>E135-D135</f>
        <v>-28000</v>
      </c>
      <c r="K135" s="553">
        <f>IF(D135=0,0,J135/D135)</f>
        <v>-0.65116279069767447</v>
      </c>
      <c r="L135" s="533" t="s">
        <v>291</v>
      </c>
      <c r="M135" s="554"/>
      <c r="N135" s="554"/>
      <c r="O135" s="554"/>
      <c r="P135" s="555"/>
      <c r="Q135" s="555"/>
      <c r="R135" s="555"/>
      <c r="S135" s="555"/>
      <c r="T135" s="555"/>
      <c r="U135" s="555"/>
      <c r="V135" s="555"/>
      <c r="W135" s="555"/>
      <c r="X135" s="555"/>
      <c r="Y135" s="555"/>
      <c r="Z135" s="555"/>
      <c r="AA135" s="556">
        <f>SUM(AA136,AA139,AA141,AA143,AA145)</f>
        <v>15000000</v>
      </c>
      <c r="AB135" s="536" t="s">
        <v>311</v>
      </c>
    </row>
    <row r="136" spans="1:28" ht="21" customHeight="1">
      <c r="A136" s="40"/>
      <c r="B136" s="41"/>
      <c r="C136" s="41" t="s">
        <v>266</v>
      </c>
      <c r="D136" s="142">
        <v>0</v>
      </c>
      <c r="E136" s="100">
        <f>ROUND(AA136/1000,0)</f>
        <v>0</v>
      </c>
      <c r="F136" s="100">
        <f>SUMIF($Y$137:$Y$138,"보조",$AA$137:$AA$138)/1000</f>
        <v>0</v>
      </c>
      <c r="G136" s="100">
        <f>SUMIF($Y$137:$Y$138,"지후",$AA$137:$AA$138)/1000</f>
        <v>0</v>
      </c>
      <c r="H136" s="100">
        <f>SUMIF($Y$137:$Y$138,"후원",$AA$137:$AA$138)/1000</f>
        <v>0</v>
      </c>
      <c r="I136" s="100">
        <f>SUMIF($Y$137:$Y$138,"잡수",$AA$137:$AA$138)/1000</f>
        <v>0</v>
      </c>
      <c r="J136" s="100">
        <f>E136-D136</f>
        <v>0</v>
      </c>
      <c r="K136" s="64">
        <f>IF(D136=0,0,J136/D136)</f>
        <v>0</v>
      </c>
      <c r="L136" s="351" t="s">
        <v>287</v>
      </c>
      <c r="M136" s="338"/>
      <c r="N136" s="338"/>
      <c r="O136" s="338"/>
      <c r="P136" s="337"/>
      <c r="Q136" s="337"/>
      <c r="R136" s="337"/>
      <c r="S136" s="337"/>
      <c r="T136" s="337"/>
      <c r="U136" s="337"/>
      <c r="V136" s="335" t="s">
        <v>267</v>
      </c>
      <c r="W136" s="335"/>
      <c r="X136" s="335"/>
      <c r="Y136" s="335"/>
      <c r="Z136" s="155"/>
      <c r="AA136" s="155">
        <f>SUM(AA137:AA138)</f>
        <v>0</v>
      </c>
      <c r="AB136" s="154" t="s">
        <v>25</v>
      </c>
    </row>
    <row r="137" spans="1:28" ht="21" customHeight="1">
      <c r="A137" s="40"/>
      <c r="B137" s="41"/>
      <c r="C137" s="41" t="s">
        <v>265</v>
      </c>
      <c r="D137" s="142"/>
      <c r="E137" s="100"/>
      <c r="F137" s="100"/>
      <c r="G137" s="100"/>
      <c r="H137" s="100"/>
      <c r="I137" s="100"/>
      <c r="J137" s="100"/>
      <c r="K137" s="64"/>
      <c r="L137" s="371"/>
      <c r="M137" s="338"/>
      <c r="N137" s="338"/>
      <c r="O137" s="338"/>
      <c r="P137" s="337"/>
      <c r="Q137" s="337"/>
      <c r="R137" s="337"/>
      <c r="S137" s="337"/>
      <c r="T137" s="337"/>
      <c r="U137" s="337"/>
      <c r="V137" s="140"/>
      <c r="W137" s="140"/>
      <c r="X137" s="140"/>
      <c r="Y137" s="244" t="s">
        <v>360</v>
      </c>
      <c r="Z137" s="62"/>
      <c r="AA137" s="62">
        <v>0</v>
      </c>
      <c r="AB137" s="51" t="s">
        <v>354</v>
      </c>
    </row>
    <row r="138" spans="1:28" ht="21" customHeight="1">
      <c r="A138" s="40"/>
      <c r="B138" s="41"/>
      <c r="C138" s="53"/>
      <c r="D138" s="143"/>
      <c r="E138" s="102"/>
      <c r="F138" s="102"/>
      <c r="G138" s="102"/>
      <c r="H138" s="102"/>
      <c r="I138" s="102"/>
      <c r="J138" s="102"/>
      <c r="K138" s="78"/>
      <c r="L138" s="372"/>
      <c r="M138" s="370"/>
      <c r="N138" s="370"/>
      <c r="O138" s="370"/>
      <c r="P138" s="369"/>
      <c r="Q138" s="369"/>
      <c r="R138" s="369"/>
      <c r="S138" s="369"/>
      <c r="T138" s="379"/>
      <c r="U138" s="379"/>
      <c r="V138" s="369"/>
      <c r="W138" s="369"/>
      <c r="X138" s="369"/>
      <c r="Y138" s="375"/>
      <c r="Z138" s="369"/>
      <c r="AA138" s="66"/>
      <c r="AB138" s="307"/>
    </row>
    <row r="139" spans="1:28" ht="21" customHeight="1">
      <c r="A139" s="40"/>
      <c r="B139" s="41"/>
      <c r="C139" s="31" t="s">
        <v>268</v>
      </c>
      <c r="D139" s="144">
        <v>20000</v>
      </c>
      <c r="E139" s="104">
        <f>ROUND(AA139/1000,0)</f>
        <v>0</v>
      </c>
      <c r="F139" s="104">
        <f>SUMIF($Y$140:$Y$140,"보조",$AA$140:$AA$140)/1000</f>
        <v>0</v>
      </c>
      <c r="G139" s="104">
        <f>SUMIF($Y$140:$Y$140,"지후",$AA$140:$AA$140)/1000</f>
        <v>0</v>
      </c>
      <c r="H139" s="104">
        <f>SUMIF($Y$140:$Y$140,"후원",$AA$140:$AA$140)/1000</f>
        <v>0</v>
      </c>
      <c r="I139" s="104">
        <f>SUMIF($Y$140:$Y$140,"잡수",$AA$140:$AA$140)/1000</f>
        <v>0</v>
      </c>
      <c r="J139" s="104">
        <f>E139-D139</f>
        <v>-20000</v>
      </c>
      <c r="K139" s="112">
        <f>IF(D139=0,0,J139/D139)</f>
        <v>-1</v>
      </c>
      <c r="L139" s="351" t="s">
        <v>288</v>
      </c>
      <c r="M139" s="252"/>
      <c r="N139" s="252"/>
      <c r="O139" s="252"/>
      <c r="P139" s="244"/>
      <c r="Q139" s="244"/>
      <c r="R139" s="244"/>
      <c r="S139" s="244"/>
      <c r="T139" s="244"/>
      <c r="U139" s="244"/>
      <c r="V139" s="335" t="s">
        <v>267</v>
      </c>
      <c r="W139" s="335"/>
      <c r="X139" s="335"/>
      <c r="Y139" s="335"/>
      <c r="Z139" s="155"/>
      <c r="AA139" s="155">
        <f>AA140</f>
        <v>0</v>
      </c>
      <c r="AB139" s="154" t="s">
        <v>25</v>
      </c>
    </row>
    <row r="140" spans="1:28" ht="21" customHeight="1">
      <c r="A140" s="40"/>
      <c r="B140" s="41"/>
      <c r="C140" s="53" t="s">
        <v>265</v>
      </c>
      <c r="D140" s="143"/>
      <c r="E140" s="102"/>
      <c r="F140" s="102"/>
      <c r="G140" s="102"/>
      <c r="H140" s="102"/>
      <c r="I140" s="102"/>
      <c r="J140" s="102"/>
      <c r="K140" s="78"/>
      <c r="L140" s="334"/>
      <c r="M140" s="334"/>
      <c r="N140" s="334"/>
      <c r="O140" s="334"/>
      <c r="P140" s="333"/>
      <c r="Q140" s="333"/>
      <c r="R140" s="333"/>
      <c r="S140" s="333"/>
      <c r="T140" s="333"/>
      <c r="U140" s="508"/>
      <c r="V140" s="333"/>
      <c r="W140" s="333"/>
      <c r="X140" s="333"/>
      <c r="Y140" s="375" t="s">
        <v>398</v>
      </c>
      <c r="Z140" s="333"/>
      <c r="AA140" s="66">
        <v>0</v>
      </c>
      <c r="AB140" s="307" t="s">
        <v>299</v>
      </c>
    </row>
    <row r="141" spans="1:28" ht="21" customHeight="1">
      <c r="A141" s="40"/>
      <c r="B141" s="41"/>
      <c r="C141" s="41" t="s">
        <v>269</v>
      </c>
      <c r="D141" s="142">
        <v>23000</v>
      </c>
      <c r="E141" s="104">
        <f>ROUND(AA141/1000,0)</f>
        <v>15000</v>
      </c>
      <c r="F141" s="100">
        <f>SUMIF($Y$142:$Y$142,"보조",$AA$142:$AA$142)/1000</f>
        <v>15000</v>
      </c>
      <c r="G141" s="100">
        <f>SUMIF($Y$142:$Y$142,"지후",$AA$142:$AA$142)/1000</f>
        <v>0</v>
      </c>
      <c r="H141" s="100">
        <f>SUMIF($Y$142:$Y$142,"후원",$AA$142:$AA$142)/1000</f>
        <v>0</v>
      </c>
      <c r="I141" s="100">
        <f>SUMIF($Y$142:$Y$142,"잡수",$AA$142:$AA$142)/1000</f>
        <v>0</v>
      </c>
      <c r="J141" s="100">
        <f>E141-D141</f>
        <v>-8000</v>
      </c>
      <c r="K141" s="64">
        <f>IF(D141=0,0,J141/D141)</f>
        <v>-0.34782608695652173</v>
      </c>
      <c r="L141" s="351" t="s">
        <v>289</v>
      </c>
      <c r="M141" s="338"/>
      <c r="N141" s="338"/>
      <c r="O141" s="338"/>
      <c r="P141" s="337"/>
      <c r="Q141" s="337"/>
      <c r="R141" s="337"/>
      <c r="S141" s="337"/>
      <c r="T141" s="337"/>
      <c r="U141" s="337"/>
      <c r="V141" s="335" t="s">
        <v>267</v>
      </c>
      <c r="W141" s="335"/>
      <c r="X141" s="335"/>
      <c r="Y141" s="335"/>
      <c r="Z141" s="155"/>
      <c r="AA141" s="155">
        <f>AA142</f>
        <v>15000000</v>
      </c>
      <c r="AB141" s="154" t="s">
        <v>25</v>
      </c>
    </row>
    <row r="142" spans="1:28" ht="21" customHeight="1">
      <c r="A142" s="40"/>
      <c r="B142" s="41"/>
      <c r="C142" s="53" t="s">
        <v>264</v>
      </c>
      <c r="D142" s="142"/>
      <c r="E142" s="100"/>
      <c r="F142" s="100"/>
      <c r="G142" s="100"/>
      <c r="H142" s="100"/>
      <c r="I142" s="100"/>
      <c r="J142" s="100"/>
      <c r="K142" s="64"/>
      <c r="L142" s="417"/>
      <c r="M142" s="338"/>
      <c r="N142" s="338"/>
      <c r="O142" s="338"/>
      <c r="P142" s="337"/>
      <c r="Q142" s="337"/>
      <c r="R142" s="337"/>
      <c r="S142" s="337"/>
      <c r="T142" s="379"/>
      <c r="U142" s="508" t="s">
        <v>363</v>
      </c>
      <c r="V142" s="416"/>
      <c r="W142" s="416"/>
      <c r="X142" s="416"/>
      <c r="Y142" s="416" t="s">
        <v>360</v>
      </c>
      <c r="Z142" s="416"/>
      <c r="AA142" s="66">
        <v>15000000</v>
      </c>
      <c r="AB142" s="307" t="s">
        <v>54</v>
      </c>
    </row>
    <row r="143" spans="1:28" ht="21" customHeight="1">
      <c r="A143" s="40"/>
      <c r="B143" s="41"/>
      <c r="C143" s="31" t="s">
        <v>336</v>
      </c>
      <c r="D143" s="144">
        <v>0</v>
      </c>
      <c r="E143" s="104">
        <f>ROUND(AA143/1000,0)</f>
        <v>0</v>
      </c>
      <c r="F143" s="104">
        <f>SUMIF($Y$145:$Y$147,"보조",$AA$145:$AA$147)/1000</f>
        <v>0</v>
      </c>
      <c r="G143" s="104">
        <f>SUMIF($Y$145:$Y$147,"지후",$AA$145:$AA$147)/1000</f>
        <v>0</v>
      </c>
      <c r="H143" s="104">
        <f>SUMIF($Y$145:$Y$147,"후원",$AA$145:$AA$147)/1000</f>
        <v>0</v>
      </c>
      <c r="I143" s="104">
        <f>SUMIF($Y$145:$Y$147,"잡수",$AA$145:$AA$147)/1000</f>
        <v>0</v>
      </c>
      <c r="J143" s="104">
        <f>E143-D143</f>
        <v>0</v>
      </c>
      <c r="K143" s="112">
        <f>IF(D143=0,0,J143/D143)</f>
        <v>0</v>
      </c>
      <c r="L143" s="492" t="s">
        <v>337</v>
      </c>
      <c r="M143" s="442"/>
      <c r="N143" s="442"/>
      <c r="O143" s="442"/>
      <c r="P143" s="442"/>
      <c r="Q143" s="443"/>
      <c r="R143" s="443"/>
      <c r="S143" s="443"/>
      <c r="T143" s="443"/>
      <c r="U143" s="443"/>
      <c r="V143" s="510" t="s">
        <v>86</v>
      </c>
      <c r="W143" s="510"/>
      <c r="X143" s="510"/>
      <c r="Y143" s="510"/>
      <c r="Z143" s="449"/>
      <c r="AA143" s="449">
        <f>SUM(AA144:AA146)</f>
        <v>0</v>
      </c>
      <c r="AB143" s="450" t="s">
        <v>25</v>
      </c>
    </row>
    <row r="144" spans="1:28" ht="21" customHeight="1">
      <c r="A144" s="40"/>
      <c r="B144" s="41"/>
      <c r="C144" s="53" t="s">
        <v>264</v>
      </c>
      <c r="D144" s="143"/>
      <c r="E144" s="102"/>
      <c r="F144" s="102"/>
      <c r="G144" s="102"/>
      <c r="H144" s="102"/>
      <c r="I144" s="102"/>
      <c r="J144" s="102"/>
      <c r="K144" s="78"/>
      <c r="L144" s="572"/>
      <c r="M144" s="573"/>
      <c r="N144" s="573"/>
      <c r="O144" s="573"/>
      <c r="P144" s="573"/>
      <c r="Q144" s="444"/>
      <c r="R144" s="444"/>
      <c r="S144" s="444"/>
      <c r="T144" s="444"/>
      <c r="U144" s="444"/>
      <c r="V144" s="444"/>
      <c r="W144" s="444"/>
      <c r="X144" s="444"/>
      <c r="Y144" s="479" t="s">
        <v>463</v>
      </c>
      <c r="Z144" s="479"/>
      <c r="AA144" s="439">
        <v>0</v>
      </c>
      <c r="AB144" s="441" t="s">
        <v>54</v>
      </c>
    </row>
    <row r="145" spans="1:31" ht="21" customHeight="1">
      <c r="A145" s="40"/>
      <c r="B145" s="41"/>
      <c r="C145" s="41" t="s">
        <v>458</v>
      </c>
      <c r="D145" s="142">
        <v>0</v>
      </c>
      <c r="E145" s="100">
        <v>0</v>
      </c>
      <c r="F145" s="100">
        <v>0</v>
      </c>
      <c r="G145" s="100">
        <v>0</v>
      </c>
      <c r="H145" s="100">
        <v>0</v>
      </c>
      <c r="I145" s="100">
        <v>0</v>
      </c>
      <c r="J145" s="100">
        <v>0</v>
      </c>
      <c r="K145" s="64">
        <v>0</v>
      </c>
      <c r="L145" s="571" t="s">
        <v>464</v>
      </c>
      <c r="M145" s="404"/>
      <c r="N145" s="404"/>
      <c r="O145" s="404"/>
      <c r="P145" s="404"/>
      <c r="Q145" s="405"/>
      <c r="R145" s="405"/>
      <c r="S145" s="405"/>
      <c r="T145" s="405"/>
      <c r="U145" s="405"/>
      <c r="V145" s="405" t="s">
        <v>465</v>
      </c>
      <c r="W145" s="405"/>
      <c r="X145" s="405"/>
      <c r="Y145" s="429"/>
      <c r="Z145" s="429"/>
      <c r="AA145" s="410">
        <v>0</v>
      </c>
      <c r="AB145" s="413" t="s">
        <v>25</v>
      </c>
    </row>
    <row r="146" spans="1:31" ht="21" customHeight="1">
      <c r="A146" s="40"/>
      <c r="B146" s="41"/>
      <c r="C146" s="41" t="s">
        <v>466</v>
      </c>
      <c r="D146" s="142"/>
      <c r="E146" s="100"/>
      <c r="F146" s="100"/>
      <c r="G146" s="100"/>
      <c r="H146" s="100"/>
      <c r="I146" s="100"/>
      <c r="J146" s="100"/>
      <c r="K146" s="64"/>
      <c r="L146" s="420" t="s">
        <v>467</v>
      </c>
      <c r="M146" s="404"/>
      <c r="N146" s="404"/>
      <c r="O146" s="404"/>
      <c r="P146" s="404"/>
      <c r="Q146" s="405"/>
      <c r="R146" s="405"/>
      <c r="S146" s="405"/>
      <c r="T146" s="405"/>
      <c r="U146" s="405"/>
      <c r="V146" s="405"/>
      <c r="W146" s="405"/>
      <c r="X146" s="405"/>
      <c r="Y146" s="429" t="s">
        <v>463</v>
      </c>
      <c r="Z146" s="429"/>
      <c r="AA146" s="410">
        <v>0</v>
      </c>
      <c r="AB146" s="413" t="s">
        <v>25</v>
      </c>
    </row>
    <row r="147" spans="1:31" s="14" customFormat="1" ht="21" customHeight="1">
      <c r="A147" s="40"/>
      <c r="B147" s="53"/>
      <c r="C147" s="53"/>
      <c r="D147" s="142"/>
      <c r="E147" s="100"/>
      <c r="F147" s="100"/>
      <c r="G147" s="100"/>
      <c r="H147" s="100"/>
      <c r="I147" s="100"/>
      <c r="J147" s="100"/>
      <c r="K147" s="64"/>
      <c r="L147" s="45"/>
      <c r="M147" s="45"/>
      <c r="N147" s="45"/>
      <c r="O147" s="45"/>
      <c r="P147" s="45"/>
      <c r="Q147" s="45"/>
      <c r="R147" s="45"/>
      <c r="S147" s="45"/>
      <c r="T147" s="379"/>
      <c r="U147" s="379"/>
      <c r="V147" s="45"/>
      <c r="W147" s="45"/>
      <c r="X147" s="45"/>
      <c r="Y147" s="247"/>
      <c r="Z147" s="45"/>
      <c r="AA147" s="46"/>
      <c r="AB147" s="51"/>
      <c r="AC147" s="4"/>
      <c r="AE147" s="373"/>
    </row>
    <row r="148" spans="1:31" s="14" customFormat="1" ht="21" hidden="1" customHeight="1">
      <c r="A148" s="30" t="s">
        <v>272</v>
      </c>
      <c r="B148" s="621" t="s">
        <v>20</v>
      </c>
      <c r="C148" s="622"/>
      <c r="D148" s="150">
        <f>D149</f>
        <v>0</v>
      </c>
      <c r="E148" s="150">
        <f>E149</f>
        <v>0</v>
      </c>
      <c r="F148" s="150">
        <f t="shared" ref="F148:I148" si="9">F149</f>
        <v>0</v>
      </c>
      <c r="G148" s="150">
        <f t="shared" si="9"/>
        <v>0</v>
      </c>
      <c r="H148" s="150">
        <f t="shared" si="9"/>
        <v>0</v>
      </c>
      <c r="I148" s="150">
        <f t="shared" si="9"/>
        <v>0</v>
      </c>
      <c r="J148" s="150">
        <f>E148-D148</f>
        <v>0</v>
      </c>
      <c r="K148" s="151">
        <f>IF(D148=0,0,J148/D148)</f>
        <v>0</v>
      </c>
      <c r="L148" s="336" t="s">
        <v>285</v>
      </c>
      <c r="M148" s="336"/>
      <c r="N148" s="336"/>
      <c r="O148" s="336"/>
      <c r="P148" s="335"/>
      <c r="Q148" s="335"/>
      <c r="R148" s="335"/>
      <c r="S148" s="335"/>
      <c r="T148" s="335"/>
      <c r="U148" s="335"/>
      <c r="V148" s="335"/>
      <c r="W148" s="335"/>
      <c r="X148" s="335"/>
      <c r="Y148" s="335"/>
      <c r="Z148" s="335"/>
      <c r="AA148" s="335">
        <f>SUM(AA149)</f>
        <v>0</v>
      </c>
      <c r="AB148" s="154" t="s">
        <v>25</v>
      </c>
      <c r="AC148" s="4"/>
    </row>
    <row r="149" spans="1:31" s="14" customFormat="1" ht="21" hidden="1" customHeight="1">
      <c r="A149" s="40" t="s">
        <v>273</v>
      </c>
      <c r="B149" s="41" t="s">
        <v>272</v>
      </c>
      <c r="C149" s="41" t="s">
        <v>272</v>
      </c>
      <c r="D149" s="142">
        <v>0</v>
      </c>
      <c r="E149" s="100">
        <f>AA149/1000</f>
        <v>0</v>
      </c>
      <c r="F149" s="105">
        <f>SUMIF(Y150:Y150,"보조",AA150:AA150)/1000</f>
        <v>0</v>
      </c>
      <c r="G149" s="105">
        <f>SUMIF(Y150:Y150,"후원",AA150:AA150)/1000</f>
        <v>0</v>
      </c>
      <c r="H149" s="105">
        <f>SUMIF(Y150:Y151,"입소",AA150:AA151)/1000</f>
        <v>0</v>
      </c>
      <c r="I149" s="105">
        <f>SUMIF(Y150:Y150,"잡수",AA150:AA150)/1000</f>
        <v>0</v>
      </c>
      <c r="J149" s="100">
        <f>E149-D149</f>
        <v>0</v>
      </c>
      <c r="K149" s="64">
        <f>IF(D149=0,0,J149/D149)</f>
        <v>0</v>
      </c>
      <c r="L149" s="107" t="s">
        <v>286</v>
      </c>
      <c r="M149" s="158"/>
      <c r="N149" s="158"/>
      <c r="O149" s="158"/>
      <c r="P149" s="158"/>
      <c r="Q149" s="140"/>
      <c r="R149" s="140"/>
      <c r="S149" s="140"/>
      <c r="T149" s="140"/>
      <c r="U149" s="140"/>
      <c r="V149" s="335" t="s">
        <v>267</v>
      </c>
      <c r="W149" s="91"/>
      <c r="X149" s="91"/>
      <c r="Y149" s="91"/>
      <c r="Z149" s="109"/>
      <c r="AA149" s="109">
        <v>0</v>
      </c>
      <c r="AB149" s="110" t="s">
        <v>25</v>
      </c>
      <c r="AC149" s="4"/>
    </row>
    <row r="150" spans="1:31" s="14" customFormat="1" ht="21" hidden="1" customHeight="1">
      <c r="A150" s="52"/>
      <c r="B150" s="53" t="s">
        <v>273</v>
      </c>
      <c r="C150" s="53" t="s">
        <v>273</v>
      </c>
      <c r="D150" s="143"/>
      <c r="E150" s="102"/>
      <c r="F150" s="102"/>
      <c r="G150" s="102"/>
      <c r="H150" s="102"/>
      <c r="I150" s="102"/>
      <c r="J150" s="102"/>
      <c r="K150" s="7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352" t="s">
        <v>299</v>
      </c>
      <c r="AC150" s="4"/>
    </row>
    <row r="151" spans="1:31" s="14" customFormat="1" ht="21" hidden="1" customHeight="1">
      <c r="A151" s="30" t="s">
        <v>274</v>
      </c>
      <c r="B151" s="621" t="s">
        <v>20</v>
      </c>
      <c r="C151" s="622"/>
      <c r="D151" s="150">
        <f>D152</f>
        <v>0</v>
      </c>
      <c r="E151" s="150">
        <f>E152</f>
        <v>0</v>
      </c>
      <c r="F151" s="150">
        <f t="shared" ref="F151:I151" si="10">F152</f>
        <v>0</v>
      </c>
      <c r="G151" s="150">
        <f t="shared" si="10"/>
        <v>0</v>
      </c>
      <c r="H151" s="150">
        <f t="shared" si="10"/>
        <v>0</v>
      </c>
      <c r="I151" s="150">
        <f t="shared" si="10"/>
        <v>0</v>
      </c>
      <c r="J151" s="150">
        <f>E151-D151</f>
        <v>0</v>
      </c>
      <c r="K151" s="151">
        <f>IF(D151=0,0,J151/D151)</f>
        <v>0</v>
      </c>
      <c r="L151" s="336" t="s">
        <v>274</v>
      </c>
      <c r="M151" s="336"/>
      <c r="N151" s="336"/>
      <c r="O151" s="336"/>
      <c r="P151" s="335"/>
      <c r="Q151" s="335"/>
      <c r="R151" s="335"/>
      <c r="S151" s="335"/>
      <c r="T151" s="335"/>
      <c r="U151" s="335"/>
      <c r="V151" s="335"/>
      <c r="W151" s="335"/>
      <c r="X151" s="335"/>
      <c r="Y151" s="335"/>
      <c r="Z151" s="335"/>
      <c r="AA151" s="335">
        <f>SUM(AA152)</f>
        <v>0</v>
      </c>
      <c r="AB151" s="154" t="s">
        <v>25</v>
      </c>
      <c r="AC151" s="4"/>
    </row>
    <row r="152" spans="1:31" s="14" customFormat="1" ht="21" hidden="1" customHeight="1">
      <c r="A152" s="40"/>
      <c r="B152" s="41" t="s">
        <v>275</v>
      </c>
      <c r="C152" s="31" t="s">
        <v>277</v>
      </c>
      <c r="D152" s="144">
        <v>0</v>
      </c>
      <c r="E152" s="104">
        <f>AA152/1000</f>
        <v>0</v>
      </c>
      <c r="F152" s="105">
        <f>SUMIF(Y153:Y153,"보조",AA153:AA153)/1000</f>
        <v>0</v>
      </c>
      <c r="G152" s="105">
        <f>SUMIF(Y153:Y153,"후원",AA153:AA153)/1000</f>
        <v>0</v>
      </c>
      <c r="H152" s="105">
        <f>SUMIF(Y153:Y154,"입소",AA153:AA154)/1000</f>
        <v>0</v>
      </c>
      <c r="I152" s="105">
        <f>SUMIF(Y153:Y153,"잡수",AA153:AA153)/1000</f>
        <v>0</v>
      </c>
      <c r="J152" s="104">
        <f>E152-D152</f>
        <v>0</v>
      </c>
      <c r="K152" s="112">
        <f>IF(D152=0,0,J152/D152)</f>
        <v>0</v>
      </c>
      <c r="L152" s="336" t="s">
        <v>283</v>
      </c>
      <c r="M152" s="161"/>
      <c r="N152" s="161"/>
      <c r="O152" s="161"/>
      <c r="P152" s="161"/>
      <c r="Q152" s="160"/>
      <c r="R152" s="160"/>
      <c r="S152" s="160"/>
      <c r="T152" s="160"/>
      <c r="U152" s="160"/>
      <c r="V152" s="335" t="s">
        <v>267</v>
      </c>
      <c r="W152" s="335"/>
      <c r="X152" s="335"/>
      <c r="Y152" s="335"/>
      <c r="Z152" s="155"/>
      <c r="AA152" s="155">
        <f>AA153</f>
        <v>0</v>
      </c>
      <c r="AB152" s="154" t="s">
        <v>25</v>
      </c>
      <c r="AC152" s="4"/>
    </row>
    <row r="153" spans="1:31" s="14" customFormat="1" ht="21" hidden="1" customHeight="1">
      <c r="A153" s="40"/>
      <c r="B153" s="41" t="s">
        <v>276</v>
      </c>
      <c r="C153" s="53" t="s">
        <v>276</v>
      </c>
      <c r="D153" s="143"/>
      <c r="E153" s="102"/>
      <c r="F153" s="354"/>
      <c r="G153" s="354"/>
      <c r="H153" s="354"/>
      <c r="I153" s="354"/>
      <c r="J153" s="102"/>
      <c r="K153" s="78"/>
      <c r="L153" s="107"/>
      <c r="M153" s="107"/>
      <c r="N153" s="107"/>
      <c r="O153" s="107"/>
      <c r="P153" s="107"/>
      <c r="Q153" s="91"/>
      <c r="R153" s="91"/>
      <c r="S153" s="91"/>
      <c r="T153" s="91"/>
      <c r="U153" s="91"/>
      <c r="V153" s="91"/>
      <c r="W153" s="91"/>
      <c r="X153" s="91"/>
      <c r="Y153" s="91"/>
      <c r="Z153" s="109"/>
      <c r="AA153" s="109"/>
      <c r="AB153" s="110" t="s">
        <v>299</v>
      </c>
      <c r="AC153" s="4"/>
    </row>
    <row r="154" spans="1:31" s="14" customFormat="1" ht="21" hidden="1" customHeight="1">
      <c r="A154" s="40"/>
      <c r="B154" s="41"/>
      <c r="C154" s="41" t="s">
        <v>237</v>
      </c>
      <c r="D154" s="142"/>
      <c r="E154" s="100"/>
      <c r="F154" s="353">
        <f>SUMIF(Y155:Y155,"보조",AA155:AA155)/1000</f>
        <v>0</v>
      </c>
      <c r="G154" s="353">
        <f>SUMIF(Y155:Y155,"후원",AA155:AA155)/1000</f>
        <v>0</v>
      </c>
      <c r="H154" s="353">
        <f>SUMIF(Y155:Y156,"입소",AA155:AA156)/1000</f>
        <v>0</v>
      </c>
      <c r="I154" s="353">
        <f>SUMIF(Y155:Y155,"잡수",AA155:AA155)/1000</f>
        <v>0</v>
      </c>
      <c r="J154" s="100">
        <f>E154-D154</f>
        <v>0</v>
      </c>
      <c r="K154" s="64">
        <f>IF(D154=0,0,J154/D154)</f>
        <v>0</v>
      </c>
      <c r="L154" s="336" t="s">
        <v>284</v>
      </c>
      <c r="M154" s="161"/>
      <c r="N154" s="161"/>
      <c r="O154" s="161"/>
      <c r="P154" s="161"/>
      <c r="Q154" s="160"/>
      <c r="R154" s="160"/>
      <c r="S154" s="160"/>
      <c r="T154" s="160"/>
      <c r="U154" s="160"/>
      <c r="V154" s="335" t="s">
        <v>267</v>
      </c>
      <c r="W154" s="335"/>
      <c r="X154" s="335"/>
      <c r="Y154" s="335"/>
      <c r="Z154" s="155"/>
      <c r="AA154" s="155">
        <f>AA155</f>
        <v>0</v>
      </c>
      <c r="AB154" s="154" t="s">
        <v>25</v>
      </c>
      <c r="AC154" s="4"/>
    </row>
    <row r="155" spans="1:31" s="14" customFormat="1" ht="21" hidden="1" customHeight="1">
      <c r="A155" s="52"/>
      <c r="B155" s="53"/>
      <c r="C155" s="53" t="s">
        <v>278</v>
      </c>
      <c r="D155" s="143"/>
      <c r="E155" s="102"/>
      <c r="F155" s="102"/>
      <c r="G155" s="102"/>
      <c r="H155" s="102"/>
      <c r="I155" s="102"/>
      <c r="J155" s="102"/>
      <c r="K155" s="7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352" t="s">
        <v>299</v>
      </c>
      <c r="AC155" s="4"/>
    </row>
    <row r="156" spans="1:31" s="11" customFormat="1" ht="21" customHeight="1">
      <c r="A156" s="30" t="s">
        <v>270</v>
      </c>
      <c r="B156" s="619" t="s">
        <v>20</v>
      </c>
      <c r="C156" s="620"/>
      <c r="D156" s="360">
        <v>0</v>
      </c>
      <c r="E156" s="360">
        <f>E157</f>
        <v>0</v>
      </c>
      <c r="F156" s="360">
        <f t="shared" ref="F156:I156" si="11">F157</f>
        <v>0</v>
      </c>
      <c r="G156" s="360">
        <f t="shared" si="11"/>
        <v>0</v>
      </c>
      <c r="H156" s="360">
        <f t="shared" si="11"/>
        <v>0</v>
      </c>
      <c r="I156" s="360">
        <f t="shared" si="11"/>
        <v>0</v>
      </c>
      <c r="J156" s="361">
        <f>E156-D156</f>
        <v>0</v>
      </c>
      <c r="K156" s="265">
        <f>IF(D156=0,0,J156/D156)</f>
        <v>0</v>
      </c>
      <c r="L156" s="362" t="s">
        <v>312</v>
      </c>
      <c r="M156" s="362"/>
      <c r="N156" s="362"/>
      <c r="O156" s="36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>
        <f>SUM(AA157)</f>
        <v>0</v>
      </c>
      <c r="AB156" s="228" t="s">
        <v>25</v>
      </c>
      <c r="AC156" s="1"/>
    </row>
    <row r="157" spans="1:31" s="11" customFormat="1" ht="21" customHeight="1">
      <c r="A157" s="40"/>
      <c r="B157" s="41" t="s">
        <v>270</v>
      </c>
      <c r="C157" s="524" t="s">
        <v>270</v>
      </c>
      <c r="D157" s="557">
        <v>0</v>
      </c>
      <c r="E157" s="525">
        <f>AA157/1000</f>
        <v>0</v>
      </c>
      <c r="F157" s="558">
        <f>SUMIF(Y158:Y158,"보조",AA158:AA158)/1000</f>
        <v>0</v>
      </c>
      <c r="G157" s="558">
        <f>SUMIF(Y158:Y158,"지후",AA158:AA158)/1000</f>
        <v>0</v>
      </c>
      <c r="H157" s="558">
        <f>SUMIF(Y158:Y159,"후원",AA158:AA159)/1000</f>
        <v>0</v>
      </c>
      <c r="I157" s="558">
        <f>SUMIF(Y158:Y158,"잡수",AA158:AA158)/1000</f>
        <v>0</v>
      </c>
      <c r="J157" s="525">
        <f>E157-D157</f>
        <v>0</v>
      </c>
      <c r="K157" s="526">
        <f>IF(D157=0,0,J157/D157)</f>
        <v>0</v>
      </c>
      <c r="L157" s="546" t="s">
        <v>271</v>
      </c>
      <c r="M157" s="527"/>
      <c r="N157" s="527"/>
      <c r="O157" s="527"/>
      <c r="P157" s="527"/>
      <c r="Q157" s="559"/>
      <c r="R157" s="559"/>
      <c r="S157" s="559"/>
      <c r="T157" s="559"/>
      <c r="U157" s="559"/>
      <c r="V157" s="522" t="s">
        <v>267</v>
      </c>
      <c r="W157" s="547"/>
      <c r="X157" s="547"/>
      <c r="Y157" s="547"/>
      <c r="Z157" s="548"/>
      <c r="AA157" s="548">
        <f>AA158</f>
        <v>0</v>
      </c>
      <c r="AB157" s="549" t="s">
        <v>25</v>
      </c>
      <c r="AC157" s="1"/>
    </row>
    <row r="158" spans="1:31" s="1" customFormat="1" ht="21" customHeight="1">
      <c r="A158" s="52"/>
      <c r="B158" s="53"/>
      <c r="C158" s="53"/>
      <c r="D158" s="143"/>
      <c r="E158" s="102"/>
      <c r="F158" s="102"/>
      <c r="G158" s="102"/>
      <c r="H158" s="102"/>
      <c r="I158" s="102"/>
      <c r="J158" s="102"/>
      <c r="K158" s="78"/>
      <c r="L158" s="288" t="s">
        <v>329</v>
      </c>
      <c r="M158" s="288"/>
      <c r="N158" s="288"/>
      <c r="O158" s="288"/>
      <c r="P158" s="288"/>
      <c r="Q158" s="288"/>
      <c r="R158" s="288"/>
      <c r="S158" s="288"/>
      <c r="T158" s="288"/>
      <c r="U158" s="288"/>
      <c r="V158" s="134"/>
      <c r="W158" s="134"/>
      <c r="X158" s="134"/>
      <c r="Y158" s="134" t="s">
        <v>356</v>
      </c>
      <c r="Z158" s="134"/>
      <c r="AA158" s="363">
        <v>0</v>
      </c>
      <c r="AB158" s="364" t="s">
        <v>311</v>
      </c>
    </row>
    <row r="159" spans="1:31" s="11" customFormat="1" ht="21" customHeight="1">
      <c r="A159" s="40" t="s">
        <v>21</v>
      </c>
      <c r="B159" s="619" t="s">
        <v>20</v>
      </c>
      <c r="C159" s="620"/>
      <c r="D159" s="360">
        <f>SUM(D160)</f>
        <v>0</v>
      </c>
      <c r="E159" s="360">
        <f>SUM(E160)</f>
        <v>0</v>
      </c>
      <c r="F159" s="360">
        <f t="shared" ref="F159:I159" si="12">SUM(F160)</f>
        <v>0</v>
      </c>
      <c r="G159" s="360">
        <f t="shared" si="12"/>
        <v>0</v>
      </c>
      <c r="H159" s="360">
        <f t="shared" si="12"/>
        <v>0</v>
      </c>
      <c r="I159" s="360">
        <f t="shared" si="12"/>
        <v>0</v>
      </c>
      <c r="J159" s="361">
        <f>E159-D159</f>
        <v>0</v>
      </c>
      <c r="K159" s="265">
        <f>IF(D159=0,0,J159/D159)</f>
        <v>0</v>
      </c>
      <c r="L159" s="362" t="s">
        <v>313</v>
      </c>
      <c r="M159" s="362"/>
      <c r="N159" s="362"/>
      <c r="O159" s="36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>
        <f>AA160</f>
        <v>0</v>
      </c>
      <c r="AB159" s="228" t="s">
        <v>25</v>
      </c>
      <c r="AC159" s="1"/>
    </row>
    <row r="160" spans="1:31" s="11" customFormat="1" ht="21" customHeight="1">
      <c r="A160" s="40" t="s">
        <v>279</v>
      </c>
      <c r="B160" s="41" t="s">
        <v>21</v>
      </c>
      <c r="C160" s="560" t="s">
        <v>21</v>
      </c>
      <c r="D160" s="561">
        <v>0</v>
      </c>
      <c r="E160" s="561">
        <f>SUM(F160:I160)</f>
        <v>0</v>
      </c>
      <c r="F160" s="558">
        <f>SUMIF($Y$161:$Y$164,"보조",$AA$161:$AA$164)/1000</f>
        <v>0</v>
      </c>
      <c r="G160" s="558">
        <f>SUMIF($Y$161:$Y$164,"지후",$AA$161:$AA$164)/1000</f>
        <v>0</v>
      </c>
      <c r="H160" s="558">
        <f>SUMIF($Y$161:$Y$164,"후원",$AA$161:$AA$164)/1000</f>
        <v>0</v>
      </c>
      <c r="I160" s="558">
        <f>SUMIF($Y$161:$Y$164,"잡수",$AA$161:$AA$164)/1000</f>
        <v>0</v>
      </c>
      <c r="J160" s="561">
        <f>E160-D160</f>
        <v>0</v>
      </c>
      <c r="K160" s="562">
        <f>IF(D160=0,0,J160/D160)</f>
        <v>0</v>
      </c>
      <c r="L160" s="521" t="s">
        <v>51</v>
      </c>
      <c r="M160" s="537"/>
      <c r="N160" s="537"/>
      <c r="O160" s="537"/>
      <c r="P160" s="537"/>
      <c r="Q160" s="538"/>
      <c r="R160" s="538"/>
      <c r="S160" s="538"/>
      <c r="T160" s="538"/>
      <c r="U160" s="538"/>
      <c r="V160" s="522" t="s">
        <v>86</v>
      </c>
      <c r="W160" s="522"/>
      <c r="X160" s="522"/>
      <c r="Y160" s="522"/>
      <c r="Z160" s="563"/>
      <c r="AA160" s="563">
        <f>SUM(AA161:AA164)</f>
        <v>0</v>
      </c>
      <c r="AB160" s="523" t="s">
        <v>25</v>
      </c>
      <c r="AC160" s="1"/>
    </row>
    <row r="161" spans="1:29" s="11" customFormat="1" ht="21" customHeight="1">
      <c r="A161" s="40" t="s">
        <v>136</v>
      </c>
      <c r="B161" s="41" t="s">
        <v>279</v>
      </c>
      <c r="C161" s="41"/>
      <c r="D161" s="142"/>
      <c r="E161" s="100"/>
      <c r="F161" s="353"/>
      <c r="G161" s="353"/>
      <c r="H161" s="353"/>
      <c r="I161" s="353"/>
      <c r="J161" s="100"/>
      <c r="K161" s="64"/>
      <c r="L161" s="61"/>
      <c r="M161" s="247"/>
      <c r="N161" s="246"/>
      <c r="O161" s="246"/>
      <c r="P161" s="246"/>
      <c r="Q161" s="246"/>
      <c r="R161" s="246"/>
      <c r="S161" s="246"/>
      <c r="T161" s="48"/>
      <c r="U161" s="48"/>
      <c r="V161" s="48"/>
      <c r="W161" s="246"/>
      <c r="X161" s="246"/>
      <c r="Y161" s="246"/>
      <c r="Z161" s="62"/>
      <c r="AA161" s="62"/>
      <c r="AB161" s="51" t="s">
        <v>54</v>
      </c>
      <c r="AC161" s="1"/>
    </row>
    <row r="162" spans="1:29" s="11" customFormat="1" ht="21" customHeight="1">
      <c r="A162" s="40"/>
      <c r="B162" s="41" t="s">
        <v>314</v>
      </c>
      <c r="C162" s="41"/>
      <c r="D162" s="142"/>
      <c r="E162" s="100"/>
      <c r="F162" s="353"/>
      <c r="G162" s="353"/>
      <c r="H162" s="353"/>
      <c r="I162" s="353"/>
      <c r="J162" s="100"/>
      <c r="K162" s="64"/>
      <c r="L162" s="61"/>
      <c r="M162" s="247"/>
      <c r="N162" s="246"/>
      <c r="O162" s="246"/>
      <c r="P162" s="246"/>
      <c r="Q162" s="246"/>
      <c r="R162" s="246"/>
      <c r="S162" s="246"/>
      <c r="T162" s="48"/>
      <c r="U162" s="48"/>
      <c r="V162" s="48"/>
      <c r="W162" s="246"/>
      <c r="X162" s="246"/>
      <c r="Y162" s="246"/>
      <c r="Z162" s="62"/>
      <c r="AA162" s="62"/>
      <c r="AB162" s="51" t="s">
        <v>54</v>
      </c>
      <c r="AC162" s="1"/>
    </row>
    <row r="163" spans="1:29" s="11" customFormat="1" ht="21" customHeight="1">
      <c r="A163" s="40"/>
      <c r="B163" s="41"/>
      <c r="C163" s="41"/>
      <c r="D163" s="142"/>
      <c r="E163" s="100"/>
      <c r="F163" s="353"/>
      <c r="G163" s="353"/>
      <c r="H163" s="353"/>
      <c r="I163" s="353"/>
      <c r="J163" s="100"/>
      <c r="K163" s="64"/>
      <c r="L163" s="61"/>
      <c r="M163" s="247"/>
      <c r="N163" s="246"/>
      <c r="O163" s="246"/>
      <c r="P163" s="246"/>
      <c r="Q163" s="246"/>
      <c r="R163" s="246"/>
      <c r="S163" s="246"/>
      <c r="T163" s="48"/>
      <c r="U163" s="48"/>
      <c r="V163" s="48"/>
      <c r="W163" s="246"/>
      <c r="X163" s="246"/>
      <c r="Y163" s="246"/>
      <c r="Z163" s="62"/>
      <c r="AA163" s="62"/>
      <c r="AB163" s="51" t="s">
        <v>54</v>
      </c>
      <c r="AC163" s="1"/>
    </row>
    <row r="164" spans="1:29" s="11" customFormat="1" ht="21" customHeight="1">
      <c r="A164" s="40"/>
      <c r="B164" s="41"/>
      <c r="C164" s="53"/>
      <c r="D164" s="143"/>
      <c r="E164" s="102"/>
      <c r="F164" s="102"/>
      <c r="G164" s="102"/>
      <c r="H164" s="102"/>
      <c r="I164" s="102"/>
      <c r="J164" s="102"/>
      <c r="K164" s="78"/>
      <c r="L164" s="355"/>
      <c r="M164" s="334"/>
      <c r="N164" s="334"/>
      <c r="O164" s="334"/>
      <c r="P164" s="334"/>
      <c r="Q164" s="333"/>
      <c r="R164" s="333"/>
      <c r="S164" s="333"/>
      <c r="T164" s="333"/>
      <c r="U164" s="333"/>
      <c r="V164" s="333"/>
      <c r="W164" s="333"/>
      <c r="X164" s="333"/>
      <c r="Y164" s="358"/>
      <c r="Z164" s="308"/>
      <c r="AA164" s="66"/>
      <c r="AB164" s="307"/>
      <c r="AC164" s="2"/>
    </row>
    <row r="165" spans="1:29" s="11" customFormat="1" ht="21" customHeight="1">
      <c r="A165" s="40"/>
      <c r="B165" s="41"/>
      <c r="C165" s="524" t="s">
        <v>280</v>
      </c>
      <c r="D165" s="557">
        <v>0</v>
      </c>
      <c r="E165" s="561">
        <f>SUM(F165:I165)</f>
        <v>0</v>
      </c>
      <c r="F165" s="558">
        <f>SUMIF(Y166:Y166,"보조",AA166:AA166)/1000</f>
        <v>0</v>
      </c>
      <c r="G165" s="558">
        <f>SUMIF(Y166:Y166,"지후",AA166:AA166)/1000</f>
        <v>0</v>
      </c>
      <c r="H165" s="558">
        <f>SUMIF(Y166:Y167,"후원",AA166:AA167)/1000</f>
        <v>0</v>
      </c>
      <c r="I165" s="558">
        <f>SUMIF(Y166:Y166,"잡수",AA166:AA166)/1000</f>
        <v>0</v>
      </c>
      <c r="J165" s="525">
        <f>E165-D165</f>
        <v>0</v>
      </c>
      <c r="K165" s="526">
        <f>IF(D165=0,0,J165/D165)</f>
        <v>0</v>
      </c>
      <c r="L165" s="521" t="s">
        <v>281</v>
      </c>
      <c r="M165" s="537"/>
      <c r="N165" s="537"/>
      <c r="O165" s="537"/>
      <c r="P165" s="537"/>
      <c r="Q165" s="538"/>
      <c r="R165" s="538"/>
      <c r="S165" s="538"/>
      <c r="T165" s="538"/>
      <c r="U165" s="538"/>
      <c r="V165" s="522" t="s">
        <v>86</v>
      </c>
      <c r="W165" s="522"/>
      <c r="X165" s="522"/>
      <c r="Y165" s="522"/>
      <c r="Z165" s="563"/>
      <c r="AA165" s="563">
        <f>SUM(AA166:AA167)</f>
        <v>0</v>
      </c>
      <c r="AB165" s="523" t="s">
        <v>25</v>
      </c>
      <c r="AC165" s="2"/>
    </row>
    <row r="166" spans="1:29" s="1" customFormat="1" ht="21" customHeight="1" thickBot="1">
      <c r="A166" s="126"/>
      <c r="B166" s="94"/>
      <c r="C166" s="94"/>
      <c r="D166" s="147"/>
      <c r="E166" s="127"/>
      <c r="F166" s="127"/>
      <c r="G166" s="127"/>
      <c r="H166" s="127"/>
      <c r="I166" s="127"/>
      <c r="J166" s="127"/>
      <c r="K166" s="128"/>
      <c r="L166" s="356" t="s">
        <v>282</v>
      </c>
      <c r="M166" s="309"/>
      <c r="N166" s="309"/>
      <c r="O166" s="309"/>
      <c r="P166" s="310"/>
      <c r="Q166" s="310"/>
      <c r="R166" s="310"/>
      <c r="S166" s="310"/>
      <c r="T166" s="310"/>
      <c r="U166" s="310"/>
      <c r="V166" s="310"/>
      <c r="W166" s="310"/>
      <c r="X166" s="310"/>
      <c r="Y166" s="310"/>
      <c r="Z166" s="310"/>
      <c r="AA166" s="310"/>
      <c r="AB166" s="311"/>
    </row>
    <row r="168" spans="1:29" ht="21" customHeight="1">
      <c r="E168" s="245"/>
      <c r="F168" s="245"/>
    </row>
    <row r="169" spans="1:29" ht="21" customHeight="1">
      <c r="E169" s="245"/>
      <c r="F169" s="245"/>
    </row>
    <row r="170" spans="1:29" ht="21" customHeight="1">
      <c r="F170" s="245"/>
    </row>
    <row r="171" spans="1:29" ht="21" customHeight="1">
      <c r="E171" s="245"/>
      <c r="F171" s="245"/>
    </row>
    <row r="172" spans="1:29" ht="21" customHeight="1">
      <c r="E172" s="245"/>
      <c r="F172" s="245"/>
    </row>
    <row r="173" spans="1:29" ht="21" customHeight="1">
      <c r="E173" s="245"/>
      <c r="F173" s="245"/>
    </row>
  </sheetData>
  <mergeCells count="20">
    <mergeCell ref="A1:D1"/>
    <mergeCell ref="L2:AB3"/>
    <mergeCell ref="S84:T84"/>
    <mergeCell ref="S53:T53"/>
    <mergeCell ref="L75:P75"/>
    <mergeCell ref="B5:C5"/>
    <mergeCell ref="A4:C4"/>
    <mergeCell ref="J2:K2"/>
    <mergeCell ref="A2:C2"/>
    <mergeCell ref="D2:D3"/>
    <mergeCell ref="E2:I2"/>
    <mergeCell ref="L16:M16"/>
    <mergeCell ref="L76:P76"/>
    <mergeCell ref="B159:C159"/>
    <mergeCell ref="B148:C148"/>
    <mergeCell ref="B117:C117"/>
    <mergeCell ref="B107:C107"/>
    <mergeCell ref="B96:C96"/>
    <mergeCell ref="B156:C156"/>
    <mergeCell ref="B151:C151"/>
  </mergeCells>
  <phoneticPr fontId="12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horizontalDpi="4294967293" verticalDpi="4294967293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바다의별</cp:lastModifiedBy>
  <cp:revision>65</cp:revision>
  <cp:lastPrinted>2022-12-05T02:07:52Z</cp:lastPrinted>
  <dcterms:created xsi:type="dcterms:W3CDTF">2003-12-18T04:11:57Z</dcterms:created>
  <dcterms:modified xsi:type="dcterms:W3CDTF">2022-12-21T01:47:41Z</dcterms:modified>
</cp:coreProperties>
</file>