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0" yWindow="0" windowWidth="25335" windowHeight="11385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  <externalReference r:id="rId6"/>
  </externalReferences>
  <definedNames>
    <definedName name="_xlnm.Print_Area" localSheetId="1">세입!$A$1:$X$90</definedName>
    <definedName name="_xlnm.Print_Area" localSheetId="2">세출!$A$1:$AE$191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I4" i="3" l="1"/>
  <c r="AD182" i="3" l="1"/>
  <c r="L182" i="3"/>
  <c r="K182" i="3"/>
  <c r="J182" i="3"/>
  <c r="J181" i="3" s="1"/>
  <c r="I182" i="3"/>
  <c r="H182" i="3"/>
  <c r="H181" i="3" s="1"/>
  <c r="G182" i="3"/>
  <c r="G181" i="3" s="1"/>
  <c r="F182" i="3"/>
  <c r="E182" i="3" s="1"/>
  <c r="AD181" i="3"/>
  <c r="L181" i="3"/>
  <c r="K181" i="3"/>
  <c r="I181" i="3"/>
  <c r="N179" i="3"/>
  <c r="L179" i="3"/>
  <c r="L178" i="3" s="1"/>
  <c r="K179" i="3"/>
  <c r="K178" i="3" s="1"/>
  <c r="J179" i="3"/>
  <c r="I179" i="3"/>
  <c r="H179" i="3"/>
  <c r="H178" i="3" s="1"/>
  <c r="G179" i="3"/>
  <c r="E179" i="3" s="1"/>
  <c r="F179" i="3"/>
  <c r="AD178" i="3"/>
  <c r="N178" i="3"/>
  <c r="J178" i="3"/>
  <c r="I178" i="3"/>
  <c r="F178" i="3"/>
  <c r="AD172" i="3"/>
  <c r="AD171" i="3" s="1"/>
  <c r="L172" i="3"/>
  <c r="K172" i="3"/>
  <c r="K171" i="3" s="1"/>
  <c r="J172" i="3"/>
  <c r="J171" i="3" s="1"/>
  <c r="I172" i="3"/>
  <c r="I171" i="3" s="1"/>
  <c r="H172" i="3"/>
  <c r="G172" i="3"/>
  <c r="G171" i="3" s="1"/>
  <c r="F172" i="3"/>
  <c r="F171" i="3" s="1"/>
  <c r="E172" i="3"/>
  <c r="M172" i="3" s="1"/>
  <c r="N172" i="3" s="1"/>
  <c r="L171" i="3"/>
  <c r="H171" i="3"/>
  <c r="AD168" i="3"/>
  <c r="AD166" i="3" s="1"/>
  <c r="AD167" i="3"/>
  <c r="L166" i="3"/>
  <c r="K166" i="3"/>
  <c r="I166" i="3"/>
  <c r="H166" i="3"/>
  <c r="G166" i="3"/>
  <c r="F166" i="3"/>
  <c r="AD164" i="3"/>
  <c r="AD163" i="3"/>
  <c r="L163" i="3"/>
  <c r="K163" i="3"/>
  <c r="J163" i="3"/>
  <c r="I163" i="3"/>
  <c r="H163" i="3"/>
  <c r="G163" i="3"/>
  <c r="F163" i="3"/>
  <c r="E163" i="3"/>
  <c r="M163" i="3" s="1"/>
  <c r="N163" i="3" s="1"/>
  <c r="AD161" i="3"/>
  <c r="AD160" i="3"/>
  <c r="AD159" i="3"/>
  <c r="AD158" i="3"/>
  <c r="AD157" i="3" s="1"/>
  <c r="L157" i="3"/>
  <c r="K157" i="3"/>
  <c r="I157" i="3"/>
  <c r="H157" i="3"/>
  <c r="G157" i="3"/>
  <c r="F157" i="3"/>
  <c r="AD155" i="3"/>
  <c r="AD152" i="3" s="1"/>
  <c r="AD154" i="3"/>
  <c r="AD153" i="3"/>
  <c r="L152" i="3"/>
  <c r="K152" i="3"/>
  <c r="J152" i="3"/>
  <c r="H152" i="3"/>
  <c r="G152" i="3"/>
  <c r="F152" i="3"/>
  <c r="E152" i="3"/>
  <c r="M152" i="3" s="1"/>
  <c r="N152" i="3" s="1"/>
  <c r="AD150" i="3"/>
  <c r="AD149" i="3"/>
  <c r="L149" i="3"/>
  <c r="K149" i="3"/>
  <c r="I149" i="3"/>
  <c r="H149" i="3"/>
  <c r="E149" i="3" s="1"/>
  <c r="M149" i="3" s="1"/>
  <c r="N149" i="3" s="1"/>
  <c r="G149" i="3"/>
  <c r="F149" i="3"/>
  <c r="AD146" i="3"/>
  <c r="N146" i="3"/>
  <c r="L146" i="3"/>
  <c r="K146" i="3"/>
  <c r="J146" i="3"/>
  <c r="I146" i="3"/>
  <c r="H146" i="3"/>
  <c r="G146" i="3"/>
  <c r="E146" i="3" s="1"/>
  <c r="M146" i="3" s="1"/>
  <c r="F146" i="3"/>
  <c r="AD144" i="3"/>
  <c r="AD143" i="3"/>
  <c r="AD142" i="3" s="1"/>
  <c r="L142" i="3"/>
  <c r="L141" i="3" s="1"/>
  <c r="K142" i="3"/>
  <c r="I142" i="3"/>
  <c r="I141" i="3" s="1"/>
  <c r="H142" i="3"/>
  <c r="G142" i="3"/>
  <c r="F142" i="3"/>
  <c r="F141" i="3" s="1"/>
  <c r="K141" i="3"/>
  <c r="G141" i="3"/>
  <c r="AD139" i="3"/>
  <c r="J138" i="3" s="1"/>
  <c r="AD138" i="3"/>
  <c r="L138" i="3"/>
  <c r="K138" i="3"/>
  <c r="I138" i="3"/>
  <c r="H138" i="3"/>
  <c r="G138" i="3"/>
  <c r="F138" i="3"/>
  <c r="AD135" i="3"/>
  <c r="J134" i="3" s="1"/>
  <c r="AD134" i="3"/>
  <c r="L134" i="3"/>
  <c r="K134" i="3"/>
  <c r="I134" i="3"/>
  <c r="H134" i="3"/>
  <c r="G134" i="3"/>
  <c r="F134" i="3"/>
  <c r="AD132" i="3"/>
  <c r="J131" i="3" s="1"/>
  <c r="AD131" i="3"/>
  <c r="L131" i="3"/>
  <c r="K131" i="3"/>
  <c r="I131" i="3"/>
  <c r="H131" i="3"/>
  <c r="G131" i="3"/>
  <c r="F131" i="3"/>
  <c r="AD127" i="3"/>
  <c r="L127" i="3"/>
  <c r="K127" i="3"/>
  <c r="J127" i="3"/>
  <c r="I127" i="3"/>
  <c r="H127" i="3"/>
  <c r="G127" i="3"/>
  <c r="F127" i="3"/>
  <c r="E127" i="3" s="1"/>
  <c r="M127" i="3" s="1"/>
  <c r="N127" i="3" s="1"/>
  <c r="AD124" i="3"/>
  <c r="AD123" i="3"/>
  <c r="J121" i="3" s="1"/>
  <c r="J120" i="3" s="1"/>
  <c r="AD122" i="3"/>
  <c r="AD121" i="3" s="1"/>
  <c r="AD120" i="3" s="1"/>
  <c r="L121" i="3"/>
  <c r="L120" i="3" s="1"/>
  <c r="L119" i="3" s="1"/>
  <c r="K121" i="3"/>
  <c r="I121" i="3"/>
  <c r="I120" i="3" s="1"/>
  <c r="I119" i="3" s="1"/>
  <c r="H121" i="3"/>
  <c r="H120" i="3" s="1"/>
  <c r="G121" i="3"/>
  <c r="K120" i="3"/>
  <c r="K119" i="3" s="1"/>
  <c r="G120" i="3"/>
  <c r="G119" i="3" s="1"/>
  <c r="AD117" i="3"/>
  <c r="AD116" i="3"/>
  <c r="J113" i="3" s="1"/>
  <c r="AD113" i="3"/>
  <c r="L113" i="3"/>
  <c r="K113" i="3"/>
  <c r="I113" i="3"/>
  <c r="H113" i="3"/>
  <c r="G113" i="3"/>
  <c r="F113" i="3"/>
  <c r="AD109" i="3"/>
  <c r="AD106" i="3" s="1"/>
  <c r="AD105" i="3" s="1"/>
  <c r="L109" i="3"/>
  <c r="K109" i="3"/>
  <c r="K106" i="3" s="1"/>
  <c r="K105" i="3" s="1"/>
  <c r="J109" i="3"/>
  <c r="I109" i="3"/>
  <c r="H109" i="3"/>
  <c r="G109" i="3"/>
  <c r="F109" i="3"/>
  <c r="E109" i="3" s="1"/>
  <c r="M109" i="3" s="1"/>
  <c r="N109" i="3" s="1"/>
  <c r="AD107" i="3"/>
  <c r="N107" i="3"/>
  <c r="L107" i="3"/>
  <c r="K107" i="3"/>
  <c r="J107" i="3"/>
  <c r="J106" i="3" s="1"/>
  <c r="J105" i="3" s="1"/>
  <c r="I107" i="3"/>
  <c r="I106" i="3" s="1"/>
  <c r="I105" i="3" s="1"/>
  <c r="H107" i="3"/>
  <c r="G107" i="3"/>
  <c r="G106" i="3" s="1"/>
  <c r="G105" i="3" s="1"/>
  <c r="F107" i="3"/>
  <c r="F106" i="3" s="1"/>
  <c r="F105" i="3" s="1"/>
  <c r="E107" i="3"/>
  <c r="M107" i="3" s="1"/>
  <c r="L106" i="3"/>
  <c r="L105" i="3" s="1"/>
  <c r="H106" i="3"/>
  <c r="H105" i="3" s="1"/>
  <c r="AD103" i="3"/>
  <c r="AD102" i="3"/>
  <c r="AD101" i="3" s="1"/>
  <c r="AD97" i="3" s="1"/>
  <c r="AD99" i="3"/>
  <c r="AD98" i="3"/>
  <c r="K97" i="3"/>
  <c r="J97" i="3"/>
  <c r="I97" i="3"/>
  <c r="H97" i="3"/>
  <c r="G97" i="3"/>
  <c r="F97" i="3"/>
  <c r="AD94" i="3"/>
  <c r="J93" i="3" s="1"/>
  <c r="AD93" i="3"/>
  <c r="L93" i="3"/>
  <c r="K93" i="3"/>
  <c r="I93" i="3"/>
  <c r="H93" i="3"/>
  <c r="G93" i="3"/>
  <c r="F93" i="3"/>
  <c r="AD90" i="3"/>
  <c r="AD89" i="3"/>
  <c r="J87" i="3" s="1"/>
  <c r="E87" i="3" s="1"/>
  <c r="M87" i="3" s="1"/>
  <c r="N87" i="3" s="1"/>
  <c r="AD88" i="3"/>
  <c r="AD87" i="3" s="1"/>
  <c r="L87" i="3"/>
  <c r="K87" i="3"/>
  <c r="I87" i="3"/>
  <c r="H87" i="3"/>
  <c r="G87" i="3"/>
  <c r="F87" i="3"/>
  <c r="AD84" i="3"/>
  <c r="AD83" i="3"/>
  <c r="AD82" i="3"/>
  <c r="F81" i="3" s="1"/>
  <c r="E81" i="3" s="1"/>
  <c r="M81" i="3" s="1"/>
  <c r="N81" i="3" s="1"/>
  <c r="AD81" i="3"/>
  <c r="L81" i="3"/>
  <c r="K81" i="3"/>
  <c r="K67" i="3" s="1"/>
  <c r="J81" i="3"/>
  <c r="I81" i="3"/>
  <c r="H81" i="3"/>
  <c r="G81" i="3"/>
  <c r="G67" i="3" s="1"/>
  <c r="AD76" i="3"/>
  <c r="AD75" i="3"/>
  <c r="J71" i="3" s="1"/>
  <c r="E71" i="3" s="1"/>
  <c r="M71" i="3" s="1"/>
  <c r="N71" i="3" s="1"/>
  <c r="AD74" i="3"/>
  <c r="AD71" i="3" s="1"/>
  <c r="L71" i="3"/>
  <c r="K71" i="3"/>
  <c r="I71" i="3"/>
  <c r="H71" i="3"/>
  <c r="G71" i="3"/>
  <c r="F71" i="3"/>
  <c r="AD69" i="3"/>
  <c r="AD68" i="3" s="1"/>
  <c r="AD67" i="3" s="1"/>
  <c r="L68" i="3"/>
  <c r="K68" i="3"/>
  <c r="J68" i="3"/>
  <c r="I68" i="3"/>
  <c r="I67" i="3" s="1"/>
  <c r="H68" i="3"/>
  <c r="G68" i="3"/>
  <c r="F68" i="3"/>
  <c r="F67" i="3" s="1"/>
  <c r="E68" i="3"/>
  <c r="M68" i="3" s="1"/>
  <c r="N68" i="3" s="1"/>
  <c r="H67" i="3"/>
  <c r="AD65" i="3"/>
  <c r="J63" i="3" s="1"/>
  <c r="E63" i="3" s="1"/>
  <c r="M63" i="3" s="1"/>
  <c r="N63" i="3" s="1"/>
  <c r="AD64" i="3"/>
  <c r="AD63" i="3" s="1"/>
  <c r="L63" i="3"/>
  <c r="K63" i="3"/>
  <c r="I63" i="3"/>
  <c r="H63" i="3"/>
  <c r="G63" i="3"/>
  <c r="F63" i="3"/>
  <c r="N61" i="3"/>
  <c r="L61" i="3"/>
  <c r="L58" i="3" s="1"/>
  <c r="K61" i="3"/>
  <c r="J61" i="3"/>
  <c r="I61" i="3"/>
  <c r="H61" i="3"/>
  <c r="H58" i="3" s="1"/>
  <c r="G61" i="3"/>
  <c r="F61" i="3"/>
  <c r="E61" i="3" s="1"/>
  <c r="M61" i="3" s="1"/>
  <c r="AD59" i="3"/>
  <c r="N59" i="3"/>
  <c r="L59" i="3"/>
  <c r="K59" i="3"/>
  <c r="K58" i="3" s="1"/>
  <c r="J59" i="3"/>
  <c r="J58" i="3" s="1"/>
  <c r="I59" i="3"/>
  <c r="H59" i="3"/>
  <c r="G59" i="3"/>
  <c r="G58" i="3" s="1"/>
  <c r="F59" i="3"/>
  <c r="E59" i="3" s="1"/>
  <c r="I58" i="3"/>
  <c r="AD56" i="3"/>
  <c r="AD55" i="3"/>
  <c r="AD54" i="3"/>
  <c r="AD53" i="3"/>
  <c r="K50" i="3" s="1"/>
  <c r="K6" i="3" s="1"/>
  <c r="K5" i="3" s="1"/>
  <c r="K4" i="3" s="1"/>
  <c r="AD52" i="3"/>
  <c r="AD51" i="3"/>
  <c r="L50" i="3"/>
  <c r="J50" i="3"/>
  <c r="I50" i="3"/>
  <c r="H50" i="3"/>
  <c r="G50" i="3"/>
  <c r="F50" i="3"/>
  <c r="E50" i="3"/>
  <c r="M50" i="3" s="1"/>
  <c r="AD47" i="3"/>
  <c r="L30" i="3"/>
  <c r="K30" i="3"/>
  <c r="J30" i="3"/>
  <c r="I30" i="3"/>
  <c r="H30" i="3"/>
  <c r="G30" i="3"/>
  <c r="L27" i="3"/>
  <c r="K27" i="3"/>
  <c r="J27" i="3"/>
  <c r="I27" i="3"/>
  <c r="H27" i="3"/>
  <c r="G27" i="3"/>
  <c r="AD25" i="3"/>
  <c r="AD24" i="3"/>
  <c r="AD23" i="3"/>
  <c r="AD21" i="3"/>
  <c r="AD20" i="3"/>
  <c r="AD17" i="3"/>
  <c r="AD16" i="3"/>
  <c r="L14" i="3"/>
  <c r="K14" i="3"/>
  <c r="J14" i="3"/>
  <c r="I14" i="3"/>
  <c r="I6" i="3" s="1"/>
  <c r="I5" i="3" s="1"/>
  <c r="H14" i="3"/>
  <c r="G14" i="3"/>
  <c r="AD12" i="3"/>
  <c r="AD11" i="3"/>
  <c r="N11" i="3"/>
  <c r="L11" i="3"/>
  <c r="K11" i="3"/>
  <c r="J11" i="3"/>
  <c r="I11" i="3"/>
  <c r="H11" i="3"/>
  <c r="G11" i="3"/>
  <c r="F11" i="3"/>
  <c r="E11" i="3"/>
  <c r="M11" i="3" s="1"/>
  <c r="AD9" i="3"/>
  <c r="AD8" i="3"/>
  <c r="AD7" i="3" s="1"/>
  <c r="L7" i="3"/>
  <c r="L6" i="3" s="1"/>
  <c r="K7" i="3"/>
  <c r="J7" i="3"/>
  <c r="J6" i="3" s="1"/>
  <c r="I7" i="3"/>
  <c r="H7" i="3"/>
  <c r="H6" i="3" s="1"/>
  <c r="H5" i="3" s="1"/>
  <c r="G7" i="3"/>
  <c r="F7" i="3"/>
  <c r="G6" i="3"/>
  <c r="G5" i="3" s="1"/>
  <c r="W83" i="2"/>
  <c r="E83" i="2" s="1"/>
  <c r="D82" i="2"/>
  <c r="W75" i="2"/>
  <c r="E75" i="2" s="1"/>
  <c r="E74" i="2" s="1"/>
  <c r="D74" i="2"/>
  <c r="W72" i="2"/>
  <c r="E72" i="2" s="1"/>
  <c r="D72" i="2"/>
  <c r="G72" i="2" s="1"/>
  <c r="W71" i="2"/>
  <c r="E68" i="2"/>
  <c r="D68" i="2"/>
  <c r="G68" i="2" s="1"/>
  <c r="W67" i="2"/>
  <c r="W64" i="2"/>
  <c r="E64" i="2" s="1"/>
  <c r="D63" i="2"/>
  <c r="W60" i="2"/>
  <c r="W59" i="2"/>
  <c r="W58" i="2"/>
  <c r="E58" i="2" s="1"/>
  <c r="F58" i="2" s="1"/>
  <c r="G58" i="2" s="1"/>
  <c r="W55" i="2"/>
  <c r="E55" i="2" s="1"/>
  <c r="F55" i="2" s="1"/>
  <c r="G55" i="2" s="1"/>
  <c r="W52" i="2"/>
  <c r="D52" i="2"/>
  <c r="W49" i="2"/>
  <c r="E49" i="2" s="1"/>
  <c r="F49" i="2" s="1"/>
  <c r="G49" i="2" s="1"/>
  <c r="F45" i="2"/>
  <c r="E45" i="2"/>
  <c r="D45" i="2"/>
  <c r="G45" i="2" s="1"/>
  <c r="W44" i="2"/>
  <c r="W40" i="2" s="1"/>
  <c r="G44" i="2"/>
  <c r="E44" i="2"/>
  <c r="F44" i="2" s="1"/>
  <c r="D44" i="2"/>
  <c r="E42" i="2"/>
  <c r="F42" i="2" s="1"/>
  <c r="D42" i="2"/>
  <c r="G42" i="2" s="1"/>
  <c r="W41" i="2"/>
  <c r="D41" i="2"/>
  <c r="G41" i="2" s="1"/>
  <c r="W38" i="2"/>
  <c r="W37" i="2" s="1"/>
  <c r="E37" i="2" s="1"/>
  <c r="D36" i="2"/>
  <c r="W34" i="2"/>
  <c r="W31" i="2" s="1"/>
  <c r="D34" i="2"/>
  <c r="G34" i="2" s="1"/>
  <c r="W32" i="2"/>
  <c r="E32" i="2"/>
  <c r="F32" i="2" s="1"/>
  <c r="D32" i="2"/>
  <c r="D31" i="2" s="1"/>
  <c r="E28" i="2"/>
  <c r="F28" i="2" s="1"/>
  <c r="G28" i="2" s="1"/>
  <c r="W27" i="2"/>
  <c r="D27" i="2"/>
  <c r="W25" i="2"/>
  <c r="W24" i="2"/>
  <c r="L23" i="2"/>
  <c r="W23" i="2" s="1"/>
  <c r="D21" i="2"/>
  <c r="W19" i="2"/>
  <c r="W18" i="2"/>
  <c r="L17" i="2"/>
  <c r="W17" i="2" s="1"/>
  <c r="D15" i="2"/>
  <c r="G12" i="2"/>
  <c r="F12" i="2"/>
  <c r="W9" i="2"/>
  <c r="E9" i="2" s="1"/>
  <c r="F9" i="2" s="1"/>
  <c r="G9" i="2"/>
  <c r="D9" i="2"/>
  <c r="W7" i="2"/>
  <c r="E7" i="2" s="1"/>
  <c r="D7" i="2"/>
  <c r="G7" i="2" s="1"/>
  <c r="W6" i="2"/>
  <c r="W5" i="2" s="1"/>
  <c r="K28" i="1"/>
  <c r="K27" i="1"/>
  <c r="J27" i="1"/>
  <c r="I27" i="1"/>
  <c r="K26" i="1"/>
  <c r="K25" i="1"/>
  <c r="J25" i="1"/>
  <c r="I25" i="1"/>
  <c r="K24" i="1"/>
  <c r="K23" i="1"/>
  <c r="J23" i="1"/>
  <c r="I23" i="1"/>
  <c r="F23" i="1"/>
  <c r="F22" i="1" s="1"/>
  <c r="K22" i="1"/>
  <c r="E22" i="1"/>
  <c r="D22" i="1"/>
  <c r="K21" i="1"/>
  <c r="F21" i="1"/>
  <c r="K20" i="1"/>
  <c r="F20" i="1"/>
  <c r="E20" i="1"/>
  <c r="D20" i="1"/>
  <c r="K19" i="1"/>
  <c r="F19" i="1"/>
  <c r="F18" i="1" s="1"/>
  <c r="K18" i="1"/>
  <c r="E18" i="1"/>
  <c r="D18" i="1"/>
  <c r="K17" i="1"/>
  <c r="K16" i="1" s="1"/>
  <c r="F17" i="1"/>
  <c r="J16" i="1"/>
  <c r="I16" i="1"/>
  <c r="F16" i="1"/>
  <c r="K15" i="1"/>
  <c r="F15" i="1"/>
  <c r="E15" i="1"/>
  <c r="D15" i="1"/>
  <c r="K14" i="1"/>
  <c r="F14" i="1"/>
  <c r="K13" i="1"/>
  <c r="K12" i="1" s="1"/>
  <c r="F13" i="1"/>
  <c r="J12" i="1"/>
  <c r="I12" i="1"/>
  <c r="F12" i="1"/>
  <c r="K11" i="1"/>
  <c r="F11" i="1"/>
  <c r="F10" i="1" s="1"/>
  <c r="F7" i="1" s="1"/>
  <c r="K10" i="1"/>
  <c r="E10" i="1"/>
  <c r="D10" i="1"/>
  <c r="K9" i="1"/>
  <c r="K8" i="1" s="1"/>
  <c r="K7" i="1" s="1"/>
  <c r="F9" i="1"/>
  <c r="J8" i="1"/>
  <c r="J7" i="1" s="1"/>
  <c r="I8" i="1"/>
  <c r="I7" i="1" s="1"/>
  <c r="F8" i="1"/>
  <c r="E8" i="1"/>
  <c r="D8" i="1"/>
  <c r="D7" i="1" s="1"/>
  <c r="E7" i="1"/>
  <c r="F83" i="2" l="1"/>
  <c r="G83" i="2" s="1"/>
  <c r="E82" i="2"/>
  <c r="F82" i="2" s="1"/>
  <c r="G82" i="2" s="1"/>
  <c r="F64" i="2"/>
  <c r="G64" i="2" s="1"/>
  <c r="E63" i="2"/>
  <c r="F63" i="2" s="1"/>
  <c r="G63" i="2" s="1"/>
  <c r="F7" i="2"/>
  <c r="W22" i="2"/>
  <c r="E22" i="2" s="1"/>
  <c r="F22" i="2" s="1"/>
  <c r="G22" i="2" s="1"/>
  <c r="E41" i="2"/>
  <c r="W63" i="2"/>
  <c r="D67" i="2"/>
  <c r="G67" i="2" s="1"/>
  <c r="F75" i="2"/>
  <c r="G75" i="2" s="1"/>
  <c r="D71" i="2"/>
  <c r="G71" i="2" s="1"/>
  <c r="F74" i="2"/>
  <c r="W82" i="2"/>
  <c r="D11" i="2"/>
  <c r="D30" i="2"/>
  <c r="W16" i="2"/>
  <c r="E16" i="2" s="1"/>
  <c r="F16" i="2" s="1"/>
  <c r="G16" i="2" s="1"/>
  <c r="F37" i="2"/>
  <c r="G37" i="2" s="1"/>
  <c r="E36" i="2"/>
  <c r="F36" i="2" s="1"/>
  <c r="G36" i="2" s="1"/>
  <c r="E5" i="2"/>
  <c r="E34" i="2"/>
  <c r="F34" i="2" s="1"/>
  <c r="W36" i="2"/>
  <c r="W30" i="2" s="1"/>
  <c r="E30" i="2" s="1"/>
  <c r="AD15" i="3"/>
  <c r="F14" i="3"/>
  <c r="E14" i="3" s="1"/>
  <c r="M14" i="3" s="1"/>
  <c r="N14" i="3" s="1"/>
  <c r="J67" i="3"/>
  <c r="J5" i="3" s="1"/>
  <c r="J4" i="3" s="1"/>
  <c r="E93" i="3"/>
  <c r="M93" i="3" s="1"/>
  <c r="N93" i="3" s="1"/>
  <c r="E27" i="2"/>
  <c r="F27" i="2" s="1"/>
  <c r="G27" i="2" s="1"/>
  <c r="W48" i="2"/>
  <c r="W47" i="2" s="1"/>
  <c r="E52" i="2"/>
  <c r="E178" i="3"/>
  <c r="M178" i="3" s="1"/>
  <c r="M179" i="3"/>
  <c r="G74" i="2"/>
  <c r="G52" i="2"/>
  <c r="D48" i="2"/>
  <c r="F68" i="2"/>
  <c r="E67" i="2"/>
  <c r="F67" i="2" s="1"/>
  <c r="E71" i="2"/>
  <c r="F72" i="2"/>
  <c r="E58" i="3"/>
  <c r="M58" i="3" s="1"/>
  <c r="N58" i="3" s="1"/>
  <c r="M59" i="3"/>
  <c r="AD58" i="3"/>
  <c r="AD141" i="3"/>
  <c r="D40" i="2"/>
  <c r="G40" i="2" s="1"/>
  <c r="W74" i="2"/>
  <c r="W70" i="2" s="1"/>
  <c r="E7" i="3"/>
  <c r="AD19" i="3"/>
  <c r="E113" i="3"/>
  <c r="M113" i="3" s="1"/>
  <c r="N113" i="3" s="1"/>
  <c r="AD119" i="3"/>
  <c r="E131" i="3"/>
  <c r="M131" i="3" s="1"/>
  <c r="N131" i="3" s="1"/>
  <c r="E134" i="3"/>
  <c r="M134" i="3" s="1"/>
  <c r="N134" i="3" s="1"/>
  <c r="E138" i="3"/>
  <c r="M138" i="3" s="1"/>
  <c r="N138" i="3" s="1"/>
  <c r="E181" i="3"/>
  <c r="M181" i="3" s="1"/>
  <c r="N181" i="3" s="1"/>
  <c r="M182" i="3"/>
  <c r="N182" i="3" s="1"/>
  <c r="AD50" i="3"/>
  <c r="F58" i="3"/>
  <c r="L97" i="3"/>
  <c r="L67" i="3" s="1"/>
  <c r="L5" i="3" s="1"/>
  <c r="L4" i="3" s="1"/>
  <c r="E106" i="3"/>
  <c r="H141" i="3"/>
  <c r="H119" i="3" s="1"/>
  <c r="H4" i="3" s="1"/>
  <c r="J166" i="3"/>
  <c r="E166" i="3" s="1"/>
  <c r="M166" i="3" s="1"/>
  <c r="N166" i="3" s="1"/>
  <c r="E171" i="3"/>
  <c r="M171" i="3" s="1"/>
  <c r="N171" i="3" s="1"/>
  <c r="G178" i="3"/>
  <c r="G4" i="3" s="1"/>
  <c r="F181" i="3"/>
  <c r="F121" i="3"/>
  <c r="J142" i="3"/>
  <c r="J141" i="3" s="1"/>
  <c r="J119" i="3" s="1"/>
  <c r="J157" i="3"/>
  <c r="E157" i="3" s="1"/>
  <c r="M157" i="3" s="1"/>
  <c r="N157" i="3" s="1"/>
  <c r="W15" i="2" l="1"/>
  <c r="E15" i="2" s="1"/>
  <c r="F15" i="2" s="1"/>
  <c r="G15" i="2" s="1"/>
  <c r="W21" i="2"/>
  <c r="E21" i="2" s="1"/>
  <c r="F21" i="2" s="1"/>
  <c r="G21" i="2" s="1"/>
  <c r="F41" i="2"/>
  <c r="E40" i="2"/>
  <c r="D70" i="2"/>
  <c r="F30" i="2"/>
  <c r="G30" i="2" s="1"/>
  <c r="E142" i="3"/>
  <c r="F120" i="3"/>
  <c r="F119" i="3" s="1"/>
  <c r="E121" i="3"/>
  <c r="F71" i="2"/>
  <c r="E70" i="2"/>
  <c r="F70" i="2" s="1"/>
  <c r="G70" i="2" s="1"/>
  <c r="F40" i="2"/>
  <c r="M7" i="3"/>
  <c r="N7" i="3" s="1"/>
  <c r="D47" i="2"/>
  <c r="E31" i="2"/>
  <c r="F31" i="2" s="1"/>
  <c r="F52" i="2"/>
  <c r="E48" i="2"/>
  <c r="E97" i="3"/>
  <c r="AD14" i="3"/>
  <c r="F5" i="2"/>
  <c r="E105" i="3"/>
  <c r="M105" i="3" s="1"/>
  <c r="N105" i="3" s="1"/>
  <c r="M106" i="3"/>
  <c r="N106" i="3" s="1"/>
  <c r="W11" i="2" l="1"/>
  <c r="E11" i="2" s="1"/>
  <c r="S28" i="3"/>
  <c r="W4" i="2"/>
  <c r="M97" i="3"/>
  <c r="N97" i="3" s="1"/>
  <c r="E67" i="3"/>
  <c r="M67" i="3" s="1"/>
  <c r="N67" i="3" s="1"/>
  <c r="D4" i="2"/>
  <c r="G5" i="2"/>
  <c r="F48" i="2"/>
  <c r="G48" i="2" s="1"/>
  <c r="E47" i="2"/>
  <c r="F47" i="2" s="1"/>
  <c r="G47" i="2" s="1"/>
  <c r="E120" i="3"/>
  <c r="M121" i="3"/>
  <c r="N121" i="3" s="1"/>
  <c r="E141" i="3"/>
  <c r="M141" i="3" s="1"/>
  <c r="N141" i="3" s="1"/>
  <c r="M142" i="3"/>
  <c r="N142" i="3" s="1"/>
  <c r="F11" i="2" l="1"/>
  <c r="E4" i="2"/>
  <c r="E119" i="3"/>
  <c r="M120" i="3"/>
  <c r="S33" i="3"/>
  <c r="AD28" i="3"/>
  <c r="AD27" i="3" l="1"/>
  <c r="F27" i="3"/>
  <c r="AD33" i="3"/>
  <c r="S36" i="3"/>
  <c r="N120" i="3"/>
  <c r="M119" i="3"/>
  <c r="N119" i="3" s="1"/>
  <c r="G11" i="2"/>
  <c r="F4" i="2"/>
  <c r="G4" i="2" s="1"/>
  <c r="AD32" i="3" l="1"/>
  <c r="E27" i="3"/>
  <c r="S42" i="3"/>
  <c r="AD36" i="3"/>
  <c r="M27" i="3" l="1"/>
  <c r="N27" i="3" s="1"/>
  <c r="AD42" i="3"/>
  <c r="AD41" i="3" s="1"/>
  <c r="S45" i="3"/>
  <c r="AD45" i="3" s="1"/>
  <c r="AD44" i="3" s="1"/>
  <c r="S39" i="3"/>
  <c r="AD39" i="3" s="1"/>
  <c r="AD35" i="3"/>
  <c r="AD38" i="3" l="1"/>
  <c r="AD30" i="3" s="1"/>
  <c r="AD6" i="3" s="1"/>
  <c r="AD5" i="3" s="1"/>
  <c r="AD4" i="3" s="1"/>
  <c r="F30" i="3"/>
  <c r="E30" i="3" l="1"/>
  <c r="F6" i="3"/>
  <c r="F5" i="3" s="1"/>
  <c r="F4" i="3" s="1"/>
  <c r="M30" i="3" l="1"/>
  <c r="N30" i="3" s="1"/>
  <c r="E6" i="3"/>
  <c r="E5" i="3" l="1"/>
  <c r="M6" i="3"/>
  <c r="N6" i="3" s="1"/>
  <c r="M5" i="3" l="1"/>
  <c r="N5" i="3" s="1"/>
  <c r="E4" i="3"/>
  <c r="M4" i="3" s="1"/>
  <c r="N4" i="3" s="1"/>
</calcChain>
</file>

<file path=xl/sharedStrings.xml><?xml version="1.0" encoding="utf-8"?>
<sst xmlns="http://schemas.openxmlformats.org/spreadsheetml/2006/main" count="1118" uniqueCount="342">
  <si>
    <t>산               출                기               초</t>
  </si>
  <si>
    <t xml:space="preserve">                                                                                    </t>
  </si>
  <si>
    <t>산              출               기              초</t>
  </si>
  <si>
    <t>□ 2022년도 본예산 세 입 · 세 출 총  괄  표</t>
  </si>
  <si>
    <t>※ 총 계</t>
  </si>
  <si>
    <t>* 차량유류대</t>
  </si>
  <si>
    <t>※ 회의비</t>
  </si>
  <si>
    <t>입   소</t>
  </si>
  <si>
    <t>※ 피복비</t>
  </si>
  <si>
    <t>수용기관</t>
  </si>
  <si>
    <t>후원금  수입</t>
  </si>
  <si>
    <t>시설장비유지비</t>
  </si>
  <si>
    <t xml:space="preserve">총  괄 : </t>
  </si>
  <si>
    <t>* 피복비</t>
  </si>
  <si>
    <t>국고보조금</t>
  </si>
  <si>
    <t>일용잡급</t>
  </si>
  <si>
    <t>※ 제세공과금</t>
  </si>
  <si>
    <t>※ 직책보조비</t>
  </si>
  <si>
    <t>기타 보조금</t>
  </si>
  <si>
    <t>(후원)</t>
  </si>
  <si>
    <t>소  계</t>
  </si>
  <si>
    <t>시군구보조금</t>
  </si>
  <si>
    <t>※ 의료비</t>
  </si>
  <si>
    <t>시설장비</t>
  </si>
  <si>
    <t>수  입</t>
  </si>
  <si>
    <t>기관운영비</t>
  </si>
  <si>
    <t>※ 기관운영비</t>
  </si>
  <si>
    <t>운동지원</t>
  </si>
  <si>
    <t>* 여름나들이</t>
  </si>
  <si>
    <t>재   산</t>
  </si>
  <si>
    <t>시도보조금</t>
  </si>
  <si>
    <t>입  소</t>
  </si>
  <si>
    <t>입소비용수입</t>
  </si>
  <si>
    <t>※ 자산취득비</t>
  </si>
  <si>
    <t>계
(B)</t>
  </si>
  <si>
    <t>소계 :</t>
  </si>
  <si>
    <t>※ 사업수입</t>
  </si>
  <si>
    <t>* 봄나들이</t>
  </si>
  <si>
    <t>직책보조비</t>
  </si>
  <si>
    <t>* 자치회의</t>
  </si>
  <si>
    <t>* 송년회</t>
  </si>
  <si>
    <t>업   무</t>
  </si>
  <si>
    <t>※이 월 금</t>
  </si>
  <si>
    <t>보조금반환</t>
  </si>
  <si>
    <t>기타운영비</t>
  </si>
  <si>
    <t>비율(%)</t>
  </si>
  <si>
    <t>프로그램</t>
  </si>
  <si>
    <t>&lt;지정후원금&gt;</t>
  </si>
  <si>
    <t>차  량  비</t>
  </si>
  <si>
    <t>* 간식비</t>
  </si>
  <si>
    <t>공공요금</t>
  </si>
  <si>
    <t>※법인 전입금</t>
  </si>
  <si>
    <t>자치회의</t>
  </si>
  <si>
    <t>※ 여비</t>
  </si>
  <si>
    <t>업무추진비</t>
  </si>
  <si>
    <t>※기본급</t>
  </si>
  <si>
    <t>* 노래방</t>
  </si>
  <si>
    <t>자산취득비</t>
  </si>
  <si>
    <t>※ 예비비</t>
  </si>
  <si>
    <t>* 부활나눔</t>
  </si>
  <si>
    <t>※ 차량비</t>
  </si>
  <si>
    <t>보조금 반환금</t>
  </si>
  <si>
    <t>※ 기타운영비</t>
  </si>
  <si>
    <t>보조금  수입</t>
  </si>
  <si>
    <t>※ 잡지출</t>
  </si>
  <si>
    <t>비  용</t>
  </si>
  <si>
    <t>※ 퇴직적립금</t>
  </si>
  <si>
    <t>입소자
부담금</t>
  </si>
  <si>
    <t>※ 제수당</t>
  </si>
  <si>
    <t>※ 시설비</t>
  </si>
  <si>
    <t>소     계</t>
  </si>
  <si>
    <t>※ 연료비</t>
  </si>
  <si>
    <t>지원사업비</t>
  </si>
  <si>
    <t>문화생활</t>
  </si>
  <si>
    <t>※ 일용잡급</t>
  </si>
  <si>
    <t>※ 공공요금</t>
  </si>
  <si>
    <t>재산조성비</t>
  </si>
  <si>
    <t>23호봉</t>
  </si>
  <si>
    <t>기타후생</t>
  </si>
  <si>
    <t>제세공과금</t>
  </si>
  <si>
    <t>합   계 :</t>
  </si>
  <si>
    <t>총  계 :</t>
  </si>
  <si>
    <t>교육지원</t>
  </si>
  <si>
    <t>* 영화관람</t>
  </si>
  <si>
    <t>* 직원 연수</t>
  </si>
  <si>
    <t>※ 잡 수 입</t>
  </si>
  <si>
    <t>프로그램사업비</t>
  </si>
  <si>
    <t>사회보험</t>
  </si>
  <si>
    <t>22호봉</t>
  </si>
  <si>
    <t>1.명절휴가비</t>
  </si>
  <si>
    <t>※ 생계비</t>
  </si>
  <si>
    <t xml:space="preserve"> * 주부식비</t>
  </si>
  <si>
    <t>* 마라톤대회</t>
  </si>
  <si>
    <t>보조금(7종)</t>
  </si>
  <si>
    <t>세출총계</t>
  </si>
  <si>
    <t>합  계 :</t>
  </si>
  <si>
    <t>수용비및</t>
  </si>
  <si>
    <t>* 가을나들이</t>
  </si>
  <si>
    <t>회  의  비</t>
  </si>
  <si>
    <t>퇴직적립금</t>
  </si>
  <si>
    <t>(단위:원)</t>
  </si>
  <si>
    <t>법인
전입금</t>
  </si>
  <si>
    <t>소  계 :</t>
  </si>
  <si>
    <t>* 차량보험료</t>
  </si>
  <si>
    <t>&lt;운영비&gt;</t>
  </si>
  <si>
    <t>일상생활</t>
  </si>
  <si>
    <t>여    비</t>
  </si>
  <si>
    <t>※후원금수입</t>
  </si>
  <si>
    <t>※ 체크카드환급 및 직원 식대비</t>
  </si>
  <si>
    <t>2. 법인전입금 체크카드환급액</t>
  </si>
  <si>
    <t>* 시설안전종합보험(화재보험 포함)</t>
  </si>
  <si>
    <t>* 정수기 임대료 및 수질검사 등</t>
  </si>
  <si>
    <t>자 산   취 득 비</t>
  </si>
  <si>
    <t>* 이용인 생일</t>
  </si>
  <si>
    <t xml:space="preserve"> &lt;보조금이월금&gt;</t>
  </si>
  <si>
    <t>증      감</t>
  </si>
  <si>
    <t>예   비   비</t>
  </si>
  <si>
    <t>* 주부식비(부식)</t>
  </si>
  <si>
    <t>세       출</t>
  </si>
  <si>
    <t xml:space="preserve"> * 입소비용이월액</t>
  </si>
  <si>
    <t>4. 잡수입 이자수입</t>
  </si>
  <si>
    <t>※ 수용기관경비</t>
  </si>
  <si>
    <t xml:space="preserve"> * 냉난방비 이월액</t>
  </si>
  <si>
    <t>3.야간근로수당</t>
  </si>
  <si>
    <t xml:space="preserve"> &lt;불용품매각대&gt;</t>
  </si>
  <si>
    <t xml:space="preserve"> * 법인전입금이월액</t>
  </si>
  <si>
    <t>2.건강보험부담금</t>
  </si>
  <si>
    <t>2. 직원 식대</t>
  </si>
  <si>
    <t>* 특수건강검진</t>
  </si>
  <si>
    <t>1. 보조금 이자수입</t>
  </si>
  <si>
    <t>2022년 
본예산</t>
  </si>
  <si>
    <t>구        분</t>
  </si>
  <si>
    <t>총         계</t>
  </si>
  <si>
    <t>비지정   후원금</t>
  </si>
  <si>
    <t>6. 냉난방비지원</t>
  </si>
  <si>
    <t>법인      전입금</t>
  </si>
  <si>
    <t>7. 직원급식비</t>
  </si>
  <si>
    <t>* 밥솥 등 구입</t>
  </si>
  <si>
    <t xml:space="preserve"> &lt;이월 사업비&gt;</t>
  </si>
  <si>
    <t>지정   후원금</t>
  </si>
  <si>
    <t>※ 사회보험부담금</t>
  </si>
  <si>
    <t xml:space="preserve"> &lt;기타잡수입&gt;</t>
  </si>
  <si>
    <t>5. 후원금 이자수입</t>
  </si>
  <si>
    <t>소      계</t>
  </si>
  <si>
    <t>이    월    금</t>
  </si>
  <si>
    <t>※ 입소비용수입</t>
  </si>
  <si>
    <t>보조금
(도비)</t>
  </si>
  <si>
    <t>* 이용인 직장방문</t>
  </si>
  <si>
    <t>1.국민연금부담금</t>
  </si>
  <si>
    <t>5.산업재해보험부담금</t>
  </si>
  <si>
    <t>1. 직원 교육훈련비</t>
  </si>
  <si>
    <t>사   무   비</t>
  </si>
  <si>
    <t>보조금
(시비)</t>
  </si>
  <si>
    <t>※ 보조금수입 합계</t>
  </si>
  <si>
    <t>※ 기타후생경비</t>
  </si>
  <si>
    <t>전    입    금</t>
  </si>
  <si>
    <t xml:space="preserve"> &lt;기타예금이자수입&gt;</t>
  </si>
  <si>
    <t>* 후원금 예금이자</t>
  </si>
  <si>
    <t>* 사회재활교사</t>
  </si>
  <si>
    <t>* 요리프로그램</t>
  </si>
  <si>
    <t>* 입소비용수입</t>
  </si>
  <si>
    <t xml:space="preserve"> &lt;잡수입이월금&gt;</t>
  </si>
  <si>
    <t>* 기타 수용기관경비</t>
  </si>
  <si>
    <t>* 프린트 임대료</t>
  </si>
  <si>
    <t xml:space="preserve"> &lt;법인 전입금&gt;</t>
  </si>
  <si>
    <t>6. 사회보험정산금</t>
  </si>
  <si>
    <t>사   업   비</t>
  </si>
  <si>
    <t>전년도   이월금</t>
  </si>
  <si>
    <t>보조금   반납금</t>
  </si>
  <si>
    <t>&lt;비지정후원금&gt;</t>
  </si>
  <si>
    <t>* 마르따영화관</t>
  </si>
  <si>
    <t>※ 시설장비유지비</t>
  </si>
  <si>
    <t xml:space="preserve"> &lt;후원금이월금&gt;</t>
  </si>
  <si>
    <t>2.연장근로수당</t>
  </si>
  <si>
    <t>* CCTV 임대료</t>
  </si>
  <si>
    <t>합        계</t>
  </si>
  <si>
    <t>경      비</t>
  </si>
  <si>
    <t>3.장기요양보험부담금</t>
  </si>
  <si>
    <t>입소비용   수입</t>
  </si>
  <si>
    <t>* 회의 다과비</t>
  </si>
  <si>
    <t>* 독감예방접종</t>
  </si>
  <si>
    <t>합    계 :</t>
  </si>
  <si>
    <t xml:space="preserve"> * 후원금이월액</t>
  </si>
  <si>
    <t>* 가스안전점검비</t>
  </si>
  <si>
    <t>※ 수용비및수수료</t>
  </si>
  <si>
    <t xml:space="preserve"> &lt;입소비용이월금&gt;</t>
  </si>
  <si>
    <t>* 전기안전점검비</t>
  </si>
  <si>
    <t>* 시설당 기본지원</t>
  </si>
  <si>
    <t xml:space="preserve">  *결연후원금</t>
  </si>
  <si>
    <t xml:space="preserve"> &lt;법인전입금이월금&gt;</t>
  </si>
  <si>
    <t>금액
(B-A)</t>
  </si>
  <si>
    <t>* 신원보증보험갱신</t>
  </si>
  <si>
    <t>* 입소비용 예금이자</t>
  </si>
  <si>
    <t>업 무   추 진 비</t>
  </si>
  <si>
    <t>잡   지   출</t>
  </si>
  <si>
    <t>* 소방안전교육</t>
  </si>
  <si>
    <t>※ 예금이자수입</t>
  </si>
  <si>
    <t>* 입소자 건강진단비</t>
  </si>
  <si>
    <t>세       입</t>
  </si>
  <si>
    <t xml:space="preserve">  *후원금 수입</t>
  </si>
  <si>
    <t xml:space="preserve"> &lt;전년도 이월금&gt;</t>
  </si>
  <si>
    <t>4.고용보험부담금</t>
  </si>
  <si>
    <t>* 아파트관리비</t>
  </si>
  <si>
    <t>※ 과년도 수입</t>
  </si>
  <si>
    <t>* 월동대책비(김장)</t>
  </si>
  <si>
    <t>수용기관   경비</t>
  </si>
  <si>
    <t>* 잡수입 예금이자</t>
  </si>
  <si>
    <t>잡    수    입</t>
  </si>
  <si>
    <t>* 7종 보조금 잔액</t>
  </si>
  <si>
    <t>* 취사용 연료비</t>
  </si>
  <si>
    <t>불용품</t>
  </si>
  <si>
    <t>수 입</t>
  </si>
  <si>
    <t>항</t>
  </si>
  <si>
    <t>이월금</t>
  </si>
  <si>
    <t>사업비</t>
  </si>
  <si>
    <t>시군구</t>
  </si>
  <si>
    <t>시설비</t>
  </si>
  <si>
    <t>피복비</t>
  </si>
  <si>
    <t>원</t>
  </si>
  <si>
    <t>잡수</t>
  </si>
  <si>
    <t>급여</t>
  </si>
  <si>
    <t>법인</t>
  </si>
  <si>
    <t>전입금</t>
  </si>
  <si>
    <t>소계:</t>
  </si>
  <si>
    <t>추진비</t>
  </si>
  <si>
    <t>조성비</t>
  </si>
  <si>
    <t>회</t>
  </si>
  <si>
    <t>시비</t>
  </si>
  <si>
    <t>매각대</t>
  </si>
  <si>
    <t>제수당</t>
  </si>
  <si>
    <t xml:space="preserve"> </t>
  </si>
  <si>
    <t>생계비</t>
  </si>
  <si>
    <t>유지비</t>
  </si>
  <si>
    <t>시 도</t>
  </si>
  <si>
    <t>기타</t>
  </si>
  <si>
    <t>=</t>
  </si>
  <si>
    <t>비지정</t>
  </si>
  <si>
    <t>후원</t>
  </si>
  <si>
    <t>후원금</t>
  </si>
  <si>
    <t>예비비</t>
  </si>
  <si>
    <t>금이자</t>
  </si>
  <si>
    <t>경비</t>
  </si>
  <si>
    <t>목</t>
  </si>
  <si>
    <t>기 타</t>
  </si>
  <si>
    <t>국 고</t>
  </si>
  <si>
    <t>합계:</t>
  </si>
  <si>
    <t>이 월</t>
  </si>
  <si>
    <t>사 업</t>
  </si>
  <si>
    <t>수수료</t>
  </si>
  <si>
    <t>계:</t>
  </si>
  <si>
    <t>과년도</t>
  </si>
  <si>
    <t>증감</t>
  </si>
  <si>
    <t>월</t>
  </si>
  <si>
    <t>잡수입</t>
  </si>
  <si>
    <t>반환금</t>
  </si>
  <si>
    <t>부담금</t>
  </si>
  <si>
    <t>나들이</t>
  </si>
  <si>
    <t>관</t>
  </si>
  <si>
    <t>계</t>
  </si>
  <si>
    <t>소계</t>
  </si>
  <si>
    <t>÷</t>
  </si>
  <si>
    <t>보조금</t>
  </si>
  <si>
    <t>7종</t>
  </si>
  <si>
    <t>연료비</t>
  </si>
  <si>
    <t>기타예</t>
  </si>
  <si>
    <t>의료비</t>
  </si>
  <si>
    <t>인건비</t>
  </si>
  <si>
    <t>운영비</t>
  </si>
  <si>
    <t>지 정</t>
  </si>
  <si>
    <t>보조</t>
  </si>
  <si>
    <t>사무비</t>
  </si>
  <si>
    <t>명</t>
  </si>
  <si>
    <t>×</t>
  </si>
  <si>
    <t>전년도</t>
  </si>
  <si>
    <t>입소</t>
  </si>
  <si>
    <t>잡지출</t>
  </si>
  <si>
    <t>* 법인전입금 체크카드환급액</t>
  </si>
  <si>
    <t>2021년 
1차추경예산</t>
  </si>
  <si>
    <t>* 명절선물(설, 추석)</t>
  </si>
  <si>
    <t>1. 보조금 체크카드환급금</t>
  </si>
  <si>
    <t xml:space="preserve"> &lt;시군구 보조금 합계&gt;</t>
  </si>
  <si>
    <t xml:space="preserve"> &lt;지정 후원금 합계&gt;</t>
  </si>
  <si>
    <t>연      료      비</t>
  </si>
  <si>
    <t>3. 입소비용 이자수입</t>
  </si>
  <si>
    <t>* 전화료 및 인터넷 요금</t>
  </si>
  <si>
    <t xml:space="preserve"> &lt;시도 보조금 합계&gt;</t>
  </si>
  <si>
    <t>시      설      비</t>
  </si>
  <si>
    <t>* 운영위원회 참석수당</t>
  </si>
  <si>
    <t>* 법인전입금 예금이자</t>
  </si>
  <si>
    <t>* 입소비용 체크카드환급액</t>
  </si>
  <si>
    <t>예      비      비</t>
  </si>
  <si>
    <t xml:space="preserve"> &lt;전년도이월금(후원금)&gt;</t>
  </si>
  <si>
    <t>* 보조금 운영비 잔액</t>
  </si>
  <si>
    <t>* 기타 수용비 및 수수료</t>
  </si>
  <si>
    <t xml:space="preserve"> &lt;법인 전입금(후원금)&gt;</t>
  </si>
  <si>
    <t>* 7종 보조금 예금이자</t>
  </si>
  <si>
    <t>과            목</t>
  </si>
  <si>
    <t>* 환경개선사업(7종)</t>
  </si>
  <si>
    <t>* 잡수입 체크카드환급액</t>
  </si>
  <si>
    <t>* 사회적응(키오스크)</t>
  </si>
  <si>
    <t>총          계</t>
  </si>
  <si>
    <t>* 직원건강검진비(순수시비)</t>
  </si>
  <si>
    <t>잡      지      출</t>
  </si>
  <si>
    <t>* 주방식기류 및 그릇 보강</t>
  </si>
  <si>
    <t>* 기타 시설물 관리유지비</t>
  </si>
  <si>
    <t xml:space="preserve"> * 직원식대비 이월액</t>
  </si>
  <si>
    <t xml:space="preserve"> &lt;비지정 후원금 합계&gt;</t>
  </si>
  <si>
    <t xml:space="preserve"> &lt;국고 보조금 합계&gt;</t>
  </si>
  <si>
    <t>* 후원금 체크카드환급액</t>
  </si>
  <si>
    <t>인      건      비</t>
  </si>
  <si>
    <t>4. 잡수입 체크카드환급금</t>
  </si>
  <si>
    <t>※ 보조금 반환금(수원시)</t>
  </si>
  <si>
    <t>5. 후원금 체크카드환급금</t>
  </si>
  <si>
    <t xml:space="preserve"> * 교육 및 출장여비</t>
  </si>
  <si>
    <t>2. 법인전입금 이자수입</t>
  </si>
  <si>
    <t>운      영      비</t>
  </si>
  <si>
    <t>* 보조금 운영비 예금이자</t>
  </si>
  <si>
    <t>생      계      비</t>
  </si>
  <si>
    <t xml:space="preserve"> &lt;기타 보조금 합계&gt;</t>
  </si>
  <si>
    <t xml:space="preserve"> * 운영비보조금이월액</t>
  </si>
  <si>
    <t>* 환경개선사업비(7종)</t>
  </si>
  <si>
    <t>의      료      비</t>
  </si>
  <si>
    <t>* 자동차세 등 기타 공과금</t>
  </si>
  <si>
    <t>3. 입소비용 체크카드환급액</t>
  </si>
  <si>
    <t>잡      수      입</t>
  </si>
  <si>
    <t>피      복      비</t>
  </si>
  <si>
    <t>* 외래 진료비 및 의약품비</t>
  </si>
  <si>
    <t>* 사무용품비(문구류 )</t>
  </si>
  <si>
    <t>&lt;마르따의 집 2022년도 본예산 세출내역&gt;</t>
  </si>
  <si>
    <t xml:space="preserve"> * 기타잡수입 이월액(체크카드 환급수입 등)</t>
  </si>
  <si>
    <t>2021년
1차추경예산액(A)
(단위:천원)</t>
  </si>
  <si>
    <t>&lt;마르따의 집 2022년도 본예산 세입내역&gt;</t>
  </si>
  <si>
    <t>* 우편물발송료 및 택배료 등 기타 공공요금</t>
  </si>
  <si>
    <t>* 인건비 지원금(인건비Sheet참조)</t>
  </si>
  <si>
    <t>* 직원 축일 및 생일 축하 문화상품권</t>
  </si>
  <si>
    <t xml:space="preserve"> * 국립재활원, 한장협, 경장협 등 </t>
  </si>
  <si>
    <t>* 환경개선사업(7종) 소파, 거실장 구입</t>
  </si>
  <si>
    <t>* 생활용품구입비(치약,칫솔,화장지 등)</t>
  </si>
  <si>
    <t>2021년
1차예산액(A)
(단위:천원)</t>
  </si>
  <si>
    <t>2022년
본예산액(B)
(단위:천원)</t>
  </si>
  <si>
    <t>* 차량 정기검사/ 차량수리 및 정비비</t>
  </si>
  <si>
    <t>2022년 본예산액(B)(단위:천원)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</si>
</sst>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0%"/>
    <numFmt numFmtId="185" formatCode="0.0%"/>
    <numFmt numFmtId="187" formatCode="#,##0_ ;[Red]\-#,##0\ "/>
    <numFmt numFmtId="188" formatCode="#,##0.0;[Red]#,##0.0"/>
    <numFmt numFmtId="189" formatCode="#,##0&quot;×&quot;;\-#,##0&quot;원×&quot;"/>
    <numFmt numFmtId="190" formatCode="#,##0&quot;월&quot;;\-#,##0&quot;월&quot;"/>
    <numFmt numFmtId="191" formatCode="#,##0&quot;h×&quot;;\-#,##0&quot;h×&quot;"/>
    <numFmt numFmtId="192" formatCode="#,##0&quot;회&quot;;[Red]#,##0"/>
    <numFmt numFmtId="193" formatCode="#,##0&quot;명&quot;;[Red]#,##0"/>
  </numFmts>
  <fonts count="26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8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66CC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10"/>
      <color rgb="FF00008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9933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8">
    <xf numFmtId="0" fontId="0" fillId="0" borderId="0">
      <alignment vertical="center"/>
    </xf>
    <xf numFmtId="9" fontId="23" fillId="0" borderId="0">
      <alignment vertical="center"/>
    </xf>
    <xf numFmtId="41" fontId="23" fillId="0" borderId="0">
      <alignment vertical="center"/>
    </xf>
    <xf numFmtId="42" fontId="23" fillId="0" borderId="0">
      <alignment vertical="center"/>
    </xf>
    <xf numFmtId="41" fontId="1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</cellStyleXfs>
  <cellXfs count="447">
    <xf numFmtId="0" fontId="0" fillId="0" borderId="0" xfId="0">
      <alignment vertical="center"/>
    </xf>
    <xf numFmtId="0" fontId="1" fillId="0" borderId="0" xfId="6" applyNumberFormat="1">
      <alignment vertical="center"/>
    </xf>
    <xf numFmtId="0" fontId="2" fillId="0" borderId="0" xfId="6" applyNumberFormat="1" applyFont="1">
      <alignment vertical="center"/>
    </xf>
    <xf numFmtId="0" fontId="3" fillId="0" borderId="0" xfId="6" applyNumberFormat="1" applyFont="1" applyAlignment="1">
      <alignment horizontal="right"/>
    </xf>
    <xf numFmtId="0" fontId="1" fillId="0" borderId="1" xfId="6" applyNumberFormat="1" applyBorder="1" applyAlignment="1">
      <alignment horizontal="center" vertical="center"/>
    </xf>
    <xf numFmtId="41" fontId="0" fillId="0" borderId="1" xfId="4" applyNumberFormat="1" applyFont="1" applyBorder="1">
      <alignment vertical="center"/>
    </xf>
    <xf numFmtId="182" fontId="0" fillId="0" borderId="2" xfId="4" applyNumberFormat="1" applyFont="1" applyBorder="1">
      <alignment vertical="center"/>
    </xf>
    <xf numFmtId="182" fontId="0" fillId="0" borderId="3" xfId="4" applyNumberFormat="1" applyFont="1" applyBorder="1">
      <alignment vertical="center"/>
    </xf>
    <xf numFmtId="0" fontId="1" fillId="0" borderId="4" xfId="6" applyNumberFormat="1" applyBorder="1" applyAlignment="1">
      <alignment horizontal="center" vertical="center"/>
    </xf>
    <xf numFmtId="41" fontId="0" fillId="0" borderId="4" xfId="4" applyNumberFormat="1" applyFont="1" applyBorder="1">
      <alignment vertical="center"/>
    </xf>
    <xf numFmtId="182" fontId="0" fillId="0" borderId="5" xfId="4" applyNumberFormat="1" applyFont="1" applyBorder="1">
      <alignment vertical="center"/>
    </xf>
    <xf numFmtId="0" fontId="1" fillId="0" borderId="1" xfId="6" applyNumberFormat="1" applyFont="1" applyBorder="1" applyAlignment="1">
      <alignment horizontal="center" vertical="center"/>
    </xf>
    <xf numFmtId="41" fontId="4" fillId="0" borderId="8" xfId="4" applyNumberFormat="1" applyFont="1" applyBorder="1" applyAlignment="1">
      <alignment vertical="center"/>
    </xf>
    <xf numFmtId="182" fontId="4" fillId="0" borderId="24" xfId="4" applyNumberFormat="1" applyFont="1" applyBorder="1" applyAlignment="1">
      <alignment vertical="center"/>
    </xf>
    <xf numFmtId="182" fontId="4" fillId="0" borderId="14" xfId="4" applyNumberFormat="1" applyFont="1" applyBorder="1" applyAlignment="1">
      <alignment vertical="center"/>
    </xf>
    <xf numFmtId="0" fontId="5" fillId="0" borderId="8" xfId="6" applyNumberFormat="1" applyFont="1" applyBorder="1" applyAlignment="1">
      <alignment horizontal="center" vertical="center"/>
    </xf>
    <xf numFmtId="41" fontId="6" fillId="0" borderId="8" xfId="4" applyNumberFormat="1" applyFont="1" applyBorder="1" applyAlignment="1">
      <alignment vertical="center"/>
    </xf>
    <xf numFmtId="182" fontId="6" fillId="0" borderId="24" xfId="4" applyNumberFormat="1" applyFont="1" applyBorder="1" applyAlignment="1">
      <alignment vertical="center"/>
    </xf>
    <xf numFmtId="0" fontId="5" fillId="0" borderId="1" xfId="6" applyNumberFormat="1" applyFont="1" applyBorder="1" applyAlignment="1">
      <alignment horizontal="center" vertical="center"/>
    </xf>
    <xf numFmtId="41" fontId="6" fillId="0" borderId="1" xfId="4" applyNumberFormat="1" applyFont="1" applyBorder="1">
      <alignment vertical="center"/>
    </xf>
    <xf numFmtId="182" fontId="6" fillId="0" borderId="2" xfId="4" applyNumberFormat="1" applyFont="1" applyBorder="1">
      <alignment vertical="center"/>
    </xf>
    <xf numFmtId="182" fontId="6" fillId="0" borderId="14" xfId="4" applyNumberFormat="1" applyFont="1" applyBorder="1" applyAlignment="1">
      <alignment vertical="center"/>
    </xf>
    <xf numFmtId="182" fontId="6" fillId="0" borderId="3" xfId="4" applyNumberFormat="1" applyFont="1" applyBorder="1">
      <alignment vertical="center"/>
    </xf>
    <xf numFmtId="0" fontId="1" fillId="0" borderId="25" xfId="6" applyNumberFormat="1" applyBorder="1" applyAlignment="1">
      <alignment vertical="center"/>
    </xf>
    <xf numFmtId="0" fontId="1" fillId="0" borderId="26" xfId="6" applyNumberFormat="1" applyBorder="1" applyAlignment="1">
      <alignment vertical="center"/>
    </xf>
    <xf numFmtId="0" fontId="1" fillId="0" borderId="27" xfId="6" applyNumberFormat="1" applyBorder="1" applyAlignment="1">
      <alignment vertical="center"/>
    </xf>
    <xf numFmtId="0" fontId="1" fillId="0" borderId="0" xfId="6" applyNumberFormat="1" applyBorder="1" applyAlignment="1">
      <alignment vertical="center"/>
    </xf>
    <xf numFmtId="0" fontId="1" fillId="0" borderId="28" xfId="6" applyNumberFormat="1" applyBorder="1" applyAlignment="1">
      <alignment vertical="center"/>
    </xf>
    <xf numFmtId="0" fontId="1" fillId="0" borderId="12" xfId="6" applyNumberFormat="1" applyBorder="1" applyAlignment="1">
      <alignment vertical="center"/>
    </xf>
    <xf numFmtId="0" fontId="7" fillId="0" borderId="0" xfId="3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7" fontId="7" fillId="0" borderId="0" xfId="3" applyNumberFormat="1" applyFont="1" applyFill="1" applyAlignment="1">
      <alignment vertical="center"/>
    </xf>
    <xf numFmtId="178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6" fontId="8" fillId="0" borderId="31" xfId="3" applyNumberFormat="1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0" fontId="8" fillId="0" borderId="32" xfId="3" applyNumberFormat="1" applyFont="1" applyFill="1" applyBorder="1" applyAlignment="1">
      <alignment vertical="center"/>
    </xf>
    <xf numFmtId="9" fontId="8" fillId="0" borderId="19" xfId="3" applyNumberFormat="1" applyFont="1" applyFill="1" applyBorder="1" applyAlignment="1">
      <alignment horizontal="center" vertical="center"/>
    </xf>
    <xf numFmtId="177" fontId="8" fillId="0" borderId="19" xfId="3" applyNumberFormat="1" applyFont="1" applyFill="1" applyBorder="1" applyAlignment="1">
      <alignment vertical="center"/>
    </xf>
    <xf numFmtId="178" fontId="8" fillId="0" borderId="19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/>
    </xf>
    <xf numFmtId="0" fontId="8" fillId="0" borderId="11" xfId="3" applyNumberFormat="1" applyFont="1" applyFill="1" applyBorder="1" applyAlignment="1">
      <alignment vertical="center" wrapText="1"/>
    </xf>
    <xf numFmtId="176" fontId="8" fillId="0" borderId="3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8" fillId="0" borderId="34" xfId="3" applyNumberFormat="1" applyFont="1" applyFill="1" applyBorder="1" applyAlignment="1">
      <alignment vertical="center"/>
    </xf>
    <xf numFmtId="9" fontId="8" fillId="0" borderId="7" xfId="3" applyNumberFormat="1" applyFont="1" applyFill="1" applyBorder="1" applyAlignment="1">
      <alignment horizontal="center" vertical="center"/>
    </xf>
    <xf numFmtId="177" fontId="8" fillId="0" borderId="7" xfId="3" applyNumberFormat="1" applyFont="1" applyFill="1" applyBorder="1" applyAlignment="1">
      <alignment vertical="center"/>
    </xf>
    <xf numFmtId="178" fontId="8" fillId="0" borderId="7" xfId="3" applyNumberFormat="1" applyFont="1" applyFill="1" applyBorder="1" applyAlignment="1">
      <alignment vertical="center"/>
    </xf>
    <xf numFmtId="0" fontId="8" fillId="0" borderId="7" xfId="3" applyNumberFormat="1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vertical="center" wrapText="1"/>
    </xf>
    <xf numFmtId="176" fontId="8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35" xfId="3" applyNumberFormat="1" applyFont="1" applyFill="1" applyBorder="1" applyAlignment="1">
      <alignment vertical="center"/>
    </xf>
    <xf numFmtId="176" fontId="8" fillId="0" borderId="30" xfId="3" applyNumberFormat="1" applyFont="1" applyFill="1" applyBorder="1" applyAlignment="1">
      <alignment vertical="center"/>
    </xf>
    <xf numFmtId="176" fontId="8" fillId="0" borderId="36" xfId="3" applyNumberFormat="1" applyFont="1" applyFill="1" applyBorder="1" applyAlignment="1">
      <alignment horizontal="right" vertical="center"/>
    </xf>
    <xf numFmtId="176" fontId="9" fillId="0" borderId="26" xfId="3" applyNumberFormat="1" applyFont="1" applyFill="1" applyBorder="1" applyAlignment="1">
      <alignment vertical="center"/>
    </xf>
    <xf numFmtId="0" fontId="9" fillId="0" borderId="26" xfId="3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>
      <alignment vertical="center"/>
    </xf>
    <xf numFmtId="9" fontId="8" fillId="0" borderId="23" xfId="3" applyNumberFormat="1" applyFont="1" applyFill="1" applyBorder="1" applyAlignment="1">
      <alignment horizontal="center" vertical="center"/>
    </xf>
    <xf numFmtId="177" fontId="8" fillId="0" borderId="23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horizontal="right" vertical="center"/>
    </xf>
    <xf numFmtId="176" fontId="10" fillId="0" borderId="36" xfId="3" applyNumberFormat="1" applyFont="1" applyFill="1" applyBorder="1" applyAlignment="1">
      <alignment vertical="center"/>
    </xf>
    <xf numFmtId="176" fontId="11" fillId="0" borderId="36" xfId="3" applyNumberFormat="1" applyFont="1" applyFill="1" applyBorder="1" applyAlignment="1">
      <alignment vertical="center"/>
    </xf>
    <xf numFmtId="176" fontId="12" fillId="0" borderId="36" xfId="3" applyNumberFormat="1" applyFont="1" applyFill="1" applyBorder="1" applyAlignment="1">
      <alignment vertical="center"/>
    </xf>
    <xf numFmtId="0" fontId="12" fillId="0" borderId="36" xfId="3" applyNumberFormat="1" applyFont="1" applyFill="1" applyBorder="1" applyAlignment="1">
      <alignment vertical="center"/>
    </xf>
    <xf numFmtId="0" fontId="11" fillId="0" borderId="2" xfId="3" applyNumberFormat="1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7" fontId="13" fillId="0" borderId="1" xfId="3" applyNumberFormat="1" applyFont="1" applyFill="1" applyBorder="1" applyAlignment="1">
      <alignment vertical="center"/>
    </xf>
    <xf numFmtId="178" fontId="13" fillId="0" borderId="1" xfId="3" applyNumberFormat="1" applyFont="1" applyFill="1" applyBorder="1" applyAlignment="1">
      <alignment vertical="center"/>
    </xf>
    <xf numFmtId="0" fontId="8" fillId="0" borderId="23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left" vertical="center"/>
    </xf>
    <xf numFmtId="9" fontId="8" fillId="0" borderId="7" xfId="1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24" xfId="3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8" fillId="0" borderId="0" xfId="2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center" vertical="center"/>
    </xf>
    <xf numFmtId="176" fontId="8" fillId="0" borderId="2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/>
    </xf>
    <xf numFmtId="0" fontId="8" fillId="0" borderId="2" xfId="3" applyNumberFormat="1" applyFont="1" applyFill="1" applyBorder="1" applyAlignment="1">
      <alignment vertical="center"/>
    </xf>
    <xf numFmtId="0" fontId="8" fillId="0" borderId="15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center" vertical="center"/>
    </xf>
    <xf numFmtId="9" fontId="15" fillId="0" borderId="0" xfId="1" applyNumberFormat="1" applyFont="1" applyFill="1" applyBorder="1" applyAlignment="1">
      <alignment horizontal="center" vertical="center"/>
    </xf>
    <xf numFmtId="177" fontId="15" fillId="0" borderId="0" xfId="3" applyNumberFormat="1" applyFont="1" applyFill="1" applyBorder="1" applyAlignment="1">
      <alignment vertical="center"/>
    </xf>
    <xf numFmtId="178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 wrapText="1"/>
    </xf>
    <xf numFmtId="176" fontId="10" fillId="0" borderId="37" xfId="3" applyNumberFormat="1" applyFont="1" applyFill="1" applyBorder="1" applyAlignment="1">
      <alignment horizontal="right" vertical="center"/>
    </xf>
    <xf numFmtId="0" fontId="8" fillId="0" borderId="15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horizontal="center" vertical="center" wrapText="1"/>
    </xf>
    <xf numFmtId="0" fontId="15" fillId="0" borderId="30" xfId="3" applyNumberFormat="1" applyFont="1" applyFill="1" applyBorder="1" applyAlignment="1">
      <alignment vertical="center" wrapText="1"/>
    </xf>
    <xf numFmtId="176" fontId="14" fillId="0" borderId="36" xfId="3" applyNumberFormat="1" applyFont="1" applyFill="1" applyBorder="1" applyAlignment="1">
      <alignment horizontal="right" vertical="center"/>
    </xf>
    <xf numFmtId="0" fontId="14" fillId="0" borderId="36" xfId="3" applyNumberFormat="1" applyFont="1" applyFill="1" applyBorder="1" applyAlignment="1">
      <alignment vertical="center"/>
    </xf>
    <xf numFmtId="176" fontId="14" fillId="0" borderId="36" xfId="3" applyNumberFormat="1" applyFont="1" applyFill="1" applyBorder="1" applyAlignment="1">
      <alignment vertical="center"/>
    </xf>
    <xf numFmtId="0" fontId="14" fillId="0" borderId="36" xfId="3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177" fontId="15" fillId="0" borderId="1" xfId="3" applyNumberFormat="1" applyFont="1" applyFill="1" applyBorder="1" applyAlignment="1">
      <alignment vertical="center"/>
    </xf>
    <xf numFmtId="178" fontId="15" fillId="0" borderId="1" xfId="3" applyNumberFormat="1" applyFont="1" applyFill="1" applyBorder="1" applyAlignment="1">
      <alignment vertical="center"/>
    </xf>
    <xf numFmtId="0" fontId="15" fillId="0" borderId="2" xfId="3" applyNumberFormat="1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>
      <alignment horizontal="center" vertical="center"/>
    </xf>
    <xf numFmtId="176" fontId="8" fillId="0" borderId="38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right" vertical="center"/>
    </xf>
    <xf numFmtId="176" fontId="8" fillId="0" borderId="37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left" vertical="center"/>
    </xf>
    <xf numFmtId="0" fontId="8" fillId="0" borderId="37" xfId="3" applyNumberFormat="1" applyFont="1" applyFill="1" applyBorder="1" applyAlignment="1">
      <alignment vertical="center"/>
    </xf>
    <xf numFmtId="0" fontId="8" fillId="0" borderId="24" xfId="3" applyNumberFormat="1" applyFont="1" applyFill="1" applyBorder="1" applyAlignment="1">
      <alignment vertical="center"/>
    </xf>
    <xf numFmtId="9" fontId="8" fillId="0" borderId="8" xfId="1" applyNumberFormat="1" applyFont="1" applyFill="1" applyBorder="1" applyAlignment="1">
      <alignment horizontal="center" vertical="center"/>
    </xf>
    <xf numFmtId="177" fontId="8" fillId="0" borderId="8" xfId="3" applyNumberFormat="1" applyFont="1" applyFill="1" applyBorder="1" applyAlignment="1">
      <alignment vertical="center"/>
    </xf>
    <xf numFmtId="178" fontId="8" fillId="0" borderId="8" xfId="3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39" xfId="3" applyNumberFormat="1" applyFont="1" applyFill="1" applyBorder="1" applyAlignment="1">
      <alignment horizontal="center" vertical="center" wrapText="1"/>
    </xf>
    <xf numFmtId="178" fontId="8" fillId="0" borderId="23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horizontal="right" vertical="center"/>
    </xf>
    <xf numFmtId="0" fontId="8" fillId="0" borderId="40" xfId="3" applyNumberFormat="1" applyFont="1" applyFill="1" applyBorder="1" applyAlignment="1">
      <alignment horizontal="center" vertical="center" wrapText="1"/>
    </xf>
    <xf numFmtId="41" fontId="16" fillId="0" borderId="0" xfId="2" applyNumberFormat="1" applyFont="1" applyFill="1" applyAlignment="1">
      <alignment vertical="center"/>
    </xf>
    <xf numFmtId="178" fontId="1" fillId="0" borderId="37" xfId="0" applyNumberFormat="1" applyFont="1" applyBorder="1">
      <alignment vertical="center"/>
    </xf>
    <xf numFmtId="180" fontId="8" fillId="0" borderId="37" xfId="2" applyNumberFormat="1" applyFont="1" applyFill="1" applyBorder="1" applyAlignment="1">
      <alignment horizontal="center" vertical="center"/>
    </xf>
    <xf numFmtId="42" fontId="8" fillId="0" borderId="37" xfId="3" applyNumberFormat="1" applyFont="1" applyFill="1" applyBorder="1" applyAlignment="1">
      <alignment horizontal="center" vertical="center"/>
    </xf>
    <xf numFmtId="178" fontId="8" fillId="0" borderId="37" xfId="3" applyNumberFormat="1" applyFont="1" applyFill="1" applyBorder="1" applyAlignment="1">
      <alignment horizontal="center" vertical="center"/>
    </xf>
    <xf numFmtId="9" fontId="8" fillId="0" borderId="23" xfId="1" applyNumberFormat="1" applyFont="1" applyFill="1" applyBorder="1" applyAlignment="1">
      <alignment horizontal="center" vertical="center"/>
    </xf>
    <xf numFmtId="0" fontId="8" fillId="0" borderId="37" xfId="3" applyNumberFormat="1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vertical="center" wrapText="1"/>
    </xf>
    <xf numFmtId="0" fontId="8" fillId="0" borderId="39" xfId="3" applyNumberFormat="1" applyFont="1" applyFill="1" applyBorder="1" applyAlignment="1">
      <alignment vertical="center" wrapText="1"/>
    </xf>
    <xf numFmtId="9" fontId="8" fillId="0" borderId="0" xfId="1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3" fontId="8" fillId="0" borderId="0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vertical="center" wrapText="1"/>
    </xf>
    <xf numFmtId="185" fontId="8" fillId="0" borderId="0" xfId="1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left" vertical="center"/>
    </xf>
    <xf numFmtId="177" fontId="8" fillId="0" borderId="0" xfId="3" applyNumberFormat="1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horizontal="left" vertical="center"/>
    </xf>
    <xf numFmtId="176" fontId="8" fillId="0" borderId="21" xfId="3" applyNumberFormat="1" applyFont="1" applyFill="1" applyBorder="1" applyAlignment="1">
      <alignment vertical="center"/>
    </xf>
    <xf numFmtId="176" fontId="8" fillId="0" borderId="41" xfId="3" applyNumberFormat="1" applyFont="1" applyFill="1" applyBorder="1" applyAlignment="1">
      <alignment horizontal="right" vertical="center"/>
    </xf>
    <xf numFmtId="9" fontId="8" fillId="0" borderId="41" xfId="1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center" vertical="center"/>
    </xf>
    <xf numFmtId="41" fontId="8" fillId="0" borderId="26" xfId="2" applyNumberFormat="1" applyFont="1" applyFill="1" applyBorder="1" applyAlignment="1">
      <alignment vertical="center"/>
    </xf>
    <xf numFmtId="180" fontId="8" fillId="0" borderId="26" xfId="2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left" vertical="center"/>
    </xf>
    <xf numFmtId="42" fontId="8" fillId="0" borderId="26" xfId="3" applyNumberFormat="1" applyFont="1" applyFill="1" applyBorder="1" applyAlignment="1">
      <alignment horizontal="left" vertical="center"/>
    </xf>
    <xf numFmtId="177" fontId="8" fillId="0" borderId="26" xfId="3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right" vertical="center"/>
    </xf>
    <xf numFmtId="0" fontId="8" fillId="0" borderId="42" xfId="3" applyNumberFormat="1" applyFont="1" applyFill="1" applyBorder="1" applyAlignment="1">
      <alignment vertical="center"/>
    </xf>
    <xf numFmtId="9" fontId="8" fillId="0" borderId="37" xfId="1" applyNumberFormat="1" applyFont="1" applyFill="1" applyBorder="1" applyAlignment="1">
      <alignment horizontal="left" vertical="center"/>
    </xf>
    <xf numFmtId="41" fontId="8" fillId="0" borderId="37" xfId="2" applyNumberFormat="1" applyFont="1" applyFill="1" applyBorder="1" applyAlignment="1">
      <alignment vertical="center"/>
    </xf>
    <xf numFmtId="180" fontId="8" fillId="0" borderId="37" xfId="2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horizontal="left" vertical="center"/>
    </xf>
    <xf numFmtId="177" fontId="8" fillId="0" borderId="37" xfId="3" applyNumberFormat="1" applyFont="1" applyFill="1" applyBorder="1" applyAlignment="1">
      <alignment vertical="center"/>
    </xf>
    <xf numFmtId="176" fontId="10" fillId="0" borderId="43" xfId="3" applyNumberFormat="1" applyFont="1" applyFill="1" applyBorder="1" applyAlignment="1">
      <alignment vertical="center"/>
    </xf>
    <xf numFmtId="176" fontId="10" fillId="0" borderId="26" xfId="3" applyNumberFormat="1" applyFont="1" applyFill="1" applyBorder="1" applyAlignment="1">
      <alignment horizontal="right" vertical="center"/>
    </xf>
    <xf numFmtId="176" fontId="10" fillId="0" borderId="26" xfId="3" applyNumberFormat="1" applyFont="1" applyFill="1" applyBorder="1" applyAlignment="1">
      <alignment vertical="center"/>
    </xf>
    <xf numFmtId="176" fontId="11" fillId="0" borderId="26" xfId="3" applyNumberFormat="1" applyFont="1" applyFill="1" applyBorder="1" applyAlignment="1">
      <alignment vertical="center"/>
    </xf>
    <xf numFmtId="176" fontId="12" fillId="0" borderId="26" xfId="3" applyNumberFormat="1" applyFont="1" applyFill="1" applyBorder="1" applyAlignment="1">
      <alignment vertical="center"/>
    </xf>
    <xf numFmtId="0" fontId="12" fillId="0" borderId="26" xfId="3" applyNumberFormat="1" applyFont="1" applyFill="1" applyBorder="1" applyAlignment="1">
      <alignment vertical="center"/>
    </xf>
    <xf numFmtId="0" fontId="11" fillId="0" borderId="35" xfId="3" applyNumberFormat="1" applyFont="1" applyFill="1" applyBorder="1" applyAlignment="1">
      <alignment vertical="center"/>
    </xf>
    <xf numFmtId="9" fontId="13" fillId="0" borderId="23" xfId="1" applyNumberFormat="1" applyFont="1" applyFill="1" applyBorder="1" applyAlignment="1">
      <alignment horizontal="center" vertical="center"/>
    </xf>
    <xf numFmtId="177" fontId="13" fillId="0" borderId="23" xfId="3" applyNumberFormat="1" applyFont="1" applyFill="1" applyBorder="1" applyAlignment="1">
      <alignment vertical="center"/>
    </xf>
    <xf numFmtId="178" fontId="13" fillId="0" borderId="23" xfId="3" applyNumberFormat="1" applyFont="1" applyFill="1" applyBorder="1" applyAlignment="1">
      <alignment vertical="center"/>
    </xf>
    <xf numFmtId="176" fontId="17" fillId="0" borderId="38" xfId="3" applyNumberFormat="1" applyFont="1" applyFill="1" applyBorder="1" applyAlignment="1">
      <alignment vertical="center"/>
    </xf>
    <xf numFmtId="176" fontId="17" fillId="0" borderId="37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18" fillId="0" borderId="37" xfId="3" applyNumberFormat="1" applyFont="1" applyFill="1" applyBorder="1" applyAlignment="1">
      <alignment vertical="center"/>
    </xf>
    <xf numFmtId="0" fontId="18" fillId="0" borderId="37" xfId="3" applyNumberFormat="1" applyFont="1" applyFill="1" applyBorder="1" applyAlignment="1">
      <alignment vertical="center"/>
    </xf>
    <xf numFmtId="0" fontId="17" fillId="0" borderId="24" xfId="3" applyNumberFormat="1" applyFont="1" applyFill="1" applyBorder="1" applyAlignment="1">
      <alignment vertical="center"/>
    </xf>
    <xf numFmtId="9" fontId="18" fillId="0" borderId="8" xfId="3" applyNumberFormat="1" applyFont="1" applyFill="1" applyBorder="1" applyAlignment="1">
      <alignment horizontal="center" vertical="center"/>
    </xf>
    <xf numFmtId="177" fontId="18" fillId="0" borderId="8" xfId="3" applyNumberFormat="1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26" xfId="3" applyNumberFormat="1" applyFont="1" applyFill="1" applyBorder="1" applyAlignment="1">
      <alignment horizontal="right" vertical="center"/>
    </xf>
    <xf numFmtId="176" fontId="17" fillId="0" borderId="26" xfId="3" applyNumberFormat="1" applyFont="1" applyFill="1" applyBorder="1" applyAlignment="1">
      <alignment vertical="center"/>
    </xf>
    <xf numFmtId="176" fontId="18" fillId="0" borderId="26" xfId="3" applyNumberFormat="1" applyFont="1" applyFill="1" applyBorder="1" applyAlignment="1">
      <alignment vertical="center"/>
    </xf>
    <xf numFmtId="0" fontId="18" fillId="0" borderId="26" xfId="3" applyNumberFormat="1" applyFont="1" applyFill="1" applyBorder="1" applyAlignment="1">
      <alignment vertical="center"/>
    </xf>
    <xf numFmtId="0" fontId="17" fillId="0" borderId="42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7" fontId="18" fillId="0" borderId="23" xfId="3" applyNumberFormat="1" applyFont="1" applyFill="1" applyBorder="1" applyAlignment="1">
      <alignment vertical="center"/>
    </xf>
    <xf numFmtId="178" fontId="18" fillId="0" borderId="23" xfId="3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horizontal="left" vertical="center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8" xfId="3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horizontal="center" vertical="center"/>
    </xf>
    <xf numFmtId="0" fontId="17" fillId="0" borderId="45" xfId="3" applyNumberFormat="1" applyFont="1" applyFill="1" applyBorder="1" applyAlignment="1">
      <alignment vertical="center"/>
    </xf>
    <xf numFmtId="9" fontId="17" fillId="0" borderId="17" xfId="3" applyNumberFormat="1" applyFont="1" applyFill="1" applyBorder="1" applyAlignment="1">
      <alignment horizontal="center" vertical="center"/>
    </xf>
    <xf numFmtId="187" fontId="17" fillId="0" borderId="17" xfId="3" applyNumberFormat="1" applyFont="1" applyFill="1" applyBorder="1" applyAlignment="1">
      <alignment vertical="center"/>
    </xf>
    <xf numFmtId="178" fontId="17" fillId="0" borderId="17" xfId="3" applyNumberFormat="1" applyFont="1" applyFill="1" applyBorder="1" applyAlignment="1">
      <alignment vertical="center"/>
    </xf>
    <xf numFmtId="9" fontId="3" fillId="0" borderId="4" xfId="3" applyNumberFormat="1" applyFont="1" applyFill="1" applyBorder="1" applyAlignment="1">
      <alignment horizontal="center" vertical="center"/>
    </xf>
    <xf numFmtId="177" fontId="8" fillId="0" borderId="4" xfId="3" applyNumberFormat="1" applyFont="1" applyFill="1" applyBorder="1" applyAlignment="1">
      <alignment horizontal="center" vertical="center" wrapText="1"/>
    </xf>
    <xf numFmtId="0" fontId="8" fillId="0" borderId="4" xfId="3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>
      <alignment horizontal="center" vertical="center" wrapText="1"/>
    </xf>
    <xf numFmtId="176" fontId="7" fillId="0" borderId="0" xfId="3" applyNumberFormat="1" applyFont="1" applyFill="1" applyBorder="1" applyAlignment="1">
      <alignment vertical="center"/>
    </xf>
    <xf numFmtId="9" fontId="7" fillId="0" borderId="0" xfId="1" applyNumberFormat="1" applyFont="1" applyFill="1" applyBorder="1" applyAlignment="1">
      <alignment horizontal="center"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9" fontId="8" fillId="0" borderId="19" xfId="1" applyNumberFormat="1" applyFont="1" applyFill="1" applyBorder="1" applyAlignment="1">
      <alignment horizontal="center" vertical="center"/>
    </xf>
    <xf numFmtId="38" fontId="8" fillId="0" borderId="19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38" fontId="8" fillId="0" borderId="7" xfId="3" applyNumberFormat="1" applyFont="1" applyFill="1" applyBorder="1" applyAlignment="1">
      <alignment vertical="center"/>
    </xf>
    <xf numFmtId="176" fontId="9" fillId="0" borderId="38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right"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7" xfId="3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176" fontId="9" fillId="0" borderId="20" xfId="3" applyNumberFormat="1" applyFont="1" applyFill="1" applyBorder="1" applyAlignment="1">
      <alignment vertical="center"/>
    </xf>
    <xf numFmtId="176" fontId="9" fillId="0" borderId="44" xfId="3" applyNumberFormat="1" applyFont="1" applyFill="1" applyBorder="1" applyAlignment="1">
      <alignment vertical="center"/>
    </xf>
    <xf numFmtId="0" fontId="9" fillId="0" borderId="44" xfId="3" applyNumberFormat="1" applyFont="1" applyFill="1" applyBorder="1" applyAlignment="1">
      <alignment vertical="center"/>
    </xf>
    <xf numFmtId="0" fontId="9" fillId="0" borderId="46" xfId="3" applyNumberFormat="1" applyFont="1" applyFill="1" applyBorder="1" applyAlignment="1">
      <alignment vertical="center"/>
    </xf>
    <xf numFmtId="9" fontId="8" fillId="0" borderId="47" xfId="1" applyNumberFormat="1" applyFont="1" applyFill="1" applyBorder="1" applyAlignment="1">
      <alignment horizontal="center" vertical="center"/>
    </xf>
    <xf numFmtId="38" fontId="8" fillId="0" borderId="47" xfId="3" applyNumberFormat="1" applyFont="1" applyFill="1" applyBorder="1" applyAlignment="1">
      <alignment vertical="center"/>
    </xf>
    <xf numFmtId="0" fontId="8" fillId="0" borderId="31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horizontal="center" vertical="center"/>
    </xf>
    <xf numFmtId="38" fontId="8" fillId="0" borderId="1" xfId="3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10" xfId="3" applyNumberFormat="1" applyFont="1" applyFill="1" applyBorder="1" applyAlignment="1">
      <alignment horizontal="center" vertical="center" wrapText="1"/>
    </xf>
    <xf numFmtId="0" fontId="9" fillId="0" borderId="40" xfId="3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8" fillId="0" borderId="33" xfId="0" applyNumberFormat="1" applyFont="1" applyFill="1" applyBorder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>
      <alignment vertical="center"/>
    </xf>
    <xf numFmtId="0" fontId="8" fillId="0" borderId="37" xfId="3" applyNumberFormat="1" applyFont="1" applyFill="1" applyBorder="1" applyAlignment="1">
      <alignment vertical="center" wrapText="1"/>
    </xf>
    <xf numFmtId="38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 wrapText="1"/>
    </xf>
    <xf numFmtId="176" fontId="8" fillId="0" borderId="3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 wrapText="1"/>
    </xf>
    <xf numFmtId="38" fontId="8" fillId="0" borderId="23" xfId="3" applyNumberFormat="1" applyFont="1" applyFill="1" applyBorder="1" applyAlignment="1">
      <alignment vertical="center"/>
    </xf>
    <xf numFmtId="178" fontId="8" fillId="0" borderId="37" xfId="3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38" xfId="0" applyNumberFormat="1" applyFont="1" applyFill="1" applyBorder="1">
      <alignment vertical="center"/>
    </xf>
    <xf numFmtId="178" fontId="8" fillId="0" borderId="37" xfId="0" applyNumberFormat="1" applyFont="1" applyFill="1" applyBorder="1" applyAlignment="1">
      <alignment horizontal="right" vertical="center"/>
    </xf>
    <xf numFmtId="0" fontId="8" fillId="0" borderId="37" xfId="0" applyNumberFormat="1" applyFont="1" applyFill="1" applyBorder="1">
      <alignment vertical="center"/>
    </xf>
    <xf numFmtId="176" fontId="7" fillId="0" borderId="0" xfId="0" applyNumberFormat="1" applyFont="1" applyFill="1">
      <alignment vertical="center"/>
    </xf>
    <xf numFmtId="176" fontId="8" fillId="0" borderId="0" xfId="7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6" fontId="8" fillId="0" borderId="0" xfId="7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horizontal="right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Border="1" applyAlignment="1">
      <alignment horizontal="center" vertical="center"/>
    </xf>
    <xf numFmtId="38" fontId="8" fillId="0" borderId="8" xfId="7" applyNumberFormat="1" applyFont="1" applyFill="1" applyBorder="1" applyAlignment="1">
      <alignment vertical="center"/>
    </xf>
    <xf numFmtId="38" fontId="8" fillId="0" borderId="8" xfId="7" applyNumberFormat="1" applyFont="1" applyFill="1" applyBorder="1" applyAlignment="1">
      <alignment horizontal="center" vertical="center" wrapText="1"/>
    </xf>
    <xf numFmtId="9" fontId="8" fillId="0" borderId="34" xfId="1" applyNumberFormat="1" applyFont="1" applyFill="1" applyBorder="1" applyAlignment="1">
      <alignment horizontal="center" vertical="center"/>
    </xf>
    <xf numFmtId="176" fontId="15" fillId="0" borderId="38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6" fontId="9" fillId="0" borderId="43" xfId="3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right" vertical="center"/>
    </xf>
    <xf numFmtId="9" fontId="9" fillId="0" borderId="23" xfId="1" applyNumberFormat="1" applyFont="1" applyFill="1" applyBorder="1" applyAlignment="1">
      <alignment horizontal="center" vertical="center"/>
    </xf>
    <xf numFmtId="38" fontId="9" fillId="0" borderId="23" xfId="3" applyNumberFormat="1" applyFont="1" applyFill="1" applyBorder="1" applyAlignment="1">
      <alignment vertical="center"/>
    </xf>
    <xf numFmtId="0" fontId="9" fillId="0" borderId="23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176" fontId="9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left" vertical="center"/>
    </xf>
    <xf numFmtId="176" fontId="9" fillId="0" borderId="33" xfId="3" applyNumberFormat="1" applyFont="1" applyFill="1" applyBorder="1" applyAlignment="1">
      <alignment vertical="center"/>
    </xf>
    <xf numFmtId="9" fontId="9" fillId="0" borderId="1" xfId="1" applyNumberFormat="1" applyFont="1" applyFill="1" applyBorder="1" applyAlignment="1">
      <alignment horizontal="center" vertical="center"/>
    </xf>
    <xf numFmtId="38" fontId="9" fillId="0" borderId="1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left" vertical="center" wrapText="1"/>
    </xf>
    <xf numFmtId="176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41" fontId="8" fillId="0" borderId="0" xfId="2" applyNumberFormat="1" applyFont="1" applyFill="1" applyBorder="1" applyAlignment="1">
      <alignment horizontal="center" vertical="center"/>
    </xf>
    <xf numFmtId="176" fontId="15" fillId="0" borderId="33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left" vertical="center"/>
    </xf>
    <xf numFmtId="9" fontId="15" fillId="0" borderId="7" xfId="1" applyNumberFormat="1" applyFont="1" applyFill="1" applyBorder="1" applyAlignment="1">
      <alignment horizontal="center" vertical="center"/>
    </xf>
    <xf numFmtId="38" fontId="15" fillId="0" borderId="7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>
      <alignment horizontal="center" vertical="center" wrapText="1"/>
    </xf>
    <xf numFmtId="176" fontId="3" fillId="0" borderId="38" xfId="3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3" fillId="0" borderId="37" xfId="0" applyNumberFormat="1" applyFont="1" applyFill="1" applyBorder="1" applyAlignment="1">
      <alignment vertical="center"/>
    </xf>
    <xf numFmtId="176" fontId="8" fillId="0" borderId="43" xfId="3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horizontal="center" vertical="center"/>
    </xf>
    <xf numFmtId="192" fontId="8" fillId="0" borderId="0" xfId="3" applyNumberFormat="1" applyFont="1" applyFill="1" applyBorder="1" applyAlignment="1">
      <alignment vertical="center"/>
    </xf>
    <xf numFmtId="193" fontId="8" fillId="0" borderId="0" xfId="3" applyNumberFormat="1" applyFont="1" applyFill="1" applyBorder="1" applyAlignment="1">
      <alignment vertical="center"/>
    </xf>
    <xf numFmtId="0" fontId="8" fillId="0" borderId="36" xfId="3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left" vertical="center"/>
    </xf>
    <xf numFmtId="38" fontId="20" fillId="0" borderId="7" xfId="3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vertical="center"/>
    </xf>
    <xf numFmtId="190" fontId="8" fillId="0" borderId="0" xfId="3" applyNumberFormat="1" applyFont="1" applyFill="1" applyBorder="1" applyAlignment="1">
      <alignment vertical="center"/>
    </xf>
    <xf numFmtId="191" fontId="8" fillId="0" borderId="0" xfId="3" applyNumberFormat="1" applyFont="1" applyFill="1" applyBorder="1" applyAlignment="1">
      <alignment horizontal="left" vertical="center"/>
    </xf>
    <xf numFmtId="188" fontId="8" fillId="0" borderId="0" xfId="3" applyNumberFormat="1" applyFont="1" applyFill="1" applyBorder="1" applyAlignment="1">
      <alignment vertical="center"/>
    </xf>
    <xf numFmtId="189" fontId="8" fillId="0" borderId="0" xfId="3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vertical="center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0" fontId="15" fillId="0" borderId="1" xfId="3" applyNumberFormat="1" applyFont="1" applyFill="1" applyBorder="1" applyAlignment="1">
      <alignment horizontal="center" vertical="center" wrapText="1"/>
    </xf>
    <xf numFmtId="176" fontId="10" fillId="0" borderId="3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38" fontId="10" fillId="0" borderId="7" xfId="3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6" fontId="14" fillId="0" borderId="20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0" fontId="14" fillId="0" borderId="44" xfId="3" applyNumberFormat="1" applyFont="1" applyFill="1" applyBorder="1" applyAlignment="1">
      <alignment vertical="center"/>
    </xf>
    <xf numFmtId="0" fontId="14" fillId="0" borderId="46" xfId="3" applyNumberFormat="1" applyFont="1" applyFill="1" applyBorder="1" applyAlignment="1">
      <alignment vertical="center"/>
    </xf>
    <xf numFmtId="9" fontId="14" fillId="0" borderId="47" xfId="3" applyNumberFormat="1" applyFont="1" applyFill="1" applyBorder="1" applyAlignment="1">
      <alignment horizontal="center" vertical="center"/>
    </xf>
    <xf numFmtId="38" fontId="14" fillId="0" borderId="47" xfId="3" applyNumberFormat="1" applyFont="1" applyFill="1" applyBorder="1" applyAlignment="1">
      <alignment vertical="center"/>
    </xf>
    <xf numFmtId="41" fontId="14" fillId="2" borderId="47" xfId="0" applyNumberFormat="1" applyFont="1" applyFill="1" applyBorder="1" applyAlignment="1">
      <alignment vertical="center"/>
    </xf>
    <xf numFmtId="41" fontId="14" fillId="0" borderId="47" xfId="0" applyNumberFormat="1" applyFont="1" applyFill="1" applyBorder="1" applyAlignment="1">
      <alignment vertical="center"/>
    </xf>
    <xf numFmtId="9" fontId="8" fillId="0" borderId="4" xfId="1" applyNumberFormat="1" applyFont="1" applyFill="1" applyBorder="1" applyAlignment="1">
      <alignment horizontal="center" vertical="center"/>
    </xf>
    <xf numFmtId="178" fontId="3" fillId="0" borderId="4" xfId="3" applyNumberFormat="1" applyFont="1" applyFill="1" applyBorder="1" applyAlignment="1">
      <alignment horizontal="center" vertical="center" wrapText="1"/>
    </xf>
    <xf numFmtId="9" fontId="8" fillId="0" borderId="12" xfId="1" applyNumberFormat="1" applyFont="1" applyFill="1" applyBorder="1" applyAlignment="1">
      <alignment horizontal="center" vertical="center"/>
    </xf>
    <xf numFmtId="38" fontId="8" fillId="0" borderId="12" xfId="3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/>
    </xf>
    <xf numFmtId="42" fontId="8" fillId="0" borderId="0" xfId="5" applyNumberFormat="1" applyFont="1" applyFill="1" applyBorder="1" applyAlignment="1">
      <alignment horizontal="center" vertical="center"/>
    </xf>
    <xf numFmtId="178" fontId="8" fillId="0" borderId="0" xfId="5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right" vertical="center"/>
    </xf>
    <xf numFmtId="176" fontId="8" fillId="0" borderId="33" xfId="5" applyNumberFormat="1" applyFont="1" applyFill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9" fontId="8" fillId="0" borderId="23" xfId="1" applyNumberFormat="1" applyFont="1" applyFill="1" applyBorder="1" applyAlignment="1" applyProtection="1">
      <alignment horizontal="center" vertical="center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76" fontId="8" fillId="0" borderId="0" xfId="3" applyNumberFormat="1" applyFont="1" applyFill="1" applyBorder="1" applyAlignment="1">
      <alignment horizontal="right" vertical="center"/>
    </xf>
    <xf numFmtId="10" fontId="8" fillId="0" borderId="0" xfId="1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vertical="center"/>
    </xf>
    <xf numFmtId="178" fontId="3" fillId="2" borderId="4" xfId="3" applyNumberFormat="1" applyFont="1" applyFill="1" applyBorder="1" applyAlignment="1">
      <alignment horizontal="center" vertical="center" wrapText="1"/>
    </xf>
    <xf numFmtId="38" fontId="8" fillId="0" borderId="23" xfId="3" applyNumberFormat="1" applyFont="1" applyFill="1" applyBorder="1" applyAlignment="1">
      <alignment vertical="center"/>
    </xf>
    <xf numFmtId="38" fontId="8" fillId="2" borderId="1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3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0" fontId="25" fillId="0" borderId="37" xfId="3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37" xfId="3" applyNumberFormat="1" applyFont="1" applyFill="1" applyBorder="1" applyAlignment="1">
      <alignment vertical="center"/>
    </xf>
    <xf numFmtId="176" fontId="25" fillId="0" borderId="37" xfId="3" applyNumberFormat="1" applyFont="1" applyFill="1" applyBorder="1" applyAlignment="1">
      <alignment horizontal="right" vertical="center"/>
    </xf>
    <xf numFmtId="176" fontId="25" fillId="0" borderId="38" xfId="3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horizontal="left" vertical="center"/>
    </xf>
    <xf numFmtId="176" fontId="25" fillId="0" borderId="0" xfId="3" applyNumberFormat="1" applyFont="1" applyFill="1" applyBorder="1" applyAlignment="1">
      <alignment horizontal="center" vertical="center"/>
    </xf>
    <xf numFmtId="189" fontId="25" fillId="0" borderId="0" xfId="3" applyNumberFormat="1" applyFont="1" applyFill="1" applyBorder="1" applyAlignment="1">
      <alignment horizontal="left" vertical="center"/>
    </xf>
    <xf numFmtId="188" fontId="25" fillId="0" borderId="0" xfId="3" applyNumberFormat="1" applyFont="1" applyFill="1" applyBorder="1" applyAlignment="1">
      <alignment vertical="center"/>
    </xf>
    <xf numFmtId="191" fontId="25" fillId="0" borderId="0" xfId="3" applyNumberFormat="1" applyFont="1" applyFill="1" applyBorder="1" applyAlignment="1">
      <alignment horizontal="left" vertical="center"/>
    </xf>
    <xf numFmtId="190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33" xfId="3" applyNumberFormat="1" applyFont="1" applyFill="1" applyBorder="1" applyAlignment="1">
      <alignment vertical="center"/>
    </xf>
    <xf numFmtId="0" fontId="22" fillId="0" borderId="22" xfId="6" applyNumberFormat="1" applyFont="1" applyBorder="1" applyAlignment="1">
      <alignment horizontal="center" vertical="center"/>
    </xf>
    <xf numFmtId="0" fontId="22" fillId="0" borderId="47" xfId="6" applyNumberFormat="1" applyFont="1" applyBorder="1" applyAlignment="1">
      <alignment horizontal="center" vertical="center"/>
    </xf>
    <xf numFmtId="0" fontId="22" fillId="0" borderId="46" xfId="6" applyNumberFormat="1" applyFont="1" applyBorder="1" applyAlignment="1">
      <alignment horizontal="center" vertical="center"/>
    </xf>
    <xf numFmtId="0" fontId="22" fillId="0" borderId="13" xfId="6" applyNumberFormat="1" applyFont="1" applyBorder="1" applyAlignment="1">
      <alignment horizontal="center" vertical="center"/>
    </xf>
    <xf numFmtId="0" fontId="22" fillId="0" borderId="48" xfId="6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2" fillId="0" borderId="49" xfId="6" applyNumberFormat="1" applyFont="1" applyBorder="1" applyAlignment="1">
      <alignment horizontal="center" vertical="center"/>
    </xf>
    <xf numFmtId="0" fontId="22" fillId="0" borderId="50" xfId="6" applyNumberFormat="1" applyFont="1" applyBorder="1" applyAlignment="1">
      <alignment horizontal="center" vertical="center"/>
    </xf>
    <xf numFmtId="0" fontId="22" fillId="0" borderId="23" xfId="6" applyNumberFormat="1" applyFont="1" applyBorder="1" applyAlignment="1">
      <alignment horizontal="center" vertical="center" wrapText="1"/>
    </xf>
    <xf numFmtId="0" fontId="22" fillId="0" borderId="51" xfId="6" applyNumberFormat="1" applyFont="1" applyBorder="1" applyAlignment="1">
      <alignment horizontal="center" vertical="center" wrapText="1"/>
    </xf>
    <xf numFmtId="0" fontId="22" fillId="0" borderId="2" xfId="6" applyNumberFormat="1" applyFont="1" applyBorder="1" applyAlignment="1">
      <alignment horizontal="center" vertical="center"/>
    </xf>
    <xf numFmtId="0" fontId="22" fillId="0" borderId="52" xfId="6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 wrapText="1"/>
    </xf>
    <xf numFmtId="0" fontId="22" fillId="0" borderId="50" xfId="6" applyNumberFormat="1" applyFont="1" applyBorder="1" applyAlignment="1">
      <alignment horizontal="center" vertical="center" wrapText="1"/>
    </xf>
    <xf numFmtId="0" fontId="22" fillId="0" borderId="3" xfId="6" applyNumberFormat="1" applyFont="1" applyBorder="1" applyAlignment="1">
      <alignment horizontal="center" vertical="center"/>
    </xf>
    <xf numFmtId="0" fontId="22" fillId="0" borderId="53" xfId="6" applyNumberFormat="1" applyFont="1" applyBorder="1" applyAlignment="1">
      <alignment horizontal="center" vertical="center"/>
    </xf>
    <xf numFmtId="0" fontId="1" fillId="0" borderId="40" xfId="6" applyNumberFormat="1" applyBorder="1" applyAlignment="1">
      <alignment horizontal="center" vertical="center"/>
    </xf>
    <xf numFmtId="0" fontId="1" fillId="0" borderId="11" xfId="6" applyNumberFormat="1" applyBorder="1" applyAlignment="1">
      <alignment horizontal="center" vertical="center"/>
    </xf>
    <xf numFmtId="0" fontId="1" fillId="0" borderId="10" xfId="6" applyNumberFormat="1" applyBorder="1" applyAlignment="1">
      <alignment horizontal="center" vertical="center"/>
    </xf>
    <xf numFmtId="0" fontId="1" fillId="0" borderId="39" xfId="6" applyNumberFormat="1" applyBorder="1" applyAlignment="1">
      <alignment horizontal="center" vertical="center"/>
    </xf>
    <xf numFmtId="0" fontId="1" fillId="0" borderId="40" xfId="6" applyNumberFormat="1" applyFont="1" applyBorder="1" applyAlignment="1">
      <alignment horizontal="center" vertical="center"/>
    </xf>
    <xf numFmtId="0" fontId="1" fillId="0" borderId="39" xfId="6" applyNumberFormat="1" applyFont="1" applyBorder="1" applyAlignment="1">
      <alignment horizontal="center" vertical="center"/>
    </xf>
    <xf numFmtId="0" fontId="21" fillId="0" borderId="39" xfId="6" applyNumberFormat="1" applyFont="1" applyBorder="1" applyAlignment="1">
      <alignment horizontal="center" vertical="center"/>
    </xf>
    <xf numFmtId="0" fontId="21" fillId="0" borderId="8" xfId="6" applyNumberFormat="1" applyFont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36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left" vertical="center" wrapText="1"/>
    </xf>
    <xf numFmtId="0" fontId="8" fillId="0" borderId="22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 wrapText="1"/>
    </xf>
    <xf numFmtId="0" fontId="17" fillId="0" borderId="54" xfId="3" applyNumberFormat="1" applyFont="1" applyFill="1" applyBorder="1" applyAlignment="1">
      <alignment horizontal="center" vertical="center" wrapText="1"/>
    </xf>
    <xf numFmtId="0" fontId="17" fillId="0" borderId="45" xfId="3" applyNumberFormat="1" applyFont="1" applyFill="1" applyBorder="1" applyAlignment="1">
      <alignment horizontal="center" vertical="center" wrapText="1"/>
    </xf>
    <xf numFmtId="178" fontId="3" fillId="0" borderId="17" xfId="3" applyNumberFormat="1" applyFont="1" applyFill="1" applyBorder="1" applyAlignment="1">
      <alignment horizontal="center" vertical="center" wrapText="1"/>
    </xf>
    <xf numFmtId="178" fontId="3" fillId="0" borderId="19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8" fillId="0" borderId="4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>
      <alignment horizontal="center" vertical="center"/>
    </xf>
    <xf numFmtId="0" fontId="8" fillId="0" borderId="46" xfId="3" applyNumberFormat="1" applyFont="1" applyFill="1" applyBorder="1" applyAlignment="1">
      <alignment horizontal="center" vertical="center" wrapText="1"/>
    </xf>
    <xf numFmtId="0" fontId="8" fillId="0" borderId="16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8" fillId="0" borderId="34" xfId="3" applyNumberFormat="1" applyFont="1" applyFill="1" applyBorder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left" vertical="center" wrapText="1"/>
    </xf>
    <xf numFmtId="0" fontId="8" fillId="0" borderId="55" xfId="3" applyNumberFormat="1" applyFont="1" applyFill="1" applyBorder="1" applyAlignment="1">
      <alignment horizontal="center" vertical="center"/>
    </xf>
    <xf numFmtId="0" fontId="8" fillId="0" borderId="45" xfId="3" applyNumberFormat="1" applyFont="1" applyFill="1" applyBorder="1" applyAlignment="1">
      <alignment horizontal="center" vertical="center"/>
    </xf>
    <xf numFmtId="0" fontId="8" fillId="0" borderId="29" xfId="3" applyNumberFormat="1" applyFont="1" applyFill="1" applyBorder="1" applyAlignment="1">
      <alignment horizontal="center" vertical="center"/>
    </xf>
    <xf numFmtId="0" fontId="8" fillId="0" borderId="32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vertical="center"/>
    </xf>
    <xf numFmtId="0" fontId="8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0" fontId="14" fillId="0" borderId="22" xfId="3" applyNumberFormat="1" applyFont="1" applyFill="1" applyBorder="1" applyAlignment="1">
      <alignment horizontal="center" vertical="center" wrapText="1"/>
    </xf>
    <xf numFmtId="0" fontId="14" fillId="0" borderId="47" xfId="3" applyNumberFormat="1" applyFont="1" applyFill="1" applyBorder="1" applyAlignment="1">
      <alignment horizontal="center" vertical="center" wrapText="1"/>
    </xf>
    <xf numFmtId="178" fontId="3" fillId="2" borderId="46" xfId="3" applyNumberFormat="1" applyFont="1" applyFill="1" applyBorder="1" applyAlignment="1">
      <alignment horizontal="center" vertical="center" wrapText="1"/>
    </xf>
    <xf numFmtId="178" fontId="3" fillId="2" borderId="42" xfId="3" applyNumberFormat="1" applyFont="1" applyFill="1" applyBorder="1" applyAlignment="1">
      <alignment horizontal="center" vertical="center" wrapText="1"/>
    </xf>
    <xf numFmtId="178" fontId="3" fillId="0" borderId="46" xfId="3" applyNumberFormat="1" applyFont="1" applyFill="1" applyBorder="1" applyAlignment="1">
      <alignment horizontal="center" vertical="center" wrapText="1"/>
    </xf>
    <xf numFmtId="178" fontId="3" fillId="0" borderId="44" xfId="3" applyNumberFormat="1" applyFont="1" applyFill="1" applyBorder="1" applyAlignment="1">
      <alignment horizontal="center" vertical="center" wrapText="1"/>
    </xf>
    <xf numFmtId="178" fontId="3" fillId="0" borderId="16" xfId="3" applyNumberFormat="1" applyFont="1" applyFill="1" applyBorder="1" applyAlignment="1">
      <alignment horizontal="center" vertical="center" wrapText="1"/>
    </xf>
  </cellXfs>
  <cellStyles count="8">
    <cellStyle name="백분율" xfId="1" builtinId="5"/>
    <cellStyle name="쉼표 [0]" xfId="2" builtinId="6"/>
    <cellStyle name="쉼표 [0] 2 2" xfId="4"/>
    <cellStyle name="통화 [0]" xfId="3" builtinId="7"/>
    <cellStyle name="통화 [0] 2" xfId="5"/>
    <cellStyle name="표준" xfId="0" builtinId="0"/>
    <cellStyle name="표준 2 2" xfId="6"/>
    <cellStyle name="표준_2003경기장복예산안" xfId="7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4536;&#47353;&#54856;%20&#50696;&#49328;(&#52628;&#44221;)\&#47560;&#47476;&#46384;\2017&#45380;&#46020;%20&#48376;&#50696;&#49328;&#50504;(&#48148;&#47476;&#45208;&#4814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7560;&#47476;&#46384;&#51032;%20&#51665;/2022&#45380;/2022&#45380;%20&#48376;&#50696;&#49328;(&#47560;&#47476;&#46384;&#51032;%20&#51665;)/&#51064;&#44148;&#48708;&#49464;&#48512;&#49328;&#52636;&#45236;&#50669;(&#47560;&#47476;&#46384;&#51032;&#5166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건비"/>
    </sheetNames>
    <sheetDataSet>
      <sheetData sheetId="0">
        <row r="3">
          <cell r="X3">
            <v>67312000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  <a:effectLst/>
      </a:spPr>
      <a:bodyPr/>
      <a:lstStyle/>
    </a:spDef>
    <a:lnDef>
      <a:spPr>
        <a:noFill/>
        <a:ln>
          <a:noFill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tabSelected="1" zoomScaleNormal="100" zoomScaleSheetLayoutView="75" workbookViewId="0">
      <selection activeCell="M12" sqref="M12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3</v>
      </c>
      <c r="K2" s="3" t="s">
        <v>100</v>
      </c>
    </row>
    <row r="3" spans="2:11" ht="9.9499999999999993" customHeight="1" x14ac:dyDescent="0.15"/>
    <row r="4" spans="2:11" ht="30" customHeight="1" x14ac:dyDescent="0.15">
      <c r="B4" s="382" t="s">
        <v>198</v>
      </c>
      <c r="C4" s="383"/>
      <c r="D4" s="383"/>
      <c r="E4" s="383"/>
      <c r="F4" s="384"/>
      <c r="G4" s="382" t="s">
        <v>118</v>
      </c>
      <c r="H4" s="383"/>
      <c r="I4" s="383"/>
      <c r="J4" s="383"/>
      <c r="K4" s="385"/>
    </row>
    <row r="5" spans="2:11" ht="16.5" customHeight="1" x14ac:dyDescent="0.15">
      <c r="B5" s="386" t="s">
        <v>131</v>
      </c>
      <c r="C5" s="387"/>
      <c r="D5" s="390" t="s">
        <v>277</v>
      </c>
      <c r="E5" s="390" t="s">
        <v>130</v>
      </c>
      <c r="F5" s="392" t="s">
        <v>251</v>
      </c>
      <c r="G5" s="386" t="s">
        <v>131</v>
      </c>
      <c r="H5" s="387"/>
      <c r="I5" s="394" t="s">
        <v>277</v>
      </c>
      <c r="J5" s="394" t="s">
        <v>130</v>
      </c>
      <c r="K5" s="396" t="s">
        <v>251</v>
      </c>
    </row>
    <row r="6" spans="2:11" ht="22.5" customHeight="1" x14ac:dyDescent="0.15">
      <c r="B6" s="388"/>
      <c r="C6" s="389"/>
      <c r="D6" s="391"/>
      <c r="E6" s="391"/>
      <c r="F6" s="393"/>
      <c r="G6" s="388"/>
      <c r="H6" s="389"/>
      <c r="I6" s="395"/>
      <c r="J6" s="395"/>
      <c r="K6" s="397"/>
    </row>
    <row r="7" spans="2:11" ht="24.95" customHeight="1" x14ac:dyDescent="0.15">
      <c r="B7" s="404" t="s">
        <v>175</v>
      </c>
      <c r="C7" s="405"/>
      <c r="D7" s="12">
        <f>SUM(D8:D23)/2</f>
        <v>96216000</v>
      </c>
      <c r="E7" s="12">
        <f>SUM(E8:E23)/2</f>
        <v>98677000</v>
      </c>
      <c r="F7" s="13">
        <f>SUM(F8:F23)/2</f>
        <v>2461000</v>
      </c>
      <c r="G7" s="404" t="s">
        <v>175</v>
      </c>
      <c r="H7" s="405"/>
      <c r="I7" s="12">
        <f>SUM(I8:I28)/2</f>
        <v>96216000</v>
      </c>
      <c r="J7" s="12">
        <f>SUM(J8:J28)/2</f>
        <v>98677000</v>
      </c>
      <c r="K7" s="14">
        <f>SUM(K8:K28)/2</f>
        <v>2461000</v>
      </c>
    </row>
    <row r="8" spans="2:11" ht="24.95" customHeight="1" x14ac:dyDescent="0.15">
      <c r="B8" s="398" t="s">
        <v>32</v>
      </c>
      <c r="C8" s="15" t="s">
        <v>259</v>
      </c>
      <c r="D8" s="16">
        <f>D9</f>
        <v>12000000</v>
      </c>
      <c r="E8" s="16">
        <f>E9</f>
        <v>12000000</v>
      </c>
      <c r="F8" s="17">
        <f>F9</f>
        <v>0</v>
      </c>
      <c r="G8" s="398" t="s">
        <v>151</v>
      </c>
      <c r="H8" s="15" t="s">
        <v>259</v>
      </c>
      <c r="I8" s="16">
        <f>SUM(I9:I11)</f>
        <v>78132000</v>
      </c>
      <c r="J8" s="16">
        <f>SUM(J9:J11)</f>
        <v>78369000</v>
      </c>
      <c r="K8" s="21">
        <f>SUM(K9:K11)</f>
        <v>237000</v>
      </c>
    </row>
    <row r="9" spans="2:11" ht="24.95" customHeight="1" x14ac:dyDescent="0.15">
      <c r="B9" s="401"/>
      <c r="C9" s="4" t="s">
        <v>178</v>
      </c>
      <c r="D9" s="5">
        <v>12000000</v>
      </c>
      <c r="E9" s="5">
        <v>12000000</v>
      </c>
      <c r="F9" s="6">
        <f>E9-D9</f>
        <v>0</v>
      </c>
      <c r="G9" s="400"/>
      <c r="H9" s="4" t="s">
        <v>309</v>
      </c>
      <c r="I9" s="5">
        <v>67844000</v>
      </c>
      <c r="J9" s="5">
        <v>67653000</v>
      </c>
      <c r="K9" s="7">
        <f>J9-I9</f>
        <v>-191000</v>
      </c>
    </row>
    <row r="10" spans="2:11" ht="24.95" customHeight="1" x14ac:dyDescent="0.15">
      <c r="B10" s="398" t="s">
        <v>63</v>
      </c>
      <c r="C10" s="18" t="s">
        <v>259</v>
      </c>
      <c r="D10" s="19">
        <f>SUM(D11:D14)</f>
        <v>77193000</v>
      </c>
      <c r="E10" s="19">
        <f>SUM(E11:E14)</f>
        <v>78777000</v>
      </c>
      <c r="F10" s="20">
        <f>SUM(F11:F14)</f>
        <v>1584000</v>
      </c>
      <c r="G10" s="400"/>
      <c r="H10" s="4" t="s">
        <v>193</v>
      </c>
      <c r="I10" s="5">
        <v>60000</v>
      </c>
      <c r="J10" s="5">
        <v>230000</v>
      </c>
      <c r="K10" s="7">
        <f>J10-I10</f>
        <v>170000</v>
      </c>
    </row>
    <row r="11" spans="2:11" ht="24.95" customHeight="1" x14ac:dyDescent="0.15">
      <c r="B11" s="400"/>
      <c r="C11" s="11" t="s">
        <v>14</v>
      </c>
      <c r="D11" s="5">
        <v>0</v>
      </c>
      <c r="E11" s="5">
        <v>0</v>
      </c>
      <c r="F11" s="6">
        <f>E11-D11</f>
        <v>0</v>
      </c>
      <c r="G11" s="401"/>
      <c r="H11" s="4" t="s">
        <v>315</v>
      </c>
      <c r="I11" s="5">
        <v>10228000</v>
      </c>
      <c r="J11" s="5">
        <v>10486000</v>
      </c>
      <c r="K11" s="7">
        <f>J11-I11</f>
        <v>258000</v>
      </c>
    </row>
    <row r="12" spans="2:11" ht="24.95" customHeight="1" x14ac:dyDescent="0.15">
      <c r="B12" s="400"/>
      <c r="C12" s="11" t="s">
        <v>30</v>
      </c>
      <c r="D12" s="5">
        <v>75893000</v>
      </c>
      <c r="E12" s="5">
        <v>78777000</v>
      </c>
      <c r="F12" s="6">
        <f>E12-D12</f>
        <v>2884000</v>
      </c>
      <c r="G12" s="398" t="s">
        <v>76</v>
      </c>
      <c r="H12" s="18" t="s">
        <v>259</v>
      </c>
      <c r="I12" s="19">
        <f>SUM(I13:I15)</f>
        <v>2300000</v>
      </c>
      <c r="J12" s="19">
        <f>SUM(J13:J15)</f>
        <v>2900000</v>
      </c>
      <c r="K12" s="22">
        <f>SUM(K13:K15)</f>
        <v>600000</v>
      </c>
    </row>
    <row r="13" spans="2:11" ht="24.95" customHeight="1" x14ac:dyDescent="0.15">
      <c r="B13" s="400"/>
      <c r="C13" s="11" t="s">
        <v>21</v>
      </c>
      <c r="D13" s="5">
        <v>300000</v>
      </c>
      <c r="E13" s="5">
        <v>0</v>
      </c>
      <c r="F13" s="6">
        <f>E13-D13</f>
        <v>-300000</v>
      </c>
      <c r="G13" s="400"/>
      <c r="H13" s="4" t="s">
        <v>286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401"/>
      <c r="C14" s="11" t="s">
        <v>18</v>
      </c>
      <c r="D14" s="5">
        <v>1000000</v>
      </c>
      <c r="E14" s="5">
        <v>0</v>
      </c>
      <c r="F14" s="6">
        <f>E14-D14</f>
        <v>-1000000</v>
      </c>
      <c r="G14" s="400"/>
      <c r="H14" s="4" t="s">
        <v>112</v>
      </c>
      <c r="I14" s="5">
        <v>2200000</v>
      </c>
      <c r="J14" s="5">
        <v>2800000</v>
      </c>
      <c r="K14" s="7">
        <f>J14-I14</f>
        <v>600000</v>
      </c>
    </row>
    <row r="15" spans="2:11" ht="24.95" customHeight="1" x14ac:dyDescent="0.15">
      <c r="B15" s="398" t="s">
        <v>10</v>
      </c>
      <c r="C15" s="18" t="s">
        <v>259</v>
      </c>
      <c r="D15" s="19">
        <f>SUM(D16:D17)</f>
        <v>500000</v>
      </c>
      <c r="E15" s="19">
        <f>SUM(E16:E17)</f>
        <v>540000</v>
      </c>
      <c r="F15" s="20">
        <f>SUM(F16:F17)</f>
        <v>40000</v>
      </c>
      <c r="G15" s="401"/>
      <c r="H15" s="4" t="s">
        <v>11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400"/>
      <c r="C16" s="11" t="s">
        <v>139</v>
      </c>
      <c r="D16" s="5">
        <v>0</v>
      </c>
      <c r="E16" s="5">
        <v>0</v>
      </c>
      <c r="F16" s="6">
        <f>E16-D16</f>
        <v>0</v>
      </c>
      <c r="G16" s="398" t="s">
        <v>166</v>
      </c>
      <c r="H16" s="18" t="s">
        <v>259</v>
      </c>
      <c r="I16" s="19">
        <f>SUM(I17:I22)</f>
        <v>15702000</v>
      </c>
      <c r="J16" s="19">
        <f>SUM(J17:J22)</f>
        <v>17379000</v>
      </c>
      <c r="K16" s="22">
        <f>SUM(K17:K22)</f>
        <v>1677000</v>
      </c>
    </row>
    <row r="17" spans="2:11" ht="24.95" customHeight="1" x14ac:dyDescent="0.15">
      <c r="B17" s="401"/>
      <c r="C17" s="4" t="s">
        <v>133</v>
      </c>
      <c r="D17" s="5">
        <v>500000</v>
      </c>
      <c r="E17" s="5">
        <v>540000</v>
      </c>
      <c r="F17" s="6">
        <f>E17-D17</f>
        <v>40000</v>
      </c>
      <c r="G17" s="400"/>
      <c r="H17" s="4" t="s">
        <v>317</v>
      </c>
      <c r="I17" s="5">
        <v>10950000</v>
      </c>
      <c r="J17" s="5">
        <v>11430000</v>
      </c>
      <c r="K17" s="7">
        <f t="shared" ref="K17:K22" si="0">J17-I17</f>
        <v>480000</v>
      </c>
    </row>
    <row r="18" spans="2:11" ht="24.95" customHeight="1" x14ac:dyDescent="0.15">
      <c r="B18" s="398" t="s">
        <v>155</v>
      </c>
      <c r="C18" s="18" t="s">
        <v>259</v>
      </c>
      <c r="D18" s="19">
        <f>D19</f>
        <v>0</v>
      </c>
      <c r="E18" s="19">
        <f>E19</f>
        <v>0</v>
      </c>
      <c r="F18" s="20">
        <f>F19</f>
        <v>0</v>
      </c>
      <c r="G18" s="400"/>
      <c r="H18" s="4" t="s">
        <v>205</v>
      </c>
      <c r="I18" s="5">
        <v>794000</v>
      </c>
      <c r="J18" s="5">
        <v>905000</v>
      </c>
      <c r="K18" s="7">
        <f t="shared" si="0"/>
        <v>111000</v>
      </c>
    </row>
    <row r="19" spans="2:11" ht="24.95" customHeight="1" x14ac:dyDescent="0.15">
      <c r="B19" s="401"/>
      <c r="C19" s="4" t="s">
        <v>135</v>
      </c>
      <c r="D19" s="5">
        <v>0</v>
      </c>
      <c r="E19" s="5">
        <v>0</v>
      </c>
      <c r="F19" s="6">
        <f>E19-D19</f>
        <v>0</v>
      </c>
      <c r="G19" s="400"/>
      <c r="H19" s="4" t="s">
        <v>325</v>
      </c>
      <c r="I19" s="5">
        <v>800000</v>
      </c>
      <c r="J19" s="5">
        <v>1000000</v>
      </c>
      <c r="K19" s="7">
        <f t="shared" si="0"/>
        <v>200000</v>
      </c>
    </row>
    <row r="20" spans="2:11" ht="24.95" customHeight="1" x14ac:dyDescent="0.15">
      <c r="B20" s="398" t="s">
        <v>144</v>
      </c>
      <c r="C20" s="18" t="s">
        <v>259</v>
      </c>
      <c r="D20" s="19">
        <f>D21</f>
        <v>5221000</v>
      </c>
      <c r="E20" s="19">
        <f>E21</f>
        <v>6074000</v>
      </c>
      <c r="F20" s="20">
        <f>F21</f>
        <v>853000</v>
      </c>
      <c r="G20" s="400"/>
      <c r="H20" s="4" t="s">
        <v>321</v>
      </c>
      <c r="I20" s="5">
        <v>574000</v>
      </c>
      <c r="J20" s="5">
        <v>460000</v>
      </c>
      <c r="K20" s="7">
        <f t="shared" si="0"/>
        <v>-114000</v>
      </c>
    </row>
    <row r="21" spans="2:11" ht="24.95" customHeight="1" x14ac:dyDescent="0.15">
      <c r="B21" s="401"/>
      <c r="C21" s="4" t="s">
        <v>167</v>
      </c>
      <c r="D21" s="5">
        <v>5221000</v>
      </c>
      <c r="E21" s="5">
        <v>6074000</v>
      </c>
      <c r="F21" s="6">
        <f>E21-D21</f>
        <v>853000</v>
      </c>
      <c r="G21" s="400"/>
      <c r="H21" s="4" t="s">
        <v>282</v>
      </c>
      <c r="I21" s="5">
        <v>24000</v>
      </c>
      <c r="J21" s="5">
        <v>24000</v>
      </c>
      <c r="K21" s="7">
        <f t="shared" si="0"/>
        <v>0</v>
      </c>
    </row>
    <row r="22" spans="2:11" ht="24.95" customHeight="1" x14ac:dyDescent="0.15">
      <c r="B22" s="398" t="s">
        <v>207</v>
      </c>
      <c r="C22" s="18" t="s">
        <v>259</v>
      </c>
      <c r="D22" s="19">
        <f>D23</f>
        <v>1302000</v>
      </c>
      <c r="E22" s="19">
        <f>E23</f>
        <v>1286000</v>
      </c>
      <c r="F22" s="20">
        <f>F23</f>
        <v>-16000</v>
      </c>
      <c r="G22" s="401"/>
      <c r="H22" s="4" t="s">
        <v>86</v>
      </c>
      <c r="I22" s="5">
        <v>2560000</v>
      </c>
      <c r="J22" s="5">
        <v>3560000</v>
      </c>
      <c r="K22" s="7">
        <f t="shared" si="0"/>
        <v>1000000</v>
      </c>
    </row>
    <row r="23" spans="2:11" ht="24.95" customHeight="1" x14ac:dyDescent="0.15">
      <c r="B23" s="401"/>
      <c r="C23" s="4" t="s">
        <v>324</v>
      </c>
      <c r="D23" s="5">
        <v>1302000</v>
      </c>
      <c r="E23" s="5">
        <v>1286000</v>
      </c>
      <c r="F23" s="6">
        <f>E23-D23</f>
        <v>-16000</v>
      </c>
      <c r="G23" s="402" t="s">
        <v>43</v>
      </c>
      <c r="H23" s="18" t="s">
        <v>259</v>
      </c>
      <c r="I23" s="19">
        <f>I24</f>
        <v>16000</v>
      </c>
      <c r="J23" s="19">
        <f>J24</f>
        <v>20000</v>
      </c>
      <c r="K23" s="22">
        <f>K24</f>
        <v>4000</v>
      </c>
    </row>
    <row r="24" spans="2:11" ht="24.95" customHeight="1" x14ac:dyDescent="0.15">
      <c r="B24" s="23"/>
      <c r="C24" s="24"/>
      <c r="D24" s="24"/>
      <c r="E24" s="24"/>
      <c r="F24" s="24"/>
      <c r="G24" s="403"/>
      <c r="H24" s="4" t="s">
        <v>168</v>
      </c>
      <c r="I24" s="5">
        <v>16000</v>
      </c>
      <c r="J24" s="5">
        <v>20000</v>
      </c>
      <c r="K24" s="7">
        <f>J24-I24</f>
        <v>4000</v>
      </c>
    </row>
    <row r="25" spans="2:11" ht="24.95" customHeight="1" x14ac:dyDescent="0.15">
      <c r="B25" s="25"/>
      <c r="C25" s="26"/>
      <c r="D25" s="26"/>
      <c r="E25" s="26"/>
      <c r="F25" s="26"/>
      <c r="G25" s="398" t="s">
        <v>194</v>
      </c>
      <c r="H25" s="18" t="s">
        <v>259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5"/>
      <c r="C26" s="26"/>
      <c r="D26" s="26"/>
      <c r="E26" s="26"/>
      <c r="F26" s="26"/>
      <c r="G26" s="401"/>
      <c r="H26" s="4" t="s">
        <v>302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5"/>
      <c r="C27" s="26"/>
      <c r="D27" s="26"/>
      <c r="E27" s="26"/>
      <c r="F27" s="26"/>
      <c r="G27" s="398" t="s">
        <v>116</v>
      </c>
      <c r="H27" s="18" t="s">
        <v>259</v>
      </c>
      <c r="I27" s="19">
        <f>I28</f>
        <v>66000</v>
      </c>
      <c r="J27" s="19">
        <f>J28</f>
        <v>9000</v>
      </c>
      <c r="K27" s="22">
        <f>K28</f>
        <v>-57000</v>
      </c>
    </row>
    <row r="28" spans="2:11" ht="24.95" customHeight="1" x14ac:dyDescent="0.15">
      <c r="B28" s="27"/>
      <c r="C28" s="28"/>
      <c r="D28" s="28"/>
      <c r="E28" s="28"/>
      <c r="F28" s="28"/>
      <c r="G28" s="399"/>
      <c r="H28" s="8" t="s">
        <v>290</v>
      </c>
      <c r="I28" s="9">
        <v>66000</v>
      </c>
      <c r="J28" s="9">
        <v>9000</v>
      </c>
      <c r="K28" s="10">
        <f>J28-I28</f>
        <v>-57000</v>
      </c>
    </row>
  </sheetData>
  <mergeCells count="24">
    <mergeCell ref="B20:B21"/>
    <mergeCell ref="B22:B23"/>
    <mergeCell ref="B8:B9"/>
    <mergeCell ref="B7:C7"/>
    <mergeCell ref="G8:G11"/>
    <mergeCell ref="G7:H7"/>
    <mergeCell ref="B10:B14"/>
    <mergeCell ref="B15:B17"/>
    <mergeCell ref="B18:B19"/>
    <mergeCell ref="G27:G28"/>
    <mergeCell ref="G12:G15"/>
    <mergeCell ref="G16:G22"/>
    <mergeCell ref="G23:G24"/>
    <mergeCell ref="G25:G26"/>
    <mergeCell ref="B4:F4"/>
    <mergeCell ref="G4:K4"/>
    <mergeCell ref="B5:C6"/>
    <mergeCell ref="E5:E6"/>
    <mergeCell ref="F5:F6"/>
    <mergeCell ref="J5:J6"/>
    <mergeCell ref="K5:K6"/>
    <mergeCell ref="G5:H6"/>
    <mergeCell ref="D5:D6"/>
    <mergeCell ref="I5:I6"/>
  </mergeCells>
  <phoneticPr fontId="24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>
    <oddFooter>&amp;R&amp;"돋움,Regular"공동생활가정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S102"/>
  <sheetViews>
    <sheetView zoomScaleNormal="100" zoomScaleSheetLayoutView="75" workbookViewId="0">
      <pane xSplit="3" ySplit="4" topLeftCell="D11" activePane="bottomRight" state="frozen"/>
      <selection pane="topRight"/>
      <selection pane="bottomLeft"/>
      <selection pane="bottomRight" activeCell="AB59" sqref="AB59"/>
    </sheetView>
  </sheetViews>
  <sheetFormatPr defaultColWidth="13.77734375" defaultRowHeight="19.5" customHeight="1" x14ac:dyDescent="0.15"/>
  <cols>
    <col min="1" max="2" width="5.6640625" style="35" bestFit="1" customWidth="1"/>
    <col min="3" max="3" width="5.6640625" style="35" customWidth="1"/>
    <col min="4" max="4" width="10.6640625" style="34" customWidth="1"/>
    <col min="5" max="5" width="10.77734375" style="34" customWidth="1"/>
    <col min="6" max="6" width="9.44140625" style="33" bestFit="1" customWidth="1"/>
    <col min="7" max="7" width="7.6640625" style="32" customWidth="1"/>
    <col min="8" max="8" width="16.109375" style="29" customWidth="1"/>
    <col min="9" max="9" width="4.77734375" style="31" customWidth="1"/>
    <col min="10" max="10" width="2.21875" style="31" customWidth="1"/>
    <col min="11" max="11" width="2.5546875" style="31" customWidth="1"/>
    <col min="12" max="12" width="10.44140625" style="31" bestFit="1" customWidth="1"/>
    <col min="13" max="13" width="3.109375" style="31" customWidth="1"/>
    <col min="14" max="14" width="3.44140625" style="31" bestFit="1" customWidth="1"/>
    <col min="15" max="15" width="7.6640625" style="31" bestFit="1" customWidth="1"/>
    <col min="16" max="16" width="4.88671875" style="31" customWidth="1"/>
    <col min="17" max="17" width="4.109375" style="31" bestFit="1" customWidth="1"/>
    <col min="18" max="18" width="6.77734375" style="31" bestFit="1" customWidth="1"/>
    <col min="19" max="19" width="2.77734375" style="31" bestFit="1" customWidth="1"/>
    <col min="20" max="20" width="2.109375" style="31" bestFit="1" customWidth="1"/>
    <col min="21" max="21" width="5.77734375" style="31" bestFit="1" customWidth="1"/>
    <col min="22" max="22" width="2.5546875" style="31" customWidth="1"/>
    <col min="23" max="23" width="12.44140625" style="31" bestFit="1" customWidth="1"/>
    <col min="24" max="24" width="2.77734375" style="31" customWidth="1"/>
    <col min="25" max="25" width="4.5546875" style="30" customWidth="1"/>
    <col min="26" max="26" width="13.77734375" style="29" bestFit="1" customWidth="1"/>
    <col min="27" max="16384" width="13.77734375" style="29"/>
  </cols>
  <sheetData>
    <row r="1" spans="1:25" s="36" customFormat="1" ht="24.75" customHeight="1" x14ac:dyDescent="0.15">
      <c r="A1" s="408" t="s">
        <v>331</v>
      </c>
      <c r="B1" s="408"/>
      <c r="C1" s="408"/>
      <c r="D1" s="408"/>
      <c r="E1" s="408"/>
      <c r="F1" s="408"/>
      <c r="G1" s="32"/>
      <c r="H1" s="2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0"/>
    </row>
    <row r="2" spans="1:25" s="196" customFormat="1" ht="20.25" customHeight="1" x14ac:dyDescent="0.15">
      <c r="A2" s="409" t="s">
        <v>296</v>
      </c>
      <c r="B2" s="410"/>
      <c r="C2" s="410"/>
      <c r="D2" s="413" t="s">
        <v>338</v>
      </c>
      <c r="E2" s="413" t="s">
        <v>339</v>
      </c>
      <c r="F2" s="415" t="s">
        <v>115</v>
      </c>
      <c r="G2" s="415"/>
      <c r="H2" s="415" t="s">
        <v>0</v>
      </c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6"/>
      <c r="Y2" s="197"/>
    </row>
    <row r="3" spans="1:25" s="196" customFormat="1" ht="28.5" customHeight="1" x14ac:dyDescent="0.15">
      <c r="A3" s="208" t="s">
        <v>257</v>
      </c>
      <c r="B3" s="207" t="s">
        <v>212</v>
      </c>
      <c r="C3" s="207" t="s">
        <v>242</v>
      </c>
      <c r="D3" s="414"/>
      <c r="E3" s="414"/>
      <c r="F3" s="206" t="s">
        <v>190</v>
      </c>
      <c r="G3" s="205" t="s">
        <v>45</v>
      </c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8"/>
      <c r="Y3" s="197"/>
    </row>
    <row r="4" spans="1:25" s="196" customFormat="1" ht="19.5" customHeight="1" x14ac:dyDescent="0.15">
      <c r="A4" s="411" t="s">
        <v>300</v>
      </c>
      <c r="B4" s="412"/>
      <c r="C4" s="412"/>
      <c r="D4" s="204">
        <f>SUM(D5,D7,D9,D11,D30,D40,D47,D70)</f>
        <v>96216</v>
      </c>
      <c r="E4" s="204">
        <f>SUM(E5,E7,E9,E11,E30,E40,E47,E70)</f>
        <v>98677</v>
      </c>
      <c r="F4" s="203">
        <f>SUM(F5,F7,F9,F11,F30,F40,F47,F70)</f>
        <v>2461</v>
      </c>
      <c r="G4" s="202">
        <f>IF(D4=0,0,F4/D4)</f>
        <v>2.5577866467115656E-2</v>
      </c>
      <c r="H4" s="201" t="s">
        <v>4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199">
        <f>SUM(W5,W7,W9,W11,W30,W40,W47,W70)</f>
        <v>98677000</v>
      </c>
      <c r="X4" s="198" t="s">
        <v>218</v>
      </c>
      <c r="Y4" s="197"/>
    </row>
    <row r="5" spans="1:25" ht="21" customHeight="1" x14ac:dyDescent="0.15">
      <c r="A5" s="129" t="s">
        <v>31</v>
      </c>
      <c r="B5" s="75" t="s">
        <v>31</v>
      </c>
      <c r="C5" s="195" t="s">
        <v>7</v>
      </c>
      <c r="D5" s="190">
        <v>12000</v>
      </c>
      <c r="E5" s="190">
        <f>W5/1000</f>
        <v>12000</v>
      </c>
      <c r="F5" s="189">
        <f>E5-D5</f>
        <v>0</v>
      </c>
      <c r="G5" s="188">
        <f>IF(D5=0,0,F5/D5)</f>
        <v>0</v>
      </c>
      <c r="H5" s="187" t="s">
        <v>145</v>
      </c>
      <c r="I5" s="186"/>
      <c r="J5" s="185"/>
      <c r="K5" s="185"/>
      <c r="L5" s="185"/>
      <c r="M5" s="185"/>
      <c r="N5" s="185"/>
      <c r="O5" s="184"/>
      <c r="P5" s="184" t="s">
        <v>95</v>
      </c>
      <c r="Q5" s="184"/>
      <c r="R5" s="184"/>
      <c r="S5" s="184"/>
      <c r="T5" s="184"/>
      <c r="U5" s="184"/>
      <c r="V5" s="183"/>
      <c r="W5" s="183">
        <f>W6</f>
        <v>12000000</v>
      </c>
      <c r="X5" s="182" t="s">
        <v>218</v>
      </c>
    </row>
    <row r="6" spans="1:25" ht="21" customHeight="1" x14ac:dyDescent="0.15">
      <c r="A6" s="101" t="s">
        <v>65</v>
      </c>
      <c r="B6" s="52" t="s">
        <v>65</v>
      </c>
      <c r="C6" s="194" t="s">
        <v>65</v>
      </c>
      <c r="D6" s="51"/>
      <c r="E6" s="51"/>
      <c r="F6" s="50"/>
      <c r="G6" s="49"/>
      <c r="H6" s="193" t="s">
        <v>160</v>
      </c>
      <c r="I6" s="76"/>
      <c r="J6" s="192"/>
      <c r="K6" s="192"/>
      <c r="L6" s="47">
        <v>250000</v>
      </c>
      <c r="M6" s="47" t="s">
        <v>218</v>
      </c>
      <c r="N6" s="56" t="s">
        <v>272</v>
      </c>
      <c r="O6" s="47">
        <v>4</v>
      </c>
      <c r="P6" s="47" t="s">
        <v>271</v>
      </c>
      <c r="Q6" s="56" t="s">
        <v>272</v>
      </c>
      <c r="R6" s="191">
        <v>12</v>
      </c>
      <c r="S6" s="78" t="s">
        <v>252</v>
      </c>
      <c r="T6" s="78" t="s">
        <v>235</v>
      </c>
      <c r="U6" s="78"/>
      <c r="V6" s="47"/>
      <c r="W6" s="47">
        <f>L6*O6*R6</f>
        <v>12000000</v>
      </c>
      <c r="X6" s="46" t="s">
        <v>218</v>
      </c>
    </row>
    <row r="7" spans="1:25" s="36" customFormat="1" ht="19.5" customHeight="1" x14ac:dyDescent="0.15">
      <c r="A7" s="129" t="s">
        <v>247</v>
      </c>
      <c r="B7" s="75" t="s">
        <v>247</v>
      </c>
      <c r="C7" s="75" t="s">
        <v>247</v>
      </c>
      <c r="D7" s="190">
        <f>ROUND(V7/1000,0)</f>
        <v>0</v>
      </c>
      <c r="E7" s="190">
        <f>ROUND(W7/1000,0)</f>
        <v>0</v>
      </c>
      <c r="F7" s="189">
        <f>E7-D7</f>
        <v>0</v>
      </c>
      <c r="G7" s="188">
        <f>IF(D7=0,0,F7/D7)</f>
        <v>0</v>
      </c>
      <c r="H7" s="187" t="s">
        <v>36</v>
      </c>
      <c r="I7" s="186"/>
      <c r="J7" s="185"/>
      <c r="K7" s="185"/>
      <c r="L7" s="185"/>
      <c r="M7" s="185"/>
      <c r="N7" s="185"/>
      <c r="O7" s="184"/>
      <c r="P7" s="184" t="s">
        <v>95</v>
      </c>
      <c r="Q7" s="184"/>
      <c r="R7" s="184"/>
      <c r="S7" s="184"/>
      <c r="T7" s="184"/>
      <c r="U7" s="184"/>
      <c r="V7" s="183"/>
      <c r="W7" s="183">
        <f>W8</f>
        <v>0</v>
      </c>
      <c r="X7" s="182" t="s">
        <v>218</v>
      </c>
      <c r="Y7" s="30"/>
    </row>
    <row r="8" spans="1:25" ht="21" customHeight="1" x14ac:dyDescent="0.15">
      <c r="A8" s="123" t="s">
        <v>211</v>
      </c>
      <c r="B8" s="122" t="s">
        <v>211</v>
      </c>
      <c r="C8" s="122" t="s">
        <v>211</v>
      </c>
      <c r="D8" s="51"/>
      <c r="E8" s="51"/>
      <c r="F8" s="50"/>
      <c r="G8" s="49"/>
      <c r="H8" s="193"/>
      <c r="I8" s="76"/>
      <c r="J8" s="192"/>
      <c r="K8" s="192"/>
      <c r="L8" s="47"/>
      <c r="M8" s="47"/>
      <c r="N8" s="56"/>
      <c r="O8" s="47"/>
      <c r="P8" s="47"/>
      <c r="Q8" s="56"/>
      <c r="R8" s="191"/>
      <c r="S8" s="78"/>
      <c r="T8" s="78"/>
      <c r="U8" s="78"/>
      <c r="V8" s="47"/>
      <c r="W8" s="47">
        <v>0</v>
      </c>
      <c r="X8" s="46" t="s">
        <v>218</v>
      </c>
    </row>
    <row r="9" spans="1:25" ht="21" customHeight="1" x14ac:dyDescent="0.15">
      <c r="A9" s="129" t="s">
        <v>250</v>
      </c>
      <c r="B9" s="75" t="s">
        <v>250</v>
      </c>
      <c r="C9" s="75" t="s">
        <v>250</v>
      </c>
      <c r="D9" s="190">
        <f>ROUND(V9/1000,0)</f>
        <v>0</v>
      </c>
      <c r="E9" s="190">
        <f>ROUND(W9/1000,0)</f>
        <v>0</v>
      </c>
      <c r="F9" s="189">
        <f>E9-D9</f>
        <v>0</v>
      </c>
      <c r="G9" s="188">
        <f>IF(D9=0,0,F9/D9)</f>
        <v>0</v>
      </c>
      <c r="H9" s="187" t="s">
        <v>203</v>
      </c>
      <c r="I9" s="186"/>
      <c r="J9" s="185"/>
      <c r="K9" s="185"/>
      <c r="L9" s="185"/>
      <c r="M9" s="185"/>
      <c r="N9" s="185"/>
      <c r="O9" s="184"/>
      <c r="P9" s="184" t="s">
        <v>95</v>
      </c>
      <c r="Q9" s="184"/>
      <c r="R9" s="184"/>
      <c r="S9" s="184"/>
      <c r="T9" s="184"/>
      <c r="U9" s="184"/>
      <c r="V9" s="183"/>
      <c r="W9" s="183">
        <f>W10</f>
        <v>0</v>
      </c>
      <c r="X9" s="182" t="s">
        <v>218</v>
      </c>
    </row>
    <row r="10" spans="1:25" ht="21" customHeight="1" x14ac:dyDescent="0.15">
      <c r="A10" s="123" t="s">
        <v>211</v>
      </c>
      <c r="B10" s="122" t="s">
        <v>211</v>
      </c>
      <c r="C10" s="122" t="s">
        <v>211</v>
      </c>
      <c r="D10" s="121"/>
      <c r="E10" s="121"/>
      <c r="F10" s="181"/>
      <c r="G10" s="180"/>
      <c r="H10" s="179"/>
      <c r="I10" s="178"/>
      <c r="J10" s="177"/>
      <c r="K10" s="177"/>
      <c r="L10" s="177"/>
      <c r="M10" s="177"/>
      <c r="N10" s="177"/>
      <c r="O10" s="176"/>
      <c r="P10" s="176"/>
      <c r="Q10" s="176"/>
      <c r="R10" s="176"/>
      <c r="S10" s="176"/>
      <c r="T10" s="176"/>
      <c r="U10" s="176"/>
      <c r="V10" s="175"/>
      <c r="W10" s="175">
        <v>0</v>
      </c>
      <c r="X10" s="174" t="s">
        <v>218</v>
      </c>
    </row>
    <row r="11" spans="1:25" s="36" customFormat="1" ht="19.5" customHeight="1" x14ac:dyDescent="0.15">
      <c r="A11" s="129" t="s">
        <v>261</v>
      </c>
      <c r="B11" s="75" t="s">
        <v>261</v>
      </c>
      <c r="C11" s="111" t="s">
        <v>20</v>
      </c>
      <c r="D11" s="110">
        <f>D12+D15+D21+D27</f>
        <v>77193</v>
      </c>
      <c r="E11" s="110">
        <f>W11/1000</f>
        <v>78777</v>
      </c>
      <c r="F11" s="109">
        <f>E11-D11</f>
        <v>1584</v>
      </c>
      <c r="G11" s="108">
        <f>IF(D11=0,0,F11/D11)</f>
        <v>2.0519995336364696E-2</v>
      </c>
      <c r="H11" s="107" t="s">
        <v>153</v>
      </c>
      <c r="I11" s="105"/>
      <c r="J11" s="106"/>
      <c r="K11" s="106"/>
      <c r="L11" s="105"/>
      <c r="M11" s="105"/>
      <c r="N11" s="105"/>
      <c r="O11" s="105"/>
      <c r="P11" s="105"/>
      <c r="Q11" s="104"/>
      <c r="R11" s="104"/>
      <c r="S11" s="104"/>
      <c r="T11" s="104"/>
      <c r="U11" s="104"/>
      <c r="V11" s="104"/>
      <c r="W11" s="128">
        <f>SUM(W12,W15,W21,W27)</f>
        <v>78777000</v>
      </c>
      <c r="X11" s="127" t="s">
        <v>218</v>
      </c>
      <c r="Y11" s="30"/>
    </row>
    <row r="12" spans="1:25" s="36" customFormat="1" ht="19.5" customHeight="1" x14ac:dyDescent="0.15">
      <c r="A12" s="101" t="s">
        <v>24</v>
      </c>
      <c r="B12" s="52" t="s">
        <v>211</v>
      </c>
      <c r="C12" s="75" t="s">
        <v>244</v>
      </c>
      <c r="D12" s="74">
        <v>0</v>
      </c>
      <c r="E12" s="74">
        <v>0</v>
      </c>
      <c r="F12" s="73">
        <f>E12-D12</f>
        <v>0</v>
      </c>
      <c r="G12" s="72">
        <f>IF(D12=0,0,F12/D12)</f>
        <v>0</v>
      </c>
      <c r="H12" s="71" t="s">
        <v>307</v>
      </c>
      <c r="I12" s="70"/>
      <c r="J12" s="69"/>
      <c r="K12" s="69"/>
      <c r="L12" s="69"/>
      <c r="M12" s="69"/>
      <c r="N12" s="69"/>
      <c r="O12" s="68"/>
      <c r="P12" s="68"/>
      <c r="Q12" s="68"/>
      <c r="R12" s="68"/>
      <c r="S12" s="68"/>
      <c r="T12" s="68"/>
      <c r="U12" s="67" t="s">
        <v>35</v>
      </c>
      <c r="V12" s="66"/>
      <c r="W12" s="99">
        <v>0</v>
      </c>
      <c r="X12" s="65" t="s">
        <v>218</v>
      </c>
      <c r="Y12" s="30"/>
    </row>
    <row r="13" spans="1:25" s="36" customFormat="1" ht="19.5" customHeight="1" x14ac:dyDescent="0.15">
      <c r="A13" s="101"/>
      <c r="B13" s="52"/>
      <c r="C13" s="52" t="s">
        <v>261</v>
      </c>
      <c r="D13" s="173"/>
      <c r="E13" s="173"/>
      <c r="F13" s="172"/>
      <c r="G13" s="171"/>
      <c r="H13" s="170"/>
      <c r="I13" s="169"/>
      <c r="J13" s="168"/>
      <c r="K13" s="168"/>
      <c r="L13" s="168"/>
      <c r="M13" s="168"/>
      <c r="N13" s="168"/>
      <c r="O13" s="167"/>
      <c r="P13" s="167"/>
      <c r="Q13" s="167"/>
      <c r="R13" s="167"/>
      <c r="S13" s="167"/>
      <c r="T13" s="167"/>
      <c r="U13" s="166"/>
      <c r="V13" s="165"/>
      <c r="W13" s="165"/>
      <c r="X13" s="164"/>
      <c r="Y13" s="30"/>
    </row>
    <row r="14" spans="1:25" s="36" customFormat="1" ht="19.5" customHeight="1" x14ac:dyDescent="0.15">
      <c r="A14" s="54"/>
      <c r="B14" s="52"/>
      <c r="C14" s="52"/>
      <c r="D14" s="121"/>
      <c r="E14" s="121"/>
      <c r="F14" s="120"/>
      <c r="G14" s="119"/>
      <c r="H14" s="118"/>
      <c r="I14" s="114"/>
      <c r="J14" s="163"/>
      <c r="K14" s="163"/>
      <c r="L14" s="115"/>
      <c r="M14" s="115"/>
      <c r="N14" s="162"/>
      <c r="O14" s="115"/>
      <c r="P14" s="116"/>
      <c r="Q14" s="161"/>
      <c r="R14" s="160"/>
      <c r="S14" s="125"/>
      <c r="T14" s="125"/>
      <c r="U14" s="159"/>
      <c r="V14" s="117"/>
      <c r="W14" s="114"/>
      <c r="X14" s="113"/>
      <c r="Y14" s="30"/>
    </row>
    <row r="15" spans="1:25" s="36" customFormat="1" ht="19.5" customHeight="1" x14ac:dyDescent="0.15">
      <c r="A15" s="54"/>
      <c r="B15" s="52"/>
      <c r="C15" s="75" t="s">
        <v>233</v>
      </c>
      <c r="D15" s="74">
        <f>D16</f>
        <v>7589</v>
      </c>
      <c r="E15" s="74">
        <f>W15/1000</f>
        <v>7878</v>
      </c>
      <c r="F15" s="73">
        <f>E15-D15</f>
        <v>289</v>
      </c>
      <c r="G15" s="72">
        <f>IF(D15=0,0,F15/D15)</f>
        <v>3.8081433653972853E-2</v>
      </c>
      <c r="H15" s="71" t="s">
        <v>285</v>
      </c>
      <c r="I15" s="70"/>
      <c r="J15" s="69"/>
      <c r="K15" s="69"/>
      <c r="L15" s="69"/>
      <c r="M15" s="69"/>
      <c r="N15" s="69"/>
      <c r="O15" s="68"/>
      <c r="P15" s="68"/>
      <c r="Q15" s="68"/>
      <c r="R15" s="68"/>
      <c r="S15" s="68"/>
      <c r="T15" s="68"/>
      <c r="U15" s="67" t="s">
        <v>35</v>
      </c>
      <c r="V15" s="66"/>
      <c r="W15" s="66">
        <f>W16</f>
        <v>7878000</v>
      </c>
      <c r="X15" s="65" t="s">
        <v>218</v>
      </c>
      <c r="Y15" s="30"/>
    </row>
    <row r="16" spans="1:25" s="36" customFormat="1" ht="19.5" customHeight="1" x14ac:dyDescent="0.15">
      <c r="A16" s="54"/>
      <c r="B16" s="52"/>
      <c r="C16" s="52" t="s">
        <v>261</v>
      </c>
      <c r="D16" s="124">
        <v>7589</v>
      </c>
      <c r="E16" s="124">
        <f>W16/1000</f>
        <v>7878</v>
      </c>
      <c r="F16" s="64">
        <f>E16-D16</f>
        <v>289</v>
      </c>
      <c r="G16" s="135">
        <f>IF(D16=0,0,F16/D16)</f>
        <v>3.8081433653972853E-2</v>
      </c>
      <c r="H16" s="158" t="s">
        <v>104</v>
      </c>
      <c r="I16" s="157"/>
      <c r="J16" s="156"/>
      <c r="K16" s="156"/>
      <c r="L16" s="86"/>
      <c r="M16" s="86"/>
      <c r="N16" s="155"/>
      <c r="O16" s="86"/>
      <c r="P16" s="154"/>
      <c r="Q16" s="153"/>
      <c r="R16" s="152"/>
      <c r="S16" s="151"/>
      <c r="T16" s="151"/>
      <c r="U16" s="150" t="s">
        <v>249</v>
      </c>
      <c r="V16" s="149"/>
      <c r="W16" s="149">
        <f>SUM(V17:W19)</f>
        <v>7878000</v>
      </c>
      <c r="X16" s="148" t="s">
        <v>218</v>
      </c>
      <c r="Y16" s="30"/>
    </row>
    <row r="17" spans="1:28" s="36" customFormat="1" ht="19.5" customHeight="1" x14ac:dyDescent="0.15">
      <c r="A17" s="54"/>
      <c r="B17" s="52"/>
      <c r="C17" s="52"/>
      <c r="D17" s="51"/>
      <c r="E17" s="51"/>
      <c r="F17" s="50"/>
      <c r="G17" s="77"/>
      <c r="H17" s="56" t="s">
        <v>333</v>
      </c>
      <c r="I17" s="55"/>
      <c r="J17" s="146"/>
      <c r="K17" s="146"/>
      <c r="L17" s="47">
        <f>[3]인건비!$X$3</f>
        <v>67312000</v>
      </c>
      <c r="M17" s="47" t="s">
        <v>218</v>
      </c>
      <c r="N17" s="145"/>
      <c r="O17" s="140"/>
      <c r="P17" s="145" t="s">
        <v>272</v>
      </c>
      <c r="Q17" s="140">
        <v>0.1</v>
      </c>
      <c r="R17" s="364"/>
      <c r="S17" s="364"/>
      <c r="T17" s="364" t="s">
        <v>235</v>
      </c>
      <c r="U17" s="406"/>
      <c r="V17" s="406"/>
      <c r="W17" s="350">
        <f>ROUNDUP(L17*Q17,-3)</f>
        <v>6732000</v>
      </c>
      <c r="X17" s="46" t="s">
        <v>218</v>
      </c>
      <c r="Y17" s="30"/>
    </row>
    <row r="18" spans="1:28" s="36" customFormat="1" ht="19.5" customHeight="1" x14ac:dyDescent="0.15">
      <c r="A18" s="54"/>
      <c r="B18" s="52"/>
      <c r="C18" s="52"/>
      <c r="D18" s="51"/>
      <c r="E18" s="51"/>
      <c r="F18" s="50"/>
      <c r="G18" s="77"/>
      <c r="H18" s="56" t="s">
        <v>187</v>
      </c>
      <c r="I18" s="55"/>
      <c r="J18" s="146"/>
      <c r="K18" s="146"/>
      <c r="L18" s="47">
        <v>2366000</v>
      </c>
      <c r="M18" s="47" t="s">
        <v>218</v>
      </c>
      <c r="N18" s="145" t="s">
        <v>272</v>
      </c>
      <c r="O18" s="142">
        <v>4</v>
      </c>
      <c r="P18" s="145" t="s">
        <v>272</v>
      </c>
      <c r="Q18" s="140">
        <v>0.1</v>
      </c>
      <c r="R18" s="144"/>
      <c r="S18" s="82"/>
      <c r="T18" s="78" t="s">
        <v>235</v>
      </c>
      <c r="U18" s="147"/>
      <c r="V18" s="56"/>
      <c r="W18" s="55">
        <f>ROUND(L18*O18*Q18,-3)</f>
        <v>946000</v>
      </c>
      <c r="X18" s="46" t="s">
        <v>218</v>
      </c>
      <c r="Y18" s="30"/>
      <c r="AB18" s="354"/>
    </row>
    <row r="19" spans="1:28" s="36" customFormat="1" ht="19.5" customHeight="1" x14ac:dyDescent="0.15">
      <c r="A19" s="54"/>
      <c r="B19" s="52"/>
      <c r="C19" s="52"/>
      <c r="D19" s="51"/>
      <c r="E19" s="51"/>
      <c r="F19" s="50"/>
      <c r="G19" s="77"/>
      <c r="H19" s="48" t="s">
        <v>320</v>
      </c>
      <c r="I19" s="55"/>
      <c r="J19" s="146"/>
      <c r="K19" s="146"/>
      <c r="L19" s="47">
        <v>2000000</v>
      </c>
      <c r="M19" s="47" t="s">
        <v>218</v>
      </c>
      <c r="N19" s="145"/>
      <c r="O19" s="140"/>
      <c r="P19" s="145" t="s">
        <v>272</v>
      </c>
      <c r="Q19" s="140">
        <v>0.1</v>
      </c>
      <c r="R19" s="364"/>
      <c r="S19" s="364"/>
      <c r="T19" s="364" t="s">
        <v>235</v>
      </c>
      <c r="U19" s="406"/>
      <c r="V19" s="406"/>
      <c r="W19" s="350">
        <f>ROUNDUP(L19*Q19,-3)</f>
        <v>200000</v>
      </c>
      <c r="X19" s="46" t="s">
        <v>218</v>
      </c>
      <c r="Y19" s="30"/>
    </row>
    <row r="20" spans="1:28" s="36" customFormat="1" ht="19.5" customHeight="1" x14ac:dyDescent="0.15">
      <c r="A20" s="54"/>
      <c r="B20" s="143"/>
      <c r="C20" s="138"/>
      <c r="D20" s="121"/>
      <c r="E20" s="121"/>
      <c r="F20" s="120"/>
      <c r="G20" s="119"/>
      <c r="H20" s="117"/>
      <c r="I20" s="115"/>
      <c r="J20" s="136"/>
      <c r="K20" s="136"/>
      <c r="L20" s="115"/>
      <c r="M20" s="115"/>
      <c r="N20" s="117"/>
      <c r="O20" s="115"/>
      <c r="P20" s="115"/>
      <c r="Q20" s="117"/>
      <c r="R20" s="117"/>
      <c r="S20" s="117"/>
      <c r="T20" s="117"/>
      <c r="U20" s="117"/>
      <c r="V20" s="117"/>
      <c r="W20" s="115"/>
      <c r="X20" s="113"/>
      <c r="Y20" s="30"/>
    </row>
    <row r="21" spans="1:28" s="36" customFormat="1" ht="19.5" customHeight="1" x14ac:dyDescent="0.15">
      <c r="A21" s="101"/>
      <c r="B21" s="52"/>
      <c r="C21" s="52" t="s">
        <v>215</v>
      </c>
      <c r="D21" s="74">
        <f>D22</f>
        <v>68604</v>
      </c>
      <c r="E21" s="74">
        <f>W21/1000</f>
        <v>70899</v>
      </c>
      <c r="F21" s="73">
        <f>E21-D21</f>
        <v>2295</v>
      </c>
      <c r="G21" s="72">
        <f>IF(D21=0,0,F21/D21)</f>
        <v>3.3452859891551515E-2</v>
      </c>
      <c r="H21" s="71" t="s">
        <v>280</v>
      </c>
      <c r="I21" s="70"/>
      <c r="J21" s="69"/>
      <c r="K21" s="69"/>
      <c r="L21" s="69"/>
      <c r="M21" s="69"/>
      <c r="N21" s="69"/>
      <c r="O21" s="68"/>
      <c r="P21" s="68"/>
      <c r="Q21" s="68"/>
      <c r="R21" s="68"/>
      <c r="S21" s="68"/>
      <c r="T21" s="68"/>
      <c r="U21" s="67" t="s">
        <v>35</v>
      </c>
      <c r="V21" s="66"/>
      <c r="W21" s="99">
        <f>W22</f>
        <v>70899000</v>
      </c>
      <c r="X21" s="65" t="s">
        <v>218</v>
      </c>
      <c r="Y21" s="30"/>
    </row>
    <row r="22" spans="1:28" s="36" customFormat="1" ht="19.5" customHeight="1" x14ac:dyDescent="0.15">
      <c r="A22" s="101"/>
      <c r="B22" s="52"/>
      <c r="C22" s="52"/>
      <c r="D22" s="124">
        <v>68604</v>
      </c>
      <c r="E22" s="124">
        <f>W22/1000</f>
        <v>70899</v>
      </c>
      <c r="F22" s="64">
        <f>E22-D22</f>
        <v>2295</v>
      </c>
      <c r="G22" s="135">
        <f>IF(D22=0,0,F22/D22)</f>
        <v>3.3452859891551515E-2</v>
      </c>
      <c r="H22" s="158" t="s">
        <v>104</v>
      </c>
      <c r="I22" s="157"/>
      <c r="J22" s="156"/>
      <c r="K22" s="156"/>
      <c r="L22" s="86"/>
      <c r="M22" s="86"/>
      <c r="N22" s="155"/>
      <c r="O22" s="86"/>
      <c r="P22" s="154"/>
      <c r="Q22" s="153"/>
      <c r="R22" s="152"/>
      <c r="S22" s="151"/>
      <c r="T22" s="151"/>
      <c r="U22" s="150" t="s">
        <v>249</v>
      </c>
      <c r="V22" s="149"/>
      <c r="W22" s="149">
        <f>SUM(V23:W25)</f>
        <v>70899000</v>
      </c>
      <c r="X22" s="148" t="s">
        <v>218</v>
      </c>
      <c r="Y22" s="30"/>
    </row>
    <row r="23" spans="1:28" s="36" customFormat="1" ht="19.5" customHeight="1" x14ac:dyDescent="0.15">
      <c r="A23" s="101"/>
      <c r="B23" s="52"/>
      <c r="C23" s="52"/>
      <c r="D23" s="346"/>
      <c r="E23" s="346"/>
      <c r="F23" s="347"/>
      <c r="G23" s="348"/>
      <c r="H23" s="352" t="s">
        <v>333</v>
      </c>
      <c r="I23" s="350"/>
      <c r="J23" s="146"/>
      <c r="K23" s="146"/>
      <c r="L23" s="47">
        <f>[3]인건비!$X$3</f>
        <v>67312000</v>
      </c>
      <c r="M23" s="47" t="s">
        <v>218</v>
      </c>
      <c r="N23" s="145"/>
      <c r="O23" s="140"/>
      <c r="P23" s="145" t="s">
        <v>272</v>
      </c>
      <c r="Q23" s="140">
        <v>0.9</v>
      </c>
      <c r="R23" s="364"/>
      <c r="S23" s="364"/>
      <c r="T23" s="364" t="s">
        <v>235</v>
      </c>
      <c r="U23" s="406"/>
      <c r="V23" s="406"/>
      <c r="W23" s="350">
        <f>ROUND(L23*Q23,-3)</f>
        <v>60581000</v>
      </c>
      <c r="X23" s="46" t="s">
        <v>218</v>
      </c>
      <c r="Y23" s="30"/>
      <c r="AB23" s="349"/>
    </row>
    <row r="24" spans="1:28" s="36" customFormat="1" ht="19.5" customHeight="1" x14ac:dyDescent="0.15">
      <c r="A24" s="101"/>
      <c r="B24" s="52"/>
      <c r="C24" s="52"/>
      <c r="D24" s="346"/>
      <c r="E24" s="346"/>
      <c r="F24" s="347"/>
      <c r="G24" s="348"/>
      <c r="H24" s="352" t="s">
        <v>187</v>
      </c>
      <c r="I24" s="350"/>
      <c r="J24" s="146"/>
      <c r="K24" s="146"/>
      <c r="L24" s="47">
        <v>2366000</v>
      </c>
      <c r="M24" s="47" t="s">
        <v>218</v>
      </c>
      <c r="N24" s="145" t="s">
        <v>272</v>
      </c>
      <c r="O24" s="142">
        <v>4</v>
      </c>
      <c r="P24" s="145" t="s">
        <v>272</v>
      </c>
      <c r="Q24" s="140">
        <v>0.9</v>
      </c>
      <c r="R24" s="144"/>
      <c r="S24" s="82"/>
      <c r="T24" s="364" t="s">
        <v>235</v>
      </c>
      <c r="U24" s="147"/>
      <c r="V24" s="352"/>
      <c r="W24" s="350">
        <f>ROUNDUP(L24*O24*Q24,-3)</f>
        <v>8518000</v>
      </c>
      <c r="X24" s="46" t="s">
        <v>218</v>
      </c>
      <c r="Y24" s="30"/>
    </row>
    <row r="25" spans="1:28" s="36" customFormat="1" ht="19.5" customHeight="1" x14ac:dyDescent="0.15">
      <c r="A25" s="101"/>
      <c r="B25" s="52"/>
      <c r="C25" s="52"/>
      <c r="D25" s="346"/>
      <c r="E25" s="346"/>
      <c r="F25" s="347"/>
      <c r="G25" s="348"/>
      <c r="H25" s="48" t="s">
        <v>320</v>
      </c>
      <c r="I25" s="55"/>
      <c r="J25" s="146"/>
      <c r="K25" s="146"/>
      <c r="L25" s="47">
        <v>2000000</v>
      </c>
      <c r="M25" s="47" t="s">
        <v>218</v>
      </c>
      <c r="N25" s="145"/>
      <c r="O25" s="140"/>
      <c r="P25" s="145" t="s">
        <v>272</v>
      </c>
      <c r="Q25" s="140">
        <v>0.9</v>
      </c>
      <c r="R25" s="364"/>
      <c r="S25" s="364"/>
      <c r="T25" s="364" t="s">
        <v>235</v>
      </c>
      <c r="U25" s="406"/>
      <c r="V25" s="406"/>
      <c r="W25" s="350">
        <f>ROUNDUP(L25*Q25,-3)</f>
        <v>1800000</v>
      </c>
      <c r="X25" s="46" t="s">
        <v>218</v>
      </c>
      <c r="Y25" s="30"/>
    </row>
    <row r="26" spans="1:28" ht="21" customHeight="1" x14ac:dyDescent="0.15">
      <c r="A26" s="101"/>
      <c r="B26" s="52"/>
      <c r="C26" s="52"/>
      <c r="D26" s="51"/>
      <c r="E26" s="51"/>
      <c r="F26" s="50"/>
      <c r="G26" s="77"/>
      <c r="H26" s="48"/>
      <c r="I26" s="56"/>
      <c r="J26" s="47"/>
      <c r="K26" s="47"/>
      <c r="L26" s="47"/>
      <c r="M26" s="76"/>
      <c r="N26" s="84"/>
      <c r="O26" s="141"/>
      <c r="P26" s="84"/>
      <c r="Q26" s="84"/>
      <c r="R26" s="140"/>
      <c r="S26" s="82"/>
      <c r="T26" s="78"/>
      <c r="U26" s="47"/>
      <c r="V26" s="55"/>
      <c r="W26" s="55"/>
      <c r="X26" s="46"/>
    </row>
    <row r="27" spans="1:28" ht="21" customHeight="1" x14ac:dyDescent="0.15">
      <c r="A27" s="101"/>
      <c r="B27" s="52"/>
      <c r="C27" s="75" t="s">
        <v>243</v>
      </c>
      <c r="D27" s="74">
        <f>D28</f>
        <v>1000</v>
      </c>
      <c r="E27" s="74">
        <f>E28</f>
        <v>0</v>
      </c>
      <c r="F27" s="73">
        <f>E27-D27</f>
        <v>-1000</v>
      </c>
      <c r="G27" s="72">
        <f>IF(D27=0,0,F27/D27)</f>
        <v>-1</v>
      </c>
      <c r="H27" s="71" t="s">
        <v>318</v>
      </c>
      <c r="I27" s="70"/>
      <c r="J27" s="69"/>
      <c r="K27" s="69"/>
      <c r="L27" s="69"/>
      <c r="M27" s="69"/>
      <c r="N27" s="69"/>
      <c r="O27" s="68"/>
      <c r="P27" s="68"/>
      <c r="Q27" s="68"/>
      <c r="R27" s="68"/>
      <c r="S27" s="68"/>
      <c r="T27" s="68"/>
      <c r="U27" s="67" t="s">
        <v>35</v>
      </c>
      <c r="V27" s="66"/>
      <c r="W27" s="66">
        <f>SUM(W28:W28)</f>
        <v>0</v>
      </c>
      <c r="X27" s="65" t="s">
        <v>218</v>
      </c>
    </row>
    <row r="28" spans="1:28" ht="21" customHeight="1" x14ac:dyDescent="0.15">
      <c r="A28" s="101"/>
      <c r="B28" s="52"/>
      <c r="C28" s="52" t="s">
        <v>261</v>
      </c>
      <c r="D28" s="51">
        <v>1000</v>
      </c>
      <c r="E28" s="51">
        <f>ROUND(W28/1000,0)</f>
        <v>0</v>
      </c>
      <c r="F28" s="64">
        <f>E28-D28</f>
        <v>-1000</v>
      </c>
      <c r="G28" s="135">
        <f>IF(D28=0,0,F28/D28)</f>
        <v>-1</v>
      </c>
      <c r="H28" s="48"/>
      <c r="I28" s="56"/>
      <c r="J28" s="47"/>
      <c r="K28" s="47"/>
      <c r="L28" s="47"/>
      <c r="M28" s="47"/>
      <c r="N28" s="56"/>
      <c r="O28" s="47"/>
      <c r="P28" s="47"/>
      <c r="Q28" s="56"/>
      <c r="R28" s="47"/>
      <c r="S28" s="47"/>
      <c r="T28" s="47"/>
      <c r="U28" s="47"/>
      <c r="V28" s="55"/>
      <c r="W28" s="55"/>
      <c r="X28" s="46" t="s">
        <v>218</v>
      </c>
    </row>
    <row r="29" spans="1:28" ht="21" customHeight="1" x14ac:dyDescent="0.15">
      <c r="A29" s="139"/>
      <c r="B29" s="138"/>
      <c r="C29" s="138"/>
      <c r="D29" s="121"/>
      <c r="E29" s="121"/>
      <c r="F29" s="120"/>
      <c r="G29" s="119"/>
      <c r="H29" s="118"/>
      <c r="I29" s="115"/>
      <c r="J29" s="136"/>
      <c r="K29" s="136"/>
      <c r="L29" s="137"/>
      <c r="M29" s="115"/>
      <c r="N29" s="136"/>
      <c r="O29" s="115"/>
      <c r="P29" s="115"/>
      <c r="Q29" s="115"/>
      <c r="R29" s="115"/>
      <c r="S29" s="115"/>
      <c r="T29" s="115"/>
      <c r="U29" s="115"/>
      <c r="V29" s="115"/>
      <c r="W29" s="115"/>
      <c r="X29" s="113"/>
    </row>
    <row r="30" spans="1:28" s="36" customFormat="1" ht="19.5" customHeight="1" x14ac:dyDescent="0.15">
      <c r="A30" s="129" t="s">
        <v>238</v>
      </c>
      <c r="B30" s="75" t="s">
        <v>238</v>
      </c>
      <c r="C30" s="111" t="s">
        <v>20</v>
      </c>
      <c r="D30" s="110">
        <f>D31+D36</f>
        <v>500</v>
      </c>
      <c r="E30" s="110">
        <f>W30/1000</f>
        <v>540</v>
      </c>
      <c r="F30" s="109">
        <f>E30-D30</f>
        <v>40</v>
      </c>
      <c r="G30" s="108">
        <f>IF(D30=0,0,F30/D30)</f>
        <v>0.08</v>
      </c>
      <c r="H30" s="107" t="s">
        <v>107</v>
      </c>
      <c r="I30" s="105"/>
      <c r="J30" s="106"/>
      <c r="K30" s="106"/>
      <c r="L30" s="105"/>
      <c r="M30" s="105"/>
      <c r="N30" s="105"/>
      <c r="O30" s="105"/>
      <c r="P30" s="105" t="s">
        <v>81</v>
      </c>
      <c r="Q30" s="104"/>
      <c r="R30" s="104"/>
      <c r="S30" s="104"/>
      <c r="T30" s="104"/>
      <c r="U30" s="104"/>
      <c r="V30" s="104"/>
      <c r="W30" s="128">
        <f>W31+W36</f>
        <v>540000</v>
      </c>
      <c r="X30" s="127" t="s">
        <v>218</v>
      </c>
      <c r="Y30" s="30"/>
    </row>
    <row r="31" spans="1:28" ht="21" customHeight="1" x14ac:dyDescent="0.15">
      <c r="A31" s="101" t="s">
        <v>211</v>
      </c>
      <c r="B31" s="52" t="s">
        <v>211</v>
      </c>
      <c r="C31" s="75" t="s">
        <v>268</v>
      </c>
      <c r="D31" s="74">
        <f>D32+D34</f>
        <v>0</v>
      </c>
      <c r="E31" s="74">
        <f>E32+E34</f>
        <v>0</v>
      </c>
      <c r="F31" s="73">
        <f>E31-D31</f>
        <v>0</v>
      </c>
      <c r="G31" s="72">
        <v>0</v>
      </c>
      <c r="H31" s="71" t="s">
        <v>281</v>
      </c>
      <c r="I31" s="70"/>
      <c r="J31" s="69"/>
      <c r="K31" s="69"/>
      <c r="L31" s="69"/>
      <c r="M31" s="69"/>
      <c r="N31" s="69"/>
      <c r="O31" s="68"/>
      <c r="P31" s="68"/>
      <c r="Q31" s="68"/>
      <c r="R31" s="68"/>
      <c r="S31" s="68"/>
      <c r="T31" s="68"/>
      <c r="U31" s="67" t="s">
        <v>35</v>
      </c>
      <c r="V31" s="66"/>
      <c r="W31" s="99">
        <f>SUM(W32,W34)</f>
        <v>0</v>
      </c>
      <c r="X31" s="65" t="s">
        <v>218</v>
      </c>
    </row>
    <row r="32" spans="1:28" ht="21" customHeight="1" x14ac:dyDescent="0.15">
      <c r="A32" s="101"/>
      <c r="B32" s="52"/>
      <c r="C32" s="52" t="s">
        <v>238</v>
      </c>
      <c r="D32" s="51">
        <f>ROUND(V32/1000,0)</f>
        <v>0</v>
      </c>
      <c r="E32" s="51">
        <f>ROUND(W32/1000,0)</f>
        <v>0</v>
      </c>
      <c r="F32" s="64">
        <f>E32-D32</f>
        <v>0</v>
      </c>
      <c r="G32" s="135">
        <v>0</v>
      </c>
      <c r="H32" s="88" t="s">
        <v>47</v>
      </c>
      <c r="I32" s="8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407" t="s">
        <v>35</v>
      </c>
      <c r="V32" s="407"/>
      <c r="W32" s="59">
        <f>SUM(W33:W33)</f>
        <v>0</v>
      </c>
      <c r="X32" s="58" t="s">
        <v>218</v>
      </c>
    </row>
    <row r="33" spans="1:25" ht="21.75" customHeight="1" x14ac:dyDescent="0.15">
      <c r="A33" s="101"/>
      <c r="B33" s="52"/>
      <c r="C33" s="52"/>
      <c r="D33" s="121"/>
      <c r="E33" s="121"/>
      <c r="F33" s="50"/>
      <c r="G33" s="49"/>
      <c r="H33" s="48"/>
      <c r="I33" s="56"/>
      <c r="J33" s="47"/>
      <c r="K33" s="47"/>
      <c r="L33" s="47"/>
      <c r="M33" s="78"/>
      <c r="N33" s="84"/>
      <c r="O33" s="85"/>
      <c r="P33" s="84"/>
      <c r="Q33" s="83"/>
      <c r="R33" s="82"/>
      <c r="S33" s="82"/>
      <c r="T33" s="78"/>
      <c r="U33" s="47"/>
      <c r="V33" s="55"/>
      <c r="W33" s="55">
        <v>0</v>
      </c>
      <c r="X33" s="46" t="s">
        <v>218</v>
      </c>
    </row>
    <row r="34" spans="1:25" ht="18" customHeight="1" x14ac:dyDescent="0.15">
      <c r="A34" s="101"/>
      <c r="B34" s="52"/>
      <c r="C34" s="52"/>
      <c r="D34" s="51">
        <f>ROUND(V34/1000,0)</f>
        <v>0</v>
      </c>
      <c r="E34" s="51">
        <f>ROUND(W34/1000,0)</f>
        <v>0</v>
      </c>
      <c r="F34" s="64">
        <f>E34-D34</f>
        <v>0</v>
      </c>
      <c r="G34" s="63">
        <f>IF(D34=0,0,F34/D34)</f>
        <v>0</v>
      </c>
      <c r="H34" s="88" t="s">
        <v>47</v>
      </c>
      <c r="I34" s="8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407" t="s">
        <v>35</v>
      </c>
      <c r="V34" s="407"/>
      <c r="W34" s="59">
        <f>W35</f>
        <v>0</v>
      </c>
      <c r="X34" s="58" t="s">
        <v>218</v>
      </c>
    </row>
    <row r="35" spans="1:25" ht="18" customHeight="1" x14ac:dyDescent="0.15">
      <c r="A35" s="101"/>
      <c r="B35" s="52"/>
      <c r="C35" s="122"/>
      <c r="D35" s="121"/>
      <c r="E35" s="121"/>
      <c r="F35" s="120"/>
      <c r="G35" s="126"/>
      <c r="H35" s="48" t="s">
        <v>188</v>
      </c>
      <c r="I35" s="56"/>
      <c r="J35" s="47"/>
      <c r="K35" s="47"/>
      <c r="L35" s="47"/>
      <c r="M35" s="78"/>
      <c r="N35" s="84"/>
      <c r="O35" s="85"/>
      <c r="P35" s="84"/>
      <c r="Q35" s="83"/>
      <c r="R35" s="82"/>
      <c r="S35" s="82"/>
      <c r="T35" s="78"/>
      <c r="U35" s="47"/>
      <c r="V35" s="55"/>
      <c r="W35" s="55"/>
      <c r="X35" s="46" t="s">
        <v>218</v>
      </c>
    </row>
    <row r="36" spans="1:25" ht="18" customHeight="1" x14ac:dyDescent="0.15">
      <c r="A36" s="101"/>
      <c r="B36" s="52"/>
      <c r="C36" s="52" t="s">
        <v>236</v>
      </c>
      <c r="D36" s="74">
        <f>D37</f>
        <v>500</v>
      </c>
      <c r="E36" s="74">
        <f>E37</f>
        <v>540</v>
      </c>
      <c r="F36" s="73">
        <f>E36-D36</f>
        <v>40</v>
      </c>
      <c r="G36" s="72">
        <f>IF(D36=0,0,F36/D36)</f>
        <v>0.08</v>
      </c>
      <c r="H36" s="71" t="s">
        <v>306</v>
      </c>
      <c r="I36" s="70"/>
      <c r="J36" s="69"/>
      <c r="K36" s="69"/>
      <c r="L36" s="69"/>
      <c r="M36" s="69"/>
      <c r="N36" s="69"/>
      <c r="O36" s="68"/>
      <c r="P36" s="68"/>
      <c r="Q36" s="68"/>
      <c r="R36" s="68"/>
      <c r="S36" s="68"/>
      <c r="T36" s="68"/>
      <c r="U36" s="67" t="s">
        <v>35</v>
      </c>
      <c r="V36" s="66"/>
      <c r="W36" s="66">
        <f>W37</f>
        <v>540000</v>
      </c>
      <c r="X36" s="65" t="s">
        <v>218</v>
      </c>
    </row>
    <row r="37" spans="1:25" ht="25.5" customHeight="1" x14ac:dyDescent="0.15">
      <c r="A37" s="101"/>
      <c r="B37" s="52"/>
      <c r="C37" s="52" t="s">
        <v>238</v>
      </c>
      <c r="D37" s="51">
        <v>500</v>
      </c>
      <c r="E37" s="51">
        <f>W37/1000</f>
        <v>540</v>
      </c>
      <c r="F37" s="64">
        <f>E37-D37</f>
        <v>40</v>
      </c>
      <c r="G37" s="135">
        <f>IF(D37=0,0,F37/D37)</f>
        <v>0.08</v>
      </c>
      <c r="H37" s="88" t="s">
        <v>169</v>
      </c>
      <c r="I37" s="87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407" t="s">
        <v>35</v>
      </c>
      <c r="V37" s="407"/>
      <c r="W37" s="59">
        <f>SUM(W38:W38)</f>
        <v>540000</v>
      </c>
      <c r="X37" s="58" t="s">
        <v>218</v>
      </c>
    </row>
    <row r="38" spans="1:25" ht="21" customHeight="1" x14ac:dyDescent="0.15">
      <c r="A38" s="101"/>
      <c r="B38" s="52"/>
      <c r="C38" s="52"/>
      <c r="D38" s="51"/>
      <c r="E38" s="51"/>
      <c r="F38" s="50"/>
      <c r="G38" s="77"/>
      <c r="H38" s="48" t="s">
        <v>199</v>
      </c>
      <c r="I38" s="56"/>
      <c r="J38" s="47"/>
      <c r="K38" s="47"/>
      <c r="L38" s="358">
        <v>45000</v>
      </c>
      <c r="M38" s="359" t="s">
        <v>218</v>
      </c>
      <c r="N38" s="359" t="s">
        <v>272</v>
      </c>
      <c r="O38" s="360">
        <v>12</v>
      </c>
      <c r="P38" s="360" t="s">
        <v>252</v>
      </c>
      <c r="Q38" s="359"/>
      <c r="R38" s="361"/>
      <c r="S38" s="359"/>
      <c r="T38" s="359" t="s">
        <v>235</v>
      </c>
      <c r="U38" s="360"/>
      <c r="V38" s="362"/>
      <c r="W38" s="360">
        <f>L38*O38</f>
        <v>540000</v>
      </c>
      <c r="X38" s="363" t="s">
        <v>218</v>
      </c>
    </row>
    <row r="39" spans="1:25" ht="21" customHeight="1" x14ac:dyDescent="0.15">
      <c r="A39" s="123"/>
      <c r="B39" s="122"/>
      <c r="C39" s="122"/>
      <c r="D39" s="121"/>
      <c r="E39" s="121"/>
      <c r="F39" s="120"/>
      <c r="G39" s="126"/>
      <c r="H39" s="118"/>
      <c r="I39" s="117"/>
      <c r="J39" s="115"/>
      <c r="K39" s="115"/>
      <c r="L39" s="115"/>
      <c r="M39" s="125"/>
      <c r="N39" s="133"/>
      <c r="O39" s="134"/>
      <c r="P39" s="133"/>
      <c r="Q39" s="132"/>
      <c r="R39" s="131"/>
      <c r="S39" s="131"/>
      <c r="T39" s="125"/>
      <c r="U39" s="115"/>
      <c r="V39" s="114"/>
      <c r="W39" s="114"/>
      <c r="X39" s="113"/>
    </row>
    <row r="40" spans="1:25" ht="21" customHeight="1" x14ac:dyDescent="0.15">
      <c r="A40" s="129" t="s">
        <v>222</v>
      </c>
      <c r="B40" s="75" t="s">
        <v>222</v>
      </c>
      <c r="C40" s="111" t="s">
        <v>20</v>
      </c>
      <c r="D40" s="110">
        <f>SUM(D41,D44)</f>
        <v>0</v>
      </c>
      <c r="E40" s="110">
        <f>SUM(E41,E44)</f>
        <v>0</v>
      </c>
      <c r="F40" s="109">
        <f>E40-D40</f>
        <v>0</v>
      </c>
      <c r="G40" s="108">
        <f>IF(D40=0,0,F40/D40)</f>
        <v>0</v>
      </c>
      <c r="H40" s="107" t="s">
        <v>51</v>
      </c>
      <c r="I40" s="105"/>
      <c r="J40" s="106"/>
      <c r="K40" s="106"/>
      <c r="L40" s="105"/>
      <c r="M40" s="105"/>
      <c r="N40" s="105"/>
      <c r="O40" s="105"/>
      <c r="P40" s="105" t="s">
        <v>81</v>
      </c>
      <c r="Q40" s="104"/>
      <c r="R40" s="104"/>
      <c r="S40" s="104"/>
      <c r="T40" s="104"/>
      <c r="U40" s="104"/>
      <c r="V40" s="104"/>
      <c r="W40" s="128">
        <f>W42+W44</f>
        <v>0</v>
      </c>
      <c r="X40" s="127" t="s">
        <v>218</v>
      </c>
    </row>
    <row r="41" spans="1:25" ht="21" customHeight="1" x14ac:dyDescent="0.15">
      <c r="A41" s="101"/>
      <c r="B41" s="52"/>
      <c r="C41" s="75" t="s">
        <v>221</v>
      </c>
      <c r="D41" s="74">
        <f>D42</f>
        <v>0</v>
      </c>
      <c r="E41" s="74">
        <f>E42</f>
        <v>0</v>
      </c>
      <c r="F41" s="73">
        <f>E41-D41</f>
        <v>0</v>
      </c>
      <c r="G41" s="72">
        <f>IF(D41=0,0,F41/D41)</f>
        <v>0</v>
      </c>
      <c r="H41" s="71" t="s">
        <v>164</v>
      </c>
      <c r="I41" s="70"/>
      <c r="J41" s="69"/>
      <c r="K41" s="69"/>
      <c r="L41" s="69"/>
      <c r="M41" s="69"/>
      <c r="N41" s="69"/>
      <c r="O41" s="68"/>
      <c r="P41" s="68"/>
      <c r="Q41" s="68"/>
      <c r="R41" s="68"/>
      <c r="S41" s="68"/>
      <c r="T41" s="68"/>
      <c r="U41" s="67" t="s">
        <v>35</v>
      </c>
      <c r="V41" s="66"/>
      <c r="W41" s="99">
        <f>SUM(W42:W42)</f>
        <v>0</v>
      </c>
      <c r="X41" s="65" t="s">
        <v>218</v>
      </c>
      <c r="Y41" s="130"/>
    </row>
    <row r="42" spans="1:25" ht="21" customHeight="1" x14ac:dyDescent="0.15">
      <c r="A42" s="101"/>
      <c r="B42" s="52"/>
      <c r="C42" s="52" t="s">
        <v>222</v>
      </c>
      <c r="D42" s="51">
        <f>ROUND(V42/1000,0)</f>
        <v>0</v>
      </c>
      <c r="E42" s="51">
        <f>ROUND(W42/1000,0)</f>
        <v>0</v>
      </c>
      <c r="F42" s="64">
        <f>E42-D42</f>
        <v>0</v>
      </c>
      <c r="G42" s="63">
        <f>IF(D42=0,0,F42/D42)</f>
        <v>0</v>
      </c>
      <c r="H42" s="57"/>
      <c r="I42" s="87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407" t="s">
        <v>35</v>
      </c>
      <c r="V42" s="407"/>
      <c r="W42" s="59">
        <v>0</v>
      </c>
      <c r="X42" s="58" t="s">
        <v>218</v>
      </c>
      <c r="Y42" s="130"/>
    </row>
    <row r="43" spans="1:25" ht="21" customHeight="1" x14ac:dyDescent="0.15">
      <c r="A43" s="101"/>
      <c r="B43" s="52"/>
      <c r="C43" s="52"/>
      <c r="D43" s="51"/>
      <c r="E43" s="51"/>
      <c r="F43" s="50"/>
      <c r="G43" s="49"/>
      <c r="H43" s="118"/>
      <c r="I43" s="56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78"/>
      <c r="V43" s="78"/>
      <c r="W43" s="55"/>
      <c r="X43" s="46" t="s">
        <v>218</v>
      </c>
      <c r="Y43" s="130"/>
    </row>
    <row r="44" spans="1:25" ht="21" customHeight="1" x14ac:dyDescent="0.15">
      <c r="A44" s="101"/>
      <c r="B44" s="52"/>
      <c r="C44" s="75" t="s">
        <v>221</v>
      </c>
      <c r="D44" s="74">
        <f>D45</f>
        <v>0</v>
      </c>
      <c r="E44" s="74">
        <f>E45</f>
        <v>0</v>
      </c>
      <c r="F44" s="73">
        <f>E44-D44</f>
        <v>0</v>
      </c>
      <c r="G44" s="72">
        <f>IF(D44=0,0,F44/D44)</f>
        <v>0</v>
      </c>
      <c r="H44" s="71" t="s">
        <v>294</v>
      </c>
      <c r="I44" s="70"/>
      <c r="J44" s="69"/>
      <c r="K44" s="69"/>
      <c r="L44" s="69"/>
      <c r="M44" s="69"/>
      <c r="N44" s="69"/>
      <c r="O44" s="68"/>
      <c r="P44" s="68"/>
      <c r="Q44" s="68"/>
      <c r="R44" s="68"/>
      <c r="S44" s="68"/>
      <c r="T44" s="68"/>
      <c r="U44" s="67" t="s">
        <v>35</v>
      </c>
      <c r="V44" s="66"/>
      <c r="W44" s="66">
        <f>SUM(W45:W45)</f>
        <v>0</v>
      </c>
      <c r="X44" s="65" t="s">
        <v>218</v>
      </c>
      <c r="Y44" s="130"/>
    </row>
    <row r="45" spans="1:25" ht="21" customHeight="1" x14ac:dyDescent="0.15">
      <c r="A45" s="101"/>
      <c r="B45" s="52"/>
      <c r="C45" s="52" t="s">
        <v>222</v>
      </c>
      <c r="D45" s="51">
        <f>ROUND(V45/1000,0)</f>
        <v>0</v>
      </c>
      <c r="E45" s="51">
        <f>ROUND(W45/1000,0)</f>
        <v>0</v>
      </c>
      <c r="F45" s="64">
        <f>E45-D45</f>
        <v>0</v>
      </c>
      <c r="G45" s="63">
        <f>IF(D45=0,0,F45/D45)</f>
        <v>0</v>
      </c>
      <c r="H45" s="57"/>
      <c r="I45" s="87"/>
      <c r="J45" s="47"/>
      <c r="K45" s="47"/>
      <c r="L45" s="47"/>
      <c r="M45" s="78"/>
      <c r="N45" s="84"/>
      <c r="O45" s="85"/>
      <c r="P45" s="84"/>
      <c r="Q45" s="83"/>
      <c r="R45" s="82"/>
      <c r="S45" s="82"/>
      <c r="T45" s="78"/>
      <c r="U45" s="407" t="s">
        <v>35</v>
      </c>
      <c r="V45" s="407"/>
      <c r="W45" s="59">
        <v>0</v>
      </c>
      <c r="X45" s="58" t="s">
        <v>218</v>
      </c>
      <c r="Y45" s="130"/>
    </row>
    <row r="46" spans="1:25" ht="21" customHeight="1" x14ac:dyDescent="0.15">
      <c r="A46" s="101"/>
      <c r="B46" s="52"/>
      <c r="C46" s="52" t="s">
        <v>19</v>
      </c>
      <c r="D46" s="51"/>
      <c r="E46" s="51"/>
      <c r="F46" s="50"/>
      <c r="G46" s="49"/>
      <c r="H46" s="118"/>
      <c r="I46" s="117"/>
      <c r="J46" s="47"/>
      <c r="K46" s="47"/>
      <c r="L46" s="47"/>
      <c r="M46" s="78"/>
      <c r="N46" s="84"/>
      <c r="O46" s="85"/>
      <c r="P46" s="84"/>
      <c r="Q46" s="83"/>
      <c r="R46" s="82"/>
      <c r="S46" s="82"/>
      <c r="T46" s="78"/>
      <c r="U46" s="125"/>
      <c r="V46" s="125"/>
      <c r="W46" s="114"/>
      <c r="X46" s="113"/>
      <c r="Y46" s="130"/>
    </row>
    <row r="47" spans="1:25" ht="21" customHeight="1" x14ac:dyDescent="0.15">
      <c r="A47" s="129" t="s">
        <v>213</v>
      </c>
      <c r="B47" s="75" t="s">
        <v>213</v>
      </c>
      <c r="C47" s="111" t="s">
        <v>20</v>
      </c>
      <c r="D47" s="110">
        <f>SUM(D48,D63,D67)</f>
        <v>5221</v>
      </c>
      <c r="E47" s="110">
        <f>SUM(E48,E63,E67)</f>
        <v>6074</v>
      </c>
      <c r="F47" s="109">
        <f>E47-D47</f>
        <v>853</v>
      </c>
      <c r="G47" s="108">
        <f>IF(D47=0,0,F47/D47)</f>
        <v>0.16337866309136181</v>
      </c>
      <c r="H47" s="107" t="s">
        <v>42</v>
      </c>
      <c r="I47" s="105"/>
      <c r="J47" s="106"/>
      <c r="K47" s="106"/>
      <c r="L47" s="105"/>
      <c r="M47" s="105"/>
      <c r="N47" s="105"/>
      <c r="O47" s="105"/>
      <c r="P47" s="105" t="s">
        <v>81</v>
      </c>
      <c r="Q47" s="104"/>
      <c r="R47" s="104"/>
      <c r="S47" s="104"/>
      <c r="T47" s="104"/>
      <c r="U47" s="104"/>
      <c r="V47" s="104"/>
      <c r="W47" s="128">
        <f>SUM(W48,W63,W67)</f>
        <v>6074000</v>
      </c>
      <c r="X47" s="127" t="s">
        <v>218</v>
      </c>
    </row>
    <row r="48" spans="1:25" ht="21" customHeight="1" x14ac:dyDescent="0.15">
      <c r="A48" s="101"/>
      <c r="B48" s="52"/>
      <c r="C48" s="75" t="s">
        <v>273</v>
      </c>
      <c r="D48" s="74">
        <f>SUM(D49,D52,D55,D58)</f>
        <v>5067</v>
      </c>
      <c r="E48" s="74">
        <f>SUM(E49,E52,E55,E58)</f>
        <v>5859</v>
      </c>
      <c r="F48" s="73">
        <f>E48-D48</f>
        <v>792</v>
      </c>
      <c r="G48" s="72">
        <f>IF(D48=0,0,F48/D48)</f>
        <v>0.15630550621669628</v>
      </c>
      <c r="H48" s="71" t="s">
        <v>200</v>
      </c>
      <c r="I48" s="70"/>
      <c r="J48" s="69"/>
      <c r="K48" s="69"/>
      <c r="L48" s="69"/>
      <c r="M48" s="69"/>
      <c r="N48" s="69"/>
      <c r="O48" s="68"/>
      <c r="P48" s="68"/>
      <c r="Q48" s="68"/>
      <c r="R48" s="68"/>
      <c r="S48" s="68"/>
      <c r="T48" s="68"/>
      <c r="U48" s="67" t="s">
        <v>35</v>
      </c>
      <c r="V48" s="66"/>
      <c r="W48" s="99">
        <f>SUM(W49,W52,W55,W58)</f>
        <v>5859000</v>
      </c>
      <c r="X48" s="65" t="s">
        <v>218</v>
      </c>
    </row>
    <row r="49" spans="1:25" ht="21" customHeight="1" x14ac:dyDescent="0.15">
      <c r="A49" s="101"/>
      <c r="B49" s="52"/>
      <c r="C49" s="52" t="s">
        <v>213</v>
      </c>
      <c r="D49" s="51">
        <v>2925</v>
      </c>
      <c r="E49" s="51">
        <f>W49/1000</f>
        <v>4531</v>
      </c>
      <c r="F49" s="64">
        <f>E49-D49</f>
        <v>1606</v>
      </c>
      <c r="G49" s="63">
        <f>IF(D49=0,0,F49/D49)</f>
        <v>0.54905982905982909</v>
      </c>
      <c r="H49" s="88" t="s">
        <v>185</v>
      </c>
      <c r="I49" s="87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407" t="s">
        <v>35</v>
      </c>
      <c r="V49" s="407"/>
      <c r="W49" s="59">
        <f>ROUNDUP(SUM(V50:W51),-3)</f>
        <v>4531000</v>
      </c>
      <c r="X49" s="58" t="s">
        <v>218</v>
      </c>
    </row>
    <row r="50" spans="1:25" ht="21" customHeight="1" x14ac:dyDescent="0.15">
      <c r="A50" s="101"/>
      <c r="B50" s="52"/>
      <c r="C50" s="52"/>
      <c r="D50" s="51"/>
      <c r="E50" s="51"/>
      <c r="F50" s="50"/>
      <c r="G50" s="49"/>
      <c r="H50" s="48" t="s">
        <v>119</v>
      </c>
      <c r="I50" s="56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78"/>
      <c r="V50" s="78"/>
      <c r="W50" s="55">
        <v>4531000</v>
      </c>
      <c r="X50" s="46" t="s">
        <v>218</v>
      </c>
    </row>
    <row r="51" spans="1:25" ht="21" customHeight="1" x14ac:dyDescent="0.15">
      <c r="A51" s="101"/>
      <c r="B51" s="52"/>
      <c r="C51" s="52"/>
      <c r="D51" s="121"/>
      <c r="E51" s="121"/>
      <c r="F51" s="120"/>
      <c r="G51" s="126"/>
      <c r="H51" s="118"/>
      <c r="I51" s="117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25"/>
      <c r="V51" s="125"/>
      <c r="W51" s="114">
        <v>0</v>
      </c>
      <c r="X51" s="113" t="s">
        <v>218</v>
      </c>
    </row>
    <row r="52" spans="1:25" ht="21" customHeight="1" x14ac:dyDescent="0.15">
      <c r="A52" s="101"/>
      <c r="B52" s="52"/>
      <c r="C52" s="52"/>
      <c r="D52" s="51">
        <f>ROUND(V52/1000,0)</f>
        <v>0</v>
      </c>
      <c r="E52" s="51">
        <f>ROUND(W52/1000,0)</f>
        <v>0</v>
      </c>
      <c r="F52" s="64">
        <f>E52-D52</f>
        <v>0</v>
      </c>
      <c r="G52" s="63">
        <f>IF(D52=0,0,F52/D52)</f>
        <v>0</v>
      </c>
      <c r="H52" s="88" t="s">
        <v>114</v>
      </c>
      <c r="I52" s="87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407" t="s">
        <v>35</v>
      </c>
      <c r="V52" s="407"/>
      <c r="W52" s="59">
        <f>ROUNDUP(SUM(V53:W53),-3)</f>
        <v>0</v>
      </c>
      <c r="X52" s="58" t="s">
        <v>218</v>
      </c>
    </row>
    <row r="53" spans="1:25" ht="21" customHeight="1" x14ac:dyDescent="0.15">
      <c r="A53" s="101"/>
      <c r="B53" s="52"/>
      <c r="C53" s="52"/>
      <c r="D53" s="51"/>
      <c r="E53" s="51"/>
      <c r="F53" s="50"/>
      <c r="G53" s="49"/>
      <c r="H53" s="48" t="s">
        <v>319</v>
      </c>
      <c r="I53" s="56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78"/>
      <c r="V53" s="78"/>
      <c r="W53" s="55">
        <v>0</v>
      </c>
      <c r="X53" s="46" t="s">
        <v>218</v>
      </c>
    </row>
    <row r="54" spans="1:25" ht="21" customHeight="1" x14ac:dyDescent="0.15">
      <c r="A54" s="101"/>
      <c r="B54" s="52"/>
      <c r="C54" s="52"/>
      <c r="D54" s="121"/>
      <c r="E54" s="121"/>
      <c r="F54" s="120"/>
      <c r="G54" s="126"/>
      <c r="H54" s="118"/>
      <c r="I54" s="117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25"/>
      <c r="V54" s="125"/>
      <c r="W54" s="114"/>
      <c r="X54" s="113"/>
    </row>
    <row r="55" spans="1:25" ht="21" customHeight="1" x14ac:dyDescent="0.15">
      <c r="A55" s="101"/>
      <c r="B55" s="52"/>
      <c r="C55" s="52"/>
      <c r="D55" s="124">
        <v>98</v>
      </c>
      <c r="E55" s="124">
        <f>W55/1000</f>
        <v>98</v>
      </c>
      <c r="F55" s="64">
        <f>E55-D55</f>
        <v>0</v>
      </c>
      <c r="G55" s="63">
        <f>IF(D55=0,0,F55/D55)</f>
        <v>0</v>
      </c>
      <c r="H55" s="88" t="s">
        <v>189</v>
      </c>
      <c r="I55" s="87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407" t="s">
        <v>35</v>
      </c>
      <c r="V55" s="407"/>
      <c r="W55" s="59">
        <f>ROUNDUP(SUM(V56:W56),-3)</f>
        <v>98000</v>
      </c>
      <c r="X55" s="58" t="s">
        <v>218</v>
      </c>
    </row>
    <row r="56" spans="1:25" ht="21" customHeight="1" x14ac:dyDescent="0.15">
      <c r="A56" s="101"/>
      <c r="B56" s="52"/>
      <c r="C56" s="52"/>
      <c r="D56" s="51"/>
      <c r="E56" s="51"/>
      <c r="F56" s="50"/>
      <c r="G56" s="49"/>
      <c r="H56" s="48" t="s">
        <v>125</v>
      </c>
      <c r="I56" s="56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78"/>
      <c r="V56" s="78"/>
      <c r="W56" s="55">
        <v>98000</v>
      </c>
      <c r="X56" s="46" t="s">
        <v>218</v>
      </c>
    </row>
    <row r="57" spans="1:25" ht="21" customHeight="1" x14ac:dyDescent="0.15">
      <c r="A57" s="101"/>
      <c r="B57" s="52"/>
      <c r="C57" s="52"/>
      <c r="D57" s="121"/>
      <c r="E57" s="121"/>
      <c r="F57" s="120"/>
      <c r="G57" s="126"/>
      <c r="H57" s="118"/>
      <c r="I57" s="117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25"/>
      <c r="V57" s="125"/>
      <c r="W57" s="114"/>
      <c r="X57" s="113"/>
    </row>
    <row r="58" spans="1:25" ht="21" customHeight="1" x14ac:dyDescent="0.15">
      <c r="A58" s="101"/>
      <c r="B58" s="52"/>
      <c r="C58" s="52"/>
      <c r="D58" s="124">
        <v>2044</v>
      </c>
      <c r="E58" s="124">
        <f>W58/1000</f>
        <v>1230</v>
      </c>
      <c r="F58" s="64">
        <f>E58-D58</f>
        <v>-814</v>
      </c>
      <c r="G58" s="63">
        <f>IF(D58=0,0,F58/D58)</f>
        <v>-0.39823874755381605</v>
      </c>
      <c r="H58" s="88" t="s">
        <v>161</v>
      </c>
      <c r="I58" s="87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407" t="s">
        <v>35</v>
      </c>
      <c r="V58" s="407"/>
      <c r="W58" s="59">
        <f>SUM(W59:W61)</f>
        <v>1230000</v>
      </c>
      <c r="X58" s="58" t="s">
        <v>218</v>
      </c>
    </row>
    <row r="59" spans="1:25" ht="21" customHeight="1" x14ac:dyDescent="0.15">
      <c r="A59" s="101"/>
      <c r="B59" s="52"/>
      <c r="C59" s="52"/>
      <c r="D59" s="51"/>
      <c r="E59" s="51"/>
      <c r="F59" s="50"/>
      <c r="G59" s="49"/>
      <c r="H59" s="365" t="s">
        <v>305</v>
      </c>
      <c r="I59" s="366"/>
      <c r="J59" s="360"/>
      <c r="K59" s="360"/>
      <c r="L59" s="358">
        <v>60000</v>
      </c>
      <c r="M59" s="359" t="s">
        <v>218</v>
      </c>
      <c r="N59" s="359" t="s">
        <v>272</v>
      </c>
      <c r="O59" s="360">
        <v>12</v>
      </c>
      <c r="P59" s="360" t="s">
        <v>252</v>
      </c>
      <c r="Q59" s="359"/>
      <c r="R59" s="361"/>
      <c r="S59" s="359"/>
      <c r="T59" s="359" t="s">
        <v>235</v>
      </c>
      <c r="U59" s="360"/>
      <c r="V59" s="362"/>
      <c r="W59" s="360">
        <f>L59*O59</f>
        <v>720000</v>
      </c>
      <c r="X59" s="363" t="s">
        <v>218</v>
      </c>
    </row>
    <row r="60" spans="1:25" ht="21" customHeight="1" x14ac:dyDescent="0.15">
      <c r="A60" s="101"/>
      <c r="B60" s="52"/>
      <c r="C60" s="52"/>
      <c r="D60" s="51"/>
      <c r="E60" s="51"/>
      <c r="F60" s="50"/>
      <c r="G60" s="49"/>
      <c r="H60" s="365" t="s">
        <v>122</v>
      </c>
      <c r="I60" s="366"/>
      <c r="J60" s="360"/>
      <c r="K60" s="360"/>
      <c r="L60" s="358">
        <v>40000</v>
      </c>
      <c r="M60" s="359" t="s">
        <v>218</v>
      </c>
      <c r="N60" s="359" t="s">
        <v>272</v>
      </c>
      <c r="O60" s="360">
        <v>12</v>
      </c>
      <c r="P60" s="360" t="s">
        <v>252</v>
      </c>
      <c r="Q60" s="359"/>
      <c r="R60" s="361"/>
      <c r="S60" s="359"/>
      <c r="T60" s="359" t="s">
        <v>235</v>
      </c>
      <c r="U60" s="360"/>
      <c r="V60" s="362"/>
      <c r="W60" s="360">
        <f>L60*O60</f>
        <v>480000</v>
      </c>
      <c r="X60" s="363" t="s">
        <v>218</v>
      </c>
      <c r="Y60" s="354"/>
    </row>
    <row r="61" spans="1:25" ht="21" customHeight="1" x14ac:dyDescent="0.15">
      <c r="A61" s="101"/>
      <c r="B61" s="52"/>
      <c r="C61" s="52"/>
      <c r="D61" s="51"/>
      <c r="E61" s="51"/>
      <c r="F61" s="50"/>
      <c r="G61" s="49"/>
      <c r="H61" s="365" t="s">
        <v>329</v>
      </c>
      <c r="I61" s="366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7"/>
      <c r="V61" s="367"/>
      <c r="W61" s="362">
        <v>30000</v>
      </c>
      <c r="X61" s="363" t="s">
        <v>218</v>
      </c>
      <c r="Y61" s="354"/>
    </row>
    <row r="62" spans="1:25" ht="21" customHeight="1" x14ac:dyDescent="0.15">
      <c r="A62" s="101"/>
      <c r="B62" s="52"/>
      <c r="C62" s="52"/>
      <c r="D62" s="51"/>
      <c r="E62" s="51"/>
      <c r="F62" s="50"/>
      <c r="G62" s="49"/>
      <c r="H62" s="48"/>
      <c r="I62" s="56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78"/>
      <c r="V62" s="78"/>
      <c r="W62" s="55"/>
      <c r="X62" s="46"/>
    </row>
    <row r="63" spans="1:25" ht="21" customHeight="1" x14ac:dyDescent="0.15">
      <c r="A63" s="101"/>
      <c r="B63" s="52"/>
      <c r="C63" s="75" t="s">
        <v>273</v>
      </c>
      <c r="D63" s="74">
        <f>D64</f>
        <v>154</v>
      </c>
      <c r="E63" s="74">
        <f>E64</f>
        <v>215</v>
      </c>
      <c r="F63" s="73">
        <f>E63-D63</f>
        <v>61</v>
      </c>
      <c r="G63" s="72">
        <f>IF(D63=0,0,F63/D63)</f>
        <v>0.39610389610389612</v>
      </c>
      <c r="H63" s="71" t="s">
        <v>291</v>
      </c>
      <c r="I63" s="70"/>
      <c r="J63" s="69"/>
      <c r="K63" s="69"/>
      <c r="L63" s="69"/>
      <c r="M63" s="69"/>
      <c r="N63" s="69"/>
      <c r="O63" s="68"/>
      <c r="P63" s="68"/>
      <c r="Q63" s="68"/>
      <c r="R63" s="68"/>
      <c r="S63" s="68"/>
      <c r="T63" s="68"/>
      <c r="U63" s="67" t="s">
        <v>35</v>
      </c>
      <c r="V63" s="66"/>
      <c r="W63" s="66">
        <f>W64</f>
        <v>215000</v>
      </c>
      <c r="X63" s="65" t="s">
        <v>218</v>
      </c>
    </row>
    <row r="64" spans="1:25" ht="21" customHeight="1" x14ac:dyDescent="0.15">
      <c r="A64" s="101"/>
      <c r="B64" s="52"/>
      <c r="C64" s="52" t="s">
        <v>213</v>
      </c>
      <c r="D64" s="51">
        <v>154</v>
      </c>
      <c r="E64" s="51">
        <f>W64/1000</f>
        <v>215</v>
      </c>
      <c r="F64" s="64">
        <f>E64-D64</f>
        <v>61</v>
      </c>
      <c r="G64" s="63">
        <f>IF(D64=0,0,F64/D64)</f>
        <v>0.39610389610389612</v>
      </c>
      <c r="H64" s="88" t="s">
        <v>172</v>
      </c>
      <c r="I64" s="87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407"/>
      <c r="V64" s="407"/>
      <c r="W64" s="59">
        <f>ROUNDUP(SUM(V65:W65),-3)</f>
        <v>215000</v>
      </c>
      <c r="X64" s="58" t="s">
        <v>218</v>
      </c>
    </row>
    <row r="65" spans="1:45" ht="21" customHeight="1" x14ac:dyDescent="0.15">
      <c r="A65" s="101"/>
      <c r="B65" s="52"/>
      <c r="C65" s="52" t="s">
        <v>19</v>
      </c>
      <c r="D65" s="51"/>
      <c r="E65" s="51"/>
      <c r="F65" s="50"/>
      <c r="G65" s="77"/>
      <c r="H65" s="48" t="s">
        <v>182</v>
      </c>
      <c r="I65" s="56"/>
      <c r="J65" s="47"/>
      <c r="K65" s="47"/>
      <c r="L65" s="47"/>
      <c r="M65" s="47"/>
      <c r="N65" s="47"/>
      <c r="O65" s="47"/>
      <c r="P65" s="76"/>
      <c r="Q65" s="76"/>
      <c r="R65" s="76"/>
      <c r="S65" s="47"/>
      <c r="T65" s="47"/>
      <c r="U65" s="47"/>
      <c r="V65" s="55"/>
      <c r="W65" s="55">
        <v>215000</v>
      </c>
      <c r="X65" s="46" t="s">
        <v>218</v>
      </c>
    </row>
    <row r="66" spans="1:45" ht="21" customHeight="1" x14ac:dyDescent="0.15">
      <c r="A66" s="101"/>
      <c r="B66" s="52"/>
      <c r="C66" s="52"/>
      <c r="D66" s="51"/>
      <c r="E66" s="51"/>
      <c r="F66" s="50"/>
      <c r="G66" s="77"/>
      <c r="H66" s="48"/>
      <c r="I66" s="56"/>
      <c r="J66" s="47"/>
      <c r="K66" s="47"/>
      <c r="L66" s="47"/>
      <c r="M66" s="47"/>
      <c r="N66" s="47"/>
      <c r="O66" s="47"/>
      <c r="P66" s="76"/>
      <c r="Q66" s="76"/>
      <c r="R66" s="76"/>
      <c r="S66" s="47"/>
      <c r="T66" s="47"/>
      <c r="U66" s="47"/>
      <c r="V66" s="55"/>
      <c r="W66" s="55"/>
      <c r="X66" s="46"/>
    </row>
    <row r="67" spans="1:45" ht="21" customHeight="1" x14ac:dyDescent="0.15">
      <c r="A67" s="101"/>
      <c r="B67" s="52"/>
      <c r="C67" s="75" t="s">
        <v>246</v>
      </c>
      <c r="D67" s="74">
        <f>D68</f>
        <v>0</v>
      </c>
      <c r="E67" s="74">
        <f>E68</f>
        <v>0</v>
      </c>
      <c r="F67" s="73">
        <f>E67-D67</f>
        <v>0</v>
      </c>
      <c r="G67" s="72">
        <f>IF(D67=0,0,F67/D67)</f>
        <v>0</v>
      </c>
      <c r="H67" s="71" t="s">
        <v>138</v>
      </c>
      <c r="I67" s="70"/>
      <c r="J67" s="69"/>
      <c r="K67" s="69"/>
      <c r="L67" s="69"/>
      <c r="M67" s="69"/>
      <c r="N67" s="69"/>
      <c r="O67" s="68"/>
      <c r="P67" s="68"/>
      <c r="Q67" s="68"/>
      <c r="R67" s="68"/>
      <c r="S67" s="68"/>
      <c r="T67" s="68"/>
      <c r="U67" s="67" t="s">
        <v>35</v>
      </c>
      <c r="V67" s="66"/>
      <c r="W67" s="66">
        <f>ROUND(SUM(V68:W69),-3)</f>
        <v>0</v>
      </c>
      <c r="X67" s="65" t="s">
        <v>218</v>
      </c>
    </row>
    <row r="68" spans="1:45" ht="21" customHeight="1" x14ac:dyDescent="0.15">
      <c r="A68" s="101"/>
      <c r="B68" s="52"/>
      <c r="C68" s="52" t="s">
        <v>214</v>
      </c>
      <c r="D68" s="51">
        <f>ROUND(V68/1000,0)</f>
        <v>0</v>
      </c>
      <c r="E68" s="51">
        <f>ROUND(W68/1000,0)</f>
        <v>0</v>
      </c>
      <c r="F68" s="64">
        <f>E68-D68</f>
        <v>0</v>
      </c>
      <c r="G68" s="63">
        <f>IF(D68=0,0,F68/D68)</f>
        <v>0</v>
      </c>
      <c r="H68" s="48"/>
      <c r="I68" s="56"/>
      <c r="J68" s="47"/>
      <c r="K68" s="47"/>
      <c r="L68" s="47"/>
      <c r="M68" s="78"/>
      <c r="N68" s="84"/>
      <c r="O68" s="85"/>
      <c r="P68" s="84"/>
      <c r="Q68" s="83"/>
      <c r="R68" s="82"/>
      <c r="S68" s="82"/>
      <c r="T68" s="78"/>
      <c r="U68" s="47"/>
      <c r="V68" s="55"/>
      <c r="W68" s="55"/>
      <c r="X68" s="46" t="s">
        <v>218</v>
      </c>
    </row>
    <row r="69" spans="1:45" ht="21" customHeight="1" x14ac:dyDescent="0.15">
      <c r="A69" s="123"/>
      <c r="B69" s="122"/>
      <c r="C69" s="122"/>
      <c r="D69" s="121"/>
      <c r="E69" s="121"/>
      <c r="F69" s="120"/>
      <c r="G69" s="119"/>
      <c r="H69" s="118"/>
      <c r="I69" s="117"/>
      <c r="J69" s="115"/>
      <c r="K69" s="115"/>
      <c r="L69" s="115"/>
      <c r="M69" s="115"/>
      <c r="N69" s="115"/>
      <c r="O69" s="115"/>
      <c r="P69" s="116"/>
      <c r="Q69" s="116"/>
      <c r="R69" s="116"/>
      <c r="S69" s="115"/>
      <c r="T69" s="115"/>
      <c r="U69" s="115"/>
      <c r="V69" s="114"/>
      <c r="W69" s="114"/>
      <c r="X69" s="113"/>
    </row>
    <row r="70" spans="1:45" ht="21" customHeight="1" x14ac:dyDescent="0.15">
      <c r="A70" s="101" t="s">
        <v>253</v>
      </c>
      <c r="B70" s="112" t="s">
        <v>253</v>
      </c>
      <c r="C70" s="111" t="s">
        <v>20</v>
      </c>
      <c r="D70" s="110">
        <f>SUM(D71,D74,D82)</f>
        <v>1302</v>
      </c>
      <c r="E70" s="110">
        <f>SUM(E71,E74,E82)</f>
        <v>1286</v>
      </c>
      <c r="F70" s="109">
        <f>E70-D70</f>
        <v>-16</v>
      </c>
      <c r="G70" s="108">
        <f>IF(D70=0,0,F70/D70)</f>
        <v>-1.2288786482334869E-2</v>
      </c>
      <c r="H70" s="107" t="s">
        <v>85</v>
      </c>
      <c r="I70" s="105"/>
      <c r="J70" s="106"/>
      <c r="K70" s="106"/>
      <c r="L70" s="105"/>
      <c r="M70" s="105"/>
      <c r="N70" s="105"/>
      <c r="O70" s="105"/>
      <c r="P70" s="105" t="s">
        <v>81</v>
      </c>
      <c r="Q70" s="104"/>
      <c r="R70" s="104"/>
      <c r="S70" s="104"/>
      <c r="T70" s="104"/>
      <c r="U70" s="104"/>
      <c r="V70" s="104"/>
      <c r="W70" s="103">
        <f>SUM(W71,W74,W82)</f>
        <v>1286000</v>
      </c>
      <c r="X70" s="102" t="s">
        <v>218</v>
      </c>
    </row>
    <row r="71" spans="1:45" s="90" customFormat="1" ht="21" customHeight="1" x14ac:dyDescent="0.15">
      <c r="A71" s="101"/>
      <c r="B71" s="100"/>
      <c r="C71" s="75" t="s">
        <v>210</v>
      </c>
      <c r="D71" s="74">
        <f>D72</f>
        <v>0</v>
      </c>
      <c r="E71" s="74">
        <f>E72</f>
        <v>0</v>
      </c>
      <c r="F71" s="73">
        <f>E71-D71</f>
        <v>0</v>
      </c>
      <c r="G71" s="72">
        <f>IF(D71=0,0,F71/D71)</f>
        <v>0</v>
      </c>
      <c r="H71" s="71" t="s">
        <v>124</v>
      </c>
      <c r="I71" s="70"/>
      <c r="J71" s="69"/>
      <c r="K71" s="69"/>
      <c r="L71" s="69"/>
      <c r="M71" s="69"/>
      <c r="N71" s="69"/>
      <c r="O71" s="68"/>
      <c r="P71" s="68"/>
      <c r="Q71" s="68"/>
      <c r="R71" s="68"/>
      <c r="S71" s="68"/>
      <c r="T71" s="68"/>
      <c r="U71" s="67" t="s">
        <v>35</v>
      </c>
      <c r="V71" s="66"/>
      <c r="W71" s="99">
        <f>SUM(W72:W72)</f>
        <v>0</v>
      </c>
      <c r="X71" s="65" t="s">
        <v>218</v>
      </c>
      <c r="Y71" s="98"/>
      <c r="Z71" s="97"/>
      <c r="AA71" s="96"/>
      <c r="AB71" s="95"/>
      <c r="AC71" s="93"/>
      <c r="AD71" s="91"/>
      <c r="AE71" s="94"/>
      <c r="AF71" s="94"/>
      <c r="AG71" s="91"/>
      <c r="AH71" s="91"/>
      <c r="AI71" s="91"/>
      <c r="AJ71" s="91"/>
      <c r="AK71" s="91"/>
      <c r="AL71" s="93"/>
      <c r="AM71" s="93"/>
      <c r="AN71" s="93"/>
      <c r="AO71" s="93"/>
      <c r="AP71" s="93"/>
      <c r="AQ71" s="93"/>
      <c r="AR71" s="92"/>
      <c r="AS71" s="91"/>
    </row>
    <row r="72" spans="1:45" ht="21" customHeight="1" x14ac:dyDescent="0.15">
      <c r="A72" s="54"/>
      <c r="B72" s="89"/>
      <c r="C72" s="52" t="s">
        <v>228</v>
      </c>
      <c r="D72" s="51">
        <f>ROUND(V72/1000,0)</f>
        <v>0</v>
      </c>
      <c r="E72" s="51">
        <f>ROUND(W72/1000,0)</f>
        <v>0</v>
      </c>
      <c r="F72" s="64">
        <f>E72-D72</f>
        <v>0</v>
      </c>
      <c r="G72" s="63">
        <f>IF(D72=0,0,F72/D72)</f>
        <v>0</v>
      </c>
      <c r="H72" s="88" t="s">
        <v>124</v>
      </c>
      <c r="I72" s="87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407" t="s">
        <v>35</v>
      </c>
      <c r="V72" s="407"/>
      <c r="W72" s="59">
        <f>SUM(W73:W73)</f>
        <v>0</v>
      </c>
      <c r="X72" s="58" t="s">
        <v>218</v>
      </c>
    </row>
    <row r="73" spans="1:45" s="36" customFormat="1" ht="19.5" customHeight="1" x14ac:dyDescent="0.15">
      <c r="A73" s="54"/>
      <c r="B73" s="53"/>
      <c r="C73" s="52"/>
      <c r="D73" s="51"/>
      <c r="E73" s="51"/>
      <c r="F73" s="50"/>
      <c r="G73" s="49"/>
      <c r="H73" s="48"/>
      <c r="I73" s="56"/>
      <c r="J73" s="47"/>
      <c r="K73" s="47"/>
      <c r="L73" s="47"/>
      <c r="M73" s="78"/>
      <c r="N73" s="84"/>
      <c r="O73" s="85"/>
      <c r="P73" s="84"/>
      <c r="Q73" s="83"/>
      <c r="R73" s="82"/>
      <c r="S73" s="82"/>
      <c r="T73" s="78"/>
      <c r="U73" s="47"/>
      <c r="V73" s="55"/>
      <c r="W73" s="55"/>
      <c r="X73" s="46"/>
      <c r="Y73" s="30"/>
    </row>
    <row r="74" spans="1:45" s="36" customFormat="1" ht="19.5" customHeight="1" x14ac:dyDescent="0.15">
      <c r="A74" s="54"/>
      <c r="B74" s="53"/>
      <c r="C74" s="75" t="s">
        <v>264</v>
      </c>
      <c r="D74" s="74">
        <f>D75</f>
        <v>25</v>
      </c>
      <c r="E74" s="74">
        <f>E75</f>
        <v>29</v>
      </c>
      <c r="F74" s="73">
        <f>E74-D74</f>
        <v>4</v>
      </c>
      <c r="G74" s="72">
        <f>IF(D74=0,0,F74/D74)</f>
        <v>0.16</v>
      </c>
      <c r="H74" s="71" t="s">
        <v>156</v>
      </c>
      <c r="I74" s="70"/>
      <c r="J74" s="69"/>
      <c r="K74" s="69"/>
      <c r="L74" s="69"/>
      <c r="M74" s="69"/>
      <c r="N74" s="69"/>
      <c r="O74" s="68"/>
      <c r="P74" s="68"/>
      <c r="Q74" s="68"/>
      <c r="R74" s="68"/>
      <c r="S74" s="68"/>
      <c r="T74" s="68"/>
      <c r="U74" s="67" t="s">
        <v>35</v>
      </c>
      <c r="V74" s="66"/>
      <c r="W74" s="66">
        <f>SUM(W75:W75)</f>
        <v>29000</v>
      </c>
      <c r="X74" s="65" t="s">
        <v>218</v>
      </c>
      <c r="Y74" s="30"/>
    </row>
    <row r="75" spans="1:45" s="36" customFormat="1" ht="19.5" customHeight="1" x14ac:dyDescent="0.15">
      <c r="A75" s="54"/>
      <c r="B75" s="53"/>
      <c r="C75" s="52" t="s">
        <v>240</v>
      </c>
      <c r="D75" s="51">
        <v>25</v>
      </c>
      <c r="E75" s="51">
        <f>W75/1000</f>
        <v>29</v>
      </c>
      <c r="F75" s="64">
        <f>E75-D75</f>
        <v>4</v>
      </c>
      <c r="G75" s="63">
        <f>IF(D75=0,0,F75/D75)</f>
        <v>0.16</v>
      </c>
      <c r="H75" s="81" t="s">
        <v>196</v>
      </c>
      <c r="I75" s="80"/>
      <c r="J75" s="79"/>
      <c r="K75" s="79"/>
      <c r="L75" s="79"/>
      <c r="M75" s="79"/>
      <c r="N75" s="79"/>
      <c r="O75" s="79"/>
      <c r="P75" s="79" t="s">
        <v>245</v>
      </c>
      <c r="Q75" s="79"/>
      <c r="R75" s="79"/>
      <c r="S75" s="79"/>
      <c r="T75" s="79"/>
      <c r="U75" s="407" t="s">
        <v>35</v>
      </c>
      <c r="V75" s="407"/>
      <c r="W75" s="59">
        <f>SUM(W76:W80)</f>
        <v>29000</v>
      </c>
      <c r="X75" s="58" t="s">
        <v>218</v>
      </c>
      <c r="Y75" s="30"/>
    </row>
    <row r="76" spans="1:45" s="36" customFormat="1" ht="19.5" customHeight="1" x14ac:dyDescent="0.15">
      <c r="A76" s="54"/>
      <c r="B76" s="53"/>
      <c r="C76" s="52" t="s">
        <v>211</v>
      </c>
      <c r="D76" s="51"/>
      <c r="E76" s="51"/>
      <c r="F76" s="50"/>
      <c r="G76" s="77"/>
      <c r="H76" s="57" t="s">
        <v>129</v>
      </c>
      <c r="I76" s="5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55"/>
      <c r="W76" s="55">
        <v>20000</v>
      </c>
      <c r="X76" s="46" t="s">
        <v>218</v>
      </c>
      <c r="Y76" s="30"/>
    </row>
    <row r="77" spans="1:45" s="36" customFormat="1" ht="19.5" customHeight="1" x14ac:dyDescent="0.15">
      <c r="A77" s="54"/>
      <c r="B77" s="53"/>
      <c r="C77" s="52"/>
      <c r="D77" s="51"/>
      <c r="E77" s="51"/>
      <c r="F77" s="50"/>
      <c r="G77" s="77"/>
      <c r="H77" s="48" t="s">
        <v>314</v>
      </c>
      <c r="I77" s="5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55"/>
      <c r="W77" s="55">
        <v>1000</v>
      </c>
      <c r="X77" s="46" t="s">
        <v>218</v>
      </c>
      <c r="Y77" s="30"/>
    </row>
    <row r="78" spans="1:45" s="36" customFormat="1" ht="19.5" customHeight="1" x14ac:dyDescent="0.15">
      <c r="A78" s="54"/>
      <c r="B78" s="53"/>
      <c r="C78" s="52"/>
      <c r="D78" s="51"/>
      <c r="E78" s="51"/>
      <c r="F78" s="50"/>
      <c r="G78" s="77"/>
      <c r="H78" s="48" t="s">
        <v>283</v>
      </c>
      <c r="I78" s="5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55"/>
      <c r="W78" s="55">
        <v>5000</v>
      </c>
      <c r="X78" s="46" t="s">
        <v>218</v>
      </c>
      <c r="Y78" s="30"/>
    </row>
    <row r="79" spans="1:45" s="36" customFormat="1" ht="19.5" customHeight="1" x14ac:dyDescent="0.15">
      <c r="A79" s="54"/>
      <c r="B79" s="53"/>
      <c r="C79" s="52"/>
      <c r="D79" s="51"/>
      <c r="E79" s="51"/>
      <c r="F79" s="50"/>
      <c r="G79" s="77"/>
      <c r="H79" s="48" t="s">
        <v>120</v>
      </c>
      <c r="I79" s="5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55"/>
      <c r="W79" s="55">
        <v>2000</v>
      </c>
      <c r="X79" s="46" t="s">
        <v>218</v>
      </c>
      <c r="Y79" s="30"/>
    </row>
    <row r="80" spans="1:45" s="36" customFormat="1" ht="19.5" customHeight="1" x14ac:dyDescent="0.15">
      <c r="A80" s="54"/>
      <c r="B80" s="53"/>
      <c r="C80" s="52"/>
      <c r="D80" s="51"/>
      <c r="E80" s="51"/>
      <c r="F80" s="50"/>
      <c r="G80" s="77"/>
      <c r="H80" s="48" t="s">
        <v>142</v>
      </c>
      <c r="I80" s="47"/>
      <c r="J80" s="47"/>
      <c r="K80" s="47"/>
      <c r="L80" s="47"/>
      <c r="M80" s="47"/>
      <c r="N80" s="47"/>
      <c r="O80" s="47"/>
      <c r="P80" s="406"/>
      <c r="Q80" s="406"/>
      <c r="R80" s="47"/>
      <c r="S80" s="47"/>
      <c r="T80" s="47"/>
      <c r="U80" s="47"/>
      <c r="V80" s="47"/>
      <c r="W80" s="47">
        <v>1000</v>
      </c>
      <c r="X80" s="46" t="s">
        <v>218</v>
      </c>
      <c r="Y80" s="30"/>
    </row>
    <row r="81" spans="1:25" s="36" customFormat="1" ht="19.5" customHeight="1" x14ac:dyDescent="0.15">
      <c r="A81" s="54"/>
      <c r="B81" s="53"/>
      <c r="C81" s="52"/>
      <c r="D81" s="51"/>
      <c r="E81" s="51"/>
      <c r="F81" s="50"/>
      <c r="G81" s="77"/>
      <c r="H81" s="48"/>
      <c r="I81" s="56"/>
      <c r="J81" s="47"/>
      <c r="K81" s="47"/>
      <c r="L81" s="47"/>
      <c r="M81" s="47"/>
      <c r="N81" s="47"/>
      <c r="O81" s="47"/>
      <c r="P81" s="76"/>
      <c r="Q81" s="76"/>
      <c r="R81" s="76"/>
      <c r="S81" s="47"/>
      <c r="T81" s="47"/>
      <c r="U81" s="47"/>
      <c r="V81" s="55"/>
      <c r="W81" s="55"/>
      <c r="X81" s="46"/>
      <c r="Y81" s="30"/>
    </row>
    <row r="82" spans="1:25" s="36" customFormat="1" ht="19.5" customHeight="1" x14ac:dyDescent="0.15">
      <c r="A82" s="54"/>
      <c r="B82" s="53"/>
      <c r="C82" s="75" t="s">
        <v>243</v>
      </c>
      <c r="D82" s="74">
        <f>D83</f>
        <v>1277</v>
      </c>
      <c r="E82" s="74">
        <f>E83</f>
        <v>1257</v>
      </c>
      <c r="F82" s="73">
        <f>E82-D82</f>
        <v>-20</v>
      </c>
      <c r="G82" s="72">
        <f>IF(D82=0,0,F82/D82)</f>
        <v>-1.5661707126076743E-2</v>
      </c>
      <c r="H82" s="71" t="s">
        <v>141</v>
      </c>
      <c r="I82" s="70"/>
      <c r="J82" s="69"/>
      <c r="K82" s="69"/>
      <c r="L82" s="69"/>
      <c r="M82" s="69"/>
      <c r="N82" s="69"/>
      <c r="O82" s="68"/>
      <c r="P82" s="68"/>
      <c r="Q82" s="68"/>
      <c r="R82" s="68"/>
      <c r="S82" s="68"/>
      <c r="T82" s="68"/>
      <c r="U82" s="67" t="s">
        <v>35</v>
      </c>
      <c r="V82" s="66"/>
      <c r="W82" s="66">
        <f>SUM(W83:W83)</f>
        <v>1257000</v>
      </c>
      <c r="X82" s="65" t="s">
        <v>218</v>
      </c>
      <c r="Y82" s="30"/>
    </row>
    <row r="83" spans="1:25" s="36" customFormat="1" ht="19.5" customHeight="1" x14ac:dyDescent="0.15">
      <c r="A83" s="54"/>
      <c r="B83" s="53"/>
      <c r="C83" s="52" t="s">
        <v>253</v>
      </c>
      <c r="D83" s="51">
        <v>1277</v>
      </c>
      <c r="E83" s="51">
        <f>W83/1000</f>
        <v>1257</v>
      </c>
      <c r="F83" s="64">
        <f>E83-D83</f>
        <v>-20</v>
      </c>
      <c r="G83" s="63">
        <f>IF(D83=0,0,F83/D83)</f>
        <v>-1.5661707126076743E-2</v>
      </c>
      <c r="H83" s="62" t="s">
        <v>108</v>
      </c>
      <c r="I83" s="61"/>
      <c r="J83" s="60"/>
      <c r="K83" s="60"/>
      <c r="L83" s="60"/>
      <c r="M83" s="60"/>
      <c r="N83" s="60"/>
      <c r="O83" s="60"/>
      <c r="P83" s="60" t="s">
        <v>245</v>
      </c>
      <c r="Q83" s="60"/>
      <c r="R83" s="60"/>
      <c r="S83" s="60"/>
      <c r="T83" s="60"/>
      <c r="U83" s="407" t="s">
        <v>35</v>
      </c>
      <c r="V83" s="407"/>
      <c r="W83" s="59">
        <f>SUM(W84:W90)</f>
        <v>1257000</v>
      </c>
      <c r="X83" s="58" t="s">
        <v>218</v>
      </c>
      <c r="Y83" s="30"/>
    </row>
    <row r="84" spans="1:25" s="36" customFormat="1" ht="19.5" customHeight="1" x14ac:dyDescent="0.15">
      <c r="A84" s="54"/>
      <c r="B84" s="53"/>
      <c r="C84" s="52"/>
      <c r="D84" s="51"/>
      <c r="E84" s="51"/>
      <c r="F84" s="50"/>
      <c r="G84" s="49"/>
      <c r="H84" s="57" t="s">
        <v>279</v>
      </c>
      <c r="I84" s="56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55"/>
      <c r="W84" s="55">
        <v>0</v>
      </c>
      <c r="X84" s="46" t="s">
        <v>218</v>
      </c>
      <c r="Y84" s="30"/>
    </row>
    <row r="85" spans="1:25" s="36" customFormat="1" ht="19.5" customHeight="1" x14ac:dyDescent="0.15">
      <c r="A85" s="54"/>
      <c r="B85" s="53"/>
      <c r="C85" s="52"/>
      <c r="D85" s="51"/>
      <c r="E85" s="51"/>
      <c r="F85" s="50"/>
      <c r="G85" s="49"/>
      <c r="H85" s="48" t="s">
        <v>109</v>
      </c>
      <c r="I85" s="56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55"/>
      <c r="W85" s="55">
        <v>1000</v>
      </c>
      <c r="X85" s="46" t="s">
        <v>218</v>
      </c>
      <c r="Y85" s="30"/>
    </row>
    <row r="86" spans="1:25" s="36" customFormat="1" ht="19.5" customHeight="1" x14ac:dyDescent="0.15">
      <c r="A86" s="54"/>
      <c r="B86" s="53"/>
      <c r="C86" s="52"/>
      <c r="D86" s="51"/>
      <c r="E86" s="51"/>
      <c r="F86" s="50"/>
      <c r="G86" s="49"/>
      <c r="H86" s="48" t="s">
        <v>323</v>
      </c>
      <c r="I86" s="56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55"/>
      <c r="W86" s="55">
        <v>50000</v>
      </c>
      <c r="X86" s="46" t="s">
        <v>218</v>
      </c>
      <c r="Y86" s="30"/>
    </row>
    <row r="87" spans="1:25" s="36" customFormat="1" ht="19.5" customHeight="1" x14ac:dyDescent="0.15">
      <c r="A87" s="54"/>
      <c r="B87" s="53"/>
      <c r="C87" s="52"/>
      <c r="D87" s="51"/>
      <c r="E87" s="51"/>
      <c r="F87" s="50"/>
      <c r="G87" s="49"/>
      <c r="H87" s="48" t="s">
        <v>310</v>
      </c>
      <c r="I87" s="56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55"/>
      <c r="W87" s="55">
        <v>5000</v>
      </c>
      <c r="X87" s="46" t="s">
        <v>218</v>
      </c>
      <c r="Y87" s="30"/>
    </row>
    <row r="88" spans="1:25" s="36" customFormat="1" ht="19.5" customHeight="1" x14ac:dyDescent="0.15">
      <c r="A88" s="54"/>
      <c r="B88" s="53"/>
      <c r="C88" s="52"/>
      <c r="D88" s="51"/>
      <c r="E88" s="51"/>
      <c r="F88" s="50"/>
      <c r="G88" s="49"/>
      <c r="H88" s="48" t="s">
        <v>312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>
        <v>1000</v>
      </c>
      <c r="X88" s="46" t="s">
        <v>218</v>
      </c>
      <c r="Y88" s="30"/>
    </row>
    <row r="89" spans="1:25" s="36" customFormat="1" ht="19.5" customHeight="1" x14ac:dyDescent="0.15">
      <c r="A89" s="54"/>
      <c r="B89" s="53"/>
      <c r="C89" s="52"/>
      <c r="D89" s="51"/>
      <c r="E89" s="51"/>
      <c r="F89" s="50"/>
      <c r="G89" s="49"/>
      <c r="H89" s="193" t="s">
        <v>134</v>
      </c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>
        <v>480000</v>
      </c>
      <c r="X89" s="46" t="s">
        <v>218</v>
      </c>
      <c r="Y89" s="30"/>
    </row>
    <row r="90" spans="1:25" s="36" customFormat="1" ht="19.5" customHeight="1" thickBot="1" x14ac:dyDescent="0.2">
      <c r="A90" s="45"/>
      <c r="B90" s="44"/>
      <c r="C90" s="215"/>
      <c r="D90" s="43"/>
      <c r="E90" s="43"/>
      <c r="F90" s="42"/>
      <c r="G90" s="41"/>
      <c r="H90" s="40" t="s">
        <v>136</v>
      </c>
      <c r="I90" s="38"/>
      <c r="J90" s="38"/>
      <c r="K90" s="38"/>
      <c r="L90" s="38">
        <v>60000</v>
      </c>
      <c r="M90" s="38" t="s">
        <v>218</v>
      </c>
      <c r="N90" s="38" t="s">
        <v>272</v>
      </c>
      <c r="O90" s="38">
        <v>1</v>
      </c>
      <c r="P90" s="38" t="s">
        <v>271</v>
      </c>
      <c r="Q90" s="38" t="s">
        <v>272</v>
      </c>
      <c r="R90" s="38">
        <v>12</v>
      </c>
      <c r="S90" s="38" t="s">
        <v>252</v>
      </c>
      <c r="T90" s="38" t="s">
        <v>235</v>
      </c>
      <c r="U90" s="38"/>
      <c r="V90" s="38"/>
      <c r="W90" s="38">
        <v>720000</v>
      </c>
      <c r="X90" s="37" t="s">
        <v>218</v>
      </c>
      <c r="Y90" s="30"/>
    </row>
    <row r="91" spans="1:25" s="36" customFormat="1" ht="19.5" customHeight="1" x14ac:dyDescent="0.15">
      <c r="A91" s="35"/>
      <c r="B91" s="35"/>
      <c r="C91" s="35"/>
      <c r="D91" s="34"/>
      <c r="E91" s="34"/>
      <c r="F91" s="33"/>
      <c r="G91" s="32"/>
      <c r="H91" s="29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0"/>
    </row>
    <row r="102" spans="25:25" ht="19.5" customHeight="1" x14ac:dyDescent="0.15">
      <c r="Y102" s="30" t="s">
        <v>1</v>
      </c>
    </row>
  </sheetData>
  <mergeCells count="25">
    <mergeCell ref="A1:F1"/>
    <mergeCell ref="U75:V75"/>
    <mergeCell ref="U37:V37"/>
    <mergeCell ref="U34:V34"/>
    <mergeCell ref="U45:V45"/>
    <mergeCell ref="U52:V52"/>
    <mergeCell ref="U64:V64"/>
    <mergeCell ref="U55:V55"/>
    <mergeCell ref="U58:V58"/>
    <mergeCell ref="A2:C2"/>
    <mergeCell ref="A4:C4"/>
    <mergeCell ref="E2:E3"/>
    <mergeCell ref="F2:G2"/>
    <mergeCell ref="H2:X3"/>
    <mergeCell ref="D2:D3"/>
    <mergeCell ref="P80:Q80"/>
    <mergeCell ref="U83:V83"/>
    <mergeCell ref="U72:V72"/>
    <mergeCell ref="U42:V42"/>
    <mergeCell ref="U17:V17"/>
    <mergeCell ref="U19:V19"/>
    <mergeCell ref="U25:V25"/>
    <mergeCell ref="U49:V49"/>
    <mergeCell ref="U32:V32"/>
    <mergeCell ref="U23:V23"/>
  </mergeCells>
  <phoneticPr fontId="24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83" fitToHeight="0" orientation="landscape" r:id="rId1"/>
  <headerFooter>
    <oddFooter>&amp;C&amp;"돋움,Regular"&amp;P/&amp;N&amp;R&amp;"돋움,Regular"공동생활가정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3"/>
  <sheetViews>
    <sheetView zoomScale="89" zoomScaleNormal="89" zoomScaleSheetLayoutView="75" workbookViewId="0">
      <pane xSplit="3" ySplit="5" topLeftCell="D6" activePane="bottomRight" state="frozen"/>
      <selection pane="topRight"/>
      <selection pane="bottomLeft"/>
      <selection pane="bottomRight" activeCell="AH110" sqref="AH110"/>
    </sheetView>
  </sheetViews>
  <sheetFormatPr defaultColWidth="13.77734375" defaultRowHeight="21" customHeight="1" x14ac:dyDescent="0.15"/>
  <cols>
    <col min="1" max="1" width="5.88671875" style="212" bestFit="1" customWidth="1"/>
    <col min="2" max="2" width="7.109375" style="212" bestFit="1" customWidth="1"/>
    <col min="3" max="3" width="8.5546875" style="212" bestFit="1" customWidth="1"/>
    <col min="4" max="4" width="10.33203125" style="211" customWidth="1"/>
    <col min="5" max="5" width="10.33203125" style="211" bestFit="1" customWidth="1"/>
    <col min="6" max="6" width="10.21875" style="211" customWidth="1"/>
    <col min="7" max="7" width="8.6640625" style="211" customWidth="1"/>
    <col min="8" max="10" width="7.77734375" style="211" customWidth="1"/>
    <col min="11" max="11" width="8.5546875" style="211" customWidth="1"/>
    <col min="12" max="12" width="7.77734375" style="211" customWidth="1"/>
    <col min="13" max="13" width="6.77734375" style="211" bestFit="1" customWidth="1"/>
    <col min="14" max="14" width="6.88671875" style="210" bestFit="1" customWidth="1"/>
    <col min="15" max="15" width="14.109375" style="90" customWidth="1"/>
    <col min="16" max="16" width="2.6640625" style="90" customWidth="1"/>
    <col min="17" max="17" width="2" style="90" customWidth="1"/>
    <col min="18" max="18" width="11.88671875" style="90" customWidth="1"/>
    <col min="19" max="19" width="10.21875" style="209" customWidth="1"/>
    <col min="20" max="20" width="3.21875" style="209" bestFit="1" customWidth="1"/>
    <col min="21" max="21" width="4" style="209" bestFit="1" customWidth="1"/>
    <col min="22" max="22" width="7.6640625" style="209" bestFit="1" customWidth="1"/>
    <col min="23" max="23" width="3.21875" style="209" customWidth="1"/>
    <col min="24" max="24" width="4.109375" style="209" bestFit="1" customWidth="1"/>
    <col min="25" max="25" width="4.77734375" style="209" customWidth="1"/>
    <col min="26" max="26" width="4.109375" style="209" bestFit="1" customWidth="1"/>
    <col min="27" max="27" width="3" style="209" customWidth="1"/>
    <col min="28" max="28" width="3.33203125" style="209" customWidth="1"/>
    <col min="29" max="29" width="1.44140625" style="209" customWidth="1"/>
    <col min="30" max="30" width="11.88671875" style="209" customWidth="1"/>
    <col min="31" max="31" width="2.77734375" style="209" customWidth="1"/>
    <col min="32" max="32" width="3.88671875" style="90" customWidth="1"/>
    <col min="33" max="16384" width="13.77734375" style="90"/>
  </cols>
  <sheetData>
    <row r="1" spans="1:31" s="36" customFormat="1" ht="21" customHeight="1" x14ac:dyDescent="0.15">
      <c r="A1" s="408" t="s">
        <v>328</v>
      </c>
      <c r="B1" s="408"/>
      <c r="C1" s="408"/>
      <c r="D1" s="408"/>
      <c r="E1" s="408"/>
      <c r="F1" s="336"/>
      <c r="G1" s="336"/>
      <c r="H1" s="336"/>
      <c r="I1" s="336"/>
      <c r="J1" s="336"/>
      <c r="K1" s="336"/>
      <c r="L1" s="336"/>
      <c r="M1" s="336"/>
      <c r="N1" s="335"/>
      <c r="O1" s="39"/>
      <c r="P1" s="39"/>
      <c r="Q1" s="39"/>
      <c r="R1" s="39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s="196" customFormat="1" ht="27" customHeight="1" x14ac:dyDescent="0.15">
      <c r="A2" s="409" t="s">
        <v>296</v>
      </c>
      <c r="B2" s="410"/>
      <c r="C2" s="410"/>
      <c r="D2" s="442" t="s">
        <v>330</v>
      </c>
      <c r="E2" s="444" t="s">
        <v>341</v>
      </c>
      <c r="F2" s="445"/>
      <c r="G2" s="445"/>
      <c r="H2" s="445"/>
      <c r="I2" s="445"/>
      <c r="J2" s="445"/>
      <c r="K2" s="445"/>
      <c r="L2" s="446"/>
      <c r="M2" s="415" t="s">
        <v>115</v>
      </c>
      <c r="N2" s="415"/>
      <c r="O2" s="428" t="s">
        <v>2</v>
      </c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30"/>
    </row>
    <row r="3" spans="1:31" s="196" customFormat="1" ht="27" customHeight="1" x14ac:dyDescent="0.15">
      <c r="A3" s="208" t="s">
        <v>257</v>
      </c>
      <c r="B3" s="207" t="s">
        <v>212</v>
      </c>
      <c r="C3" s="207" t="s">
        <v>242</v>
      </c>
      <c r="D3" s="443"/>
      <c r="E3" s="334" t="s">
        <v>34</v>
      </c>
      <c r="F3" s="355" t="s">
        <v>146</v>
      </c>
      <c r="G3" s="355" t="s">
        <v>93</v>
      </c>
      <c r="H3" s="355" t="s">
        <v>152</v>
      </c>
      <c r="I3" s="355" t="s">
        <v>238</v>
      </c>
      <c r="J3" s="355" t="s">
        <v>67</v>
      </c>
      <c r="K3" s="355" t="s">
        <v>101</v>
      </c>
      <c r="L3" s="355" t="s">
        <v>253</v>
      </c>
      <c r="M3" s="206" t="s">
        <v>190</v>
      </c>
      <c r="N3" s="333" t="s">
        <v>45</v>
      </c>
      <c r="O3" s="431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3"/>
    </row>
    <row r="4" spans="1:31" s="36" customFormat="1" ht="21" customHeight="1" x14ac:dyDescent="0.15">
      <c r="A4" s="440" t="s">
        <v>132</v>
      </c>
      <c r="B4" s="441"/>
      <c r="C4" s="441"/>
      <c r="D4" s="332">
        <v>96215.8</v>
      </c>
      <c r="E4" s="332">
        <f>SUM(E5,E105,E119,E171,E178,E181)</f>
        <v>98677</v>
      </c>
      <c r="F4" s="331">
        <f>SUM(F5,F105,F119,F171,F178,F181)</f>
        <v>76797</v>
      </c>
      <c r="G4" s="331">
        <f t="shared" ref="G4:L4" si="0">SUM(G5,G105,G119,G171,G178,G181)</f>
        <v>2000</v>
      </c>
      <c r="H4" s="331">
        <f t="shared" si="0"/>
        <v>0</v>
      </c>
      <c r="I4" s="331">
        <f>SUM(I5,I105,I119,I171,I178,I181)</f>
        <v>756</v>
      </c>
      <c r="J4" s="331">
        <f t="shared" si="0"/>
        <v>16536</v>
      </c>
      <c r="K4" s="331">
        <f t="shared" si="0"/>
        <v>99</v>
      </c>
      <c r="L4" s="331">
        <f t="shared" si="0"/>
        <v>2489</v>
      </c>
      <c r="M4" s="330">
        <f>E4-D4</f>
        <v>2461.1999999999971</v>
      </c>
      <c r="N4" s="329">
        <f>IF(D4=0,0,M4/D4)</f>
        <v>2.5579998295498212E-2</v>
      </c>
      <c r="O4" s="328" t="s">
        <v>94</v>
      </c>
      <c r="P4" s="327"/>
      <c r="Q4" s="327"/>
      <c r="R4" s="327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>
        <f>SUM(AD5,AD105,AD119,AD171,AD178,AD181)</f>
        <v>98337000</v>
      </c>
      <c r="AE4" s="325" t="s">
        <v>218</v>
      </c>
    </row>
    <row r="5" spans="1:31" s="36" customFormat="1" ht="21" customHeight="1" x14ac:dyDescent="0.15">
      <c r="A5" s="237" t="s">
        <v>270</v>
      </c>
      <c r="B5" s="438" t="s">
        <v>143</v>
      </c>
      <c r="C5" s="439"/>
      <c r="D5" s="324">
        <v>78131.8</v>
      </c>
      <c r="E5" s="324">
        <f t="shared" ref="E5:L5" si="1">SUM(E6,E58,E67)</f>
        <v>78369</v>
      </c>
      <c r="F5" s="324">
        <f t="shared" si="1"/>
        <v>71737</v>
      </c>
      <c r="G5" s="324">
        <f t="shared" si="1"/>
        <v>0</v>
      </c>
      <c r="H5" s="324">
        <f t="shared" si="1"/>
        <v>0</v>
      </c>
      <c r="I5" s="324">
        <f t="shared" si="1"/>
        <v>0</v>
      </c>
      <c r="J5" s="324">
        <f t="shared" si="1"/>
        <v>4047</v>
      </c>
      <c r="K5" s="324">
        <f t="shared" si="1"/>
        <v>98</v>
      </c>
      <c r="L5" s="324">
        <f t="shared" si="1"/>
        <v>2487</v>
      </c>
      <c r="M5" s="323">
        <f>E5-D5</f>
        <v>237.19999999999709</v>
      </c>
      <c r="N5" s="322">
        <f>IF(D5=0,0,M5/D5)</f>
        <v>3.0358957556333925E-3</v>
      </c>
      <c r="O5" s="321" t="s">
        <v>270</v>
      </c>
      <c r="P5" s="321"/>
      <c r="Q5" s="321"/>
      <c r="R5" s="321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>
        <f>SUM(AD6,AD58,AD67)</f>
        <v>78029000</v>
      </c>
      <c r="AE5" s="319" t="s">
        <v>218</v>
      </c>
    </row>
    <row r="6" spans="1:31" s="36" customFormat="1" ht="21" customHeight="1" x14ac:dyDescent="0.15">
      <c r="A6" s="101"/>
      <c r="B6" s="75" t="s">
        <v>266</v>
      </c>
      <c r="C6" s="318" t="s">
        <v>258</v>
      </c>
      <c r="D6" s="317">
        <v>67843.8</v>
      </c>
      <c r="E6" s="317">
        <f>SUM(E7,E11,E14,E27,E30,E50)</f>
        <v>67653</v>
      </c>
      <c r="F6" s="317">
        <f>SUM(F7,F11,F14,F27,F30)</f>
        <v>67313</v>
      </c>
      <c r="G6" s="317">
        <f t="shared" ref="G6:L6" si="2">SUM(G7,G11,G14,G27,G30,G50)</f>
        <v>0</v>
      </c>
      <c r="H6" s="317">
        <f t="shared" si="2"/>
        <v>0</v>
      </c>
      <c r="I6" s="317">
        <f t="shared" si="2"/>
        <v>0</v>
      </c>
      <c r="J6" s="317">
        <f t="shared" si="2"/>
        <v>320</v>
      </c>
      <c r="K6" s="317">
        <f t="shared" si="2"/>
        <v>20</v>
      </c>
      <c r="L6" s="317">
        <f t="shared" si="2"/>
        <v>0</v>
      </c>
      <c r="M6" s="316">
        <f>E6-D6</f>
        <v>-190.80000000000291</v>
      </c>
      <c r="N6" s="108">
        <f>IF(D6=0,0,M6/D6)</f>
        <v>-2.8123424690244783E-3</v>
      </c>
      <c r="O6" s="104" t="s">
        <v>266</v>
      </c>
      <c r="P6" s="104"/>
      <c r="Q6" s="104"/>
      <c r="R6" s="104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>
        <f>SUM(AD7,AD11,AD14,AD27,AD30)</f>
        <v>67313000</v>
      </c>
      <c r="AE6" s="127" t="s">
        <v>218</v>
      </c>
    </row>
    <row r="7" spans="1:31" s="36" customFormat="1" ht="21" customHeight="1" x14ac:dyDescent="0.15">
      <c r="A7" s="101"/>
      <c r="B7" s="52"/>
      <c r="C7" s="75" t="s">
        <v>220</v>
      </c>
      <c r="D7" s="223">
        <v>43818</v>
      </c>
      <c r="E7" s="223">
        <f>SUM(F7:L7)</f>
        <v>44400</v>
      </c>
      <c r="F7" s="223">
        <f>SUMIF($AB$8:$AB$10,"보조",$AD$8:$AD$10)/1000</f>
        <v>44400</v>
      </c>
      <c r="G7" s="223">
        <f>SUMIF($AB$8:$AB$10,"7종",$AD$8:$AD$10)/1000</f>
        <v>0</v>
      </c>
      <c r="H7" s="223">
        <f>SUMIF($AB$8:$AB$10,"시비",$AD$8:$AD$10)/1000</f>
        <v>0</v>
      </c>
      <c r="I7" s="223">
        <f>SUMIF($AB$8:$AB$10,"후원",$AD$8:$AD$10)/1000</f>
        <v>0</v>
      </c>
      <c r="J7" s="223">
        <f>SUMIF($AB$8:$AB$10,"입소",$AD$8:$AD$10)/1000</f>
        <v>0</v>
      </c>
      <c r="K7" s="223">
        <f>SUMIF($AB$8:$AB$10,"법인",$AD$8:$AD$10)/1000</f>
        <v>0</v>
      </c>
      <c r="L7" s="223">
        <f>SUMIF($AB$8:$AB$10,"잡수",$AD$8:$AD$10)/1000</f>
        <v>0</v>
      </c>
      <c r="M7" s="247">
        <f>E7-D7</f>
        <v>582</v>
      </c>
      <c r="N7" s="135">
        <f>IF(D7=0,0,M7/D7)</f>
        <v>1.3282212789264686E-2</v>
      </c>
      <c r="O7" s="222" t="s">
        <v>55</v>
      </c>
      <c r="P7" s="222"/>
      <c r="Q7" s="80"/>
      <c r="R7" s="80"/>
      <c r="S7" s="80"/>
      <c r="T7" s="79"/>
      <c r="U7" s="79"/>
      <c r="V7" s="79"/>
      <c r="W7" s="220" t="s">
        <v>95</v>
      </c>
      <c r="X7" s="220"/>
      <c r="Y7" s="220"/>
      <c r="Z7" s="220"/>
      <c r="AA7" s="220"/>
      <c r="AB7" s="220"/>
      <c r="AC7" s="219"/>
      <c r="AD7" s="219">
        <f>SUM(AD8:AD9)</f>
        <v>44400000</v>
      </c>
      <c r="AE7" s="218" t="s">
        <v>218</v>
      </c>
    </row>
    <row r="8" spans="1:31" s="36" customFormat="1" ht="21" customHeight="1" x14ac:dyDescent="0.15">
      <c r="A8" s="101"/>
      <c r="B8" s="52"/>
      <c r="C8" s="52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77"/>
      <c r="O8" s="48" t="s">
        <v>158</v>
      </c>
      <c r="P8" s="278"/>
      <c r="Q8" s="278"/>
      <c r="R8" s="278" t="s">
        <v>88</v>
      </c>
      <c r="S8" s="47">
        <v>3664000</v>
      </c>
      <c r="T8" s="47" t="s">
        <v>218</v>
      </c>
      <c r="U8" s="56" t="s">
        <v>272</v>
      </c>
      <c r="V8" s="47">
        <v>3</v>
      </c>
      <c r="W8" s="47" t="s">
        <v>252</v>
      </c>
      <c r="X8" s="47"/>
      <c r="Y8" s="47"/>
      <c r="Z8" s="47" t="s">
        <v>235</v>
      </c>
      <c r="AA8" s="47"/>
      <c r="AB8" s="47" t="s">
        <v>269</v>
      </c>
      <c r="AC8" s="55"/>
      <c r="AD8" s="55">
        <f>S8*V8</f>
        <v>10992000</v>
      </c>
      <c r="AE8" s="46" t="s">
        <v>218</v>
      </c>
    </row>
    <row r="9" spans="1:31" s="36" customFormat="1" ht="21" customHeight="1" x14ac:dyDescent="0.15">
      <c r="A9" s="101"/>
      <c r="B9" s="52"/>
      <c r="C9" s="52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77"/>
      <c r="O9" s="48"/>
      <c r="P9" s="278"/>
      <c r="Q9" s="278"/>
      <c r="R9" s="278" t="s">
        <v>77</v>
      </c>
      <c r="S9" s="47">
        <v>3712000</v>
      </c>
      <c r="T9" s="47" t="s">
        <v>218</v>
      </c>
      <c r="U9" s="56" t="s">
        <v>272</v>
      </c>
      <c r="V9" s="47">
        <v>9</v>
      </c>
      <c r="W9" s="47" t="s">
        <v>252</v>
      </c>
      <c r="X9" s="47"/>
      <c r="Y9" s="47"/>
      <c r="Z9" s="47" t="s">
        <v>235</v>
      </c>
      <c r="AA9" s="47"/>
      <c r="AB9" s="47" t="s">
        <v>269</v>
      </c>
      <c r="AC9" s="55"/>
      <c r="AD9" s="55">
        <f>S9*V9</f>
        <v>33408000</v>
      </c>
      <c r="AE9" s="46" t="s">
        <v>218</v>
      </c>
    </row>
    <row r="10" spans="1:31" s="36" customFormat="1" ht="21" customHeight="1" x14ac:dyDescent="0.15">
      <c r="A10" s="101"/>
      <c r="B10" s="52"/>
      <c r="C10" s="52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77"/>
      <c r="O10" s="56"/>
      <c r="P10" s="56"/>
      <c r="Q10" s="56"/>
      <c r="R10" s="56"/>
      <c r="S10" s="56"/>
      <c r="T10" s="47"/>
      <c r="U10" s="47"/>
      <c r="V10" s="115"/>
      <c r="W10" s="115"/>
      <c r="X10" s="115"/>
      <c r="Y10" s="115"/>
      <c r="Z10" s="115"/>
      <c r="AA10" s="115"/>
      <c r="AB10" s="115"/>
      <c r="AC10" s="114"/>
      <c r="AD10" s="114"/>
      <c r="AE10" s="113"/>
    </row>
    <row r="11" spans="1:31" s="36" customFormat="1" ht="21" customHeight="1" x14ac:dyDescent="0.15">
      <c r="A11" s="101"/>
      <c r="B11" s="52"/>
      <c r="C11" s="75" t="s">
        <v>15</v>
      </c>
      <c r="D11" s="223">
        <v>0</v>
      </c>
      <c r="E11" s="223">
        <f>SUM(F11:L11)</f>
        <v>0</v>
      </c>
      <c r="F11" s="223">
        <f>SUMIF($AB$12:$AB$13,"보조",$AD$12:$AD$13)/1000</f>
        <v>0</v>
      </c>
      <c r="G11" s="223">
        <f>SUMIF($AB$12:$AB$13,"7종",$AD$12:$AD$13)/1000</f>
        <v>0</v>
      </c>
      <c r="H11" s="223">
        <f>SUMIF($AB$12:$AB$13,"시비",$AD$12:$AD$13)/1000</f>
        <v>0</v>
      </c>
      <c r="I11" s="223">
        <f>SUMIF($AB$12:$AB$13,"후원",$AD$12:$AD$13)/1000</f>
        <v>0</v>
      </c>
      <c r="J11" s="223">
        <f>SUMIF($AB$12:$AB$13,"입소",$AD$12:$AD$13)/1000</f>
        <v>0</v>
      </c>
      <c r="K11" s="223">
        <f>SUMIF($AB$12:$AB$13,"법인",$AD$12:$AD$13)/1000</f>
        <v>0</v>
      </c>
      <c r="L11" s="223">
        <f>SUMIF($AB$12:$AB$13,"잡수",$AD$12:$AD$13)/1000</f>
        <v>0</v>
      </c>
      <c r="M11" s="247">
        <f>E11-D11</f>
        <v>0</v>
      </c>
      <c r="N11" s="135">
        <f>IF(D11=0,0,M11/D11)</f>
        <v>0</v>
      </c>
      <c r="O11" s="62" t="s">
        <v>74</v>
      </c>
      <c r="P11" s="232"/>
      <c r="Q11" s="61"/>
      <c r="R11" s="61"/>
      <c r="S11" s="61"/>
      <c r="T11" s="60"/>
      <c r="U11" s="60"/>
      <c r="V11" s="79"/>
      <c r="W11" s="220" t="s">
        <v>95</v>
      </c>
      <c r="X11" s="220"/>
      <c r="Y11" s="220"/>
      <c r="Z11" s="220"/>
      <c r="AA11" s="220"/>
      <c r="AB11" s="220"/>
      <c r="AC11" s="219"/>
      <c r="AD11" s="219">
        <f>SUM(AD12)</f>
        <v>0</v>
      </c>
      <c r="AE11" s="218" t="s">
        <v>218</v>
      </c>
    </row>
    <row r="12" spans="1:31" s="36" customFormat="1" ht="21" customHeight="1" x14ac:dyDescent="0.15">
      <c r="A12" s="101"/>
      <c r="B12" s="52"/>
      <c r="C12" s="52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77"/>
      <c r="O12" s="117"/>
      <c r="P12" s="117"/>
      <c r="Q12" s="56"/>
      <c r="R12" s="56"/>
      <c r="S12" s="47"/>
      <c r="T12" s="47"/>
      <c r="U12" s="56"/>
      <c r="V12" s="47"/>
      <c r="W12" s="47"/>
      <c r="X12" s="56"/>
      <c r="Y12" s="191"/>
      <c r="Z12" s="78"/>
      <c r="AA12" s="78"/>
      <c r="AB12" s="47"/>
      <c r="AC12" s="55"/>
      <c r="AD12" s="47">
        <f>S12*V12*Y12</f>
        <v>0</v>
      </c>
      <c r="AE12" s="46" t="s">
        <v>218</v>
      </c>
    </row>
    <row r="13" spans="1:31" s="36" customFormat="1" ht="21" customHeight="1" x14ac:dyDescent="0.15">
      <c r="A13" s="101"/>
      <c r="B13" s="52"/>
      <c r="C13" s="52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77"/>
      <c r="O13" s="56"/>
      <c r="P13" s="56"/>
      <c r="Q13" s="56"/>
      <c r="R13" s="56"/>
      <c r="S13" s="47"/>
      <c r="T13" s="47"/>
      <c r="U13" s="56"/>
      <c r="V13" s="47"/>
      <c r="W13" s="47"/>
      <c r="X13" s="56"/>
      <c r="Y13" s="315"/>
      <c r="Z13" s="47"/>
      <c r="AA13" s="47"/>
      <c r="AB13" s="47"/>
      <c r="AC13" s="55"/>
      <c r="AD13" s="47"/>
      <c r="AE13" s="46"/>
    </row>
    <row r="14" spans="1:31" s="36" customFormat="1" ht="21" customHeight="1" x14ac:dyDescent="0.15">
      <c r="A14" s="101"/>
      <c r="B14" s="52"/>
      <c r="C14" s="75" t="s">
        <v>229</v>
      </c>
      <c r="D14" s="223">
        <v>12228.8</v>
      </c>
      <c r="E14" s="223">
        <f>SUM(F14:L14)</f>
        <v>12393</v>
      </c>
      <c r="F14" s="223">
        <f>SUMIF($AB$16:$AB$25,"보조",$AD$16:$AD$25)/1000</f>
        <v>12393</v>
      </c>
      <c r="G14" s="223">
        <f>SUMIF($AB$16:$AB$26,"7종",$AD$16:$AD$26)/1000</f>
        <v>0</v>
      </c>
      <c r="H14" s="223">
        <f>SUMIF($AB$16:$AB$26,"시비",$AD$16:$AD$26)/1000</f>
        <v>0</v>
      </c>
      <c r="I14" s="223">
        <f>SUMIF($AB$16:$AB$26,"후원",$AD$16:$AD$26)/1000</f>
        <v>0</v>
      </c>
      <c r="J14" s="223">
        <f>SUMIF($AB$16:$AB$26,"입소",$AD$16:$AD$26)/1000</f>
        <v>0</v>
      </c>
      <c r="K14" s="223">
        <f>SUMIF($AB$16:$AB$26,"법인",$AD$16:$AD$26)/1000</f>
        <v>0</v>
      </c>
      <c r="L14" s="223">
        <f>SUMIF($AB$16:$AB$26,"잡수",$AD$16:$AD$26)/1000</f>
        <v>0</v>
      </c>
      <c r="M14" s="247">
        <f>E14-D14</f>
        <v>164.20000000000073</v>
      </c>
      <c r="N14" s="135">
        <f>IF(D14=0,0,M14/D14)</f>
        <v>1.3427319115530611E-2</v>
      </c>
      <c r="O14" s="62" t="s">
        <v>68</v>
      </c>
      <c r="P14" s="232"/>
      <c r="Q14" s="61"/>
      <c r="R14" s="61"/>
      <c r="S14" s="61"/>
      <c r="T14" s="60"/>
      <c r="U14" s="60"/>
      <c r="V14" s="60"/>
      <c r="W14" s="221" t="s">
        <v>95</v>
      </c>
      <c r="X14" s="221"/>
      <c r="Y14" s="221"/>
      <c r="Z14" s="221"/>
      <c r="AA14" s="221"/>
      <c r="AB14" s="221"/>
      <c r="AC14" s="258"/>
      <c r="AD14" s="258">
        <f>SUM(명절휴가비,연장근로수당,AD23)</f>
        <v>12393000</v>
      </c>
      <c r="AE14" s="231" t="s">
        <v>218</v>
      </c>
    </row>
    <row r="15" spans="1:31" s="36" customFormat="1" ht="21" customHeight="1" x14ac:dyDescent="0.15">
      <c r="A15" s="101"/>
      <c r="B15" s="52"/>
      <c r="C15" s="52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77"/>
      <c r="O15" s="117" t="s">
        <v>89</v>
      </c>
      <c r="P15" s="56"/>
      <c r="Q15" s="56"/>
      <c r="R15" s="56"/>
      <c r="S15" s="56"/>
      <c r="T15" s="47"/>
      <c r="U15" s="47"/>
      <c r="V15" s="47"/>
      <c r="W15" s="115" t="s">
        <v>181</v>
      </c>
      <c r="X15" s="115"/>
      <c r="Y15" s="115"/>
      <c r="Z15" s="115"/>
      <c r="AA15" s="115"/>
      <c r="AB15" s="115"/>
      <c r="AC15" s="114" t="s">
        <v>230</v>
      </c>
      <c r="AD15" s="114">
        <f>ROUNDUP(SUM(AD16:AD17),-3)</f>
        <v>4426000</v>
      </c>
      <c r="AE15" s="113" t="s">
        <v>218</v>
      </c>
    </row>
    <row r="16" spans="1:31" s="36" customFormat="1" ht="21" customHeight="1" x14ac:dyDescent="0.15">
      <c r="A16" s="101"/>
      <c r="B16" s="52"/>
      <c r="C16" s="52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77"/>
      <c r="O16" s="48" t="s">
        <v>158</v>
      </c>
      <c r="P16" s="56"/>
      <c r="Q16" s="56"/>
      <c r="R16" s="278" t="s">
        <v>88</v>
      </c>
      <c r="S16" s="47">
        <v>3664000</v>
      </c>
      <c r="T16" s="47" t="s">
        <v>218</v>
      </c>
      <c r="U16" s="56" t="s">
        <v>272</v>
      </c>
      <c r="V16" s="140">
        <v>0.6</v>
      </c>
      <c r="W16" s="47"/>
      <c r="X16" s="47"/>
      <c r="Y16" s="47"/>
      <c r="Z16" s="47" t="s">
        <v>235</v>
      </c>
      <c r="AA16" s="47"/>
      <c r="AB16" s="47" t="s">
        <v>269</v>
      </c>
      <c r="AC16" s="55"/>
      <c r="AD16" s="55">
        <f>ROUNDUP(S16*V16,-3)</f>
        <v>2199000</v>
      </c>
      <c r="AE16" s="46" t="s">
        <v>218</v>
      </c>
    </row>
    <row r="17" spans="1:31" s="36" customFormat="1" ht="21" customHeight="1" x14ac:dyDescent="0.15">
      <c r="A17" s="101"/>
      <c r="B17" s="52"/>
      <c r="C17" s="52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77"/>
      <c r="O17" s="56"/>
      <c r="P17" s="56"/>
      <c r="Q17" s="56"/>
      <c r="R17" s="278" t="s">
        <v>77</v>
      </c>
      <c r="S17" s="47">
        <v>3712000</v>
      </c>
      <c r="T17" s="47" t="s">
        <v>218</v>
      </c>
      <c r="U17" s="56" t="s">
        <v>272</v>
      </c>
      <c r="V17" s="140">
        <v>0.6</v>
      </c>
      <c r="W17" s="47"/>
      <c r="X17" s="47"/>
      <c r="Y17" s="47"/>
      <c r="Z17" s="47" t="s">
        <v>235</v>
      </c>
      <c r="AA17" s="47"/>
      <c r="AB17" s="47" t="s">
        <v>269</v>
      </c>
      <c r="AC17" s="55"/>
      <c r="AD17" s="55">
        <f>ROUND(S17*V17,-3)</f>
        <v>2227000</v>
      </c>
      <c r="AE17" s="46" t="s">
        <v>218</v>
      </c>
    </row>
    <row r="18" spans="1:31" s="36" customFormat="1" ht="21" customHeight="1" x14ac:dyDescent="0.15">
      <c r="A18" s="101"/>
      <c r="B18" s="52"/>
      <c r="C18" s="52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77"/>
      <c r="O18" s="56"/>
      <c r="P18" s="56"/>
      <c r="Q18" s="56"/>
      <c r="R18" s="278"/>
      <c r="S18" s="47"/>
      <c r="T18" s="47"/>
      <c r="U18" s="56"/>
      <c r="V18" s="140"/>
      <c r="W18" s="47"/>
      <c r="X18" s="47"/>
      <c r="Y18" s="47"/>
      <c r="Z18" s="47"/>
      <c r="AA18" s="47"/>
      <c r="AB18" s="47"/>
      <c r="AC18" s="55"/>
      <c r="AD18" s="55"/>
      <c r="AE18" s="46"/>
    </row>
    <row r="19" spans="1:31" s="36" customFormat="1" ht="21" customHeight="1" x14ac:dyDescent="0.15">
      <c r="A19" s="101"/>
      <c r="B19" s="52"/>
      <c r="C19" s="52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77"/>
      <c r="O19" s="117" t="s">
        <v>173</v>
      </c>
      <c r="P19" s="56"/>
      <c r="Q19" s="56"/>
      <c r="R19" s="56"/>
      <c r="S19" s="56"/>
      <c r="T19" s="47"/>
      <c r="U19" s="47"/>
      <c r="V19" s="47"/>
      <c r="W19" s="115" t="s">
        <v>181</v>
      </c>
      <c r="X19" s="115"/>
      <c r="Y19" s="115"/>
      <c r="Z19" s="115"/>
      <c r="AA19" s="115"/>
      <c r="AB19" s="115"/>
      <c r="AC19" s="114" t="s">
        <v>230</v>
      </c>
      <c r="AD19" s="114">
        <f>ROUNDDOWN(SUM(AD20:AD21),-3)</f>
        <v>5418000</v>
      </c>
      <c r="AE19" s="113" t="s">
        <v>218</v>
      </c>
    </row>
    <row r="20" spans="1:31" s="36" customFormat="1" ht="21" customHeight="1" x14ac:dyDescent="0.15">
      <c r="A20" s="101"/>
      <c r="B20" s="52"/>
      <c r="C20" s="52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77"/>
      <c r="O20" s="56" t="s">
        <v>158</v>
      </c>
      <c r="P20" s="56"/>
      <c r="Q20" s="56"/>
      <c r="R20" s="278" t="s">
        <v>88</v>
      </c>
      <c r="S20" s="47">
        <v>3664000</v>
      </c>
      <c r="T20" s="47" t="s">
        <v>218</v>
      </c>
      <c r="U20" s="78" t="s">
        <v>260</v>
      </c>
      <c r="V20" s="314">
        <v>209</v>
      </c>
      <c r="W20" s="313">
        <v>1.5</v>
      </c>
      <c r="X20" s="56" t="s">
        <v>272</v>
      </c>
      <c r="Y20" s="312">
        <v>17</v>
      </c>
      <c r="Z20" s="311">
        <v>3</v>
      </c>
      <c r="AA20" s="47" t="s">
        <v>235</v>
      </c>
      <c r="AB20" s="47" t="s">
        <v>269</v>
      </c>
      <c r="AC20" s="55"/>
      <c r="AD20" s="55">
        <f>ROUND(ROUNDDOWN(S20/V20*W20*Y20,-1)*Z20,-3)</f>
        <v>1341000</v>
      </c>
      <c r="AE20" s="46" t="s">
        <v>218</v>
      </c>
    </row>
    <row r="21" spans="1:31" s="36" customFormat="1" ht="21" customHeight="1" x14ac:dyDescent="0.15">
      <c r="A21" s="101"/>
      <c r="B21" s="52"/>
      <c r="C21" s="52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77"/>
      <c r="O21" s="56"/>
      <c r="P21" s="56"/>
      <c r="Q21" s="56"/>
      <c r="R21" s="278" t="s">
        <v>77</v>
      </c>
      <c r="S21" s="47">
        <v>3712000</v>
      </c>
      <c r="T21" s="47" t="s">
        <v>218</v>
      </c>
      <c r="U21" s="78" t="s">
        <v>260</v>
      </c>
      <c r="V21" s="314">
        <v>209</v>
      </c>
      <c r="W21" s="313">
        <v>1.5</v>
      </c>
      <c r="X21" s="56" t="s">
        <v>272</v>
      </c>
      <c r="Y21" s="312">
        <v>17</v>
      </c>
      <c r="Z21" s="311">
        <v>9</v>
      </c>
      <c r="AA21" s="47" t="s">
        <v>235</v>
      </c>
      <c r="AB21" s="47" t="s">
        <v>269</v>
      </c>
      <c r="AC21" s="55"/>
      <c r="AD21" s="55">
        <f>ROUNDUP(ROUNDUP(S21/V21*W21*Y21,-1)*Z21,-3)</f>
        <v>4077000</v>
      </c>
      <c r="AE21" s="46" t="s">
        <v>218</v>
      </c>
    </row>
    <row r="22" spans="1:31" s="36" customFormat="1" ht="21" customHeight="1" x14ac:dyDescent="0.15">
      <c r="A22" s="101"/>
      <c r="B22" s="52"/>
      <c r="C22" s="52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77"/>
      <c r="O22" s="352"/>
      <c r="P22" s="352"/>
      <c r="Q22" s="352"/>
      <c r="R22" s="278"/>
      <c r="S22" s="47"/>
      <c r="T22" s="47"/>
      <c r="U22" s="364"/>
      <c r="V22" s="314"/>
      <c r="W22" s="313"/>
      <c r="X22" s="352"/>
      <c r="Y22" s="312"/>
      <c r="Z22" s="311"/>
      <c r="AA22" s="47"/>
      <c r="AB22" s="47"/>
      <c r="AC22" s="350"/>
      <c r="AD22" s="350"/>
      <c r="AE22" s="46"/>
    </row>
    <row r="23" spans="1:31" s="36" customFormat="1" ht="21" customHeight="1" x14ac:dyDescent="0.15">
      <c r="A23" s="101"/>
      <c r="B23" s="52"/>
      <c r="C23" s="52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77"/>
      <c r="O23" s="368" t="s">
        <v>123</v>
      </c>
      <c r="P23" s="369"/>
      <c r="Q23" s="369"/>
      <c r="R23" s="369"/>
      <c r="S23" s="369"/>
      <c r="T23" s="370"/>
      <c r="U23" s="370"/>
      <c r="V23" s="370"/>
      <c r="W23" s="371" t="s">
        <v>181</v>
      </c>
      <c r="X23" s="371"/>
      <c r="Y23" s="371"/>
      <c r="Z23" s="371"/>
      <c r="AA23" s="371"/>
      <c r="AB23" s="371"/>
      <c r="AC23" s="372" t="s">
        <v>230</v>
      </c>
      <c r="AD23" s="372">
        <f>ROUNDDOWN(SUM(AD24:AD25),-3)</f>
        <v>2549000</v>
      </c>
      <c r="AE23" s="373" t="s">
        <v>218</v>
      </c>
    </row>
    <row r="24" spans="1:31" s="36" customFormat="1" ht="21" customHeight="1" x14ac:dyDescent="0.15">
      <c r="A24" s="101"/>
      <c r="B24" s="52"/>
      <c r="C24" s="52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77"/>
      <c r="O24" s="369" t="s">
        <v>158</v>
      </c>
      <c r="P24" s="369"/>
      <c r="Q24" s="369"/>
      <c r="R24" s="374" t="s">
        <v>88</v>
      </c>
      <c r="S24" s="370">
        <v>3664000</v>
      </c>
      <c r="T24" s="370" t="s">
        <v>218</v>
      </c>
      <c r="U24" s="375" t="s">
        <v>260</v>
      </c>
      <c r="V24" s="376">
        <v>209</v>
      </c>
      <c r="W24" s="377">
        <v>0.5</v>
      </c>
      <c r="X24" s="369" t="s">
        <v>272</v>
      </c>
      <c r="Y24" s="378">
        <v>24</v>
      </c>
      <c r="Z24" s="379">
        <v>3</v>
      </c>
      <c r="AA24" s="370" t="s">
        <v>235</v>
      </c>
      <c r="AB24" s="370" t="s">
        <v>269</v>
      </c>
      <c r="AC24" s="380"/>
      <c r="AD24" s="380">
        <f>ROUND(ROUNDDOWN(S24/V24*W24*Y24,-1)*Z24,-3)</f>
        <v>631000</v>
      </c>
      <c r="AE24" s="381" t="s">
        <v>218</v>
      </c>
    </row>
    <row r="25" spans="1:31" s="36" customFormat="1" ht="21" customHeight="1" x14ac:dyDescent="0.15">
      <c r="A25" s="101"/>
      <c r="B25" s="52"/>
      <c r="C25" s="52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77"/>
      <c r="O25" s="369"/>
      <c r="P25" s="369"/>
      <c r="Q25" s="369"/>
      <c r="R25" s="374" t="s">
        <v>77</v>
      </c>
      <c r="S25" s="370">
        <v>3712000</v>
      </c>
      <c r="T25" s="370" t="s">
        <v>218</v>
      </c>
      <c r="U25" s="375" t="s">
        <v>260</v>
      </c>
      <c r="V25" s="376">
        <v>209</v>
      </c>
      <c r="W25" s="377">
        <v>0.5</v>
      </c>
      <c r="X25" s="369" t="s">
        <v>272</v>
      </c>
      <c r="Y25" s="378">
        <v>24</v>
      </c>
      <c r="Z25" s="379">
        <v>9</v>
      </c>
      <c r="AA25" s="370" t="s">
        <v>235</v>
      </c>
      <c r="AB25" s="370" t="s">
        <v>269</v>
      </c>
      <c r="AC25" s="380"/>
      <c r="AD25" s="380">
        <f>ROUND(ROUNDUP(S25/V25*W25*Y25,-1)*Z25,-3)</f>
        <v>1918000</v>
      </c>
      <c r="AE25" s="381" t="s">
        <v>218</v>
      </c>
    </row>
    <row r="26" spans="1:31" s="36" customFormat="1" ht="21" customHeight="1" x14ac:dyDescent="0.15">
      <c r="A26" s="101"/>
      <c r="B26" s="52"/>
      <c r="C26" s="52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77"/>
      <c r="O26" s="56"/>
      <c r="P26" s="56"/>
      <c r="Q26" s="56"/>
      <c r="R26" s="56"/>
      <c r="S26" s="56"/>
      <c r="T26" s="47"/>
      <c r="U26" s="47"/>
      <c r="V26" s="47"/>
      <c r="W26" s="47"/>
      <c r="X26" s="47"/>
      <c r="Y26" s="47"/>
      <c r="Z26" s="47"/>
      <c r="AA26" s="47"/>
      <c r="AB26" s="47"/>
      <c r="AC26" s="55"/>
      <c r="AD26" s="55"/>
      <c r="AE26" s="46"/>
    </row>
    <row r="27" spans="1:31" s="36" customFormat="1" ht="21" customHeight="1" x14ac:dyDescent="0.15">
      <c r="A27" s="101"/>
      <c r="B27" s="52"/>
      <c r="C27" s="75" t="s">
        <v>99</v>
      </c>
      <c r="D27" s="223">
        <v>4671</v>
      </c>
      <c r="E27" s="223">
        <f>SUM(F27:L27)</f>
        <v>4733</v>
      </c>
      <c r="F27" s="223">
        <f>SUMIF($AB$28:$AB$29,"보조",$AD$28:$AD$29)/1000</f>
        <v>4733</v>
      </c>
      <c r="G27" s="223">
        <f>SUMIF($AB$28:$AB$29,"7종",$AD$28:$AD$29)/1000</f>
        <v>0</v>
      </c>
      <c r="H27" s="223">
        <f>SUMIF($AB$28:$AB$29,"시비",$AD$28:$AD$29)/1000</f>
        <v>0</v>
      </c>
      <c r="I27" s="223">
        <f>SUMIF($AB$28:$AB$29,"후원",$AD$28:$AD$29)/1000</f>
        <v>0</v>
      </c>
      <c r="J27" s="223">
        <f>SUMIF($AB$28:$AB$29,"입소",$AD$28:$AD$29)/1000</f>
        <v>0</v>
      </c>
      <c r="K27" s="223">
        <f>SUMIF($AB$28:$AB$29,"법인",$AD$28:$AD$29)/1000</f>
        <v>0</v>
      </c>
      <c r="L27" s="223">
        <f>SUMIF($AB$28:$AB$29,"잡수",$AD$28:$AD$29)/1000</f>
        <v>0</v>
      </c>
      <c r="M27" s="247">
        <f>E27-D27</f>
        <v>62</v>
      </c>
      <c r="N27" s="135">
        <f>IF(D27=0,0,M27/D27)</f>
        <v>1.3273388995932349E-2</v>
      </c>
      <c r="O27" s="62" t="s">
        <v>66</v>
      </c>
      <c r="P27" s="232"/>
      <c r="Q27" s="61"/>
      <c r="R27" s="61"/>
      <c r="S27" s="61"/>
      <c r="T27" s="60"/>
      <c r="U27" s="60"/>
      <c r="V27" s="60"/>
      <c r="W27" s="221" t="s">
        <v>181</v>
      </c>
      <c r="X27" s="221"/>
      <c r="Y27" s="221"/>
      <c r="Z27" s="221"/>
      <c r="AA27" s="221"/>
      <c r="AB27" s="221"/>
      <c r="AC27" s="258" t="s">
        <v>230</v>
      </c>
      <c r="AD27" s="258">
        <f>ROUNDDOWN(SUM(AD28:AD28),-3)</f>
        <v>4733000</v>
      </c>
      <c r="AE27" s="231" t="s">
        <v>218</v>
      </c>
    </row>
    <row r="28" spans="1:31" s="36" customFormat="1" ht="21" customHeight="1" x14ac:dyDescent="0.15">
      <c r="A28" s="101"/>
      <c r="B28" s="52"/>
      <c r="C28" s="52"/>
      <c r="D28" s="217"/>
      <c r="E28" s="217"/>
      <c r="F28" s="217"/>
      <c r="G28" s="217"/>
      <c r="H28" s="217"/>
      <c r="I28" s="217"/>
      <c r="J28" s="217"/>
      <c r="K28" s="217"/>
      <c r="L28" s="217"/>
      <c r="M28" s="309"/>
      <c r="N28" s="77"/>
      <c r="O28" s="56"/>
      <c r="P28" s="56"/>
      <c r="Q28" s="56"/>
      <c r="R28" s="56"/>
      <c r="S28" s="47">
        <f>SUM(AD7,AD14)</f>
        <v>56793000</v>
      </c>
      <c r="T28" s="78" t="s">
        <v>218</v>
      </c>
      <c r="U28" s="78" t="s">
        <v>260</v>
      </c>
      <c r="V28" s="310">
        <v>12</v>
      </c>
      <c r="W28" s="84" t="s">
        <v>252</v>
      </c>
      <c r="X28" s="47"/>
      <c r="Y28" s="47"/>
      <c r="Z28" s="47"/>
      <c r="AA28" s="47" t="s">
        <v>235</v>
      </c>
      <c r="AB28" s="47" t="s">
        <v>269</v>
      </c>
      <c r="AC28" s="55"/>
      <c r="AD28" s="55">
        <f>ROUND(S28/V28,-3)</f>
        <v>4733000</v>
      </c>
      <c r="AE28" s="46" t="s">
        <v>218</v>
      </c>
    </row>
    <row r="29" spans="1:31" s="36" customFormat="1" ht="21" customHeight="1" x14ac:dyDescent="0.15">
      <c r="A29" s="101"/>
      <c r="B29" s="52"/>
      <c r="C29" s="52"/>
      <c r="D29" s="217"/>
      <c r="E29" s="217"/>
      <c r="F29" s="217"/>
      <c r="G29" s="217"/>
      <c r="H29" s="217"/>
      <c r="I29" s="217"/>
      <c r="J29" s="217"/>
      <c r="K29" s="217"/>
      <c r="L29" s="217"/>
      <c r="M29" s="309"/>
      <c r="N29" s="77"/>
      <c r="O29" s="80"/>
      <c r="P29" s="80"/>
      <c r="Q29" s="80"/>
      <c r="R29" s="80"/>
      <c r="S29" s="80"/>
      <c r="T29" s="79"/>
      <c r="U29" s="79"/>
      <c r="V29" s="79"/>
      <c r="W29" s="79"/>
      <c r="X29" s="79"/>
      <c r="Y29" s="79"/>
      <c r="Z29" s="79"/>
      <c r="AA29" s="79"/>
      <c r="AB29" s="79"/>
      <c r="AC29" s="277"/>
      <c r="AD29" s="277"/>
      <c r="AE29" s="279"/>
    </row>
    <row r="30" spans="1:31" s="36" customFormat="1" ht="21" customHeight="1" x14ac:dyDescent="0.15">
      <c r="A30" s="101"/>
      <c r="B30" s="52"/>
      <c r="C30" s="75" t="s">
        <v>87</v>
      </c>
      <c r="D30" s="223">
        <v>5711</v>
      </c>
      <c r="E30" s="223">
        <f>SUM(F30:L30)</f>
        <v>5787</v>
      </c>
      <c r="F30" s="356">
        <f>SUMIF($AB$33:$AB$49,"보조",$AD$33:$AD$49)/1000</f>
        <v>5787</v>
      </c>
      <c r="G30" s="223">
        <f>SUMIF($AB$33:$AB$49,"7종",$AD$33:$AD$49)/1000</f>
        <v>0</v>
      </c>
      <c r="H30" s="223">
        <f>SUMIF($AB$33:$AB$49,"시비",$AD$33:$AD$49)/1000</f>
        <v>0</v>
      </c>
      <c r="I30" s="223">
        <f>SUMIF($AB$33:$AB$49,"후원",$AD$33:$AD$49)/1000</f>
        <v>0</v>
      </c>
      <c r="J30" s="223">
        <f>SUMIF($AB$33:$AB$49,"입소",$AD$33:$AD$49)/1000</f>
        <v>0</v>
      </c>
      <c r="K30" s="223">
        <f>SUMIF($AB$33:$AB$49,"법인",$AD$33:$AD$49)/1000</f>
        <v>0</v>
      </c>
      <c r="L30" s="223">
        <f>SUMIF($AB$33:$AB$49,"잡수",$AD$33:$AD$49)/1000</f>
        <v>0</v>
      </c>
      <c r="M30" s="247">
        <f>E30-D30</f>
        <v>76</v>
      </c>
      <c r="N30" s="135">
        <f>IF(D30=0,0,M30/D30)</f>
        <v>1.3307651899842409E-2</v>
      </c>
      <c r="O30" s="62" t="s">
        <v>140</v>
      </c>
      <c r="P30" s="232"/>
      <c r="Q30" s="61"/>
      <c r="R30" s="61"/>
      <c r="S30" s="61"/>
      <c r="T30" s="60"/>
      <c r="U30" s="60"/>
      <c r="V30" s="60"/>
      <c r="W30" s="221" t="s">
        <v>95</v>
      </c>
      <c r="X30" s="221"/>
      <c r="Y30" s="221"/>
      <c r="Z30" s="221"/>
      <c r="AA30" s="221"/>
      <c r="AB30" s="221"/>
      <c r="AC30" s="258"/>
      <c r="AD30" s="258">
        <f>SUM(AD32,AD35,AD38,AD41,AD44,AD47)</f>
        <v>5787000</v>
      </c>
      <c r="AE30" s="231" t="s">
        <v>218</v>
      </c>
    </row>
    <row r="31" spans="1:31" s="36" customFormat="1" ht="21" customHeight="1" x14ac:dyDescent="0.15">
      <c r="A31" s="101"/>
      <c r="B31" s="52"/>
      <c r="C31" s="52" t="s">
        <v>255</v>
      </c>
      <c r="D31" s="217"/>
      <c r="E31" s="217"/>
      <c r="F31" s="211"/>
      <c r="G31" s="217"/>
      <c r="H31" s="217"/>
      <c r="I31" s="217"/>
      <c r="J31" s="217"/>
      <c r="K31" s="217"/>
      <c r="L31" s="217"/>
      <c r="M31" s="217"/>
      <c r="N31" s="77"/>
      <c r="O31" s="80"/>
      <c r="P31" s="80"/>
      <c r="Q31" s="80"/>
      <c r="R31" s="80"/>
      <c r="S31" s="80"/>
      <c r="T31" s="79"/>
      <c r="U31" s="79"/>
      <c r="V31" s="79"/>
      <c r="W31" s="79"/>
      <c r="X31" s="79"/>
      <c r="Y31" s="79"/>
      <c r="Z31" s="79"/>
      <c r="AA31" s="79"/>
      <c r="AB31" s="79"/>
      <c r="AC31" s="277"/>
      <c r="AD31" s="277"/>
      <c r="AE31" s="279"/>
    </row>
    <row r="32" spans="1:31" s="36" customFormat="1" ht="21" customHeight="1" x14ac:dyDescent="0.15">
      <c r="A32" s="101"/>
      <c r="B32" s="52"/>
      <c r="C32" s="52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77"/>
      <c r="O32" s="117" t="s">
        <v>148</v>
      </c>
      <c r="P32" s="56"/>
      <c r="Q32" s="56"/>
      <c r="R32" s="56"/>
      <c r="S32" s="56"/>
      <c r="T32" s="47"/>
      <c r="U32" s="47"/>
      <c r="V32" s="47"/>
      <c r="W32" s="115" t="s">
        <v>181</v>
      </c>
      <c r="X32" s="115"/>
      <c r="Y32" s="115"/>
      <c r="Z32" s="115"/>
      <c r="AA32" s="115"/>
      <c r="AB32" s="115"/>
      <c r="AC32" s="114"/>
      <c r="AD32" s="114">
        <f>ROUND(SUM(AD33:AD33),-3)</f>
        <v>2556000</v>
      </c>
      <c r="AE32" s="113" t="s">
        <v>218</v>
      </c>
    </row>
    <row r="33" spans="1:31" s="36" customFormat="1" ht="21" customHeight="1" x14ac:dyDescent="0.15">
      <c r="A33" s="101"/>
      <c r="B33" s="52"/>
      <c r="C33" s="52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77"/>
      <c r="O33" s="56"/>
      <c r="P33" s="56"/>
      <c r="Q33" s="56"/>
      <c r="R33" s="56"/>
      <c r="S33" s="47">
        <f>S28</f>
        <v>56793000</v>
      </c>
      <c r="T33" s="78" t="s">
        <v>218</v>
      </c>
      <c r="U33" s="84" t="s">
        <v>272</v>
      </c>
      <c r="V33" s="140">
        <v>0.09</v>
      </c>
      <c r="W33" s="78" t="s">
        <v>260</v>
      </c>
      <c r="X33" s="308">
        <v>2</v>
      </c>
      <c r="Y33" s="82"/>
      <c r="Z33" s="82"/>
      <c r="AA33" s="78" t="s">
        <v>235</v>
      </c>
      <c r="AB33" s="47" t="s">
        <v>269</v>
      </c>
      <c r="AC33" s="55"/>
      <c r="AD33" s="55">
        <f>ROUNDUP(S33*V33/X33,-3)</f>
        <v>2556000</v>
      </c>
      <c r="AE33" s="46" t="s">
        <v>218</v>
      </c>
    </row>
    <row r="34" spans="1:31" s="36" customFormat="1" ht="21" customHeight="1" x14ac:dyDescent="0.15">
      <c r="A34" s="101"/>
      <c r="B34" s="52"/>
      <c r="C34" s="52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77"/>
      <c r="O34" s="56"/>
      <c r="P34" s="56"/>
      <c r="Q34" s="56"/>
      <c r="R34" s="56"/>
      <c r="S34" s="56"/>
      <c r="T34" s="47"/>
      <c r="U34" s="47"/>
      <c r="V34" s="56"/>
      <c r="W34" s="47"/>
      <c r="X34" s="47"/>
      <c r="Y34" s="47"/>
      <c r="Z34" s="47"/>
      <c r="AA34" s="47"/>
      <c r="AB34" s="47"/>
      <c r="AC34" s="55"/>
      <c r="AD34" s="55"/>
      <c r="AE34" s="46"/>
    </row>
    <row r="35" spans="1:31" s="36" customFormat="1" ht="21" customHeight="1" x14ac:dyDescent="0.15">
      <c r="A35" s="101"/>
      <c r="B35" s="52"/>
      <c r="C35" s="52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77"/>
      <c r="O35" s="117" t="s">
        <v>126</v>
      </c>
      <c r="P35" s="56"/>
      <c r="Q35" s="56"/>
      <c r="R35" s="56"/>
      <c r="S35" s="56"/>
      <c r="T35" s="47"/>
      <c r="U35" s="47"/>
      <c r="V35" s="56"/>
      <c r="W35" s="115" t="s">
        <v>181</v>
      </c>
      <c r="X35" s="115"/>
      <c r="Y35" s="115"/>
      <c r="Z35" s="115"/>
      <c r="AA35" s="115"/>
      <c r="AB35" s="115"/>
      <c r="AC35" s="114" t="s">
        <v>230</v>
      </c>
      <c r="AD35" s="114">
        <f>ROUND(SUM(AD36:AD36),-3)</f>
        <v>1948000</v>
      </c>
      <c r="AE35" s="113" t="s">
        <v>218</v>
      </c>
    </row>
    <row r="36" spans="1:31" s="36" customFormat="1" ht="21" customHeight="1" x14ac:dyDescent="0.15">
      <c r="A36" s="101"/>
      <c r="B36" s="52"/>
      <c r="C36" s="52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77"/>
      <c r="O36" s="56"/>
      <c r="P36" s="56"/>
      <c r="Q36" s="56"/>
      <c r="R36" s="56"/>
      <c r="S36" s="47">
        <f>S33</f>
        <v>56793000</v>
      </c>
      <c r="T36" s="78" t="s">
        <v>218</v>
      </c>
      <c r="U36" s="84" t="s">
        <v>272</v>
      </c>
      <c r="V36" s="141">
        <v>6.8599999999999994E-2</v>
      </c>
      <c r="W36" s="78" t="s">
        <v>260</v>
      </c>
      <c r="X36" s="287">
        <v>2</v>
      </c>
      <c r="Y36" s="82"/>
      <c r="Z36" s="82"/>
      <c r="AA36" s="78" t="s">
        <v>235</v>
      </c>
      <c r="AB36" s="47" t="s">
        <v>269</v>
      </c>
      <c r="AC36" s="55"/>
      <c r="AD36" s="55">
        <f>ROUND(S36*V36/X36,-3)</f>
        <v>1948000</v>
      </c>
      <c r="AE36" s="46" t="s">
        <v>218</v>
      </c>
    </row>
    <row r="37" spans="1:31" s="36" customFormat="1" ht="21" customHeight="1" x14ac:dyDescent="0.15">
      <c r="A37" s="101"/>
      <c r="B37" s="52"/>
      <c r="C37" s="52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77"/>
      <c r="O37" s="56"/>
      <c r="P37" s="56"/>
      <c r="Q37" s="56"/>
      <c r="R37" s="56"/>
      <c r="S37" s="56"/>
      <c r="T37" s="47"/>
      <c r="U37" s="47"/>
      <c r="V37" s="56"/>
      <c r="W37" s="47"/>
      <c r="X37" s="47"/>
      <c r="Y37" s="47"/>
      <c r="Z37" s="47"/>
      <c r="AA37" s="47"/>
      <c r="AB37" s="47"/>
      <c r="AC37" s="55"/>
      <c r="AD37" s="55"/>
      <c r="AE37" s="46"/>
    </row>
    <row r="38" spans="1:31" s="36" customFormat="1" ht="21" customHeight="1" x14ac:dyDescent="0.15">
      <c r="A38" s="101"/>
      <c r="B38" s="52"/>
      <c r="C38" s="52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77"/>
      <c r="O38" s="117" t="s">
        <v>177</v>
      </c>
      <c r="P38" s="56"/>
      <c r="Q38" s="56"/>
      <c r="R38" s="56"/>
      <c r="S38" s="56"/>
      <c r="T38" s="47"/>
      <c r="U38" s="47"/>
      <c r="V38" s="56"/>
      <c r="W38" s="115" t="s">
        <v>181</v>
      </c>
      <c r="X38" s="115"/>
      <c r="Y38" s="115"/>
      <c r="Z38" s="115"/>
      <c r="AA38" s="115"/>
      <c r="AB38" s="115"/>
      <c r="AC38" s="114" t="s">
        <v>230</v>
      </c>
      <c r="AD38" s="114">
        <f>ROUNDUP(SUM(AD39:AD39),-3)</f>
        <v>225000</v>
      </c>
      <c r="AE38" s="113" t="s">
        <v>218</v>
      </c>
    </row>
    <row r="39" spans="1:31" s="36" customFormat="1" ht="21" customHeight="1" x14ac:dyDescent="0.15">
      <c r="A39" s="101"/>
      <c r="B39" s="52"/>
      <c r="C39" s="52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77"/>
      <c r="O39" s="56"/>
      <c r="P39" s="56"/>
      <c r="Q39" s="56"/>
      <c r="R39" s="56"/>
      <c r="S39" s="307">
        <f>AD36</f>
        <v>1948000</v>
      </c>
      <c r="T39" s="78" t="s">
        <v>218</v>
      </c>
      <c r="U39" s="84" t="s">
        <v>272</v>
      </c>
      <c r="V39" s="141">
        <v>0.1152</v>
      </c>
      <c r="W39" s="84"/>
      <c r="X39" s="83"/>
      <c r="Y39" s="82"/>
      <c r="Z39" s="82"/>
      <c r="AA39" s="78" t="s">
        <v>235</v>
      </c>
      <c r="AB39" s="47" t="s">
        <v>269</v>
      </c>
      <c r="AC39" s="55"/>
      <c r="AD39" s="55">
        <f>ROUNDUP(S39*V39,-3)</f>
        <v>225000</v>
      </c>
      <c r="AE39" s="46" t="s">
        <v>218</v>
      </c>
    </row>
    <row r="40" spans="1:31" s="36" customFormat="1" ht="21" customHeight="1" x14ac:dyDescent="0.15">
      <c r="A40" s="101"/>
      <c r="B40" s="52"/>
      <c r="C40" s="52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77"/>
      <c r="O40" s="56"/>
      <c r="P40" s="56"/>
      <c r="Q40" s="56"/>
      <c r="R40" s="56"/>
      <c r="S40" s="56"/>
      <c r="T40" s="47"/>
      <c r="U40" s="47"/>
      <c r="V40" s="56"/>
      <c r="W40" s="47"/>
      <c r="X40" s="47"/>
      <c r="Y40" s="47"/>
      <c r="Z40" s="47"/>
      <c r="AA40" s="47"/>
      <c r="AB40" s="47"/>
      <c r="AC40" s="55"/>
      <c r="AD40" s="55"/>
      <c r="AE40" s="46"/>
    </row>
    <row r="41" spans="1:31" s="36" customFormat="1" ht="21" customHeight="1" x14ac:dyDescent="0.15">
      <c r="A41" s="101"/>
      <c r="B41" s="52"/>
      <c r="C41" s="52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77"/>
      <c r="O41" s="117" t="s">
        <v>201</v>
      </c>
      <c r="P41" s="56"/>
      <c r="Q41" s="56"/>
      <c r="R41" s="56"/>
      <c r="S41" s="56"/>
      <c r="T41" s="47"/>
      <c r="U41" s="47"/>
      <c r="V41" s="56"/>
      <c r="W41" s="115" t="s">
        <v>181</v>
      </c>
      <c r="X41" s="115"/>
      <c r="Y41" s="115"/>
      <c r="Z41" s="115"/>
      <c r="AA41" s="115"/>
      <c r="AB41" s="115"/>
      <c r="AC41" s="114" t="s">
        <v>230</v>
      </c>
      <c r="AD41" s="114">
        <f>ROUND(SUM(AD42:AD42),-3)</f>
        <v>597000</v>
      </c>
      <c r="AE41" s="113" t="s">
        <v>218</v>
      </c>
    </row>
    <row r="42" spans="1:31" s="36" customFormat="1" ht="21" customHeight="1" x14ac:dyDescent="0.15">
      <c r="A42" s="101"/>
      <c r="B42" s="52"/>
      <c r="C42" s="52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77"/>
      <c r="O42" s="56"/>
      <c r="P42" s="56"/>
      <c r="Q42" s="56"/>
      <c r="R42" s="56"/>
      <c r="S42" s="47">
        <f>S36</f>
        <v>56793000</v>
      </c>
      <c r="T42" s="78" t="s">
        <v>218</v>
      </c>
      <c r="U42" s="84" t="s">
        <v>272</v>
      </c>
      <c r="V42" s="351">
        <v>1.0500000000000001E-2</v>
      </c>
      <c r="W42" s="84"/>
      <c r="X42" s="83"/>
      <c r="Y42" s="82"/>
      <c r="Z42" s="82"/>
      <c r="AA42" s="78" t="s">
        <v>235</v>
      </c>
      <c r="AB42" s="47" t="s">
        <v>269</v>
      </c>
      <c r="AC42" s="55"/>
      <c r="AD42" s="55">
        <f>ROUNDUP(S42*V42,-3)</f>
        <v>597000</v>
      </c>
      <c r="AE42" s="46" t="s">
        <v>218</v>
      </c>
    </row>
    <row r="43" spans="1:31" s="36" customFormat="1" ht="21" customHeight="1" x14ac:dyDescent="0.15">
      <c r="A43" s="101"/>
      <c r="B43" s="52"/>
      <c r="C43" s="52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77"/>
      <c r="O43" s="56"/>
      <c r="P43" s="56"/>
      <c r="Q43" s="56"/>
      <c r="R43" s="56"/>
      <c r="S43" s="56"/>
      <c r="T43" s="47"/>
      <c r="U43" s="47"/>
      <c r="V43" s="352"/>
      <c r="W43" s="47"/>
      <c r="X43" s="47"/>
      <c r="Y43" s="47"/>
      <c r="Z43" s="47"/>
      <c r="AA43" s="47"/>
      <c r="AB43" s="47"/>
      <c r="AC43" s="55"/>
      <c r="AD43" s="55"/>
      <c r="AE43" s="46"/>
    </row>
    <row r="44" spans="1:31" s="36" customFormat="1" ht="21" customHeight="1" x14ac:dyDescent="0.15">
      <c r="A44" s="101"/>
      <c r="B44" s="52"/>
      <c r="C44" s="52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77"/>
      <c r="O44" s="117" t="s">
        <v>149</v>
      </c>
      <c r="P44" s="56"/>
      <c r="Q44" s="56"/>
      <c r="R44" s="56"/>
      <c r="S44" s="56"/>
      <c r="T44" s="47"/>
      <c r="U44" s="47"/>
      <c r="V44" s="352"/>
      <c r="W44" s="115" t="s">
        <v>181</v>
      </c>
      <c r="X44" s="115"/>
      <c r="Y44" s="115"/>
      <c r="Z44" s="115"/>
      <c r="AA44" s="115"/>
      <c r="AB44" s="115"/>
      <c r="AC44" s="114" t="s">
        <v>230</v>
      </c>
      <c r="AD44" s="114">
        <f>ROUNDUP(SUM(AD45:AD45),-3)</f>
        <v>461000</v>
      </c>
      <c r="AE44" s="113" t="s">
        <v>218</v>
      </c>
    </row>
    <row r="45" spans="1:31" s="36" customFormat="1" ht="21" customHeight="1" x14ac:dyDescent="0.15">
      <c r="A45" s="101"/>
      <c r="B45" s="52"/>
      <c r="C45" s="52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77"/>
      <c r="O45" s="56"/>
      <c r="P45" s="56"/>
      <c r="Q45" s="56"/>
      <c r="R45" s="56"/>
      <c r="S45" s="47">
        <f>S42</f>
        <v>56793000</v>
      </c>
      <c r="T45" s="78" t="s">
        <v>218</v>
      </c>
      <c r="U45" s="84" t="s">
        <v>272</v>
      </c>
      <c r="V45" s="351">
        <v>8.0999999999999996E-3</v>
      </c>
      <c r="W45" s="84"/>
      <c r="X45" s="83"/>
      <c r="Y45" s="82"/>
      <c r="Z45" s="82"/>
      <c r="AA45" s="78" t="s">
        <v>235</v>
      </c>
      <c r="AB45" s="47" t="s">
        <v>269</v>
      </c>
      <c r="AC45" s="55"/>
      <c r="AD45" s="55">
        <f>ROUNDUP(S45*V45,-3)</f>
        <v>461000</v>
      </c>
      <c r="AE45" s="46" t="s">
        <v>218</v>
      </c>
    </row>
    <row r="46" spans="1:31" s="36" customFormat="1" ht="21" customHeight="1" x14ac:dyDescent="0.15">
      <c r="A46" s="101"/>
      <c r="B46" s="52"/>
      <c r="C46" s="52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77"/>
      <c r="O46" s="56"/>
      <c r="P46" s="56"/>
      <c r="Q46" s="56"/>
      <c r="R46" s="56"/>
      <c r="S46" s="47"/>
      <c r="T46" s="78"/>
      <c r="U46" s="84"/>
      <c r="V46" s="141"/>
      <c r="W46" s="84"/>
      <c r="X46" s="83"/>
      <c r="Y46" s="82"/>
      <c r="Z46" s="82"/>
      <c r="AA46" s="78"/>
      <c r="AB46" s="47"/>
      <c r="AC46" s="55"/>
      <c r="AD46" s="55"/>
      <c r="AE46" s="46"/>
    </row>
    <row r="47" spans="1:31" s="36" customFormat="1" ht="21" customHeight="1" x14ac:dyDescent="0.15">
      <c r="A47" s="101"/>
      <c r="B47" s="52"/>
      <c r="C47" s="52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77"/>
      <c r="O47" s="56" t="s">
        <v>165</v>
      </c>
      <c r="P47" s="56"/>
      <c r="Q47" s="56"/>
      <c r="R47" s="56"/>
      <c r="S47" s="47"/>
      <c r="T47" s="78"/>
      <c r="U47" s="84"/>
      <c r="V47" s="141"/>
      <c r="W47" s="306" t="s">
        <v>80</v>
      </c>
      <c r="X47" s="306"/>
      <c r="Y47" s="131"/>
      <c r="Z47" s="131"/>
      <c r="AA47" s="125"/>
      <c r="AB47" s="115"/>
      <c r="AC47" s="114" t="s">
        <v>230</v>
      </c>
      <c r="AD47" s="114">
        <f>ROUNDUP(SUM(AD48:AD48),-3)</f>
        <v>0</v>
      </c>
      <c r="AE47" s="113" t="s">
        <v>218</v>
      </c>
    </row>
    <row r="48" spans="1:31" s="36" customFormat="1" ht="21" customHeight="1" x14ac:dyDescent="0.15">
      <c r="A48" s="101"/>
      <c r="B48" s="52"/>
      <c r="C48" s="52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77"/>
      <c r="O48" s="56"/>
      <c r="P48" s="56"/>
      <c r="Q48" s="56"/>
      <c r="R48" s="56"/>
      <c r="S48" s="47"/>
      <c r="T48" s="78"/>
      <c r="U48" s="84"/>
      <c r="V48" s="141"/>
      <c r="W48" s="84"/>
      <c r="X48" s="83"/>
      <c r="Y48" s="82"/>
      <c r="Z48" s="82"/>
      <c r="AA48" s="78" t="s">
        <v>235</v>
      </c>
      <c r="AB48" s="47" t="s">
        <v>269</v>
      </c>
      <c r="AC48" s="55"/>
      <c r="AD48" s="55">
        <v>0</v>
      </c>
      <c r="AE48" s="46" t="s">
        <v>218</v>
      </c>
    </row>
    <row r="49" spans="1:31" s="36" customFormat="1" ht="21" customHeight="1" x14ac:dyDescent="0.15">
      <c r="A49" s="101"/>
      <c r="B49" s="52"/>
      <c r="C49" s="52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77"/>
      <c r="O49" s="56"/>
      <c r="P49" s="56"/>
      <c r="Q49" s="56"/>
      <c r="R49" s="56"/>
      <c r="S49" s="56"/>
      <c r="T49" s="47"/>
      <c r="U49" s="47"/>
      <c r="V49" s="47"/>
      <c r="W49" s="47"/>
      <c r="X49" s="47"/>
      <c r="Y49" s="47"/>
      <c r="Z49" s="47"/>
      <c r="AA49" s="47"/>
      <c r="AB49" s="47"/>
      <c r="AC49" s="55"/>
      <c r="AD49" s="55"/>
      <c r="AE49" s="46"/>
    </row>
    <row r="50" spans="1:31" s="36" customFormat="1" ht="21" customHeight="1" x14ac:dyDescent="0.15">
      <c r="A50" s="101"/>
      <c r="B50" s="52"/>
      <c r="C50" s="75" t="s">
        <v>78</v>
      </c>
      <c r="D50" s="223">
        <v>1415</v>
      </c>
      <c r="E50" s="223">
        <f>SUM(F50:L50)</f>
        <v>340</v>
      </c>
      <c r="F50" s="223">
        <f>SUMIF($AB$51:$AB$57,"보조",$AD$51:$AD$57)/1000</f>
        <v>0</v>
      </c>
      <c r="G50" s="223">
        <f>SUMIF($AB$51:$AB$57,"7종",$AD$51:$AD$57)/1000</f>
        <v>0</v>
      </c>
      <c r="H50" s="223">
        <f>SUMIF($AB$51:$AB$57,"시비",$AD$51:$AD$57)/1000</f>
        <v>0</v>
      </c>
      <c r="I50" s="223">
        <f>SUMIF($AB$51:$AB$57,"후원",$AD$51:$AD$57)/1000</f>
        <v>0</v>
      </c>
      <c r="J50" s="223">
        <f>SUMIF($AB$51:$AB$57,"입소",$AD$51:$AD$57)/1000</f>
        <v>320</v>
      </c>
      <c r="K50" s="223">
        <f>SUMIF($AB$51:$AB$57,"법인",$AD$51:$AD$57)/1000</f>
        <v>20</v>
      </c>
      <c r="L50" s="223">
        <f>SUMIF($AB$51:$AB$57,"잡수",$AD$51:$AD$57)/1000</f>
        <v>0</v>
      </c>
      <c r="M50" s="247">
        <f>E50-D50</f>
        <v>-1075</v>
      </c>
      <c r="N50" s="345">
        <v>2.8</v>
      </c>
      <c r="O50" s="62" t="s">
        <v>154</v>
      </c>
      <c r="P50" s="232"/>
      <c r="Q50" s="61"/>
      <c r="R50" s="61"/>
      <c r="S50" s="61"/>
      <c r="T50" s="60"/>
      <c r="U50" s="60"/>
      <c r="V50" s="60"/>
      <c r="W50" s="221" t="s">
        <v>95</v>
      </c>
      <c r="X50" s="221"/>
      <c r="Y50" s="221"/>
      <c r="Z50" s="221"/>
      <c r="AA50" s="221"/>
      <c r="AB50" s="221"/>
      <c r="AC50" s="258"/>
      <c r="AD50" s="258">
        <f>SUM(AD51:AD56)</f>
        <v>340000</v>
      </c>
      <c r="AE50" s="231" t="s">
        <v>218</v>
      </c>
    </row>
    <row r="51" spans="1:31" s="36" customFormat="1" ht="21" customHeight="1" x14ac:dyDescent="0.15">
      <c r="A51" s="101"/>
      <c r="B51" s="52"/>
      <c r="C51" s="52" t="s">
        <v>176</v>
      </c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77"/>
      <c r="O51" s="56" t="s">
        <v>301</v>
      </c>
      <c r="P51" s="56"/>
      <c r="Q51" s="56"/>
      <c r="R51" s="56"/>
      <c r="S51" s="47"/>
      <c r="T51" s="78"/>
      <c r="U51" s="84"/>
      <c r="V51" s="85"/>
      <c r="W51" s="84"/>
      <c r="X51" s="83"/>
      <c r="Y51" s="82"/>
      <c r="Z51" s="82"/>
      <c r="AA51" s="78"/>
      <c r="AB51" s="47" t="s">
        <v>227</v>
      </c>
      <c r="AC51" s="55"/>
      <c r="AD51" s="55">
        <f>ROUNDUP(S51*V51,-3)</f>
        <v>0</v>
      </c>
      <c r="AE51" s="46" t="s">
        <v>218</v>
      </c>
    </row>
    <row r="52" spans="1:31" s="36" customFormat="1" ht="21" customHeight="1" x14ac:dyDescent="0.15">
      <c r="A52" s="101"/>
      <c r="B52" s="52"/>
      <c r="C52" s="52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77"/>
      <c r="O52" s="337" t="s">
        <v>128</v>
      </c>
      <c r="P52" s="337"/>
      <c r="Q52" s="337"/>
      <c r="R52" s="337"/>
      <c r="S52" s="338">
        <v>50000</v>
      </c>
      <c r="T52" s="339" t="s">
        <v>218</v>
      </c>
      <c r="U52" s="340" t="s">
        <v>272</v>
      </c>
      <c r="V52" s="341">
        <v>1</v>
      </c>
      <c r="W52" s="340" t="s">
        <v>271</v>
      </c>
      <c r="X52" s="83"/>
      <c r="Y52" s="82"/>
      <c r="Z52" s="82"/>
      <c r="AA52" s="339" t="s">
        <v>235</v>
      </c>
      <c r="AB52" s="338" t="s">
        <v>274</v>
      </c>
      <c r="AC52" s="342"/>
      <c r="AD52" s="342">
        <f>ROUNDUP(S52*V52,-3)</f>
        <v>50000</v>
      </c>
      <c r="AE52" s="343" t="s">
        <v>218</v>
      </c>
    </row>
    <row r="53" spans="1:31" s="36" customFormat="1" ht="21" customHeight="1" x14ac:dyDescent="0.15">
      <c r="A53" s="101"/>
      <c r="B53" s="52"/>
      <c r="C53" s="52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77"/>
      <c r="O53" s="337" t="s">
        <v>334</v>
      </c>
      <c r="P53" s="337"/>
      <c r="Q53" s="337"/>
      <c r="R53" s="337"/>
      <c r="S53" s="338">
        <v>20000</v>
      </c>
      <c r="T53" s="339" t="s">
        <v>218</v>
      </c>
      <c r="U53" s="340" t="s">
        <v>272</v>
      </c>
      <c r="V53" s="341">
        <v>1</v>
      </c>
      <c r="W53" s="340" t="s">
        <v>271</v>
      </c>
      <c r="X53" s="83"/>
      <c r="Y53" s="344"/>
      <c r="Z53" s="344"/>
      <c r="AA53" s="339" t="s">
        <v>235</v>
      </c>
      <c r="AB53" s="338" t="s">
        <v>221</v>
      </c>
      <c r="AC53" s="342"/>
      <c r="AD53" s="342">
        <f>ROUNDUP(S53*V53,-3)</f>
        <v>20000</v>
      </c>
      <c r="AE53" s="343" t="s">
        <v>218</v>
      </c>
    </row>
    <row r="54" spans="1:31" s="36" customFormat="1" ht="21" customHeight="1" x14ac:dyDescent="0.15">
      <c r="A54" s="101"/>
      <c r="B54" s="52"/>
      <c r="C54" s="52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77"/>
      <c r="O54" s="337" t="s">
        <v>84</v>
      </c>
      <c r="P54" s="337"/>
      <c r="Q54" s="337"/>
      <c r="R54" s="337"/>
      <c r="S54" s="338">
        <v>200000</v>
      </c>
      <c r="T54" s="339" t="s">
        <v>218</v>
      </c>
      <c r="U54" s="340" t="s">
        <v>272</v>
      </c>
      <c r="V54" s="341">
        <v>1</v>
      </c>
      <c r="W54" s="340" t="s">
        <v>226</v>
      </c>
      <c r="X54" s="83"/>
      <c r="Y54" s="344"/>
      <c r="Z54" s="344"/>
      <c r="AA54" s="339" t="s">
        <v>235</v>
      </c>
      <c r="AB54" s="338" t="s">
        <v>274</v>
      </c>
      <c r="AC54" s="342"/>
      <c r="AD54" s="342">
        <f>ROUNDUP(S54*V54,-3)</f>
        <v>200000</v>
      </c>
      <c r="AE54" s="343" t="s">
        <v>218</v>
      </c>
    </row>
    <row r="55" spans="1:31" s="36" customFormat="1" ht="21" customHeight="1" x14ac:dyDescent="0.15">
      <c r="A55" s="101"/>
      <c r="B55" s="52"/>
      <c r="C55" s="52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77"/>
      <c r="O55" s="337" t="s">
        <v>278</v>
      </c>
      <c r="P55" s="337"/>
      <c r="Q55" s="337"/>
      <c r="R55" s="337"/>
      <c r="S55" s="338">
        <v>20000</v>
      </c>
      <c r="T55" s="339" t="s">
        <v>218</v>
      </c>
      <c r="U55" s="340" t="s">
        <v>272</v>
      </c>
      <c r="V55" s="341">
        <v>1</v>
      </c>
      <c r="W55" s="340" t="s">
        <v>271</v>
      </c>
      <c r="X55" s="340" t="s">
        <v>272</v>
      </c>
      <c r="Y55" s="344">
        <v>2</v>
      </c>
      <c r="Z55" s="344" t="s">
        <v>226</v>
      </c>
      <c r="AA55" s="339" t="s">
        <v>235</v>
      </c>
      <c r="AB55" s="338" t="s">
        <v>274</v>
      </c>
      <c r="AC55" s="342"/>
      <c r="AD55" s="342">
        <f>ROUNDUP(S55*V55*Y55,-3)</f>
        <v>40000</v>
      </c>
      <c r="AE55" s="343" t="s">
        <v>218</v>
      </c>
    </row>
    <row r="56" spans="1:31" s="36" customFormat="1" ht="21" customHeight="1" x14ac:dyDescent="0.15">
      <c r="A56" s="101"/>
      <c r="B56" s="52"/>
      <c r="C56" s="52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77"/>
      <c r="O56" s="337" t="s">
        <v>180</v>
      </c>
      <c r="P56" s="337"/>
      <c r="Q56" s="337"/>
      <c r="R56" s="337"/>
      <c r="S56" s="338">
        <v>30000</v>
      </c>
      <c r="T56" s="339" t="s">
        <v>218</v>
      </c>
      <c r="U56" s="340" t="s">
        <v>272</v>
      </c>
      <c r="V56" s="341">
        <v>1</v>
      </c>
      <c r="W56" s="340" t="s">
        <v>271</v>
      </c>
      <c r="X56" s="83"/>
      <c r="Y56" s="82"/>
      <c r="Z56" s="82"/>
      <c r="AA56" s="339" t="s">
        <v>235</v>
      </c>
      <c r="AB56" s="338" t="s">
        <v>274</v>
      </c>
      <c r="AC56" s="342"/>
      <c r="AD56" s="342">
        <f>ROUNDUP(S56*V56,-3)</f>
        <v>30000</v>
      </c>
      <c r="AE56" s="343" t="s">
        <v>218</v>
      </c>
    </row>
    <row r="57" spans="1:31" s="36" customFormat="1" ht="21" customHeight="1" x14ac:dyDescent="0.15">
      <c r="A57" s="101"/>
      <c r="B57" s="122"/>
      <c r="C57" s="122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119"/>
      <c r="O57" s="117"/>
      <c r="P57" s="117"/>
      <c r="Q57" s="117"/>
      <c r="R57" s="117"/>
      <c r="S57" s="115"/>
      <c r="T57" s="137"/>
      <c r="U57" s="137"/>
      <c r="V57" s="137"/>
      <c r="W57" s="115"/>
      <c r="X57" s="137"/>
      <c r="Y57" s="137"/>
      <c r="Z57" s="137"/>
      <c r="AA57" s="115"/>
      <c r="AB57" s="137"/>
      <c r="AC57" s="137"/>
      <c r="AD57" s="115"/>
      <c r="AE57" s="305"/>
    </row>
    <row r="58" spans="1:31" s="36" customFormat="1" ht="21" customHeight="1" x14ac:dyDescent="0.15">
      <c r="A58" s="101"/>
      <c r="B58" s="52" t="s">
        <v>41</v>
      </c>
      <c r="C58" s="52" t="s">
        <v>258</v>
      </c>
      <c r="D58" s="217">
        <v>60</v>
      </c>
      <c r="E58" s="217">
        <f>SUM(E59,E61,E63)</f>
        <v>230</v>
      </c>
      <c r="F58" s="217">
        <f>SUM(F59,F61,F63)</f>
        <v>0</v>
      </c>
      <c r="G58" s="217">
        <f t="shared" ref="G58:L58" si="3">SUM(G59,G61,G63)</f>
        <v>0</v>
      </c>
      <c r="H58" s="217">
        <f t="shared" si="3"/>
        <v>0</v>
      </c>
      <c r="I58" s="217">
        <f t="shared" si="3"/>
        <v>0</v>
      </c>
      <c r="J58" s="217">
        <f t="shared" si="3"/>
        <v>230</v>
      </c>
      <c r="K58" s="217">
        <f t="shared" si="3"/>
        <v>0</v>
      </c>
      <c r="L58" s="217">
        <f t="shared" si="3"/>
        <v>0</v>
      </c>
      <c r="M58" s="217">
        <f>E58-D58</f>
        <v>170</v>
      </c>
      <c r="N58" s="77">
        <f>IF(D58=0,0,M58/D58)</f>
        <v>2.8333333333333335</v>
      </c>
      <c r="O58" s="80" t="s">
        <v>54</v>
      </c>
      <c r="P58" s="80"/>
      <c r="Q58" s="80"/>
      <c r="R58" s="80"/>
      <c r="S58" s="79"/>
      <c r="T58" s="79"/>
      <c r="U58" s="79"/>
      <c r="V58" s="79"/>
      <c r="W58" s="60"/>
      <c r="X58" s="60"/>
      <c r="Y58" s="60"/>
      <c r="Z58" s="60"/>
      <c r="AA58" s="60"/>
      <c r="AB58" s="60"/>
      <c r="AC58" s="272"/>
      <c r="AD58" s="272">
        <f>SUM(AD59,AD61,AD63)</f>
        <v>230000</v>
      </c>
      <c r="AE58" s="271" t="s">
        <v>218</v>
      </c>
    </row>
    <row r="59" spans="1:31" s="36" customFormat="1" ht="21" customHeight="1" x14ac:dyDescent="0.15">
      <c r="A59" s="101"/>
      <c r="B59" s="52" t="s">
        <v>224</v>
      </c>
      <c r="C59" s="75" t="s">
        <v>25</v>
      </c>
      <c r="D59" s="223">
        <v>0</v>
      </c>
      <c r="E59" s="223">
        <f>SUM(F59:L59)</f>
        <v>0</v>
      </c>
      <c r="F59" s="223">
        <f>SUMIF($AB$60:$AB$60,"보조",$AD$60:$AD$60)/1000</f>
        <v>0</v>
      </c>
      <c r="G59" s="223">
        <f>SUMIF($AB$60:$AB$60,"7종",$AD$60:$AD$60)/1000</f>
        <v>0</v>
      </c>
      <c r="H59" s="223">
        <f>SUMIF($AB$60:$AB$60,"시비",$AD$60:$AD$60)/1000</f>
        <v>0</v>
      </c>
      <c r="I59" s="223">
        <f>SUMIF($AB$60:$AB$60,"후원",$AD$60:$AD$60)/1000</f>
        <v>0</v>
      </c>
      <c r="J59" s="223">
        <f>SUMIF($AB$60:$AB$60,"입소",$AD$60:$AD$60)/1000</f>
        <v>0</v>
      </c>
      <c r="K59" s="223">
        <f>SUMIF($AB$60:$AB$60,"법인",$AD$60:$AD$60)/1000</f>
        <v>0</v>
      </c>
      <c r="L59" s="223">
        <f>SUMIF($AB$60:$AB$60,"잡수",$AD$60:$AD$60)/1000</f>
        <v>0</v>
      </c>
      <c r="M59" s="247">
        <f>E59-D59</f>
        <v>0</v>
      </c>
      <c r="N59" s="135">
        <f>IF(D59=0,0,M59/D59)</f>
        <v>0</v>
      </c>
      <c r="O59" s="62" t="s">
        <v>26</v>
      </c>
      <c r="P59" s="304"/>
      <c r="Q59" s="87"/>
      <c r="R59" s="87"/>
      <c r="S59" s="87"/>
      <c r="T59" s="86"/>
      <c r="U59" s="86"/>
      <c r="V59" s="86"/>
      <c r="W59" s="86"/>
      <c r="X59" s="86"/>
      <c r="Y59" s="221" t="s">
        <v>223</v>
      </c>
      <c r="Z59" s="221"/>
      <c r="AA59" s="221"/>
      <c r="AB59" s="221"/>
      <c r="AC59" s="258"/>
      <c r="AD59" s="258">
        <f>AD60</f>
        <v>0</v>
      </c>
      <c r="AE59" s="231" t="s">
        <v>218</v>
      </c>
    </row>
    <row r="60" spans="1:31" s="36" customFormat="1" ht="21" customHeight="1" x14ac:dyDescent="0.15">
      <c r="A60" s="101"/>
      <c r="B60" s="52"/>
      <c r="C60" s="122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119"/>
      <c r="O60" s="117"/>
      <c r="P60" s="117"/>
      <c r="Q60" s="117"/>
      <c r="R60" s="117"/>
      <c r="S60" s="115"/>
      <c r="T60" s="136"/>
      <c r="U60" s="136"/>
      <c r="V60" s="115"/>
      <c r="W60" s="117"/>
      <c r="X60" s="115"/>
      <c r="Y60" s="115"/>
      <c r="Z60" s="115"/>
      <c r="AA60" s="115"/>
      <c r="AB60" s="115"/>
      <c r="AC60" s="115"/>
      <c r="AD60" s="115"/>
      <c r="AE60" s="113"/>
    </row>
    <row r="61" spans="1:31" s="36" customFormat="1" ht="21" customHeight="1" x14ac:dyDescent="0.15">
      <c r="A61" s="101"/>
      <c r="B61" s="52"/>
      <c r="C61" s="52" t="s">
        <v>38</v>
      </c>
      <c r="D61" s="300">
        <v>0</v>
      </c>
      <c r="E61" s="300">
        <f>SUM(F61:L61)</f>
        <v>0</v>
      </c>
      <c r="F61" s="300">
        <f>SUMIF($AB$62:$AB$62,"보조",$AD$62:$AD$62)/1000</f>
        <v>0</v>
      </c>
      <c r="G61" s="300">
        <f>SUMIF($AB$62:$AB$62,"7종",$AD$62:$AD$62)/1000</f>
        <v>0</v>
      </c>
      <c r="H61" s="300">
        <f>SUMIF($AB$62:$AB$62,"시비",$AD$62:$AD$62)/1000</f>
        <v>0</v>
      </c>
      <c r="I61" s="300">
        <f>SUMIF($AB$62:$AB$62,"후원",$AD$62:$AD$62)/1000</f>
        <v>0</v>
      </c>
      <c r="J61" s="300">
        <f>SUMIF($AB$62:$AB$62,"입소",$AD$62:$AD$62)/1000</f>
        <v>0</v>
      </c>
      <c r="K61" s="300">
        <f>SUMIF($AB$62:$AB$62,"법인",$AD$62:$AD$62)/1000</f>
        <v>0</v>
      </c>
      <c r="L61" s="300">
        <f>SUMIF($AB$62:$AB$62,"잡수",$AD$62:$AD$62)/1000</f>
        <v>0</v>
      </c>
      <c r="M61" s="217">
        <f>E61-D61</f>
        <v>0</v>
      </c>
      <c r="N61" s="77">
        <f>IF(D61=0,0,M61/D61)</f>
        <v>0</v>
      </c>
      <c r="O61" s="81" t="s">
        <v>17</v>
      </c>
      <c r="P61" s="222"/>
      <c r="Q61" s="80"/>
      <c r="R61" s="80"/>
      <c r="S61" s="80"/>
      <c r="T61" s="79"/>
      <c r="U61" s="79"/>
      <c r="V61" s="79"/>
      <c r="W61" s="79"/>
      <c r="X61" s="79"/>
      <c r="Y61" s="220" t="s">
        <v>223</v>
      </c>
      <c r="Z61" s="220"/>
      <c r="AA61" s="220"/>
      <c r="AB61" s="220"/>
      <c r="AC61" s="219"/>
      <c r="AD61" s="219">
        <v>0</v>
      </c>
      <c r="AE61" s="218" t="s">
        <v>218</v>
      </c>
    </row>
    <row r="62" spans="1:31" s="36" customFormat="1" ht="21" customHeight="1" x14ac:dyDescent="0.15">
      <c r="A62" s="101"/>
      <c r="B62" s="52"/>
      <c r="C62" s="122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119"/>
      <c r="O62" s="117"/>
      <c r="P62" s="117"/>
      <c r="Q62" s="117"/>
      <c r="R62" s="117"/>
      <c r="S62" s="115"/>
      <c r="T62" s="136"/>
      <c r="U62" s="136"/>
      <c r="V62" s="115"/>
      <c r="W62" s="117"/>
      <c r="X62" s="115"/>
      <c r="Y62" s="115"/>
      <c r="Z62" s="115"/>
      <c r="AA62" s="115"/>
      <c r="AB62" s="115"/>
      <c r="AC62" s="115"/>
      <c r="AD62" s="115"/>
      <c r="AE62" s="113"/>
    </row>
    <row r="63" spans="1:31" s="36" customFormat="1" ht="21" customHeight="1" x14ac:dyDescent="0.15">
      <c r="A63" s="101"/>
      <c r="B63" s="52"/>
      <c r="C63" s="52" t="s">
        <v>98</v>
      </c>
      <c r="D63" s="223">
        <v>60</v>
      </c>
      <c r="E63" s="223">
        <f>SUM(F63:L63)</f>
        <v>230</v>
      </c>
      <c r="F63" s="223">
        <f>SUMIF($AB$64:$AB$66,"보조",$AD$64:$AD$66)/1000</f>
        <v>0</v>
      </c>
      <c r="G63" s="223">
        <f>SUMIF($AB$64:$AB$66,"7종",$AD$64:$AD$66)/1000</f>
        <v>0</v>
      </c>
      <c r="H63" s="223">
        <f>SUMIF($AB$64:$AB$66,"시비",$AD$64:$AD$66)/1000</f>
        <v>0</v>
      </c>
      <c r="I63" s="223">
        <f>SUMIF($AB$64:$AB$66,"후원",$AD$64:$AD$66)/1000</f>
        <v>0</v>
      </c>
      <c r="J63" s="223">
        <f>SUMIF($AB$64:$AB$66,"입소",$AD$64:$AD$66)/1000</f>
        <v>230</v>
      </c>
      <c r="K63" s="223">
        <f>SUMIF($AB$64:$AB$66,"법인",$AD$64:$AD$66)/1000</f>
        <v>0</v>
      </c>
      <c r="L63" s="223">
        <f>SUMIF($AB$64:$AB$66,"잡수",$AD$64:$AD$66)/1000</f>
        <v>0</v>
      </c>
      <c r="M63" s="217">
        <f>E63-D63</f>
        <v>170</v>
      </c>
      <c r="N63" s="77">
        <f>IF(D63=0,0,M63/D63)</f>
        <v>2.8333333333333335</v>
      </c>
      <c r="O63" s="222" t="s">
        <v>6</v>
      </c>
      <c r="P63" s="80"/>
      <c r="Q63" s="80"/>
      <c r="R63" s="80"/>
      <c r="S63" s="80"/>
      <c r="T63" s="79"/>
      <c r="U63" s="79"/>
      <c r="V63" s="79"/>
      <c r="W63" s="79"/>
      <c r="X63" s="79"/>
      <c r="Y63" s="221" t="s">
        <v>223</v>
      </c>
      <c r="Z63" s="221"/>
      <c r="AA63" s="221"/>
      <c r="AB63" s="221"/>
      <c r="AC63" s="258"/>
      <c r="AD63" s="258">
        <f>SUM(AD64:AD65)</f>
        <v>230000</v>
      </c>
      <c r="AE63" s="231" t="s">
        <v>218</v>
      </c>
    </row>
    <row r="64" spans="1:31" s="36" customFormat="1" ht="21" customHeight="1" x14ac:dyDescent="0.15">
      <c r="A64" s="101"/>
      <c r="B64" s="52"/>
      <c r="C64" s="52"/>
      <c r="D64" s="300"/>
      <c r="E64" s="300"/>
      <c r="F64" s="217"/>
      <c r="G64" s="217"/>
      <c r="H64" s="217"/>
      <c r="I64" s="217"/>
      <c r="J64" s="217"/>
      <c r="K64" s="217"/>
      <c r="L64" s="217"/>
      <c r="M64" s="217"/>
      <c r="N64" s="77"/>
      <c r="O64" s="56" t="s">
        <v>287</v>
      </c>
      <c r="P64" s="56"/>
      <c r="Q64" s="56"/>
      <c r="R64" s="56"/>
      <c r="S64" s="47">
        <v>50000</v>
      </c>
      <c r="T64" s="47" t="s">
        <v>218</v>
      </c>
      <c r="U64" s="56" t="s">
        <v>272</v>
      </c>
      <c r="V64" s="302">
        <v>3</v>
      </c>
      <c r="W64" s="56" t="s">
        <v>272</v>
      </c>
      <c r="X64" s="303">
        <v>1</v>
      </c>
      <c r="Y64" s="191"/>
      <c r="Z64" s="78"/>
      <c r="AA64" s="78" t="s">
        <v>235</v>
      </c>
      <c r="AB64" s="78" t="s">
        <v>274</v>
      </c>
      <c r="AC64" s="47"/>
      <c r="AD64" s="47">
        <f>S64*V64*X64</f>
        <v>150000</v>
      </c>
      <c r="AE64" s="46" t="s">
        <v>218</v>
      </c>
    </row>
    <row r="65" spans="1:32" s="235" customFormat="1" ht="21" customHeight="1" x14ac:dyDescent="0.15">
      <c r="A65" s="101"/>
      <c r="B65" s="52"/>
      <c r="C65" s="52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77"/>
      <c r="O65" s="56" t="s">
        <v>179</v>
      </c>
      <c r="P65" s="56"/>
      <c r="Q65" s="56"/>
      <c r="R65" s="56"/>
      <c r="S65" s="47">
        <v>20000</v>
      </c>
      <c r="T65" s="47" t="s">
        <v>218</v>
      </c>
      <c r="U65" s="56" t="s">
        <v>272</v>
      </c>
      <c r="V65" s="302">
        <v>4</v>
      </c>
      <c r="W65" s="47"/>
      <c r="X65" s="56"/>
      <c r="Y65" s="191"/>
      <c r="Z65" s="78"/>
      <c r="AA65" s="78" t="s">
        <v>235</v>
      </c>
      <c r="AB65" s="78" t="s">
        <v>274</v>
      </c>
      <c r="AC65" s="47"/>
      <c r="AD65" s="47">
        <f>S65*V65</f>
        <v>80000</v>
      </c>
      <c r="AE65" s="46" t="s">
        <v>218</v>
      </c>
    </row>
    <row r="66" spans="1:32" s="235" customFormat="1" ht="21" customHeight="1" x14ac:dyDescent="0.15">
      <c r="A66" s="101"/>
      <c r="B66" s="52"/>
      <c r="C66" s="52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77"/>
      <c r="O66" s="56"/>
      <c r="P66" s="56"/>
      <c r="Q66" s="56"/>
      <c r="R66" s="56"/>
      <c r="S66" s="47"/>
      <c r="T66" s="192"/>
      <c r="U66" s="192"/>
      <c r="V66" s="47"/>
      <c r="W66" s="56"/>
      <c r="X66" s="47"/>
      <c r="Y66" s="47"/>
      <c r="Z66" s="47"/>
      <c r="AA66" s="47"/>
      <c r="AB66" s="47"/>
      <c r="AC66" s="47"/>
      <c r="AD66" s="47"/>
      <c r="AE66" s="46"/>
    </row>
    <row r="67" spans="1:32" s="36" customFormat="1" ht="21" customHeight="1" x14ac:dyDescent="0.15">
      <c r="A67" s="101"/>
      <c r="B67" s="75" t="s">
        <v>267</v>
      </c>
      <c r="C67" s="259" t="s">
        <v>258</v>
      </c>
      <c r="D67" s="234">
        <v>10228</v>
      </c>
      <c r="E67" s="357">
        <f>SUM(E68,E71,E81,E87,E93,E97)</f>
        <v>10486</v>
      </c>
      <c r="F67" s="234">
        <f t="shared" ref="F67:L67" si="4">SUM(F68,F71,F81,F87,F93,F97)</f>
        <v>4424</v>
      </c>
      <c r="G67" s="234">
        <f t="shared" si="4"/>
        <v>0</v>
      </c>
      <c r="H67" s="234">
        <f t="shared" si="4"/>
        <v>0</v>
      </c>
      <c r="I67" s="234">
        <f t="shared" si="4"/>
        <v>0</v>
      </c>
      <c r="J67" s="234">
        <f t="shared" si="4"/>
        <v>3497</v>
      </c>
      <c r="K67" s="234">
        <f t="shared" si="4"/>
        <v>78</v>
      </c>
      <c r="L67" s="234">
        <f t="shared" si="4"/>
        <v>2487</v>
      </c>
      <c r="M67" s="234">
        <f>E67-D67</f>
        <v>258</v>
      </c>
      <c r="N67" s="233">
        <f>IF(D67=0,0,M67/D67)</f>
        <v>2.5224872897927259E-2</v>
      </c>
      <c r="O67" s="232" t="s">
        <v>267</v>
      </c>
      <c r="P67" s="232"/>
      <c r="Q67" s="232"/>
      <c r="R67" s="232"/>
      <c r="S67" s="221"/>
      <c r="T67" s="301"/>
      <c r="U67" s="221"/>
      <c r="V67" s="436"/>
      <c r="W67" s="437"/>
      <c r="X67" s="221"/>
      <c r="Y67" s="221"/>
      <c r="Z67" s="221"/>
      <c r="AA67" s="221"/>
      <c r="AB67" s="221"/>
      <c r="AC67" s="221"/>
      <c r="AD67" s="221">
        <f>SUM(AD68,AD71,AD81,AD87,AD93,AD97)</f>
        <v>10486000</v>
      </c>
      <c r="AE67" s="231" t="s">
        <v>218</v>
      </c>
    </row>
    <row r="68" spans="1:32" s="36" customFormat="1" ht="21" customHeight="1" x14ac:dyDescent="0.15">
      <c r="A68" s="101"/>
      <c r="B68" s="52"/>
      <c r="C68" s="52" t="s">
        <v>106</v>
      </c>
      <c r="D68" s="223">
        <v>30</v>
      </c>
      <c r="E68" s="223">
        <f>SUM(F68:L68)</f>
        <v>120</v>
      </c>
      <c r="F68" s="223">
        <f>SUMIF($AB$69:$AB$69,"보조",$AD$69:$AD$69)/1000</f>
        <v>0</v>
      </c>
      <c r="G68" s="223">
        <f>SUMIF($AB$69:$AB$69,"7종",$AD$69:$AD$69)/1000</f>
        <v>0</v>
      </c>
      <c r="H68" s="223">
        <f>SUMIF($AB$69:$AB$69,"시비",$AD$69:$AD$69)/1000</f>
        <v>0</v>
      </c>
      <c r="I68" s="223">
        <f>SUMIF($AB$69:$AB$69,"후원",$AD$69:$AD$69)/1000</f>
        <v>0</v>
      </c>
      <c r="J68" s="223">
        <f>SUMIF($AB$69:$AB$69,"입소",$AD$69:$AD$69)/1000</f>
        <v>120</v>
      </c>
      <c r="K68" s="223">
        <f>SUMIF($AB$69:$AB$69,"법인",$AD$69:$AD$69)/1000</f>
        <v>0</v>
      </c>
      <c r="L68" s="223">
        <f>SUMIF($AB$69:$AB$69,"잡수",$AD$69:$AD$69)/1000</f>
        <v>0</v>
      </c>
      <c r="M68" s="217">
        <f>E68-D68</f>
        <v>90</v>
      </c>
      <c r="N68" s="77">
        <f>IF(D68=0,0,M68/D68)</f>
        <v>3</v>
      </c>
      <c r="O68" s="222" t="s">
        <v>53</v>
      </c>
      <c r="P68" s="80"/>
      <c r="Q68" s="80"/>
      <c r="R68" s="80"/>
      <c r="S68" s="80"/>
      <c r="T68" s="79"/>
      <c r="U68" s="79"/>
      <c r="V68" s="79"/>
      <c r="W68" s="79"/>
      <c r="X68" s="79"/>
      <c r="Y68" s="221" t="s">
        <v>223</v>
      </c>
      <c r="Z68" s="221"/>
      <c r="AA68" s="221"/>
      <c r="AB68" s="221"/>
      <c r="AC68" s="258"/>
      <c r="AD68" s="258">
        <f>SUM(AD69:AD69)</f>
        <v>120000</v>
      </c>
      <c r="AE68" s="231" t="s">
        <v>218</v>
      </c>
      <c r="AF68" s="299"/>
    </row>
    <row r="69" spans="1:32" s="36" customFormat="1" ht="21" customHeight="1" x14ac:dyDescent="0.15">
      <c r="A69" s="101"/>
      <c r="B69" s="52"/>
      <c r="C69" s="52"/>
      <c r="D69" s="300"/>
      <c r="E69" s="300"/>
      <c r="F69" s="300"/>
      <c r="G69" s="300"/>
      <c r="H69" s="300"/>
      <c r="I69" s="300"/>
      <c r="J69" s="300"/>
      <c r="K69" s="300"/>
      <c r="L69" s="300"/>
      <c r="M69" s="217"/>
      <c r="N69" s="77"/>
      <c r="O69" s="56" t="s">
        <v>313</v>
      </c>
      <c r="P69" s="56"/>
      <c r="Q69" s="56"/>
      <c r="R69" s="56"/>
      <c r="S69" s="47">
        <v>30000</v>
      </c>
      <c r="T69" s="192" t="s">
        <v>218</v>
      </c>
      <c r="U69" s="192" t="s">
        <v>272</v>
      </c>
      <c r="V69" s="47">
        <v>1</v>
      </c>
      <c r="W69" s="192" t="s">
        <v>271</v>
      </c>
      <c r="X69" s="47" t="s">
        <v>272</v>
      </c>
      <c r="Y69" s="47">
        <v>4</v>
      </c>
      <c r="Z69" s="47" t="s">
        <v>226</v>
      </c>
      <c r="AA69" s="47" t="s">
        <v>235</v>
      </c>
      <c r="AB69" s="47" t="s">
        <v>274</v>
      </c>
      <c r="AC69" s="47"/>
      <c r="AD69" s="47">
        <f>S69*V69*Y69</f>
        <v>120000</v>
      </c>
      <c r="AE69" s="46" t="s">
        <v>218</v>
      </c>
      <c r="AF69" s="299"/>
    </row>
    <row r="70" spans="1:32" s="36" customFormat="1" ht="21" customHeight="1" x14ac:dyDescent="0.15">
      <c r="A70" s="101"/>
      <c r="B70" s="52"/>
      <c r="C70" s="52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77"/>
      <c r="O70" s="56"/>
      <c r="P70" s="56"/>
      <c r="Q70" s="56"/>
      <c r="R70" s="56"/>
      <c r="S70" s="47"/>
      <c r="T70" s="192"/>
      <c r="U70" s="192"/>
      <c r="V70" s="47"/>
      <c r="W70" s="192"/>
      <c r="X70" s="47"/>
      <c r="Y70" s="47"/>
      <c r="Z70" s="47"/>
      <c r="AA70" s="47"/>
      <c r="AB70" s="47"/>
      <c r="AC70" s="47"/>
      <c r="AD70" s="47"/>
      <c r="AE70" s="46"/>
    </row>
    <row r="71" spans="1:32" s="36" customFormat="1" ht="21" customHeight="1" x14ac:dyDescent="0.15">
      <c r="A71" s="101"/>
      <c r="B71" s="52"/>
      <c r="C71" s="75" t="s">
        <v>96</v>
      </c>
      <c r="D71" s="223">
        <v>3068</v>
      </c>
      <c r="E71" s="223">
        <f>SUM(F71:L71)</f>
        <v>3269</v>
      </c>
      <c r="F71" s="223">
        <f>SUMIF($AB$72:$AB$80,"보조",$AD$72:$AD$80)/1000</f>
        <v>914</v>
      </c>
      <c r="G71" s="223">
        <f>SUMIF($AB$72:$AB$80,"7종",$AD$72:$AD$80)/1000</f>
        <v>0</v>
      </c>
      <c r="H71" s="223">
        <f>SUMIF($AB$72:$AB$80,"시비",$AD$72:$AD$80)/1000</f>
        <v>0</v>
      </c>
      <c r="I71" s="223">
        <f>SUMIF($AB$72:$AB$80,"후원",$AD$72:$AD$80)/1000</f>
        <v>0</v>
      </c>
      <c r="J71" s="223">
        <f>SUMIF($AB$72:$AB$80,"입소",$AD$72:$AD$80)/1000</f>
        <v>2277</v>
      </c>
      <c r="K71" s="223">
        <f>SUMIF($AB$72:$AB$80,"법인",$AD$72:$AD$80)/1000</f>
        <v>78</v>
      </c>
      <c r="L71" s="223">
        <f>SUMIF($AB$72:$AB$80,"잡수",$AD$72:$AD$80)/1000</f>
        <v>0</v>
      </c>
      <c r="M71" s="247">
        <f>E71-D71</f>
        <v>201</v>
      </c>
      <c r="N71" s="135">
        <f>IF(D71=0,0,M71/D71)</f>
        <v>6.5514993481095171E-2</v>
      </c>
      <c r="O71" s="62" t="s">
        <v>184</v>
      </c>
      <c r="P71" s="61"/>
      <c r="Q71" s="61"/>
      <c r="R71" s="61"/>
      <c r="S71" s="61"/>
      <c r="T71" s="60"/>
      <c r="U71" s="60"/>
      <c r="V71" s="60"/>
      <c r="W71" s="60"/>
      <c r="X71" s="60"/>
      <c r="Y71" s="221" t="s">
        <v>12</v>
      </c>
      <c r="Z71" s="221"/>
      <c r="AA71" s="221"/>
      <c r="AB71" s="221"/>
      <c r="AC71" s="258"/>
      <c r="AD71" s="258">
        <f>ROUND(SUM(AD72:AD79),-3)</f>
        <v>3269000</v>
      </c>
      <c r="AE71" s="231" t="s">
        <v>218</v>
      </c>
    </row>
    <row r="72" spans="1:32" s="36" customFormat="1" ht="21" customHeight="1" x14ac:dyDescent="0.15">
      <c r="A72" s="101"/>
      <c r="B72" s="52"/>
      <c r="C72" s="52" t="s">
        <v>248</v>
      </c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77"/>
      <c r="O72" s="87" t="s">
        <v>327</v>
      </c>
      <c r="P72" s="56"/>
      <c r="Q72" s="56"/>
      <c r="R72" s="56"/>
      <c r="S72" s="47"/>
      <c r="T72" s="192"/>
      <c r="U72" s="47"/>
      <c r="V72" s="283"/>
      <c r="W72" s="285"/>
      <c r="X72" s="285"/>
      <c r="Y72" s="283"/>
      <c r="Z72" s="284"/>
      <c r="AA72" s="283"/>
      <c r="AB72" s="86" t="s">
        <v>269</v>
      </c>
      <c r="AC72" s="86"/>
      <c r="AD72" s="47">
        <v>542000</v>
      </c>
      <c r="AE72" s="298" t="s">
        <v>218</v>
      </c>
    </row>
    <row r="73" spans="1:32" s="36" customFormat="1" ht="21" customHeight="1" x14ac:dyDescent="0.15">
      <c r="A73" s="101"/>
      <c r="B73" s="52"/>
      <c r="C73" s="52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77"/>
      <c r="O73" s="56"/>
      <c r="P73" s="56"/>
      <c r="Q73" s="56"/>
      <c r="R73" s="56"/>
      <c r="S73" s="47"/>
      <c r="T73" s="192"/>
      <c r="U73" s="47"/>
      <c r="V73" s="283"/>
      <c r="W73" s="285"/>
      <c r="X73" s="285"/>
      <c r="Y73" s="283"/>
      <c r="Z73" s="284"/>
      <c r="AA73" s="283"/>
      <c r="AB73" s="47" t="s">
        <v>274</v>
      </c>
      <c r="AC73" s="47"/>
      <c r="AD73" s="47">
        <v>550000</v>
      </c>
      <c r="AE73" s="46" t="s">
        <v>218</v>
      </c>
    </row>
    <row r="74" spans="1:32" s="36" customFormat="1" ht="21" customHeight="1" x14ac:dyDescent="0.15">
      <c r="A74" s="101"/>
      <c r="B74" s="52"/>
      <c r="C74" s="52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77"/>
      <c r="O74" s="56" t="s">
        <v>111</v>
      </c>
      <c r="P74" s="56"/>
      <c r="Q74" s="56"/>
      <c r="R74" s="56"/>
      <c r="S74" s="47"/>
      <c r="T74" s="192"/>
      <c r="U74" s="192"/>
      <c r="V74" s="47">
        <v>31000</v>
      </c>
      <c r="W74" s="47" t="s">
        <v>218</v>
      </c>
      <c r="X74" s="47" t="s">
        <v>272</v>
      </c>
      <c r="Y74" s="47">
        <v>12</v>
      </c>
      <c r="Z74" s="47" t="s">
        <v>252</v>
      </c>
      <c r="AA74" s="47" t="s">
        <v>235</v>
      </c>
      <c r="AB74" s="47" t="s">
        <v>269</v>
      </c>
      <c r="AC74" s="47"/>
      <c r="AD74" s="47">
        <f>V74*Y74</f>
        <v>372000</v>
      </c>
      <c r="AE74" s="46" t="s">
        <v>218</v>
      </c>
    </row>
    <row r="75" spans="1:32" s="36" customFormat="1" ht="21" customHeight="1" x14ac:dyDescent="0.15">
      <c r="A75" s="101"/>
      <c r="B75" s="52"/>
      <c r="C75" s="52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77"/>
      <c r="O75" s="56" t="s">
        <v>163</v>
      </c>
      <c r="P75" s="56"/>
      <c r="Q75" s="56"/>
      <c r="R75" s="56"/>
      <c r="S75" s="47"/>
      <c r="T75" s="192"/>
      <c r="U75" s="192"/>
      <c r="V75" s="47">
        <v>55000</v>
      </c>
      <c r="W75" s="47" t="s">
        <v>218</v>
      </c>
      <c r="X75" s="47" t="s">
        <v>272</v>
      </c>
      <c r="Y75" s="47">
        <v>4</v>
      </c>
      <c r="Z75" s="47" t="s">
        <v>252</v>
      </c>
      <c r="AA75" s="47" t="s">
        <v>235</v>
      </c>
      <c r="AB75" s="47" t="s">
        <v>274</v>
      </c>
      <c r="AC75" s="47"/>
      <c r="AD75" s="47">
        <f>V75*Y75</f>
        <v>220000</v>
      </c>
      <c r="AE75" s="46" t="s">
        <v>218</v>
      </c>
    </row>
    <row r="76" spans="1:32" s="36" customFormat="1" ht="21" customHeight="1" x14ac:dyDescent="0.15">
      <c r="A76" s="101"/>
      <c r="B76" s="52"/>
      <c r="C76" s="52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77"/>
      <c r="O76" s="56" t="s">
        <v>174</v>
      </c>
      <c r="P76" s="56"/>
      <c r="Q76" s="56"/>
      <c r="R76" s="56"/>
      <c r="S76" s="47"/>
      <c r="T76" s="192"/>
      <c r="U76" s="192"/>
      <c r="V76" s="47">
        <v>40000</v>
      </c>
      <c r="W76" s="47" t="s">
        <v>218</v>
      </c>
      <c r="X76" s="47" t="s">
        <v>272</v>
      </c>
      <c r="Y76" s="47">
        <v>12</v>
      </c>
      <c r="Z76" s="47" t="s">
        <v>252</v>
      </c>
      <c r="AA76" s="47" t="s">
        <v>235</v>
      </c>
      <c r="AB76" s="47" t="s">
        <v>274</v>
      </c>
      <c r="AC76" s="47"/>
      <c r="AD76" s="47">
        <f>V76*Y76</f>
        <v>480000</v>
      </c>
      <c r="AE76" s="46" t="s">
        <v>218</v>
      </c>
    </row>
    <row r="77" spans="1:32" s="36" customFormat="1" ht="21" customHeight="1" x14ac:dyDescent="0.15">
      <c r="A77" s="101"/>
      <c r="B77" s="52"/>
      <c r="C77" s="52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77"/>
      <c r="O77" s="56" t="s">
        <v>303</v>
      </c>
      <c r="P77" s="56"/>
      <c r="Q77" s="56"/>
      <c r="R77" s="56"/>
      <c r="S77" s="47"/>
      <c r="T77" s="192"/>
      <c r="U77" s="192"/>
      <c r="V77" s="47"/>
      <c r="W77" s="47"/>
      <c r="X77" s="47"/>
      <c r="Y77" s="47"/>
      <c r="Z77" s="47"/>
      <c r="AA77" s="47"/>
      <c r="AB77" s="47" t="s">
        <v>274</v>
      </c>
      <c r="AC77" s="47"/>
      <c r="AD77" s="47">
        <v>500000</v>
      </c>
      <c r="AE77" s="46" t="s">
        <v>218</v>
      </c>
    </row>
    <row r="78" spans="1:32" s="36" customFormat="1" ht="21" customHeight="1" x14ac:dyDescent="0.15">
      <c r="A78" s="101"/>
      <c r="B78" s="52"/>
      <c r="C78" s="52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77"/>
      <c r="O78" s="56" t="s">
        <v>293</v>
      </c>
      <c r="P78" s="56"/>
      <c r="Q78" s="56"/>
      <c r="R78" s="56"/>
      <c r="S78" s="47"/>
      <c r="T78" s="192"/>
      <c r="U78" s="192"/>
      <c r="V78" s="283"/>
      <c r="W78" s="285"/>
      <c r="X78" s="285"/>
      <c r="Y78" s="283"/>
      <c r="Z78" s="284"/>
      <c r="AA78" s="283"/>
      <c r="AB78" s="47" t="s">
        <v>274</v>
      </c>
      <c r="AC78" s="47"/>
      <c r="AD78" s="47">
        <v>527000</v>
      </c>
      <c r="AE78" s="46" t="s">
        <v>218</v>
      </c>
    </row>
    <row r="79" spans="1:32" s="36" customFormat="1" ht="21" customHeight="1" x14ac:dyDescent="0.15">
      <c r="A79" s="101"/>
      <c r="B79" s="52"/>
      <c r="C79" s="52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77"/>
      <c r="O79" s="56"/>
      <c r="P79" s="56"/>
      <c r="Q79" s="56"/>
      <c r="R79" s="56"/>
      <c r="S79" s="47"/>
      <c r="T79" s="192"/>
      <c r="U79" s="192"/>
      <c r="V79" s="283"/>
      <c r="W79" s="285"/>
      <c r="X79" s="285"/>
      <c r="Y79" s="283"/>
      <c r="Z79" s="284"/>
      <c r="AA79" s="283"/>
      <c r="AB79" s="47" t="s">
        <v>221</v>
      </c>
      <c r="AC79" s="47"/>
      <c r="AD79" s="47">
        <v>78000</v>
      </c>
      <c r="AE79" s="46" t="s">
        <v>218</v>
      </c>
    </row>
    <row r="80" spans="1:32" s="36" customFormat="1" ht="21" customHeight="1" x14ac:dyDescent="0.15">
      <c r="A80" s="101"/>
      <c r="B80" s="52"/>
      <c r="C80" s="122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119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6"/>
      <c r="AE80" s="295"/>
    </row>
    <row r="81" spans="1:31" s="36" customFormat="1" ht="21" customHeight="1" x14ac:dyDescent="0.15">
      <c r="A81" s="101"/>
      <c r="B81" s="52"/>
      <c r="C81" s="52" t="s">
        <v>50</v>
      </c>
      <c r="D81" s="223">
        <v>6030</v>
      </c>
      <c r="E81" s="223">
        <f>SUM(F81:L81)</f>
        <v>4537</v>
      </c>
      <c r="F81" s="223">
        <f>SUMIF($AB$82:$AB$86,"보조",$AD$82:$AD$86)/1000</f>
        <v>3510</v>
      </c>
      <c r="G81" s="223">
        <f>SUMIF($AB$82:$AB$86,"7종",$AD$82:$AD$86)/1000</f>
        <v>0</v>
      </c>
      <c r="H81" s="223">
        <f>SUMIF($AB$82:$AB$86,"시비",$AD$82:$AD$86)/1000</f>
        <v>0</v>
      </c>
      <c r="I81" s="223">
        <f>SUMIF($AB$82:$AB$86,"후원",$AD$82:$AD$86)/1000</f>
        <v>0</v>
      </c>
      <c r="J81" s="223">
        <f>SUMIF($AB$82:$AB$86,"입소",$AD$82:$AD$86)/1000</f>
        <v>0</v>
      </c>
      <c r="K81" s="223">
        <f>SUMIF($AB$82:$AB$86,"법인",$AD$82:$AD$86)/1000</f>
        <v>0</v>
      </c>
      <c r="L81" s="223">
        <f>SUMIF($AB$82:$AB$86,"잡수",$AD$82:$AD$86)/1000</f>
        <v>1027</v>
      </c>
      <c r="M81" s="217">
        <f>E81-D81</f>
        <v>-1493</v>
      </c>
      <c r="N81" s="77">
        <f>IF(D81=0,0,M81/D81)</f>
        <v>-0.24759535655058043</v>
      </c>
      <c r="O81" s="222" t="s">
        <v>75</v>
      </c>
      <c r="P81" s="80"/>
      <c r="Q81" s="80"/>
      <c r="R81" s="80"/>
      <c r="S81" s="80"/>
      <c r="T81" s="79"/>
      <c r="U81" s="79"/>
      <c r="V81" s="79"/>
      <c r="W81" s="79"/>
      <c r="X81" s="79"/>
      <c r="Y81" s="221" t="s">
        <v>223</v>
      </c>
      <c r="Z81" s="221"/>
      <c r="AA81" s="221"/>
      <c r="AB81" s="221"/>
      <c r="AC81" s="258"/>
      <c r="AD81" s="258">
        <f>ROUND(SUM(AD82:AD85),-3)</f>
        <v>4537000</v>
      </c>
      <c r="AE81" s="231" t="s">
        <v>218</v>
      </c>
    </row>
    <row r="82" spans="1:31" s="36" customFormat="1" ht="21" customHeight="1" x14ac:dyDescent="0.15">
      <c r="A82" s="101"/>
      <c r="B82" s="52"/>
      <c r="C82" s="52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77"/>
      <c r="O82" s="87" t="s">
        <v>284</v>
      </c>
      <c r="P82" s="56"/>
      <c r="Q82" s="56"/>
      <c r="R82" s="56"/>
      <c r="S82" s="47">
        <v>30000</v>
      </c>
      <c r="T82" s="285" t="s">
        <v>218</v>
      </c>
      <c r="U82" s="285" t="s">
        <v>272</v>
      </c>
      <c r="V82" s="283">
        <v>12</v>
      </c>
      <c r="W82" s="284" t="s">
        <v>252</v>
      </c>
      <c r="X82" s="283" t="s">
        <v>235</v>
      </c>
      <c r="Y82" s="47"/>
      <c r="Z82" s="47"/>
      <c r="AA82" s="47"/>
      <c r="AB82" s="47" t="s">
        <v>269</v>
      </c>
      <c r="AC82" s="47"/>
      <c r="AD82" s="47">
        <f>S82*V82</f>
        <v>360000</v>
      </c>
      <c r="AE82" s="46" t="s">
        <v>218</v>
      </c>
    </row>
    <row r="83" spans="1:31" s="36" customFormat="1" ht="21" customHeight="1" x14ac:dyDescent="0.15">
      <c r="A83" s="101"/>
      <c r="B83" s="52"/>
      <c r="C83" s="52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77"/>
      <c r="O83" s="56" t="s">
        <v>202</v>
      </c>
      <c r="P83" s="56"/>
      <c r="Q83" s="56"/>
      <c r="R83" s="56"/>
      <c r="S83" s="47">
        <v>350000</v>
      </c>
      <c r="T83" s="192" t="s">
        <v>218</v>
      </c>
      <c r="U83" s="192" t="s">
        <v>272</v>
      </c>
      <c r="V83" s="47">
        <v>9</v>
      </c>
      <c r="W83" s="56" t="s">
        <v>252</v>
      </c>
      <c r="X83" s="47" t="s">
        <v>235</v>
      </c>
      <c r="Y83" s="47"/>
      <c r="Z83" s="47"/>
      <c r="AA83" s="47"/>
      <c r="AB83" s="47" t="s">
        <v>269</v>
      </c>
      <c r="AC83" s="47"/>
      <c r="AD83" s="47">
        <f>S83*V83</f>
        <v>3150000</v>
      </c>
      <c r="AE83" s="46" t="s">
        <v>218</v>
      </c>
    </row>
    <row r="84" spans="1:31" s="36" customFormat="1" ht="21" customHeight="1" x14ac:dyDescent="0.15">
      <c r="A84" s="101"/>
      <c r="B84" s="52"/>
      <c r="C84" s="52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77"/>
      <c r="O84" s="56"/>
      <c r="P84" s="56"/>
      <c r="Q84" s="56"/>
      <c r="R84" s="56"/>
      <c r="S84" s="47">
        <v>320000</v>
      </c>
      <c r="T84" s="192" t="s">
        <v>218</v>
      </c>
      <c r="U84" s="192" t="s">
        <v>272</v>
      </c>
      <c r="V84" s="47">
        <v>3</v>
      </c>
      <c r="W84" s="56" t="s">
        <v>252</v>
      </c>
      <c r="X84" s="47" t="s">
        <v>235</v>
      </c>
      <c r="Y84" s="47"/>
      <c r="Z84" s="47"/>
      <c r="AA84" s="47"/>
      <c r="AB84" s="47" t="s">
        <v>219</v>
      </c>
      <c r="AC84" s="47"/>
      <c r="AD84" s="47">
        <f>S84*V84</f>
        <v>960000</v>
      </c>
      <c r="AE84" s="46" t="s">
        <v>218</v>
      </c>
    </row>
    <row r="85" spans="1:31" s="235" customFormat="1" ht="21" customHeight="1" x14ac:dyDescent="0.15">
      <c r="A85" s="101"/>
      <c r="B85" s="52"/>
      <c r="C85" s="52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77"/>
      <c r="O85" s="56" t="s">
        <v>332</v>
      </c>
      <c r="P85" s="56"/>
      <c r="Q85" s="56"/>
      <c r="R85" s="56"/>
      <c r="S85" s="47"/>
      <c r="T85" s="192"/>
      <c r="U85" s="192"/>
      <c r="V85" s="47"/>
      <c r="W85" s="56"/>
      <c r="X85" s="47"/>
      <c r="Y85" s="47"/>
      <c r="Z85" s="47"/>
      <c r="AA85" s="47"/>
      <c r="AB85" s="47" t="s">
        <v>219</v>
      </c>
      <c r="AC85" s="47"/>
      <c r="AD85" s="47">
        <v>67000</v>
      </c>
      <c r="AE85" s="46" t="s">
        <v>218</v>
      </c>
    </row>
    <row r="86" spans="1:31" s="235" customFormat="1" ht="21" customHeight="1" x14ac:dyDescent="0.15">
      <c r="A86" s="101"/>
      <c r="B86" s="52"/>
      <c r="C86" s="294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2"/>
      <c r="O86" s="291"/>
      <c r="P86" s="290"/>
      <c r="Q86" s="290"/>
      <c r="R86" s="290"/>
      <c r="S86" s="289"/>
      <c r="T86" s="267"/>
      <c r="U86" s="267"/>
      <c r="V86" s="289"/>
      <c r="W86" s="290"/>
      <c r="X86" s="289"/>
      <c r="Y86" s="289"/>
      <c r="Z86" s="289"/>
      <c r="AA86" s="289"/>
      <c r="AB86" s="289"/>
      <c r="AC86" s="289"/>
      <c r="AD86" s="289"/>
      <c r="AE86" s="288"/>
    </row>
    <row r="87" spans="1:31" ht="21" customHeight="1" x14ac:dyDescent="0.15">
      <c r="A87" s="101"/>
      <c r="B87" s="52"/>
      <c r="C87" s="75" t="s">
        <v>79</v>
      </c>
      <c r="D87" s="223">
        <v>490</v>
      </c>
      <c r="E87" s="223">
        <f>SUM(F87:L87)</f>
        <v>360</v>
      </c>
      <c r="F87" s="223">
        <f>SUMIF($AB$88:$AB$92,"보조",$AD$88:$AD$92)/1000</f>
        <v>0</v>
      </c>
      <c r="G87" s="223">
        <f>SUMIF($AB$88:$AB$92,"7종",$AD$88:$AD$92)/1000</f>
        <v>0</v>
      </c>
      <c r="H87" s="223">
        <f>SUMIF($AB$88:$AB$92,"시비",$AD$88:$AD$92)/1000</f>
        <v>0</v>
      </c>
      <c r="I87" s="223">
        <f>SUMIF($AB$88:$AB$92,"후원",$AD$88:$AD$92)/1000</f>
        <v>0</v>
      </c>
      <c r="J87" s="223">
        <f>SUMIF($AB$88:$AB$92,"입소",$AD$88:$AD$92)/1000</f>
        <v>340</v>
      </c>
      <c r="K87" s="223">
        <f>SUMIF($AB$88:$AB$92,"법인",$AD$88:$AD$92)/1000</f>
        <v>0</v>
      </c>
      <c r="L87" s="223">
        <f>SUMIF($AB$88:$AB$92,"잡수",$AD$88:$AD$92)/1000</f>
        <v>20</v>
      </c>
      <c r="M87" s="247">
        <f>E87-D87</f>
        <v>-130</v>
      </c>
      <c r="N87" s="135">
        <f>IF(D87=0,0,M87/D87)</f>
        <v>-0.26530612244897961</v>
      </c>
      <c r="O87" s="62" t="s">
        <v>16</v>
      </c>
      <c r="P87" s="61"/>
      <c r="Q87" s="61"/>
      <c r="R87" s="61"/>
      <c r="S87" s="61"/>
      <c r="T87" s="60"/>
      <c r="U87" s="60"/>
      <c r="V87" s="60"/>
      <c r="W87" s="60"/>
      <c r="X87" s="60"/>
      <c r="Y87" s="221" t="s">
        <v>223</v>
      </c>
      <c r="Z87" s="221"/>
      <c r="AA87" s="221"/>
      <c r="AB87" s="221"/>
      <c r="AC87" s="258"/>
      <c r="AD87" s="258">
        <f>SUM(AD88:AD92)</f>
        <v>360000</v>
      </c>
      <c r="AE87" s="231" t="s">
        <v>218</v>
      </c>
    </row>
    <row r="88" spans="1:31" s="36" customFormat="1" ht="21" customHeight="1" x14ac:dyDescent="0.15">
      <c r="A88" s="101"/>
      <c r="B88" s="52"/>
      <c r="C88" s="52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77"/>
      <c r="O88" s="56" t="s">
        <v>191</v>
      </c>
      <c r="P88" s="244"/>
      <c r="Q88" s="244"/>
      <c r="R88" s="244"/>
      <c r="S88" s="56"/>
      <c r="T88" s="55"/>
      <c r="U88" s="286"/>
      <c r="V88" s="283">
        <v>20000</v>
      </c>
      <c r="W88" s="285" t="s">
        <v>218</v>
      </c>
      <c r="X88" s="285" t="s">
        <v>272</v>
      </c>
      <c r="Y88" s="283">
        <v>1</v>
      </c>
      <c r="Z88" s="284" t="s">
        <v>226</v>
      </c>
      <c r="AA88" s="283" t="s">
        <v>235</v>
      </c>
      <c r="AB88" s="47" t="s">
        <v>274</v>
      </c>
      <c r="AC88" s="47"/>
      <c r="AD88" s="47">
        <f>V88*Y88</f>
        <v>20000</v>
      </c>
      <c r="AE88" s="46" t="s">
        <v>218</v>
      </c>
    </row>
    <row r="89" spans="1:31" s="36" customFormat="1" ht="21" customHeight="1" x14ac:dyDescent="0.15">
      <c r="A89" s="101"/>
      <c r="B89" s="52"/>
      <c r="C89" s="52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77"/>
      <c r="O89" s="56" t="s">
        <v>103</v>
      </c>
      <c r="P89" s="244"/>
      <c r="Q89" s="244"/>
      <c r="R89" s="244"/>
      <c r="S89" s="47">
        <v>600000</v>
      </c>
      <c r="T89" s="192" t="s">
        <v>218</v>
      </c>
      <c r="U89" s="192" t="s">
        <v>272</v>
      </c>
      <c r="V89" s="47">
        <v>1</v>
      </c>
      <c r="W89" s="56" t="s">
        <v>226</v>
      </c>
      <c r="X89" s="78" t="s">
        <v>260</v>
      </c>
      <c r="Y89" s="287">
        <v>3</v>
      </c>
      <c r="Z89" s="47"/>
      <c r="AA89" s="47" t="s">
        <v>235</v>
      </c>
      <c r="AB89" s="47" t="s">
        <v>274</v>
      </c>
      <c r="AC89" s="47"/>
      <c r="AD89" s="47">
        <f>ROUNDDOWN(S89*V89/Y89,-4)</f>
        <v>200000</v>
      </c>
      <c r="AE89" s="46" t="s">
        <v>218</v>
      </c>
    </row>
    <row r="90" spans="1:31" s="36" customFormat="1" ht="21" customHeight="1" x14ac:dyDescent="0.15">
      <c r="A90" s="101"/>
      <c r="B90" s="52"/>
      <c r="C90" s="52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77"/>
      <c r="O90" s="56" t="s">
        <v>110</v>
      </c>
      <c r="P90" s="244"/>
      <c r="Q90" s="244"/>
      <c r="R90" s="244"/>
      <c r="S90" s="47">
        <v>120000</v>
      </c>
      <c r="T90" s="192" t="s">
        <v>218</v>
      </c>
      <c r="U90" s="192" t="s">
        <v>272</v>
      </c>
      <c r="V90" s="47">
        <v>1</v>
      </c>
      <c r="W90" s="56" t="s">
        <v>226</v>
      </c>
      <c r="X90" s="78"/>
      <c r="Y90" s="287"/>
      <c r="Z90" s="47"/>
      <c r="AA90" s="47" t="s">
        <v>235</v>
      </c>
      <c r="AB90" s="47" t="s">
        <v>274</v>
      </c>
      <c r="AC90" s="47"/>
      <c r="AD90" s="47">
        <f>S90*V90</f>
        <v>120000</v>
      </c>
      <c r="AE90" s="46" t="s">
        <v>218</v>
      </c>
    </row>
    <row r="91" spans="1:31" s="36" customFormat="1" ht="21" customHeight="1" x14ac:dyDescent="0.15">
      <c r="A91" s="101"/>
      <c r="B91" s="52"/>
      <c r="C91" s="52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77"/>
      <c r="O91" s="56" t="s">
        <v>322</v>
      </c>
      <c r="P91" s="244"/>
      <c r="Q91" s="244"/>
      <c r="R91" s="244"/>
      <c r="S91" s="56"/>
      <c r="T91" s="55"/>
      <c r="U91" s="286"/>
      <c r="V91" s="283"/>
      <c r="W91" s="285"/>
      <c r="X91" s="285"/>
      <c r="Y91" s="283"/>
      <c r="Z91" s="284"/>
      <c r="AA91" s="283" t="s">
        <v>235</v>
      </c>
      <c r="AB91" s="47" t="s">
        <v>219</v>
      </c>
      <c r="AC91" s="47"/>
      <c r="AD91" s="47">
        <v>20000</v>
      </c>
      <c r="AE91" s="46" t="s">
        <v>218</v>
      </c>
    </row>
    <row r="92" spans="1:31" s="36" customFormat="1" ht="21" customHeight="1" x14ac:dyDescent="0.15">
      <c r="A92" s="101"/>
      <c r="B92" s="52"/>
      <c r="C92" s="52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77"/>
      <c r="O92" s="56"/>
      <c r="P92" s="282"/>
      <c r="Q92" s="282"/>
      <c r="R92" s="282"/>
      <c r="S92" s="282"/>
      <c r="T92" s="282"/>
      <c r="U92" s="282"/>
      <c r="V92" s="282"/>
      <c r="W92" s="282"/>
      <c r="X92" s="282"/>
      <c r="Y92" s="256"/>
      <c r="Z92" s="256"/>
      <c r="AA92" s="256"/>
      <c r="AB92" s="256"/>
      <c r="AC92" s="256"/>
      <c r="AD92" s="47"/>
      <c r="AE92" s="46"/>
    </row>
    <row r="93" spans="1:31" s="36" customFormat="1" ht="21" customHeight="1" x14ac:dyDescent="0.15">
      <c r="A93" s="101"/>
      <c r="B93" s="52"/>
      <c r="C93" s="75" t="s">
        <v>48</v>
      </c>
      <c r="D93" s="223">
        <v>560</v>
      </c>
      <c r="E93" s="223">
        <f>SUM(F93:L93)</f>
        <v>560</v>
      </c>
      <c r="F93" s="223">
        <f>SUMIF($AB$94:$AB$96,"보조",$AD$94:$AD$96)/1000</f>
        <v>0</v>
      </c>
      <c r="G93" s="223">
        <f>SUMIF($AB$94:$AB$96,"7종",$AD$94:$AD$96)/1000</f>
        <v>0</v>
      </c>
      <c r="H93" s="223">
        <f>SUMIF($AB$94:$AB$96,"시비",$AD$94:$AD$96)/1000</f>
        <v>0</v>
      </c>
      <c r="I93" s="223">
        <f>SUMIF($AB$94:$AB$96,"후원",$AD$94:$AD$96)/1000</f>
        <v>0</v>
      </c>
      <c r="J93" s="223">
        <f>SUMIF($AB$94:$AB$96,"입소",$AD$94:$AD$96)/1000</f>
        <v>560</v>
      </c>
      <c r="K93" s="223">
        <f>SUMIF($AB$94:$AB$96,"법인",$AD$94:$AD$96)/1000</f>
        <v>0</v>
      </c>
      <c r="L93" s="223">
        <f>SUMIF($AB$94:$AB$96,"잡수",$AD$94:$AD$96)/1000</f>
        <v>0</v>
      </c>
      <c r="M93" s="247">
        <f>E93-D93</f>
        <v>0</v>
      </c>
      <c r="N93" s="135">
        <f>IF(D93=0,0,M93/D93)</f>
        <v>0</v>
      </c>
      <c r="O93" s="62" t="s">
        <v>60</v>
      </c>
      <c r="P93" s="61"/>
      <c r="Q93" s="61"/>
      <c r="R93" s="61"/>
      <c r="S93" s="61"/>
      <c r="T93" s="60"/>
      <c r="U93" s="60"/>
      <c r="V93" s="60"/>
      <c r="W93" s="60"/>
      <c r="X93" s="60"/>
      <c r="Y93" s="221" t="s">
        <v>223</v>
      </c>
      <c r="Z93" s="221"/>
      <c r="AA93" s="221"/>
      <c r="AB93" s="221"/>
      <c r="AC93" s="258"/>
      <c r="AD93" s="258">
        <f>SUM(AD94:AD95)</f>
        <v>560000</v>
      </c>
      <c r="AE93" s="231" t="s">
        <v>218</v>
      </c>
    </row>
    <row r="94" spans="1:31" s="36" customFormat="1" ht="21" customHeight="1" x14ac:dyDescent="0.15">
      <c r="A94" s="101"/>
      <c r="B94" s="52"/>
      <c r="C94" s="52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77"/>
      <c r="O94" s="56" t="s">
        <v>5</v>
      </c>
      <c r="P94" s="56"/>
      <c r="Q94" s="56"/>
      <c r="R94" s="56"/>
      <c r="S94" s="47">
        <v>30000</v>
      </c>
      <c r="T94" s="192" t="s">
        <v>218</v>
      </c>
      <c r="U94" s="192" t="s">
        <v>272</v>
      </c>
      <c r="V94" s="47">
        <v>12</v>
      </c>
      <c r="W94" s="56" t="s">
        <v>252</v>
      </c>
      <c r="X94" s="47" t="s">
        <v>235</v>
      </c>
      <c r="Y94" s="47"/>
      <c r="Z94" s="47"/>
      <c r="AA94" s="47"/>
      <c r="AB94" s="47" t="s">
        <v>274</v>
      </c>
      <c r="AC94" s="47"/>
      <c r="AD94" s="47">
        <f>S94*V94</f>
        <v>360000</v>
      </c>
      <c r="AE94" s="46" t="s">
        <v>218</v>
      </c>
    </row>
    <row r="95" spans="1:31" ht="21" customHeight="1" x14ac:dyDescent="0.15">
      <c r="A95" s="101"/>
      <c r="B95" s="52"/>
      <c r="C95" s="52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77"/>
      <c r="O95" s="56" t="s">
        <v>340</v>
      </c>
      <c r="P95" s="56"/>
      <c r="Q95" s="56"/>
      <c r="R95" s="56"/>
      <c r="S95" s="47"/>
      <c r="T95" s="192"/>
      <c r="U95" s="192"/>
      <c r="V95" s="47"/>
      <c r="W95" s="56"/>
      <c r="X95" s="47"/>
      <c r="Y95" s="47"/>
      <c r="Z95" s="47"/>
      <c r="AA95" s="47"/>
      <c r="AB95" s="47" t="s">
        <v>274</v>
      </c>
      <c r="AC95" s="47"/>
      <c r="AD95" s="47">
        <v>200000</v>
      </c>
      <c r="AE95" s="46" t="s">
        <v>218</v>
      </c>
    </row>
    <row r="96" spans="1:31" s="36" customFormat="1" ht="21" customHeight="1" x14ac:dyDescent="0.15">
      <c r="A96" s="101"/>
      <c r="B96" s="52"/>
      <c r="C96" s="122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119"/>
      <c r="O96" s="117"/>
      <c r="P96" s="117"/>
      <c r="Q96" s="117"/>
      <c r="R96" s="117"/>
      <c r="S96" s="115"/>
      <c r="T96" s="136"/>
      <c r="U96" s="115"/>
      <c r="V96" s="434"/>
      <c r="W96" s="435"/>
      <c r="X96" s="115"/>
      <c r="Y96" s="115"/>
      <c r="Z96" s="115"/>
      <c r="AA96" s="115"/>
      <c r="AB96" s="115"/>
      <c r="AC96" s="115"/>
      <c r="AD96" s="115"/>
      <c r="AE96" s="113"/>
    </row>
    <row r="97" spans="1:31" s="36" customFormat="1" ht="21" customHeight="1" x14ac:dyDescent="0.15">
      <c r="A97" s="101"/>
      <c r="B97" s="52"/>
      <c r="C97" s="75" t="s">
        <v>44</v>
      </c>
      <c r="D97" s="223">
        <v>50</v>
      </c>
      <c r="E97" s="223">
        <f>SUM(F97:L97)</f>
        <v>1640</v>
      </c>
      <c r="F97" s="223">
        <f>SUMIF($AB$98:$AB$104,"보조",$AD$98:$AD$104)/1000</f>
        <v>0</v>
      </c>
      <c r="G97" s="223">
        <f>SUMIF($AB$98:$AB$104,"7종",$AD$98:$AD$104)/1000</f>
        <v>0</v>
      </c>
      <c r="H97" s="223">
        <f>SUMIF($AB$98:$AB$104,"시비",$AD$98:$AD$104)/1000</f>
        <v>0</v>
      </c>
      <c r="I97" s="223">
        <f>SUMIF($AB$98:$AB$104,"후원",$AD$98:$AD$104)/1000</f>
        <v>0</v>
      </c>
      <c r="J97" s="223">
        <f>SUMIF($AB$98:$AB$104,"입소",$AD$98:$AD$104)/1000</f>
        <v>200</v>
      </c>
      <c r="K97" s="223">
        <f>SUMIF($AB$98:$AB$104,"법인",$AD$98:$AD$104)/1000</f>
        <v>0</v>
      </c>
      <c r="L97" s="223">
        <f>SUMIF($AB$98:$AB$104,"잡수",$AD$98:$AD$104)/1000</f>
        <v>1440</v>
      </c>
      <c r="M97" s="247">
        <f>E97-D97</f>
        <v>1590</v>
      </c>
      <c r="N97" s="135">
        <f>IF(D97=0,0,M97/D97)</f>
        <v>31.8</v>
      </c>
      <c r="O97" s="222" t="s">
        <v>62</v>
      </c>
      <c r="P97" s="61"/>
      <c r="Q97" s="61"/>
      <c r="R97" s="61"/>
      <c r="S97" s="61"/>
      <c r="T97" s="60"/>
      <c r="U97" s="60"/>
      <c r="V97" s="60"/>
      <c r="W97" s="60"/>
      <c r="X97" s="60"/>
      <c r="Y97" s="221" t="s">
        <v>245</v>
      </c>
      <c r="Z97" s="221"/>
      <c r="AA97" s="221"/>
      <c r="AB97" s="221"/>
      <c r="AC97" s="258"/>
      <c r="AD97" s="258">
        <f>SUM(AD98,AD101)</f>
        <v>1640000</v>
      </c>
      <c r="AE97" s="231" t="s">
        <v>218</v>
      </c>
    </row>
    <row r="98" spans="1:31" s="36" customFormat="1" ht="20.25" customHeight="1" x14ac:dyDescent="0.15">
      <c r="A98" s="101"/>
      <c r="B98" s="52"/>
      <c r="C98" s="194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77"/>
      <c r="O98" s="117" t="s">
        <v>150</v>
      </c>
      <c r="P98" s="80"/>
      <c r="Q98" s="80"/>
      <c r="R98" s="80"/>
      <c r="S98" s="80"/>
      <c r="T98" s="79"/>
      <c r="U98" s="79"/>
      <c r="V98" s="79"/>
      <c r="W98" s="79"/>
      <c r="X98" s="79"/>
      <c r="Y98" s="221" t="s">
        <v>223</v>
      </c>
      <c r="Z98" s="221"/>
      <c r="AA98" s="221"/>
      <c r="AB98" s="221"/>
      <c r="AC98" s="258"/>
      <c r="AD98" s="258">
        <f>SUM(AD99:AD100)</f>
        <v>200000</v>
      </c>
      <c r="AE98" s="231" t="s">
        <v>218</v>
      </c>
    </row>
    <row r="99" spans="1:31" s="36" customFormat="1" ht="20.25" customHeight="1" x14ac:dyDescent="0.15">
      <c r="A99" s="101"/>
      <c r="B99" s="52"/>
      <c r="C99" s="194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77"/>
      <c r="O99" s="56" t="s">
        <v>335</v>
      </c>
      <c r="P99" s="56"/>
      <c r="Q99" s="56"/>
      <c r="R99" s="56"/>
      <c r="S99" s="47">
        <v>50000</v>
      </c>
      <c r="T99" s="47" t="s">
        <v>218</v>
      </c>
      <c r="U99" s="84" t="s">
        <v>272</v>
      </c>
      <c r="V99" s="47">
        <v>4</v>
      </c>
      <c r="W99" s="47" t="s">
        <v>226</v>
      </c>
      <c r="X99" s="84"/>
      <c r="Y99" s="47"/>
      <c r="Z99" s="47"/>
      <c r="AA99" s="47" t="s">
        <v>235</v>
      </c>
      <c r="AB99" s="47" t="s">
        <v>274</v>
      </c>
      <c r="AC99" s="55"/>
      <c r="AD99" s="55">
        <f>S99*V99</f>
        <v>200000</v>
      </c>
      <c r="AE99" s="46" t="s">
        <v>218</v>
      </c>
    </row>
    <row r="100" spans="1:31" s="36" customFormat="1" ht="20.25" customHeight="1" x14ac:dyDescent="0.15">
      <c r="A100" s="101"/>
      <c r="B100" s="52"/>
      <c r="C100" s="194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77"/>
      <c r="O100" s="56"/>
      <c r="P100" s="56"/>
      <c r="Q100" s="56"/>
      <c r="R100" s="56"/>
      <c r="S100" s="47"/>
      <c r="T100" s="47"/>
      <c r="U100" s="84"/>
      <c r="V100" s="47"/>
      <c r="W100" s="47"/>
      <c r="X100" s="84"/>
      <c r="Y100" s="47"/>
      <c r="Z100" s="47"/>
      <c r="AA100" s="47"/>
      <c r="AB100" s="47"/>
      <c r="AC100" s="55"/>
      <c r="AD100" s="55"/>
      <c r="AE100" s="46"/>
    </row>
    <row r="101" spans="1:31" s="36" customFormat="1" ht="20.25" customHeight="1" x14ac:dyDescent="0.15">
      <c r="A101" s="101"/>
      <c r="B101" s="52"/>
      <c r="C101" s="194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77"/>
      <c r="O101" s="117" t="s">
        <v>127</v>
      </c>
      <c r="P101" s="80"/>
      <c r="Q101" s="80"/>
      <c r="R101" s="80"/>
      <c r="S101" s="80"/>
      <c r="T101" s="79"/>
      <c r="U101" s="79"/>
      <c r="V101" s="79"/>
      <c r="W101" s="79"/>
      <c r="X101" s="79"/>
      <c r="Y101" s="220" t="s">
        <v>223</v>
      </c>
      <c r="Z101" s="220"/>
      <c r="AA101" s="220"/>
      <c r="AB101" s="220"/>
      <c r="AC101" s="219"/>
      <c r="AD101" s="219">
        <f>SUM(AD102:AD104)</f>
        <v>1440000</v>
      </c>
      <c r="AE101" s="218" t="s">
        <v>218</v>
      </c>
    </row>
    <row r="102" spans="1:31" s="36" customFormat="1" ht="20.25" customHeight="1" x14ac:dyDescent="0.15">
      <c r="A102" s="101"/>
      <c r="B102" s="52"/>
      <c r="C102" s="194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77"/>
      <c r="O102" s="56" t="s">
        <v>91</v>
      </c>
      <c r="P102" s="56"/>
      <c r="Q102" s="56"/>
      <c r="R102" s="56"/>
      <c r="S102" s="47">
        <v>60000</v>
      </c>
      <c r="T102" s="47" t="s">
        <v>218</v>
      </c>
      <c r="U102" s="84" t="s">
        <v>272</v>
      </c>
      <c r="V102" s="47">
        <v>12</v>
      </c>
      <c r="W102" s="47" t="s">
        <v>252</v>
      </c>
      <c r="X102" s="84"/>
      <c r="Y102" s="47"/>
      <c r="Z102" s="47"/>
      <c r="AA102" s="47" t="s">
        <v>235</v>
      </c>
      <c r="AB102" s="47" t="s">
        <v>219</v>
      </c>
      <c r="AC102" s="55"/>
      <c r="AD102" s="55">
        <f>S102*V102</f>
        <v>720000</v>
      </c>
      <c r="AE102" s="46" t="s">
        <v>218</v>
      </c>
    </row>
    <row r="103" spans="1:31" s="36" customFormat="1" ht="20.25" customHeight="1" x14ac:dyDescent="0.15">
      <c r="A103" s="101"/>
      <c r="B103" s="52"/>
      <c r="C103" s="194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77"/>
      <c r="O103" s="352" t="s">
        <v>91</v>
      </c>
      <c r="P103" s="352"/>
      <c r="Q103" s="352"/>
      <c r="R103" s="352"/>
      <c r="S103" s="47">
        <v>60000</v>
      </c>
      <c r="T103" s="47" t="s">
        <v>218</v>
      </c>
      <c r="U103" s="84" t="s">
        <v>272</v>
      </c>
      <c r="V103" s="47">
        <v>12</v>
      </c>
      <c r="W103" s="47" t="s">
        <v>252</v>
      </c>
      <c r="X103" s="84"/>
      <c r="Y103" s="47"/>
      <c r="Z103" s="47"/>
      <c r="AA103" s="47" t="s">
        <v>235</v>
      </c>
      <c r="AB103" s="47" t="s">
        <v>219</v>
      </c>
      <c r="AC103" s="350"/>
      <c r="AD103" s="350">
        <f>S103*V103</f>
        <v>720000</v>
      </c>
      <c r="AE103" s="46" t="s">
        <v>218</v>
      </c>
    </row>
    <row r="104" spans="1:31" s="36" customFormat="1" ht="21" customHeight="1" x14ac:dyDescent="0.15">
      <c r="A104" s="101"/>
      <c r="B104" s="52"/>
      <c r="C104" s="194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119"/>
      <c r="O104" s="117"/>
      <c r="P104" s="117"/>
      <c r="Q104" s="117"/>
      <c r="R104" s="117"/>
      <c r="S104" s="115"/>
      <c r="T104" s="117"/>
      <c r="U104" s="115"/>
      <c r="V104" s="116"/>
      <c r="W104" s="116"/>
      <c r="X104" s="115"/>
      <c r="Y104" s="115"/>
      <c r="Z104" s="115"/>
      <c r="AA104" s="115"/>
      <c r="AB104" s="115"/>
      <c r="AC104" s="115"/>
      <c r="AD104" s="115"/>
      <c r="AE104" s="113"/>
    </row>
    <row r="105" spans="1:31" s="36" customFormat="1" ht="21" customHeight="1" x14ac:dyDescent="0.15">
      <c r="A105" s="237" t="s">
        <v>29</v>
      </c>
      <c r="B105" s="425" t="s">
        <v>70</v>
      </c>
      <c r="C105" s="425"/>
      <c r="D105" s="281">
        <v>2300</v>
      </c>
      <c r="E105" s="281">
        <f>E106</f>
        <v>2900</v>
      </c>
      <c r="F105" s="281">
        <f>F106</f>
        <v>0</v>
      </c>
      <c r="G105" s="281">
        <f t="shared" ref="G105:L105" si="5">G106</f>
        <v>2000</v>
      </c>
      <c r="H105" s="281">
        <f t="shared" si="5"/>
        <v>0</v>
      </c>
      <c r="I105" s="281">
        <f t="shared" si="5"/>
        <v>0</v>
      </c>
      <c r="J105" s="281">
        <f t="shared" si="5"/>
        <v>900</v>
      </c>
      <c r="K105" s="281">
        <f t="shared" si="5"/>
        <v>0</v>
      </c>
      <c r="L105" s="281">
        <f t="shared" si="5"/>
        <v>0</v>
      </c>
      <c r="M105" s="281">
        <f>E105-D105</f>
        <v>600</v>
      </c>
      <c r="N105" s="280">
        <f>IF(D105=0,0,M105/D105)</f>
        <v>0.2608695652173913</v>
      </c>
      <c r="O105" s="80" t="s">
        <v>76</v>
      </c>
      <c r="P105" s="80"/>
      <c r="Q105" s="80"/>
      <c r="R105" s="80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>
        <f>AD106</f>
        <v>2900000</v>
      </c>
      <c r="AE105" s="279" t="s">
        <v>218</v>
      </c>
    </row>
    <row r="106" spans="1:31" s="36" customFormat="1" ht="21" customHeight="1" x14ac:dyDescent="0.15">
      <c r="A106" s="236" t="s">
        <v>225</v>
      </c>
      <c r="B106" s="52" t="s">
        <v>216</v>
      </c>
      <c r="C106" s="52" t="s">
        <v>258</v>
      </c>
      <c r="D106" s="217">
        <v>2300</v>
      </c>
      <c r="E106" s="217">
        <f>SUM(E107,E109,E113)</f>
        <v>2900</v>
      </c>
      <c r="F106" s="217">
        <f>SUM(F107,F109,F113)</f>
        <v>0</v>
      </c>
      <c r="G106" s="217">
        <f t="shared" ref="G106:L106" si="6">SUM(G107,G109,G113)</f>
        <v>2000</v>
      </c>
      <c r="H106" s="217">
        <f t="shared" si="6"/>
        <v>0</v>
      </c>
      <c r="I106" s="217">
        <f t="shared" si="6"/>
        <v>0</v>
      </c>
      <c r="J106" s="217">
        <f t="shared" si="6"/>
        <v>900</v>
      </c>
      <c r="K106" s="217">
        <f t="shared" si="6"/>
        <v>0</v>
      </c>
      <c r="L106" s="217">
        <f t="shared" si="6"/>
        <v>0</v>
      </c>
      <c r="M106" s="217">
        <f>E106-D106</f>
        <v>600</v>
      </c>
      <c r="N106" s="77">
        <f>IF(D106=0,0,M106/D106)</f>
        <v>0.2608695652173913</v>
      </c>
      <c r="O106" s="61" t="s">
        <v>216</v>
      </c>
      <c r="P106" s="61"/>
      <c r="Q106" s="61"/>
      <c r="R106" s="61"/>
      <c r="S106" s="61"/>
      <c r="T106" s="60"/>
      <c r="U106" s="60"/>
      <c r="V106" s="60"/>
      <c r="W106" s="60"/>
      <c r="X106" s="60"/>
      <c r="Y106" s="60"/>
      <c r="Z106" s="60"/>
      <c r="AA106" s="60"/>
      <c r="AB106" s="60"/>
      <c r="AC106" s="272"/>
      <c r="AD106" s="272">
        <f>SUM(AD107,AD109,AD113)</f>
        <v>2900000</v>
      </c>
      <c r="AE106" s="271" t="s">
        <v>218</v>
      </c>
    </row>
    <row r="107" spans="1:31" s="36" customFormat="1" ht="21" customHeight="1" x14ac:dyDescent="0.15">
      <c r="A107" s="101"/>
      <c r="B107" s="52"/>
      <c r="C107" s="75" t="s">
        <v>216</v>
      </c>
      <c r="D107" s="223">
        <v>0</v>
      </c>
      <c r="E107" s="223">
        <f>SUM(F107:L107)</f>
        <v>0</v>
      </c>
      <c r="F107" s="223">
        <f>SUMIF($AB$108:$AB$108,"보조",$AD$108:$AD$108)/1000</f>
        <v>0</v>
      </c>
      <c r="G107" s="223">
        <f>SUMIF($AB$108:$AB$108,"7종",$AD$108:$AD$108)/1000</f>
        <v>0</v>
      </c>
      <c r="H107" s="223">
        <f>SUMIF($AB$108:$AB$108,"시비",$AD$108:$AD$108)/1000</f>
        <v>0</v>
      </c>
      <c r="I107" s="223">
        <f>SUMIF($AB$108:$AB$108,"후원",$AD$108:$AD$108)/1000</f>
        <v>0</v>
      </c>
      <c r="J107" s="223">
        <f>SUMIF($AB$108:$AB$108,"입소",$AD$108:$AD$108)/1000</f>
        <v>0</v>
      </c>
      <c r="K107" s="223">
        <f>SUMIF($AB$108:$AB$108,"법인",$AD$108:$AD$108)/1000</f>
        <v>0</v>
      </c>
      <c r="L107" s="223">
        <f>SUMIF($AB$108:$AB$108,"잡수",$AD$108:$AD$108)/1000</f>
        <v>0</v>
      </c>
      <c r="M107" s="247">
        <f>E107-D107</f>
        <v>0</v>
      </c>
      <c r="N107" s="135">
        <f>IF(D107=0,0,M107/D107)</f>
        <v>0</v>
      </c>
      <c r="O107" s="62" t="s">
        <v>69</v>
      </c>
      <c r="P107" s="61"/>
      <c r="Q107" s="61"/>
      <c r="R107" s="61"/>
      <c r="S107" s="61"/>
      <c r="T107" s="60"/>
      <c r="U107" s="60"/>
      <c r="V107" s="60"/>
      <c r="W107" s="60"/>
      <c r="X107" s="60"/>
      <c r="Y107" s="221" t="s">
        <v>223</v>
      </c>
      <c r="Z107" s="221"/>
      <c r="AA107" s="221"/>
      <c r="AB107" s="221"/>
      <c r="AC107" s="258"/>
      <c r="AD107" s="258">
        <f>SUM(AD108:AD108)</f>
        <v>0</v>
      </c>
      <c r="AE107" s="231" t="s">
        <v>218</v>
      </c>
    </row>
    <row r="108" spans="1:31" s="36" customFormat="1" ht="21" customHeight="1" x14ac:dyDescent="0.15">
      <c r="A108" s="101"/>
      <c r="B108" s="52"/>
      <c r="C108" s="52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77"/>
      <c r="O108" s="278"/>
      <c r="P108" s="80"/>
      <c r="Q108" s="80"/>
      <c r="R108" s="80"/>
      <c r="S108" s="80"/>
      <c r="T108" s="79"/>
      <c r="U108" s="79"/>
      <c r="V108" s="79"/>
      <c r="W108" s="79"/>
      <c r="X108" s="79"/>
      <c r="Y108" s="79"/>
      <c r="Z108" s="79"/>
      <c r="AA108" s="79"/>
      <c r="AB108" s="47"/>
      <c r="AC108" s="277"/>
      <c r="AD108" s="55"/>
      <c r="AE108" s="46"/>
    </row>
    <row r="109" spans="1:31" s="36" customFormat="1" ht="21" customHeight="1" x14ac:dyDescent="0.15">
      <c r="A109" s="101"/>
      <c r="B109" s="52"/>
      <c r="C109" s="75" t="s">
        <v>57</v>
      </c>
      <c r="D109" s="223">
        <v>2200</v>
      </c>
      <c r="E109" s="223">
        <f>SUM(F109:L109)</f>
        <v>2800</v>
      </c>
      <c r="F109" s="223">
        <f>SUMIF($AB$110:$AB$112,"보조",$AD$110:$AD$112)/1000</f>
        <v>0</v>
      </c>
      <c r="G109" s="223">
        <f>SUMIF($AB$110:$AB$112,"7종",$AD$110:$AD$112)/1000</f>
        <v>2000</v>
      </c>
      <c r="H109" s="223">
        <f>SUMIF($AB$110:$AB$112,"시비",$AD$110:$AD$112)/1000</f>
        <v>0</v>
      </c>
      <c r="I109" s="223">
        <f>SUMIF($AB$110:$AB$112,"후원",$AD$110:$AD$112)/1000</f>
        <v>0</v>
      </c>
      <c r="J109" s="223">
        <f>SUMIF($AB$110:$AB$112,"입소",$AD$110:$AD$112)/1000</f>
        <v>800</v>
      </c>
      <c r="K109" s="223">
        <f>SUMIF($AB$110:$AB$112,"법인",$AD$110:$AD$112)/1000</f>
        <v>0</v>
      </c>
      <c r="L109" s="223">
        <f>SUMIF($AB$110:$AB$112,"잡수",$AD$110:$AD$112)/1000</f>
        <v>0</v>
      </c>
      <c r="M109" s="247">
        <f>E109-D109</f>
        <v>600</v>
      </c>
      <c r="N109" s="135">
        <f>IF(D109=0,0,M109/D109)</f>
        <v>0.27272727272727271</v>
      </c>
      <c r="O109" s="62" t="s">
        <v>33</v>
      </c>
      <c r="P109" s="61"/>
      <c r="Q109" s="61"/>
      <c r="R109" s="61"/>
      <c r="S109" s="61"/>
      <c r="T109" s="60"/>
      <c r="U109" s="60"/>
      <c r="V109" s="60"/>
      <c r="W109" s="60"/>
      <c r="X109" s="60"/>
      <c r="Y109" s="221" t="s">
        <v>223</v>
      </c>
      <c r="Z109" s="221"/>
      <c r="AA109" s="221"/>
      <c r="AB109" s="221"/>
      <c r="AC109" s="258"/>
      <c r="AD109" s="258">
        <f>SUM(AD110:AD111)</f>
        <v>2800000</v>
      </c>
      <c r="AE109" s="231" t="s">
        <v>218</v>
      </c>
    </row>
    <row r="110" spans="1:31" s="36" customFormat="1" ht="21" customHeight="1" x14ac:dyDescent="0.15">
      <c r="A110" s="101"/>
      <c r="B110" s="52"/>
      <c r="C110" s="52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77"/>
      <c r="O110" s="426" t="s">
        <v>336</v>
      </c>
      <c r="P110" s="427"/>
      <c r="Q110" s="427"/>
      <c r="R110" s="427"/>
      <c r="S110" s="47"/>
      <c r="T110" s="192"/>
      <c r="U110" s="192"/>
      <c r="V110" s="47"/>
      <c r="W110" s="56"/>
      <c r="X110" s="47"/>
      <c r="Y110" s="47"/>
      <c r="Z110" s="47"/>
      <c r="AA110" s="47"/>
      <c r="AB110" s="47" t="s">
        <v>262</v>
      </c>
      <c r="AC110" s="47"/>
      <c r="AD110" s="47">
        <v>2000000</v>
      </c>
      <c r="AE110" s="46" t="s">
        <v>218</v>
      </c>
    </row>
    <row r="111" spans="1:31" s="36" customFormat="1" ht="21" customHeight="1" x14ac:dyDescent="0.15">
      <c r="A111" s="101"/>
      <c r="B111" s="52"/>
      <c r="C111" s="52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77"/>
      <c r="O111" s="56" t="s">
        <v>137</v>
      </c>
      <c r="P111" s="56"/>
      <c r="Q111" s="56"/>
      <c r="R111" s="80"/>
      <c r="S111" s="80"/>
      <c r="T111" s="79"/>
      <c r="U111" s="79"/>
      <c r="V111" s="79"/>
      <c r="W111" s="79"/>
      <c r="X111" s="79"/>
      <c r="Y111" s="79"/>
      <c r="Z111" s="79"/>
      <c r="AA111" s="79"/>
      <c r="AB111" s="47" t="s">
        <v>274</v>
      </c>
      <c r="AC111" s="277"/>
      <c r="AD111" s="55">
        <v>800000</v>
      </c>
      <c r="AE111" s="46" t="s">
        <v>218</v>
      </c>
    </row>
    <row r="112" spans="1:31" s="36" customFormat="1" ht="21" customHeight="1" x14ac:dyDescent="0.15">
      <c r="A112" s="101"/>
      <c r="B112" s="52"/>
      <c r="C112" s="52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77"/>
      <c r="O112" s="56"/>
      <c r="P112" s="56"/>
      <c r="Q112" s="56"/>
      <c r="R112" s="56"/>
      <c r="S112" s="47"/>
      <c r="T112" s="276"/>
      <c r="U112" s="192"/>
      <c r="V112" s="55"/>
      <c r="W112" s="55"/>
      <c r="X112" s="47"/>
      <c r="Y112" s="47"/>
      <c r="Z112" s="47"/>
      <c r="AA112" s="47"/>
      <c r="AB112" s="47"/>
      <c r="AC112" s="47"/>
      <c r="AD112" s="47"/>
      <c r="AE112" s="46"/>
    </row>
    <row r="113" spans="1:31" s="36" customFormat="1" ht="21" customHeight="1" x14ac:dyDescent="0.15">
      <c r="A113" s="101"/>
      <c r="B113" s="52"/>
      <c r="C113" s="75" t="s">
        <v>23</v>
      </c>
      <c r="D113" s="223">
        <v>100</v>
      </c>
      <c r="E113" s="223">
        <f>SUM(F113:L113)</f>
        <v>100</v>
      </c>
      <c r="F113" s="223">
        <f>SUMIF($AB$114:$AB$118,"보조",$AD$114:$AD$118)/1000</f>
        <v>0</v>
      </c>
      <c r="G113" s="223">
        <f>SUMIF($AB$114:$AB$118,"7종",$AD$114:$AD$118)/1000</f>
        <v>0</v>
      </c>
      <c r="H113" s="223">
        <f>SUMIF($AB$114:$AB$118,"시비",$AD$114:$AD$118)/1000</f>
        <v>0</v>
      </c>
      <c r="I113" s="223">
        <f>SUMIF($AB$114:$AB$118,"후원",$AD$114:$AD$118)/1000</f>
        <v>0</v>
      </c>
      <c r="J113" s="223">
        <f>SUMIF($AB$114:$AB$118,"입소",$AD$114:$AD$118)/1000</f>
        <v>100</v>
      </c>
      <c r="K113" s="223">
        <f>SUMIF($AB$114:$AB$118,"법인",$AD$114:$AD$118)/1000</f>
        <v>0</v>
      </c>
      <c r="L113" s="223">
        <f>SUMIF($AB$114:$AB$118,"잡수",$AD$114:$AD$118)/1000</f>
        <v>0</v>
      </c>
      <c r="M113" s="247">
        <f>E113-D113</f>
        <v>0</v>
      </c>
      <c r="N113" s="135">
        <f>IF(D113=0,0,M113/D113)</f>
        <v>0</v>
      </c>
      <c r="O113" s="62" t="s">
        <v>171</v>
      </c>
      <c r="P113" s="61"/>
      <c r="Q113" s="61"/>
      <c r="R113" s="61"/>
      <c r="S113" s="61"/>
      <c r="T113" s="60"/>
      <c r="U113" s="60"/>
      <c r="V113" s="60"/>
      <c r="W113" s="60"/>
      <c r="X113" s="60"/>
      <c r="Y113" s="221" t="s">
        <v>223</v>
      </c>
      <c r="Z113" s="221"/>
      <c r="AA113" s="221"/>
      <c r="AB113" s="221"/>
      <c r="AC113" s="258"/>
      <c r="AD113" s="258">
        <f>SUM(AD114:AD117)</f>
        <v>100000</v>
      </c>
      <c r="AE113" s="231" t="s">
        <v>218</v>
      </c>
    </row>
    <row r="114" spans="1:31" s="29" customFormat="1" ht="21" customHeight="1" x14ac:dyDescent="0.15">
      <c r="A114" s="101"/>
      <c r="B114" s="52"/>
      <c r="C114" s="52" t="s">
        <v>232</v>
      </c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77"/>
      <c r="O114" s="56" t="s">
        <v>297</v>
      </c>
      <c r="P114" s="56"/>
      <c r="Q114" s="56"/>
      <c r="R114" s="56"/>
      <c r="S114" s="47"/>
      <c r="T114" s="192"/>
      <c r="U114" s="192"/>
      <c r="V114" s="47"/>
      <c r="W114" s="56"/>
      <c r="X114" s="47"/>
      <c r="Y114" s="47"/>
      <c r="Z114" s="47"/>
      <c r="AA114" s="47"/>
      <c r="AB114" s="47" t="s">
        <v>262</v>
      </c>
      <c r="AC114" s="47"/>
      <c r="AD114" s="47"/>
      <c r="AE114" s="46" t="s">
        <v>218</v>
      </c>
    </row>
    <row r="115" spans="1:31" s="29" customFormat="1" ht="21" customHeight="1" x14ac:dyDescent="0.15">
      <c r="A115" s="101"/>
      <c r="B115" s="52"/>
      <c r="C115" s="52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77"/>
      <c r="O115" s="56" t="s">
        <v>304</v>
      </c>
      <c r="P115" s="56"/>
      <c r="Q115" s="56"/>
      <c r="R115" s="56"/>
      <c r="S115" s="47"/>
      <c r="T115" s="192"/>
      <c r="U115" s="192"/>
      <c r="V115" s="47"/>
      <c r="W115" s="56"/>
      <c r="X115" s="47"/>
      <c r="Y115" s="47"/>
      <c r="Z115" s="47"/>
      <c r="AA115" s="47"/>
      <c r="AB115" s="47" t="s">
        <v>274</v>
      </c>
      <c r="AC115" s="47"/>
      <c r="AD115" s="47"/>
      <c r="AE115" s="46" t="s">
        <v>218</v>
      </c>
    </row>
    <row r="116" spans="1:31" s="29" customFormat="1" ht="21" customHeight="1" x14ac:dyDescent="0.15">
      <c r="A116" s="101"/>
      <c r="B116" s="52"/>
      <c r="C116" s="52"/>
      <c r="D116" s="217"/>
      <c r="E116" s="217"/>
      <c r="F116" s="217"/>
      <c r="G116" s="217"/>
      <c r="H116" s="217"/>
      <c r="I116" s="217"/>
      <c r="J116" s="217"/>
      <c r="K116" s="217"/>
      <c r="L116" s="217"/>
      <c r="M116" s="217"/>
      <c r="N116" s="77"/>
      <c r="O116" s="56" t="s">
        <v>186</v>
      </c>
      <c r="P116" s="56"/>
      <c r="Q116" s="56"/>
      <c r="R116" s="56"/>
      <c r="S116" s="47"/>
      <c r="T116" s="192"/>
      <c r="U116" s="192"/>
      <c r="V116" s="47">
        <v>60000</v>
      </c>
      <c r="W116" s="56" t="s">
        <v>218</v>
      </c>
      <c r="X116" s="47" t="s">
        <v>272</v>
      </c>
      <c r="Y116" s="47">
        <v>1</v>
      </c>
      <c r="Z116" s="47" t="s">
        <v>226</v>
      </c>
      <c r="AA116" s="47" t="s">
        <v>235</v>
      </c>
      <c r="AB116" s="47" t="s">
        <v>274</v>
      </c>
      <c r="AC116" s="47"/>
      <c r="AD116" s="47">
        <f>V116*Y116</f>
        <v>60000</v>
      </c>
      <c r="AE116" s="46" t="s">
        <v>218</v>
      </c>
    </row>
    <row r="117" spans="1:31" s="29" customFormat="1" ht="21" customHeight="1" x14ac:dyDescent="0.15">
      <c r="A117" s="101"/>
      <c r="B117" s="52"/>
      <c r="C117" s="52"/>
      <c r="D117" s="217"/>
      <c r="E117" s="217"/>
      <c r="F117" s="217"/>
      <c r="G117" s="217"/>
      <c r="H117" s="217"/>
      <c r="I117" s="217"/>
      <c r="J117" s="217"/>
      <c r="K117" s="217"/>
      <c r="L117" s="217"/>
      <c r="M117" s="217"/>
      <c r="N117" s="77"/>
      <c r="O117" s="56" t="s">
        <v>183</v>
      </c>
      <c r="P117" s="56"/>
      <c r="Q117" s="56"/>
      <c r="R117" s="56"/>
      <c r="S117" s="47"/>
      <c r="T117" s="192"/>
      <c r="U117" s="192"/>
      <c r="V117" s="47">
        <v>40000</v>
      </c>
      <c r="W117" s="56" t="s">
        <v>218</v>
      </c>
      <c r="X117" s="47" t="s">
        <v>272</v>
      </c>
      <c r="Y117" s="47">
        <v>1</v>
      </c>
      <c r="Z117" s="47" t="s">
        <v>226</v>
      </c>
      <c r="AA117" s="47" t="s">
        <v>235</v>
      </c>
      <c r="AB117" s="47" t="s">
        <v>274</v>
      </c>
      <c r="AC117" s="47"/>
      <c r="AD117" s="47">
        <f>V117*Y117</f>
        <v>40000</v>
      </c>
      <c r="AE117" s="46" t="s">
        <v>218</v>
      </c>
    </row>
    <row r="118" spans="1:31" s="29" customFormat="1" ht="21" customHeight="1" x14ac:dyDescent="0.15">
      <c r="A118" s="101"/>
      <c r="B118" s="52"/>
      <c r="C118" s="52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77"/>
      <c r="O118" s="56"/>
      <c r="P118" s="56"/>
      <c r="Q118" s="56"/>
      <c r="R118" s="56"/>
      <c r="S118" s="47"/>
      <c r="T118" s="192"/>
      <c r="U118" s="192"/>
      <c r="V118" s="47"/>
      <c r="W118" s="56"/>
      <c r="X118" s="47"/>
      <c r="Y118" s="47"/>
      <c r="Z118" s="47"/>
      <c r="AA118" s="47"/>
      <c r="AB118" s="47"/>
      <c r="AC118" s="47"/>
      <c r="AD118" s="47"/>
      <c r="AE118" s="46"/>
    </row>
    <row r="119" spans="1:31" s="36" customFormat="1" ht="21" customHeight="1" x14ac:dyDescent="0.15">
      <c r="A119" s="275" t="s">
        <v>214</v>
      </c>
      <c r="B119" s="423" t="s">
        <v>70</v>
      </c>
      <c r="C119" s="424"/>
      <c r="D119" s="274">
        <v>15702</v>
      </c>
      <c r="E119" s="274">
        <f t="shared" ref="E119:L119" si="7">SUM(E120,E141)</f>
        <v>17379</v>
      </c>
      <c r="F119" s="274">
        <f t="shared" si="7"/>
        <v>5040</v>
      </c>
      <c r="G119" s="274">
        <f t="shared" si="7"/>
        <v>0</v>
      </c>
      <c r="H119" s="274">
        <f t="shared" si="7"/>
        <v>0</v>
      </c>
      <c r="I119" s="274">
        <f t="shared" si="7"/>
        <v>755</v>
      </c>
      <c r="J119" s="274">
        <f>SUM(J120,J141)</f>
        <v>11584</v>
      </c>
      <c r="K119" s="274">
        <f t="shared" si="7"/>
        <v>0</v>
      </c>
      <c r="L119" s="274">
        <f t="shared" si="7"/>
        <v>0</v>
      </c>
      <c r="M119" s="274">
        <f>SUM(M120,M127,M131,M134,M138)</f>
        <v>874</v>
      </c>
      <c r="N119" s="273">
        <f>IF(D119=0,0,M119/D119)</f>
        <v>5.5661699146605528E-2</v>
      </c>
      <c r="O119" s="61" t="s">
        <v>214</v>
      </c>
      <c r="P119" s="61"/>
      <c r="Q119" s="61"/>
      <c r="R119" s="61"/>
      <c r="S119" s="61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>
        <f>SUM(AD120,AD141)</f>
        <v>17379000</v>
      </c>
      <c r="AE119" s="271" t="s">
        <v>218</v>
      </c>
    </row>
    <row r="120" spans="1:31" s="36" customFormat="1" ht="21" customHeight="1" x14ac:dyDescent="0.15">
      <c r="A120" s="52"/>
      <c r="B120" s="75" t="s">
        <v>267</v>
      </c>
      <c r="C120" s="75" t="s">
        <v>258</v>
      </c>
      <c r="D120" s="247">
        <v>13142</v>
      </c>
      <c r="E120" s="247">
        <f t="shared" ref="E120:L120" si="8">SUM(E121,E127,E131,E134,E138)</f>
        <v>13819</v>
      </c>
      <c r="F120" s="247">
        <f t="shared" si="8"/>
        <v>5040</v>
      </c>
      <c r="G120" s="247">
        <f t="shared" si="8"/>
        <v>0</v>
      </c>
      <c r="H120" s="247">
        <f t="shared" si="8"/>
        <v>0</v>
      </c>
      <c r="I120" s="247">
        <f t="shared" si="8"/>
        <v>755</v>
      </c>
      <c r="J120" s="247">
        <f t="shared" si="8"/>
        <v>8024</v>
      </c>
      <c r="K120" s="247">
        <f t="shared" si="8"/>
        <v>0</v>
      </c>
      <c r="L120" s="247">
        <f t="shared" si="8"/>
        <v>0</v>
      </c>
      <c r="M120" s="247">
        <f>E120-D120</f>
        <v>677</v>
      </c>
      <c r="N120" s="135">
        <f>IF(D120=0,0,M120/D120)</f>
        <v>5.1514229188860144E-2</v>
      </c>
      <c r="O120" s="61"/>
      <c r="P120" s="61"/>
      <c r="Q120" s="61"/>
      <c r="R120" s="61"/>
      <c r="S120" s="61"/>
      <c r="T120" s="60"/>
      <c r="U120" s="60"/>
      <c r="V120" s="60"/>
      <c r="W120" s="60"/>
      <c r="X120" s="60"/>
      <c r="Y120" s="60" t="s">
        <v>12</v>
      </c>
      <c r="Z120" s="60"/>
      <c r="AA120" s="60"/>
      <c r="AB120" s="60"/>
      <c r="AC120" s="272"/>
      <c r="AD120" s="272">
        <f>SUM(AD121,AD127,AD131,AD134,AD138)</f>
        <v>13819000</v>
      </c>
      <c r="AE120" s="271" t="s">
        <v>218</v>
      </c>
    </row>
    <row r="121" spans="1:31" s="36" customFormat="1" ht="21" customHeight="1" x14ac:dyDescent="0.15">
      <c r="A121" s="52"/>
      <c r="B121" s="52"/>
      <c r="C121" s="75" t="s">
        <v>231</v>
      </c>
      <c r="D121" s="223">
        <v>10950</v>
      </c>
      <c r="E121" s="223">
        <f>SUM(F121:L121)</f>
        <v>11430</v>
      </c>
      <c r="F121" s="223">
        <f>SUMIF($AB$122:$AB$126,"보조",$AD$122:$AD$126)/1000</f>
        <v>5040</v>
      </c>
      <c r="G121" s="223">
        <f>SUMIF($AB$122:$AB$126,"7종",$AD$122:$AD$126)/1000</f>
        <v>0</v>
      </c>
      <c r="H121" s="223">
        <f>SUMIF($AB$122:$AB$126,"시비",$AD$122:$AD$126)/1000</f>
        <v>0</v>
      </c>
      <c r="I121" s="223">
        <f>SUMIF($AB$122:$AB$126,"후원",$AD$122:$AD$126)/1000</f>
        <v>150</v>
      </c>
      <c r="J121" s="223">
        <f>SUMIF($AB$122:$AB$126,"입소",$AD$122:$AD$126)/1000</f>
        <v>6240</v>
      </c>
      <c r="K121" s="223">
        <f>SUMIF($AB$122:$AB$126,"법인",$AD$122:$AD$126)/1000</f>
        <v>0</v>
      </c>
      <c r="L121" s="223">
        <f>SUMIF($AB$122:$AB$126,"잡수",$AD$122:$AD$126)/1000</f>
        <v>0</v>
      </c>
      <c r="M121" s="247">
        <f>E121-D121</f>
        <v>480</v>
      </c>
      <c r="N121" s="135">
        <f>IF(D121=0,0,M121/D121)</f>
        <v>4.3835616438356165E-2</v>
      </c>
      <c r="O121" s="62" t="s">
        <v>90</v>
      </c>
      <c r="P121" s="61"/>
      <c r="Q121" s="61"/>
      <c r="R121" s="61"/>
      <c r="S121" s="61"/>
      <c r="T121" s="60"/>
      <c r="U121" s="60"/>
      <c r="V121" s="60"/>
      <c r="W121" s="60"/>
      <c r="X121" s="60"/>
      <c r="Y121" s="221" t="s">
        <v>223</v>
      </c>
      <c r="Z121" s="221"/>
      <c r="AA121" s="221"/>
      <c r="AB121" s="221"/>
      <c r="AC121" s="258"/>
      <c r="AD121" s="258">
        <f>SUM(AD122:AD125)</f>
        <v>11430000</v>
      </c>
      <c r="AE121" s="231" t="s">
        <v>218</v>
      </c>
    </row>
    <row r="122" spans="1:31" s="36" customFormat="1" ht="21" customHeight="1" x14ac:dyDescent="0.15">
      <c r="A122" s="52"/>
      <c r="B122" s="52"/>
      <c r="C122" s="52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77"/>
      <c r="O122" s="56" t="s">
        <v>117</v>
      </c>
      <c r="P122" s="56"/>
      <c r="Q122" s="47"/>
      <c r="R122" s="47"/>
      <c r="S122" s="47">
        <v>210000</v>
      </c>
      <c r="T122" s="192" t="s">
        <v>218</v>
      </c>
      <c r="U122" s="192" t="s">
        <v>272</v>
      </c>
      <c r="V122" s="47">
        <v>6</v>
      </c>
      <c r="W122" s="56" t="s">
        <v>252</v>
      </c>
      <c r="X122" s="56" t="s">
        <v>272</v>
      </c>
      <c r="Y122" s="191">
        <v>4</v>
      </c>
      <c r="Z122" s="78" t="s">
        <v>271</v>
      </c>
      <c r="AA122" s="78" t="s">
        <v>235</v>
      </c>
      <c r="AB122" s="47" t="s">
        <v>269</v>
      </c>
      <c r="AC122" s="55"/>
      <c r="AD122" s="55">
        <f>S122*V122*Y122</f>
        <v>5040000</v>
      </c>
      <c r="AE122" s="46" t="s">
        <v>218</v>
      </c>
    </row>
    <row r="123" spans="1:31" s="36" customFormat="1" ht="21" customHeight="1" x14ac:dyDescent="0.15">
      <c r="A123" s="52"/>
      <c r="B123" s="52"/>
      <c r="C123" s="52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77"/>
      <c r="O123" s="56" t="s">
        <v>117</v>
      </c>
      <c r="P123" s="56"/>
      <c r="Q123" s="56"/>
      <c r="R123" s="56"/>
      <c r="S123" s="47">
        <v>220000</v>
      </c>
      <c r="T123" s="192" t="s">
        <v>218</v>
      </c>
      <c r="U123" s="192" t="s">
        <v>272</v>
      </c>
      <c r="V123" s="47">
        <v>6</v>
      </c>
      <c r="W123" s="56" t="s">
        <v>252</v>
      </c>
      <c r="X123" s="56" t="s">
        <v>272</v>
      </c>
      <c r="Y123" s="191">
        <v>4</v>
      </c>
      <c r="Z123" s="78" t="s">
        <v>271</v>
      </c>
      <c r="AA123" s="78" t="s">
        <v>235</v>
      </c>
      <c r="AB123" s="47" t="s">
        <v>274</v>
      </c>
      <c r="AC123" s="55"/>
      <c r="AD123" s="55">
        <f>S123*V123*Y123</f>
        <v>5280000</v>
      </c>
      <c r="AE123" s="46" t="s">
        <v>218</v>
      </c>
    </row>
    <row r="124" spans="1:31" s="36" customFormat="1" ht="21" customHeight="1" x14ac:dyDescent="0.15">
      <c r="A124" s="52"/>
      <c r="B124" s="52"/>
      <c r="C124" s="52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77"/>
      <c r="O124" s="56" t="s">
        <v>49</v>
      </c>
      <c r="P124" s="56"/>
      <c r="Q124" s="56"/>
      <c r="R124" s="56"/>
      <c r="S124" s="47">
        <v>20000</v>
      </c>
      <c r="T124" s="192" t="s">
        <v>218</v>
      </c>
      <c r="U124" s="192" t="s">
        <v>272</v>
      </c>
      <c r="V124" s="47">
        <v>12</v>
      </c>
      <c r="W124" s="56" t="s">
        <v>252</v>
      </c>
      <c r="X124" s="56" t="s">
        <v>272</v>
      </c>
      <c r="Y124" s="191">
        <v>4</v>
      </c>
      <c r="Z124" s="78" t="s">
        <v>271</v>
      </c>
      <c r="AA124" s="78" t="s">
        <v>235</v>
      </c>
      <c r="AB124" s="47" t="s">
        <v>274</v>
      </c>
      <c r="AC124" s="55"/>
      <c r="AD124" s="55">
        <f>S124*V124*Y124</f>
        <v>960000</v>
      </c>
      <c r="AE124" s="46" t="s">
        <v>218</v>
      </c>
    </row>
    <row r="125" spans="1:31" s="36" customFormat="1" ht="21" customHeight="1" x14ac:dyDescent="0.15">
      <c r="A125" s="52"/>
      <c r="B125" s="52"/>
      <c r="C125" s="52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77"/>
      <c r="O125" s="56" t="s">
        <v>204</v>
      </c>
      <c r="P125" s="56"/>
      <c r="Q125" s="47"/>
      <c r="R125" s="47"/>
      <c r="S125" s="47"/>
      <c r="T125" s="192"/>
      <c r="U125" s="192"/>
      <c r="V125" s="47"/>
      <c r="W125" s="56"/>
      <c r="X125" s="56"/>
      <c r="Y125" s="191"/>
      <c r="Z125" s="78"/>
      <c r="AA125" s="78"/>
      <c r="AB125" s="47" t="s">
        <v>237</v>
      </c>
      <c r="AC125" s="55"/>
      <c r="AD125" s="55">
        <v>150000</v>
      </c>
      <c r="AE125" s="46" t="s">
        <v>218</v>
      </c>
    </row>
    <row r="126" spans="1:31" s="36" customFormat="1" ht="21" customHeight="1" x14ac:dyDescent="0.15">
      <c r="A126" s="52"/>
      <c r="B126" s="52"/>
      <c r="C126" s="122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119"/>
      <c r="O126" s="56"/>
      <c r="P126" s="56"/>
      <c r="Q126" s="47"/>
      <c r="R126" s="47"/>
      <c r="S126" s="47"/>
      <c r="T126" s="47"/>
      <c r="U126" s="192"/>
      <c r="V126" s="47"/>
      <c r="W126" s="47"/>
      <c r="X126" s="192"/>
      <c r="Y126" s="47"/>
      <c r="Z126" s="47"/>
      <c r="AA126" s="78"/>
      <c r="AB126" s="47"/>
      <c r="AC126" s="55"/>
      <c r="AD126" s="55"/>
      <c r="AE126" s="46"/>
    </row>
    <row r="127" spans="1:31" s="36" customFormat="1" ht="21" customHeight="1" x14ac:dyDescent="0.15">
      <c r="A127" s="52"/>
      <c r="B127" s="52"/>
      <c r="C127" s="52" t="s">
        <v>9</v>
      </c>
      <c r="D127" s="223">
        <v>794</v>
      </c>
      <c r="E127" s="223">
        <f>SUM(F127:L127)</f>
        <v>905</v>
      </c>
      <c r="F127" s="223">
        <f>SUMIF($AB$128:$AB$130,"보조",$AD$128:$AD$130)/1000</f>
        <v>0</v>
      </c>
      <c r="G127" s="223">
        <f>SUMIF($AB$128:$AB$130,"7종",$AD$128:$AD$130)/1000</f>
        <v>0</v>
      </c>
      <c r="H127" s="223">
        <f>SUMIF($AB$128:$AB$130,"시비",$AD$128:$AD$130)/1000</f>
        <v>0</v>
      </c>
      <c r="I127" s="223">
        <f>SUMIF($AB$128:$AB$130,"후원",$AD$128:$AD$130)/1000</f>
        <v>605</v>
      </c>
      <c r="J127" s="223">
        <f>SUMIF($AB$128:$AB$130,"입소",$AD$128:$AD$130)/1000</f>
        <v>300</v>
      </c>
      <c r="K127" s="223">
        <f>SUMIF($AB$128:$AB$130,"법인",$AD$128:$AD$130)/1000</f>
        <v>0</v>
      </c>
      <c r="L127" s="223">
        <f>SUMIF($AB$128:$AB$130,"잡수",$AD$128:$AD$130)/1000</f>
        <v>0</v>
      </c>
      <c r="M127" s="217">
        <f>E127-D127</f>
        <v>111</v>
      </c>
      <c r="N127" s="77">
        <f>IF(D127=0,0,M127/D127)</f>
        <v>0.1397984886649874</v>
      </c>
      <c r="O127" s="62" t="s">
        <v>121</v>
      </c>
      <c r="P127" s="61"/>
      <c r="Q127" s="61"/>
      <c r="R127" s="61"/>
      <c r="S127" s="61"/>
      <c r="T127" s="60"/>
      <c r="U127" s="60"/>
      <c r="V127" s="60"/>
      <c r="W127" s="60"/>
      <c r="X127" s="60"/>
      <c r="Y127" s="221" t="s">
        <v>223</v>
      </c>
      <c r="Z127" s="221"/>
      <c r="AA127" s="221"/>
      <c r="AB127" s="221"/>
      <c r="AC127" s="258"/>
      <c r="AD127" s="258">
        <f>ROUND(SUM(AD128:AD130),-3)</f>
        <v>905000</v>
      </c>
      <c r="AE127" s="231" t="s">
        <v>218</v>
      </c>
    </row>
    <row r="128" spans="1:31" s="36" customFormat="1" ht="21" customHeight="1" x14ac:dyDescent="0.15">
      <c r="A128" s="52"/>
      <c r="B128" s="52"/>
      <c r="C128" s="52" t="s">
        <v>241</v>
      </c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77"/>
      <c r="O128" s="56" t="s">
        <v>337</v>
      </c>
      <c r="P128" s="56"/>
      <c r="Q128" s="56"/>
      <c r="R128" s="56"/>
      <c r="S128" s="47"/>
      <c r="T128" s="192"/>
      <c r="U128" s="192"/>
      <c r="V128" s="47"/>
      <c r="W128" s="47"/>
      <c r="X128" s="47"/>
      <c r="Y128" s="47"/>
      <c r="Z128" s="47"/>
      <c r="AA128" s="47"/>
      <c r="AB128" s="47" t="s">
        <v>237</v>
      </c>
      <c r="AC128" s="47"/>
      <c r="AD128" s="47">
        <v>605000</v>
      </c>
      <c r="AE128" s="46" t="s">
        <v>218</v>
      </c>
    </row>
    <row r="129" spans="1:32" s="36" customFormat="1" ht="21" customHeight="1" x14ac:dyDescent="0.15">
      <c r="A129" s="52"/>
      <c r="B129" s="52"/>
      <c r="C129" s="52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77"/>
      <c r="O129" s="56" t="s">
        <v>162</v>
      </c>
      <c r="P129" s="56"/>
      <c r="Q129" s="56"/>
      <c r="R129" s="56"/>
      <c r="S129" s="47"/>
      <c r="T129" s="192"/>
      <c r="U129" s="192"/>
      <c r="V129" s="47"/>
      <c r="W129" s="47"/>
      <c r="X129" s="47"/>
      <c r="Y129" s="47"/>
      <c r="Z129" s="47"/>
      <c r="AA129" s="47"/>
      <c r="AB129" s="47" t="s">
        <v>274</v>
      </c>
      <c r="AC129" s="47"/>
      <c r="AD129" s="47">
        <v>300000</v>
      </c>
      <c r="AE129" s="46" t="s">
        <v>218</v>
      </c>
      <c r="AF129" s="270"/>
    </row>
    <row r="130" spans="1:32" s="36" customFormat="1" ht="21" customHeight="1" x14ac:dyDescent="0.15">
      <c r="A130" s="52"/>
      <c r="B130" s="52"/>
      <c r="C130" s="52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77"/>
      <c r="O130" s="269"/>
      <c r="P130" s="269"/>
      <c r="Q130" s="269"/>
      <c r="R130" s="269"/>
      <c r="S130" s="265"/>
      <c r="T130" s="268"/>
      <c r="U130" s="267"/>
      <c r="V130" s="266"/>
      <c r="W130" s="265"/>
      <c r="X130" s="265"/>
      <c r="Y130" s="265"/>
      <c r="Z130" s="265"/>
      <c r="AA130" s="265"/>
      <c r="AB130" s="265"/>
      <c r="AC130" s="265"/>
      <c r="AD130" s="265"/>
      <c r="AE130" s="264"/>
    </row>
    <row r="131" spans="1:32" s="36" customFormat="1" ht="21" customHeight="1" x14ac:dyDescent="0.15">
      <c r="A131" s="52"/>
      <c r="B131" s="52"/>
      <c r="C131" s="75" t="s">
        <v>217</v>
      </c>
      <c r="D131" s="223">
        <v>800</v>
      </c>
      <c r="E131" s="223">
        <f>SUM(F131:L131)</f>
        <v>1000</v>
      </c>
      <c r="F131" s="223">
        <f>SUMIF($AB$132:$AB$133,"보조",$AD$132:$AD$133)/1000</f>
        <v>0</v>
      </c>
      <c r="G131" s="223">
        <f>SUMIF($AB$132:$AB$133,"7종",$AD$132:$AD$133)/1000</f>
        <v>0</v>
      </c>
      <c r="H131" s="223">
        <f>SUMIF($AB$132:$AB$133,"시비",$AD$132:$AD$133)/1000</f>
        <v>0</v>
      </c>
      <c r="I131" s="223">
        <f>SUMIF($AB$132:$AB$133,"후원",$AD$132:$AD$133)/1000</f>
        <v>0</v>
      </c>
      <c r="J131" s="223">
        <f>SUMIF($AB$132:$AB$133,"입소",$AD$132:$AD$133)/1000</f>
        <v>1000</v>
      </c>
      <c r="K131" s="223">
        <f>SUMIF($AB$132:$AB$133,"법인",$AD$132:$AD$133)/1000</f>
        <v>0</v>
      </c>
      <c r="L131" s="223">
        <f>SUMIF($AB$132:$AB$133,"잡수",$AD$132:$AD$133)/1000</f>
        <v>0</v>
      </c>
      <c r="M131" s="247">
        <f>E131-D131</f>
        <v>200</v>
      </c>
      <c r="N131" s="135">
        <f>IF(D131=0,0,M131/D131)</f>
        <v>0.25</v>
      </c>
      <c r="O131" s="62" t="s">
        <v>8</v>
      </c>
      <c r="P131" s="232"/>
      <c r="Q131" s="61"/>
      <c r="R131" s="61"/>
      <c r="S131" s="61"/>
      <c r="T131" s="60"/>
      <c r="U131" s="60"/>
      <c r="V131" s="60"/>
      <c r="W131" s="60"/>
      <c r="X131" s="60"/>
      <c r="Y131" s="221" t="s">
        <v>223</v>
      </c>
      <c r="Z131" s="221"/>
      <c r="AA131" s="221"/>
      <c r="AB131" s="221"/>
      <c r="AC131" s="258"/>
      <c r="AD131" s="258">
        <f>SUM(AD132:AD133)</f>
        <v>1000000</v>
      </c>
      <c r="AE131" s="231" t="s">
        <v>218</v>
      </c>
    </row>
    <row r="132" spans="1:32" s="36" customFormat="1" ht="21" customHeight="1" x14ac:dyDescent="0.15">
      <c r="A132" s="52"/>
      <c r="B132" s="52"/>
      <c r="C132" s="52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77"/>
      <c r="O132" s="56" t="s">
        <v>13</v>
      </c>
      <c r="P132" s="56"/>
      <c r="Q132" s="47"/>
      <c r="R132" s="47"/>
      <c r="S132" s="47">
        <v>250000</v>
      </c>
      <c r="T132" s="47" t="s">
        <v>218</v>
      </c>
      <c r="U132" s="56" t="s">
        <v>272</v>
      </c>
      <c r="V132" s="47">
        <v>4</v>
      </c>
      <c r="W132" s="47" t="s">
        <v>271</v>
      </c>
      <c r="X132" s="56"/>
      <c r="Y132" s="47"/>
      <c r="Z132" s="47"/>
      <c r="AA132" s="47" t="s">
        <v>235</v>
      </c>
      <c r="AB132" s="47" t="s">
        <v>274</v>
      </c>
      <c r="AC132" s="55"/>
      <c r="AD132" s="55">
        <f>S132*V132</f>
        <v>1000000</v>
      </c>
      <c r="AE132" s="46" t="s">
        <v>218</v>
      </c>
    </row>
    <row r="133" spans="1:32" s="36" customFormat="1" ht="21" customHeight="1" x14ac:dyDescent="0.15">
      <c r="A133" s="52"/>
      <c r="B133" s="52"/>
      <c r="C133" s="52"/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77"/>
      <c r="O133" s="56"/>
      <c r="P133" s="56"/>
      <c r="Q133" s="47"/>
      <c r="R133" s="47"/>
      <c r="S133" s="47"/>
      <c r="T133" s="47"/>
      <c r="U133" s="56"/>
      <c r="V133" s="47"/>
      <c r="W133" s="47"/>
      <c r="X133" s="56"/>
      <c r="Y133" s="47"/>
      <c r="Z133" s="47"/>
      <c r="AA133" s="47"/>
      <c r="AB133" s="47"/>
      <c r="AC133" s="55"/>
      <c r="AD133" s="55"/>
      <c r="AE133" s="46"/>
    </row>
    <row r="134" spans="1:32" s="36" customFormat="1" ht="21" customHeight="1" x14ac:dyDescent="0.15">
      <c r="A134" s="52"/>
      <c r="B134" s="52"/>
      <c r="C134" s="75" t="s">
        <v>265</v>
      </c>
      <c r="D134" s="223">
        <v>574</v>
      </c>
      <c r="E134" s="223">
        <f>SUM(F134:L134)</f>
        <v>460</v>
      </c>
      <c r="F134" s="223">
        <f>SUMIF($AB$135:$AB$137,"보조",$AD$135:$AD$137)/1000</f>
        <v>0</v>
      </c>
      <c r="G134" s="223">
        <f>SUMIF($AB$135:$AB$137,"7종",$AD$135:$AD$137)/1000</f>
        <v>0</v>
      </c>
      <c r="H134" s="223">
        <f>SUMIF($AB$135:$AB$137,"시비",$AD$135:$AD$137)/1000</f>
        <v>0</v>
      </c>
      <c r="I134" s="223">
        <f>SUMIF($AB$135:$AB$137,"후원",$AD$135:$AD$137)/1000</f>
        <v>0</v>
      </c>
      <c r="J134" s="223">
        <f>SUMIF($AB$135:$AB$137,"입소",$AD$135:$AD$137)/1000</f>
        <v>460</v>
      </c>
      <c r="K134" s="223">
        <f>SUMIF($AB$135:$AB$137,"법인",$AD$135:$AD$137)/1000</f>
        <v>0</v>
      </c>
      <c r="L134" s="223">
        <f>SUMIF($AB$135:$AB$137,"잡수",$AD$135:$AD$137)/1000</f>
        <v>0</v>
      </c>
      <c r="M134" s="247">
        <f>E134-D134</f>
        <v>-114</v>
      </c>
      <c r="N134" s="135">
        <f>IF(D134=0,0,M134/D134)</f>
        <v>-0.19860627177700349</v>
      </c>
      <c r="O134" s="62" t="s">
        <v>22</v>
      </c>
      <c r="P134" s="232"/>
      <c r="Q134" s="61"/>
      <c r="R134" s="61"/>
      <c r="S134" s="61"/>
      <c r="T134" s="60"/>
      <c r="U134" s="60"/>
      <c r="V134" s="60"/>
      <c r="W134" s="60"/>
      <c r="X134" s="60"/>
      <c r="Y134" s="221" t="s">
        <v>223</v>
      </c>
      <c r="Z134" s="221"/>
      <c r="AA134" s="221"/>
      <c r="AB134" s="221"/>
      <c r="AC134" s="258"/>
      <c r="AD134" s="258">
        <f>SUM(AD135:AD136)</f>
        <v>460000</v>
      </c>
      <c r="AE134" s="231" t="s">
        <v>218</v>
      </c>
    </row>
    <row r="135" spans="1:32" s="235" customFormat="1" ht="21" customHeight="1" x14ac:dyDescent="0.15">
      <c r="A135" s="52"/>
      <c r="B135" s="52"/>
      <c r="C135" s="52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77"/>
      <c r="O135" s="56" t="s">
        <v>197</v>
      </c>
      <c r="P135" s="56"/>
      <c r="Q135" s="47"/>
      <c r="R135" s="47"/>
      <c r="S135" s="47">
        <v>40000</v>
      </c>
      <c r="T135" s="47" t="s">
        <v>218</v>
      </c>
      <c r="U135" s="56" t="s">
        <v>272</v>
      </c>
      <c r="V135" s="47">
        <v>1</v>
      </c>
      <c r="W135" s="47" t="s">
        <v>226</v>
      </c>
      <c r="X135" s="56" t="s">
        <v>272</v>
      </c>
      <c r="Y135" s="47">
        <v>4</v>
      </c>
      <c r="Z135" s="47" t="s">
        <v>271</v>
      </c>
      <c r="AA135" s="47" t="s">
        <v>235</v>
      </c>
      <c r="AB135" s="47" t="s">
        <v>274</v>
      </c>
      <c r="AC135" s="55"/>
      <c r="AD135" s="55">
        <f>S135*V135*Y135</f>
        <v>160000</v>
      </c>
      <c r="AE135" s="46" t="s">
        <v>218</v>
      </c>
    </row>
    <row r="136" spans="1:32" s="235" customFormat="1" ht="21" customHeight="1" x14ac:dyDescent="0.15">
      <c r="A136" s="52"/>
      <c r="B136" s="52"/>
      <c r="C136" s="52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63"/>
      <c r="O136" s="48" t="s">
        <v>326</v>
      </c>
      <c r="P136" s="56"/>
      <c r="Q136" s="56"/>
      <c r="R136" s="56"/>
      <c r="S136" s="47"/>
      <c r="T136" s="47"/>
      <c r="U136" s="56"/>
      <c r="V136" s="47"/>
      <c r="W136" s="47"/>
      <c r="X136" s="56"/>
      <c r="Y136" s="191"/>
      <c r="Z136" s="78"/>
      <c r="AA136" s="78"/>
      <c r="AB136" s="47" t="s">
        <v>274</v>
      </c>
      <c r="AC136" s="55"/>
      <c r="AD136" s="47">
        <v>300000</v>
      </c>
      <c r="AE136" s="46" t="s">
        <v>218</v>
      </c>
    </row>
    <row r="137" spans="1:32" s="36" customFormat="1" ht="21" customHeight="1" x14ac:dyDescent="0.15">
      <c r="A137" s="52"/>
      <c r="B137" s="52"/>
      <c r="C137" s="12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1"/>
      <c r="N137" s="119"/>
      <c r="O137" s="241"/>
      <c r="P137" s="241"/>
      <c r="Q137" s="241"/>
      <c r="R137" s="241"/>
      <c r="S137" s="241"/>
      <c r="T137" s="260"/>
      <c r="U137" s="47"/>
      <c r="V137" s="78"/>
      <c r="W137" s="47"/>
      <c r="X137" s="47"/>
      <c r="Y137" s="47"/>
      <c r="Z137" s="47"/>
      <c r="AA137" s="47"/>
      <c r="AB137" s="47"/>
      <c r="AC137" s="47"/>
      <c r="AD137" s="47"/>
      <c r="AE137" s="46"/>
    </row>
    <row r="138" spans="1:32" s="36" customFormat="1" ht="21" customHeight="1" x14ac:dyDescent="0.15">
      <c r="A138" s="52"/>
      <c r="B138" s="52"/>
      <c r="C138" s="52" t="s">
        <v>263</v>
      </c>
      <c r="D138" s="223">
        <v>24</v>
      </c>
      <c r="E138" s="223">
        <f>SUM(F138:L138)</f>
        <v>24</v>
      </c>
      <c r="F138" s="223">
        <f>SUMIF($AB$139:$AB$140,"보조",$AD$139:$AD$140)/1000</f>
        <v>0</v>
      </c>
      <c r="G138" s="223">
        <f>SUMIF($AB$139:$AB$140,"7종",$AD$139:$AD$140)/1000</f>
        <v>0</v>
      </c>
      <c r="H138" s="223">
        <f>SUMIF($AB$139:$AB$140,"시비",$AD$139:$AD$140)/1000</f>
        <v>0</v>
      </c>
      <c r="I138" s="223">
        <f>SUMIF($AB$139:$AB$140,"후원",$AD$139:$AD$140)/1000</f>
        <v>0</v>
      </c>
      <c r="J138" s="223">
        <f>SUMIF($AB$139:$AB$140,"입소",$AD$139:$AD$140)/1000</f>
        <v>24</v>
      </c>
      <c r="K138" s="223">
        <f>SUMIF($AB$139:$AB$140,"법인",$AD$139:$AD$140)/1000</f>
        <v>0</v>
      </c>
      <c r="L138" s="223">
        <f>SUMIF($AB$139:$AB$140,"잡수",$AD$139:$AD$140)/1000</f>
        <v>0</v>
      </c>
      <c r="M138" s="217">
        <f>E138-D138</f>
        <v>0</v>
      </c>
      <c r="N138" s="77">
        <f>IF(D138=0,0,M138/D138)</f>
        <v>0</v>
      </c>
      <c r="O138" s="62" t="s">
        <v>71</v>
      </c>
      <c r="P138" s="61"/>
      <c r="Q138" s="61"/>
      <c r="R138" s="61"/>
      <c r="S138" s="61"/>
      <c r="T138" s="60"/>
      <c r="U138" s="60"/>
      <c r="V138" s="60"/>
      <c r="W138" s="60"/>
      <c r="X138" s="60"/>
      <c r="Y138" s="221" t="s">
        <v>223</v>
      </c>
      <c r="Z138" s="221"/>
      <c r="AA138" s="221"/>
      <c r="AB138" s="221"/>
      <c r="AC138" s="258"/>
      <c r="AD138" s="258">
        <f>ROUND(SUM(AD139:AD139),-3)</f>
        <v>24000</v>
      </c>
      <c r="AE138" s="231" t="s">
        <v>218</v>
      </c>
    </row>
    <row r="139" spans="1:32" s="36" customFormat="1" ht="21" customHeight="1" x14ac:dyDescent="0.15">
      <c r="A139" s="52"/>
      <c r="B139" s="52"/>
      <c r="C139" s="52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77"/>
      <c r="O139" s="56" t="s">
        <v>209</v>
      </c>
      <c r="P139" s="56"/>
      <c r="Q139" s="56"/>
      <c r="R139" s="56"/>
      <c r="S139" s="47">
        <v>4000</v>
      </c>
      <c r="T139" s="192" t="s">
        <v>218</v>
      </c>
      <c r="U139" s="192" t="s">
        <v>272</v>
      </c>
      <c r="V139" s="47">
        <v>6</v>
      </c>
      <c r="W139" s="47" t="s">
        <v>252</v>
      </c>
      <c r="X139" s="78"/>
      <c r="Y139" s="257"/>
      <c r="Z139" s="256"/>
      <c r="AA139" s="255" t="s">
        <v>235</v>
      </c>
      <c r="AB139" s="47" t="s">
        <v>274</v>
      </c>
      <c r="AC139" s="47"/>
      <c r="AD139" s="47">
        <f>S139*V139</f>
        <v>24000</v>
      </c>
      <c r="AE139" s="46" t="s">
        <v>218</v>
      </c>
    </row>
    <row r="140" spans="1:32" s="36" customFormat="1" ht="21" customHeight="1" x14ac:dyDescent="0.15">
      <c r="A140" s="52"/>
      <c r="B140" s="52"/>
      <c r="C140" s="52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77"/>
      <c r="O140" s="56"/>
      <c r="P140" s="56"/>
      <c r="Q140" s="56"/>
      <c r="R140" s="56"/>
      <c r="S140" s="47"/>
      <c r="T140" s="192"/>
      <c r="U140" s="56"/>
      <c r="V140" s="47"/>
      <c r="W140" s="56"/>
      <c r="X140" s="47"/>
      <c r="Y140" s="47"/>
      <c r="Z140" s="47"/>
      <c r="AA140" s="47"/>
      <c r="AB140" s="47"/>
      <c r="AC140" s="47"/>
      <c r="AD140" s="47"/>
      <c r="AE140" s="46"/>
    </row>
    <row r="141" spans="1:32" s="36" customFormat="1" ht="21" customHeight="1" x14ac:dyDescent="0.15">
      <c r="A141" s="52"/>
      <c r="B141" s="75" t="s">
        <v>46</v>
      </c>
      <c r="C141" s="259" t="s">
        <v>258</v>
      </c>
      <c r="D141" s="234">
        <v>2560</v>
      </c>
      <c r="E141" s="234">
        <f t="shared" ref="E141:L141" si="9">SUM(E142,E146,E149,E152,E157,E163,E166)</f>
        <v>3560</v>
      </c>
      <c r="F141" s="234">
        <f t="shared" si="9"/>
        <v>0</v>
      </c>
      <c r="G141" s="234">
        <f t="shared" si="9"/>
        <v>0</v>
      </c>
      <c r="H141" s="234">
        <f t="shared" si="9"/>
        <v>0</v>
      </c>
      <c r="I141" s="234">
        <f t="shared" si="9"/>
        <v>0</v>
      </c>
      <c r="J141" s="234">
        <f t="shared" si="9"/>
        <v>3560</v>
      </c>
      <c r="K141" s="234">
        <f t="shared" si="9"/>
        <v>0</v>
      </c>
      <c r="L141" s="234">
        <f t="shared" si="9"/>
        <v>0</v>
      </c>
      <c r="M141" s="234">
        <f>E141-D141</f>
        <v>1000</v>
      </c>
      <c r="N141" s="233">
        <f>IF(D141=0,0,M141/D141)</f>
        <v>0.390625</v>
      </c>
      <c r="O141" s="232"/>
      <c r="P141" s="232"/>
      <c r="Q141" s="232"/>
      <c r="R141" s="232"/>
      <c r="S141" s="232"/>
      <c r="T141" s="221"/>
      <c r="U141" s="221"/>
      <c r="V141" s="221"/>
      <c r="W141" s="221"/>
      <c r="X141" s="221"/>
      <c r="Y141" s="221" t="s">
        <v>12</v>
      </c>
      <c r="Z141" s="221"/>
      <c r="AA141" s="221"/>
      <c r="AB141" s="221"/>
      <c r="AC141" s="258"/>
      <c r="AD141" s="258">
        <f>SUM(AD142,AD146,AD149,AD152,AD157,AD163,AD166)</f>
        <v>3560000</v>
      </c>
      <c r="AE141" s="231" t="s">
        <v>218</v>
      </c>
    </row>
    <row r="142" spans="1:32" s="238" customFormat="1" ht="24" customHeight="1" x14ac:dyDescent="0.15">
      <c r="A142" s="52"/>
      <c r="B142" s="52" t="s">
        <v>214</v>
      </c>
      <c r="C142" s="75" t="s">
        <v>105</v>
      </c>
      <c r="D142" s="223">
        <v>1000</v>
      </c>
      <c r="E142" s="223">
        <f>SUM(F142:L142)</f>
        <v>800</v>
      </c>
      <c r="F142" s="223">
        <f>SUMIF($AB$143:$AB$145,"보조",$AD$143:$AD$145)/1000</f>
        <v>0</v>
      </c>
      <c r="G142" s="223">
        <f>SUMIF($AB$143:$AB$145,"7종",$AD$143:$AD$145)/1000</f>
        <v>0</v>
      </c>
      <c r="H142" s="223">
        <f>SUMIF($AB$143:$AB$145,"시비",$AD$143:$AD$145)/1000</f>
        <v>0</v>
      </c>
      <c r="I142" s="223">
        <f>SUMIF($AB$143:$AB$145,"후원",$AD$143:$AD$145)/1000</f>
        <v>0</v>
      </c>
      <c r="J142" s="223">
        <f>SUMIF($AB$143:$AB$145,"입소",$AD$143:$AD$145)/1000</f>
        <v>800</v>
      </c>
      <c r="K142" s="223">
        <f>SUMIF($AB$143:$AB$145,"법인",$AD$143:$AD$145)/1000</f>
        <v>0</v>
      </c>
      <c r="L142" s="223">
        <f>SUMIF($AB$143:$AB$145,"잡수",$AD$143:$AD$145)/1000</f>
        <v>0</v>
      </c>
      <c r="M142" s="217">
        <f>E142-D142</f>
        <v>-200</v>
      </c>
      <c r="N142" s="77">
        <f>IF(D142=0,0,M142/D142)</f>
        <v>-0.2</v>
      </c>
      <c r="O142" s="57"/>
      <c r="P142" s="87"/>
      <c r="Q142" s="87"/>
      <c r="R142" s="87"/>
      <c r="S142" s="87"/>
      <c r="T142" s="86"/>
      <c r="U142" s="86"/>
      <c r="V142" s="86"/>
      <c r="W142" s="245" t="s">
        <v>102</v>
      </c>
      <c r="X142" s="245"/>
      <c r="Y142" s="245"/>
      <c r="Z142" s="245"/>
      <c r="AA142" s="245"/>
      <c r="AB142" s="245"/>
      <c r="AC142" s="59"/>
      <c r="AD142" s="59">
        <f>SUM(AD143:AD144)</f>
        <v>800000</v>
      </c>
      <c r="AE142" s="58" t="s">
        <v>218</v>
      </c>
    </row>
    <row r="143" spans="1:32" s="238" customFormat="1" ht="24" customHeight="1" x14ac:dyDescent="0.15">
      <c r="A143" s="52"/>
      <c r="B143" s="52"/>
      <c r="C143" s="52" t="s">
        <v>72</v>
      </c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77"/>
      <c r="O143" s="56" t="s">
        <v>113</v>
      </c>
      <c r="P143" s="56"/>
      <c r="Q143" s="56"/>
      <c r="R143" s="56"/>
      <c r="S143" s="47">
        <v>50000</v>
      </c>
      <c r="T143" s="192" t="s">
        <v>218</v>
      </c>
      <c r="U143" s="192" t="s">
        <v>272</v>
      </c>
      <c r="V143" s="47">
        <v>4</v>
      </c>
      <c r="W143" s="47" t="s">
        <v>271</v>
      </c>
      <c r="X143" s="78"/>
      <c r="Y143" s="257"/>
      <c r="Z143" s="256"/>
      <c r="AA143" s="255" t="s">
        <v>235</v>
      </c>
      <c r="AB143" s="47" t="s">
        <v>274</v>
      </c>
      <c r="AC143" s="47"/>
      <c r="AD143" s="47">
        <f>S143*V143</f>
        <v>200000</v>
      </c>
      <c r="AE143" s="46" t="s">
        <v>218</v>
      </c>
    </row>
    <row r="144" spans="1:32" s="238" customFormat="1" ht="24" customHeight="1" x14ac:dyDescent="0.15">
      <c r="A144" s="52"/>
      <c r="B144" s="52"/>
      <c r="C144" s="52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77"/>
      <c r="O144" s="56" t="s">
        <v>159</v>
      </c>
      <c r="P144" s="56"/>
      <c r="Q144" s="56"/>
      <c r="R144" s="56"/>
      <c r="S144" s="47">
        <v>50000</v>
      </c>
      <c r="T144" s="192" t="s">
        <v>218</v>
      </c>
      <c r="U144" s="192" t="s">
        <v>272</v>
      </c>
      <c r="V144" s="47">
        <v>12</v>
      </c>
      <c r="W144" s="47" t="s">
        <v>226</v>
      </c>
      <c r="X144" s="78"/>
      <c r="Y144" s="257"/>
      <c r="Z144" s="256"/>
      <c r="AA144" s="255" t="s">
        <v>235</v>
      </c>
      <c r="AB144" s="47" t="s">
        <v>274</v>
      </c>
      <c r="AC144" s="47"/>
      <c r="AD144" s="47">
        <f>S144*V144</f>
        <v>600000</v>
      </c>
      <c r="AE144" s="46" t="s">
        <v>218</v>
      </c>
    </row>
    <row r="145" spans="1:32" s="238" customFormat="1" ht="24" customHeight="1" x14ac:dyDescent="0.15">
      <c r="A145" s="52"/>
      <c r="B145" s="52"/>
      <c r="C145" s="122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119"/>
      <c r="O145" s="117"/>
      <c r="P145" s="117"/>
      <c r="Q145" s="117"/>
      <c r="R145" s="117"/>
      <c r="S145" s="115"/>
      <c r="T145" s="115"/>
      <c r="U145" s="117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3"/>
    </row>
    <row r="146" spans="1:32" s="238" customFormat="1" ht="24" customHeight="1" x14ac:dyDescent="0.15">
      <c r="A146" s="52"/>
      <c r="B146" s="52"/>
      <c r="C146" s="75" t="s">
        <v>82</v>
      </c>
      <c r="D146" s="223">
        <v>0</v>
      </c>
      <c r="E146" s="223">
        <f>SUM(F146:L146)</f>
        <v>100</v>
      </c>
      <c r="F146" s="223">
        <f>SUMIF($AB$147:$AB$148,"보조",$AD$147:$AD$148)/1000</f>
        <v>0</v>
      </c>
      <c r="G146" s="223">
        <f>SUMIF($AB$147:$AB$148,"7종",$AD$147:$AD$148)/1000</f>
        <v>0</v>
      </c>
      <c r="H146" s="223">
        <f>SUMIF($AB$147:$AB$148,"시비",$AD$147:$AD$148)/1000</f>
        <v>0</v>
      </c>
      <c r="I146" s="223">
        <f>SUMIF($AB$147:$AB$148,"후원",$AD$147:$AD$148)/1000</f>
        <v>0</v>
      </c>
      <c r="J146" s="223">
        <f>SUMIF($AB$147:$AB$148,"입소",$AD$147:$AD$148)/1000</f>
        <v>100</v>
      </c>
      <c r="K146" s="223">
        <f>SUMIF($AB$147:$AB$148,"법인",$AD$147:$AD$148)/1000</f>
        <v>0</v>
      </c>
      <c r="L146" s="223">
        <f>SUMIF($AB$147:$AB$148,"잡수",$AD$147:$AD$148)/1000</f>
        <v>0</v>
      </c>
      <c r="M146" s="217">
        <f>E146-D146</f>
        <v>100</v>
      </c>
      <c r="N146" s="77">
        <f>IF(D146=0,0,M146/D146)</f>
        <v>0</v>
      </c>
      <c r="O146" s="57"/>
      <c r="P146" s="61"/>
      <c r="Q146" s="61"/>
      <c r="R146" s="246"/>
      <c r="S146" s="246"/>
      <c r="T146" s="246"/>
      <c r="U146" s="246"/>
      <c r="V146" s="246"/>
      <c r="W146" s="245" t="s">
        <v>102</v>
      </c>
      <c r="X146" s="245"/>
      <c r="Y146" s="245"/>
      <c r="Z146" s="245"/>
      <c r="AA146" s="245"/>
      <c r="AB146" s="245"/>
      <c r="AC146" s="59"/>
      <c r="AD146" s="59">
        <f>SUM(AD147)</f>
        <v>100000</v>
      </c>
      <c r="AE146" s="58" t="s">
        <v>218</v>
      </c>
    </row>
    <row r="147" spans="1:32" s="238" customFormat="1" ht="24" customHeight="1" x14ac:dyDescent="0.15">
      <c r="A147" s="52"/>
      <c r="B147" s="52"/>
      <c r="C147" s="52" t="s">
        <v>214</v>
      </c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77"/>
      <c r="O147" s="56" t="s">
        <v>195</v>
      </c>
      <c r="P147" s="56"/>
      <c r="Q147" s="56"/>
      <c r="R147" s="56"/>
      <c r="S147" s="47"/>
      <c r="T147" s="192"/>
      <c r="U147" s="192"/>
      <c r="V147" s="47"/>
      <c r="W147" s="56"/>
      <c r="X147" s="47"/>
      <c r="Y147" s="250"/>
      <c r="Z147" s="250"/>
      <c r="AA147" s="250"/>
      <c r="AB147" s="250" t="s">
        <v>274</v>
      </c>
      <c r="AC147" s="250"/>
      <c r="AD147" s="249">
        <v>100000</v>
      </c>
      <c r="AE147" s="239" t="s">
        <v>218</v>
      </c>
    </row>
    <row r="148" spans="1:32" s="238" customFormat="1" ht="24" customHeight="1" x14ac:dyDescent="0.15">
      <c r="A148" s="52"/>
      <c r="B148" s="52"/>
      <c r="C148" s="122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119"/>
      <c r="O148" s="117"/>
      <c r="P148" s="117"/>
      <c r="Q148" s="117"/>
      <c r="R148" s="117"/>
      <c r="S148" s="117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4"/>
      <c r="AD148" s="114"/>
      <c r="AE148" s="113"/>
      <c r="AF148" s="254"/>
    </row>
    <row r="149" spans="1:32" s="238" customFormat="1" ht="24" customHeight="1" x14ac:dyDescent="0.15">
      <c r="A149" s="52"/>
      <c r="B149" s="52"/>
      <c r="C149" s="75" t="s">
        <v>52</v>
      </c>
      <c r="D149" s="223">
        <v>300</v>
      </c>
      <c r="E149" s="223">
        <f>SUM(F149:L149)</f>
        <v>300</v>
      </c>
      <c r="F149" s="223">
        <f>SUMIF($AB$150:$AB$151,"보조",$AD$150:$AD$151)/1000</f>
        <v>0</v>
      </c>
      <c r="G149" s="223">
        <f>SUMIF($AB$150:$AB$151,"7종",$AD$150:$AD$151)/1000</f>
        <v>0</v>
      </c>
      <c r="H149" s="223">
        <f>SUMIF($AB$150:$AB$151,"시비",$AD$150:$AD$151)/1000</f>
        <v>0</v>
      </c>
      <c r="I149" s="223">
        <f>SUMIF($AB$150:$AB$151,"후원",$AD$150:$AD$151)/1000</f>
        <v>0</v>
      </c>
      <c r="J149" s="223">
        <v>300</v>
      </c>
      <c r="K149" s="223">
        <f>SUMIF($AB$150:$AB$151,"법인",$AD$150:$AD$151)/1000</f>
        <v>0</v>
      </c>
      <c r="L149" s="223">
        <f>SUMIF($AB$150:$AB$151,"잡수",$AD$150:$AD$151)/1000</f>
        <v>0</v>
      </c>
      <c r="M149" s="247">
        <f>E149-D149</f>
        <v>0</v>
      </c>
      <c r="N149" s="135">
        <f>IF(D149=0,0,M149/D149)</f>
        <v>0</v>
      </c>
      <c r="O149" s="57"/>
      <c r="P149" s="61"/>
      <c r="Q149" s="61"/>
      <c r="R149" s="246"/>
      <c r="S149" s="246"/>
      <c r="T149" s="246"/>
      <c r="U149" s="246"/>
      <c r="V149" s="246"/>
      <c r="W149" s="245" t="s">
        <v>102</v>
      </c>
      <c r="X149" s="245"/>
      <c r="Y149" s="245"/>
      <c r="Z149" s="245"/>
      <c r="AA149" s="245"/>
      <c r="AB149" s="245"/>
      <c r="AC149" s="59"/>
      <c r="AD149" s="59">
        <f>SUM(AD150:AD150)</f>
        <v>300000</v>
      </c>
      <c r="AE149" s="58" t="s">
        <v>218</v>
      </c>
      <c r="AF149" s="254"/>
    </row>
    <row r="150" spans="1:32" s="238" customFormat="1" ht="24" customHeight="1" x14ac:dyDescent="0.15">
      <c r="A150" s="52"/>
      <c r="B150" s="52"/>
      <c r="C150" s="52" t="s">
        <v>72</v>
      </c>
      <c r="D150" s="217"/>
      <c r="E150" s="217"/>
      <c r="F150" s="217"/>
      <c r="G150" s="217"/>
      <c r="H150" s="217"/>
      <c r="I150" s="217"/>
      <c r="J150" s="217"/>
      <c r="K150" s="217"/>
      <c r="L150" s="217"/>
      <c r="M150" s="217"/>
      <c r="N150" s="77"/>
      <c r="O150" s="56" t="s">
        <v>39</v>
      </c>
      <c r="P150" s="80"/>
      <c r="Q150" s="80"/>
      <c r="R150" s="244"/>
      <c r="S150" s="47">
        <v>10000</v>
      </c>
      <c r="T150" s="47" t="s">
        <v>218</v>
      </c>
      <c r="U150" s="56" t="s">
        <v>272</v>
      </c>
      <c r="V150" s="47">
        <v>5</v>
      </c>
      <c r="W150" s="47" t="s">
        <v>271</v>
      </c>
      <c r="X150" s="56" t="s">
        <v>272</v>
      </c>
      <c r="Y150" s="191">
        <v>6</v>
      </c>
      <c r="Z150" s="78" t="s">
        <v>226</v>
      </c>
      <c r="AA150" s="78" t="s">
        <v>235</v>
      </c>
      <c r="AB150" s="47" t="s">
        <v>274</v>
      </c>
      <c r="AC150" s="55"/>
      <c r="AD150" s="47">
        <f>S150*V150*Y150</f>
        <v>300000</v>
      </c>
      <c r="AE150" s="46" t="s">
        <v>218</v>
      </c>
      <c r="AF150" s="254"/>
    </row>
    <row r="151" spans="1:32" s="238" customFormat="1" ht="24" customHeight="1" x14ac:dyDescent="0.15">
      <c r="A151" s="52"/>
      <c r="B151" s="52"/>
      <c r="C151" s="122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119"/>
      <c r="O151" s="117"/>
      <c r="P151" s="117"/>
      <c r="Q151" s="117"/>
      <c r="R151" s="117"/>
      <c r="S151" s="117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4"/>
      <c r="AD151" s="248"/>
      <c r="AE151" s="113"/>
    </row>
    <row r="152" spans="1:32" s="238" customFormat="1" ht="24" customHeight="1" x14ac:dyDescent="0.15">
      <c r="A152" s="52"/>
      <c r="B152" s="52"/>
      <c r="C152" s="75" t="s">
        <v>256</v>
      </c>
      <c r="D152" s="223">
        <v>450</v>
      </c>
      <c r="E152" s="223">
        <f>SUM(F152:L152)</f>
        <v>1100</v>
      </c>
      <c r="F152" s="223">
        <f>SUMIF($AB$153:$AB$156,"보조",$AD$153:$AD$156)/1000</f>
        <v>0</v>
      </c>
      <c r="G152" s="223">
        <f>SUMIF($AB$153:$AB$156,"7종",$AD$153:$AD$156)/1000</f>
        <v>0</v>
      </c>
      <c r="H152" s="223">
        <f>SUMIF($AB$153:$AB$156,"시비",$AD$153:$AD$156)/1000</f>
        <v>0</v>
      </c>
      <c r="I152" s="223">
        <v>0</v>
      </c>
      <c r="J152" s="223">
        <f>SUMIF($AB$153:$AB$155,"입소",$AD$153:$AD$155)/1000</f>
        <v>1100</v>
      </c>
      <c r="K152" s="223">
        <f>SUMIF($AB$153:$AB$156,"법인",$AD$153:$AD$156)/1000</f>
        <v>0</v>
      </c>
      <c r="L152" s="223">
        <f>SUMIF($AB$153:$AB$156,"잡수",$AD$153:$AD$156)/1000</f>
        <v>0</v>
      </c>
      <c r="M152" s="247">
        <f>E152-D152</f>
        <v>650</v>
      </c>
      <c r="N152" s="135">
        <f>IF(D152=0,0,M152/D152)</f>
        <v>1.4444444444444444</v>
      </c>
      <c r="O152" s="57"/>
      <c r="P152" s="61"/>
      <c r="Q152" s="61"/>
      <c r="R152" s="246"/>
      <c r="S152" s="246"/>
      <c r="T152" s="246"/>
      <c r="U152" s="246"/>
      <c r="V152" s="246"/>
      <c r="W152" s="245" t="s">
        <v>102</v>
      </c>
      <c r="X152" s="245"/>
      <c r="Y152" s="245"/>
      <c r="Z152" s="245"/>
      <c r="AA152" s="245"/>
      <c r="AB152" s="245"/>
      <c r="AC152" s="59"/>
      <c r="AD152" s="59">
        <f>SUM(AD153:AD155)</f>
        <v>1100000</v>
      </c>
      <c r="AE152" s="58" t="s">
        <v>218</v>
      </c>
    </row>
    <row r="153" spans="1:32" s="238" customFormat="1" ht="24" customHeight="1" x14ac:dyDescent="0.15">
      <c r="A153" s="52"/>
      <c r="B153" s="52"/>
      <c r="C153" s="52"/>
      <c r="D153" s="217"/>
      <c r="E153" s="217"/>
      <c r="F153" s="217"/>
      <c r="G153" s="217"/>
      <c r="H153" s="217"/>
      <c r="I153" s="217"/>
      <c r="J153" s="217"/>
      <c r="K153" s="217"/>
      <c r="L153" s="217"/>
      <c r="M153" s="217"/>
      <c r="N153" s="77"/>
      <c r="O153" s="241" t="s">
        <v>37</v>
      </c>
      <c r="P153" s="241"/>
      <c r="Q153" s="241"/>
      <c r="R153" s="241"/>
      <c r="S153" s="47">
        <v>60000</v>
      </c>
      <c r="T153" s="192" t="s">
        <v>218</v>
      </c>
      <c r="U153" s="192" t="s">
        <v>272</v>
      </c>
      <c r="V153" s="47">
        <v>5</v>
      </c>
      <c r="W153" s="56" t="s">
        <v>271</v>
      </c>
      <c r="X153" s="47"/>
      <c r="Y153" s="250"/>
      <c r="Z153" s="250"/>
      <c r="AA153" s="250" t="s">
        <v>235</v>
      </c>
      <c r="AB153" s="250" t="s">
        <v>274</v>
      </c>
      <c r="AC153" s="250"/>
      <c r="AD153" s="249">
        <f>S153*V153</f>
        <v>300000</v>
      </c>
      <c r="AE153" s="239" t="s">
        <v>218</v>
      </c>
    </row>
    <row r="154" spans="1:32" s="238" customFormat="1" ht="24" customHeight="1" x14ac:dyDescent="0.15">
      <c r="A154" s="52"/>
      <c r="B154" s="52"/>
      <c r="C154" s="52"/>
      <c r="D154" s="217"/>
      <c r="E154" s="217"/>
      <c r="F154" s="217"/>
      <c r="G154" s="217"/>
      <c r="H154" s="217"/>
      <c r="I154" s="217"/>
      <c r="J154" s="217"/>
      <c r="K154" s="217"/>
      <c r="L154" s="217"/>
      <c r="M154" s="217"/>
      <c r="N154" s="77"/>
      <c r="O154" s="241" t="s">
        <v>28</v>
      </c>
      <c r="P154" s="241"/>
      <c r="Q154" s="241"/>
      <c r="R154" s="241"/>
      <c r="S154" s="47">
        <v>100000</v>
      </c>
      <c r="T154" s="192" t="s">
        <v>218</v>
      </c>
      <c r="U154" s="192" t="s">
        <v>272</v>
      </c>
      <c r="V154" s="47">
        <v>5</v>
      </c>
      <c r="W154" s="56" t="s">
        <v>271</v>
      </c>
      <c r="X154" s="47"/>
      <c r="Y154" s="250"/>
      <c r="Z154" s="250"/>
      <c r="AA154" s="250" t="s">
        <v>235</v>
      </c>
      <c r="AB154" s="250" t="s">
        <v>274</v>
      </c>
      <c r="AC154" s="250"/>
      <c r="AD154" s="249">
        <f>S154*V154</f>
        <v>500000</v>
      </c>
      <c r="AE154" s="239" t="s">
        <v>218</v>
      </c>
    </row>
    <row r="155" spans="1:32" s="238" customFormat="1" ht="24" customHeight="1" x14ac:dyDescent="0.15">
      <c r="A155" s="52"/>
      <c r="B155" s="52"/>
      <c r="C155" s="52"/>
      <c r="D155" s="217"/>
      <c r="E155" s="217"/>
      <c r="F155" s="217"/>
      <c r="G155" s="217"/>
      <c r="H155" s="217"/>
      <c r="I155" s="217"/>
      <c r="J155" s="217"/>
      <c r="K155" s="217"/>
      <c r="L155" s="217"/>
      <c r="M155" s="217"/>
      <c r="N155" s="77"/>
      <c r="O155" s="241" t="s">
        <v>97</v>
      </c>
      <c r="P155" s="241"/>
      <c r="Q155" s="241"/>
      <c r="R155" s="241"/>
      <c r="S155" s="47">
        <v>60000</v>
      </c>
      <c r="T155" s="192" t="s">
        <v>218</v>
      </c>
      <c r="U155" s="192" t="s">
        <v>272</v>
      </c>
      <c r="V155" s="47">
        <v>5</v>
      </c>
      <c r="W155" s="56" t="s">
        <v>271</v>
      </c>
      <c r="X155" s="47"/>
      <c r="Y155" s="250"/>
      <c r="Z155" s="250"/>
      <c r="AA155" s="250" t="s">
        <v>235</v>
      </c>
      <c r="AB155" s="250" t="s">
        <v>274</v>
      </c>
      <c r="AC155" s="250"/>
      <c r="AD155" s="249">
        <f>S155*V155</f>
        <v>300000</v>
      </c>
      <c r="AE155" s="239" t="s">
        <v>218</v>
      </c>
    </row>
    <row r="156" spans="1:32" s="238" customFormat="1" ht="24" customHeight="1" x14ac:dyDescent="0.15">
      <c r="A156" s="52"/>
      <c r="B156" s="52"/>
      <c r="C156" s="122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119"/>
      <c r="O156" s="253"/>
      <c r="P156" s="253"/>
      <c r="Q156" s="253"/>
      <c r="R156" s="253"/>
      <c r="S156" s="115"/>
      <c r="T156" s="136"/>
      <c r="U156" s="136"/>
      <c r="V156" s="115"/>
      <c r="W156" s="117"/>
      <c r="X156" s="115"/>
      <c r="Y156" s="253"/>
      <c r="Z156" s="253"/>
      <c r="AA156" s="253"/>
      <c r="AB156" s="253"/>
      <c r="AC156" s="253"/>
      <c r="AD156" s="252"/>
      <c r="AE156" s="251"/>
    </row>
    <row r="157" spans="1:32" s="238" customFormat="1" ht="24" customHeight="1" x14ac:dyDescent="0.15">
      <c r="A157" s="52"/>
      <c r="B157" s="52"/>
      <c r="C157" s="75" t="s">
        <v>73</v>
      </c>
      <c r="D157" s="223">
        <v>260</v>
      </c>
      <c r="E157" s="223">
        <f>SUM(F157:L157)</f>
        <v>310</v>
      </c>
      <c r="F157" s="223">
        <f>SUMIF($AB$158:$AB$162,"보조",$AD$158:$AD$162)/1000</f>
        <v>0</v>
      </c>
      <c r="G157" s="223">
        <f>SUMIF($AB$158:$AB$162,"7종",$AD$158:$AD$162)/1000</f>
        <v>0</v>
      </c>
      <c r="H157" s="223">
        <f>SUMIF($AB$158:$AB$162,"시비",$AD$158:$AD$162)/1000</f>
        <v>0</v>
      </c>
      <c r="I157" s="223">
        <f>SUMIF($AB$158:$AB$162,"후원",$AD$158:$AD$162)/1000</f>
        <v>0</v>
      </c>
      <c r="J157" s="223">
        <f>SUMIF($AB$158:$AB$162,"입소",$AD$158:$AD$162)/1000</f>
        <v>310</v>
      </c>
      <c r="K157" s="223">
        <f>SUMIF($AB$158:$AB$162,"법인",$AD$158:$AD$162)/1000</f>
        <v>0</v>
      </c>
      <c r="L157" s="223">
        <f>SUMIF($AB$158:$AB$162,"잡수",$AD$158:$AD$162)/1000</f>
        <v>0</v>
      </c>
      <c r="M157" s="247">
        <f>E157-D157</f>
        <v>50</v>
      </c>
      <c r="N157" s="135">
        <f>IF(D157=0,0,M157/D157)</f>
        <v>0.19230769230769232</v>
      </c>
      <c r="O157" s="57"/>
      <c r="P157" s="61"/>
      <c r="Q157" s="61"/>
      <c r="R157" s="246"/>
      <c r="S157" s="246"/>
      <c r="T157" s="246"/>
      <c r="U157" s="246"/>
      <c r="V157" s="246"/>
      <c r="W157" s="245" t="s">
        <v>102</v>
      </c>
      <c r="X157" s="245"/>
      <c r="Y157" s="245"/>
      <c r="Z157" s="245"/>
      <c r="AA157" s="245"/>
      <c r="AB157" s="245"/>
      <c r="AC157" s="59"/>
      <c r="AD157" s="59">
        <f>SUM(AD158:AD161)</f>
        <v>310000</v>
      </c>
      <c r="AE157" s="58" t="s">
        <v>218</v>
      </c>
    </row>
    <row r="158" spans="1:32" s="238" customFormat="1" ht="24" customHeight="1" x14ac:dyDescent="0.15">
      <c r="A158" s="52"/>
      <c r="B158" s="52"/>
      <c r="C158" s="52" t="s">
        <v>72</v>
      </c>
      <c r="D158" s="217"/>
      <c r="E158" s="217"/>
      <c r="F158" s="217"/>
      <c r="G158" s="217"/>
      <c r="H158" s="217"/>
      <c r="I158" s="217"/>
      <c r="J158" s="217"/>
      <c r="K158" s="217"/>
      <c r="L158" s="217"/>
      <c r="M158" s="217"/>
      <c r="N158" s="77"/>
      <c r="O158" s="56" t="s">
        <v>83</v>
      </c>
      <c r="P158" s="241"/>
      <c r="Q158" s="241"/>
      <c r="R158" s="241"/>
      <c r="S158" s="47">
        <v>5000</v>
      </c>
      <c r="T158" s="192" t="s">
        <v>218</v>
      </c>
      <c r="U158" s="192" t="s">
        <v>272</v>
      </c>
      <c r="V158" s="47">
        <v>1</v>
      </c>
      <c r="W158" s="56" t="s">
        <v>271</v>
      </c>
      <c r="X158" s="56" t="s">
        <v>272</v>
      </c>
      <c r="Y158" s="191">
        <v>4</v>
      </c>
      <c r="Z158" s="78" t="s">
        <v>226</v>
      </c>
      <c r="AA158" s="250" t="s">
        <v>235</v>
      </c>
      <c r="AB158" s="250" t="s">
        <v>274</v>
      </c>
      <c r="AC158" s="250"/>
      <c r="AD158" s="249">
        <f>S158*V158*Y158</f>
        <v>20000</v>
      </c>
      <c r="AE158" s="239" t="s">
        <v>218</v>
      </c>
    </row>
    <row r="159" spans="1:32" s="238" customFormat="1" ht="24" customHeight="1" x14ac:dyDescent="0.15">
      <c r="A159" s="52"/>
      <c r="B159" s="52"/>
      <c r="C159" s="52"/>
      <c r="D159" s="217"/>
      <c r="E159" s="217"/>
      <c r="F159" s="217"/>
      <c r="G159" s="217"/>
      <c r="H159" s="217"/>
      <c r="I159" s="217"/>
      <c r="J159" s="217"/>
      <c r="K159" s="217"/>
      <c r="L159" s="217"/>
      <c r="M159" s="217"/>
      <c r="N159" s="77"/>
      <c r="O159" s="56" t="s">
        <v>170</v>
      </c>
      <c r="P159" s="241"/>
      <c r="Q159" s="241"/>
      <c r="R159" s="241"/>
      <c r="S159" s="47">
        <v>5000</v>
      </c>
      <c r="T159" s="192" t="s">
        <v>218</v>
      </c>
      <c r="U159" s="192" t="s">
        <v>272</v>
      </c>
      <c r="V159" s="47">
        <v>4</v>
      </c>
      <c r="W159" s="56" t="s">
        <v>271</v>
      </c>
      <c r="X159" s="56" t="s">
        <v>272</v>
      </c>
      <c r="Y159" s="191">
        <v>4</v>
      </c>
      <c r="Z159" s="78" t="s">
        <v>226</v>
      </c>
      <c r="AA159" s="250" t="s">
        <v>235</v>
      </c>
      <c r="AB159" s="250" t="s">
        <v>274</v>
      </c>
      <c r="AC159" s="250"/>
      <c r="AD159" s="249">
        <f>S159*V159*Y159</f>
        <v>80000</v>
      </c>
      <c r="AE159" s="239" t="s">
        <v>218</v>
      </c>
    </row>
    <row r="160" spans="1:32" s="238" customFormat="1" ht="24" customHeight="1" x14ac:dyDescent="0.15">
      <c r="A160" s="52"/>
      <c r="B160" s="52"/>
      <c r="C160" s="52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77"/>
      <c r="O160" s="56" t="s">
        <v>56</v>
      </c>
      <c r="P160" s="241"/>
      <c r="Q160" s="241"/>
      <c r="R160" s="241"/>
      <c r="S160" s="47">
        <v>30000</v>
      </c>
      <c r="T160" s="192" t="s">
        <v>218</v>
      </c>
      <c r="U160" s="192" t="s">
        <v>272</v>
      </c>
      <c r="V160" s="47">
        <v>2</v>
      </c>
      <c r="W160" s="56" t="s">
        <v>226</v>
      </c>
      <c r="X160" s="56"/>
      <c r="Y160" s="191"/>
      <c r="Z160" s="353"/>
      <c r="AA160" s="250" t="s">
        <v>235</v>
      </c>
      <c r="AB160" s="250" t="s">
        <v>274</v>
      </c>
      <c r="AC160" s="250"/>
      <c r="AD160" s="249">
        <f>S160*V160</f>
        <v>60000</v>
      </c>
      <c r="AE160" s="239" t="s">
        <v>218</v>
      </c>
    </row>
    <row r="161" spans="1:31" s="238" customFormat="1" ht="24" customHeight="1" x14ac:dyDescent="0.15">
      <c r="A161" s="52"/>
      <c r="B161" s="52"/>
      <c r="C161" s="52"/>
      <c r="D161" s="217"/>
      <c r="E161" s="217"/>
      <c r="F161" s="217"/>
      <c r="G161" s="217"/>
      <c r="H161" s="217"/>
      <c r="I161" s="217"/>
      <c r="J161" s="217"/>
      <c r="K161" s="217"/>
      <c r="L161" s="217"/>
      <c r="M161" s="217"/>
      <c r="N161" s="77"/>
      <c r="O161" s="56" t="s">
        <v>299</v>
      </c>
      <c r="P161" s="241"/>
      <c r="Q161" s="241"/>
      <c r="R161" s="241"/>
      <c r="S161" s="47">
        <v>30000</v>
      </c>
      <c r="T161" s="192" t="s">
        <v>218</v>
      </c>
      <c r="U161" s="192" t="s">
        <v>272</v>
      </c>
      <c r="V161" s="47">
        <v>5</v>
      </c>
      <c r="W161" s="56" t="s">
        <v>271</v>
      </c>
      <c r="X161" s="56"/>
      <c r="Y161" s="191"/>
      <c r="Z161" s="353"/>
      <c r="AA161" s="250" t="s">
        <v>235</v>
      </c>
      <c r="AB161" s="250" t="s">
        <v>274</v>
      </c>
      <c r="AC161" s="250"/>
      <c r="AD161" s="249">
        <f>S161*V161</f>
        <v>150000</v>
      </c>
      <c r="AE161" s="239" t="s">
        <v>218</v>
      </c>
    </row>
    <row r="162" spans="1:31" s="238" customFormat="1" ht="24" customHeight="1" x14ac:dyDescent="0.15">
      <c r="A162" s="52"/>
      <c r="B162" s="52"/>
      <c r="C162" s="122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119"/>
      <c r="O162" s="117"/>
      <c r="P162" s="117"/>
      <c r="Q162" s="117"/>
      <c r="R162" s="117"/>
      <c r="S162" s="117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4"/>
      <c r="AD162" s="248"/>
      <c r="AE162" s="113"/>
    </row>
    <row r="163" spans="1:31" s="238" customFormat="1" ht="24" customHeight="1" x14ac:dyDescent="0.15">
      <c r="A163" s="52"/>
      <c r="B163" s="52"/>
      <c r="C163" s="75" t="s">
        <v>27</v>
      </c>
      <c r="D163" s="223">
        <v>50</v>
      </c>
      <c r="E163" s="223">
        <f>SUM(F163:L163)</f>
        <v>250</v>
      </c>
      <c r="F163" s="223">
        <f>SUMIF($AB$164:$AB$165,"보조",$AD$164:$AD$165)/1000</f>
        <v>0</v>
      </c>
      <c r="G163" s="223">
        <f>SUMIF($AB$164:$AB$165,"7종",$AD$164:$AD$165)/1000</f>
        <v>0</v>
      </c>
      <c r="H163" s="223">
        <f>SUMIF($AB$164:$AB$165,"시비",$AD$164:$AD$165)/1000</f>
        <v>0</v>
      </c>
      <c r="I163" s="223">
        <f>SUMIF($AB$164:$AB$165,"후원",$AD$164:$AD$165)/1000</f>
        <v>0</v>
      </c>
      <c r="J163" s="223">
        <f>SUMIF($AB$164:$AB$165,"입소",$AD$164:$AD$165)/1000</f>
        <v>250</v>
      </c>
      <c r="K163" s="223">
        <f>SUMIF($AB$164:$AB$165,"법인",$AD$164:$AD$165)/1000</f>
        <v>0</v>
      </c>
      <c r="L163" s="223">
        <f>SUMIF($AB$164:$AB$165,"잡수",$AD$164:$AD$165)/1000</f>
        <v>0</v>
      </c>
      <c r="M163" s="247">
        <f>E163-D163</f>
        <v>200</v>
      </c>
      <c r="N163" s="135">
        <f>IF(D163=0,0,M163/D163)</f>
        <v>4</v>
      </c>
      <c r="O163" s="87"/>
      <c r="P163" s="87"/>
      <c r="Q163" s="87"/>
      <c r="R163" s="87"/>
      <c r="S163" s="87"/>
      <c r="T163" s="86"/>
      <c r="U163" s="86"/>
      <c r="V163" s="86"/>
      <c r="W163" s="245" t="s">
        <v>102</v>
      </c>
      <c r="X163" s="245"/>
      <c r="Y163" s="245"/>
      <c r="Z163" s="245"/>
      <c r="AA163" s="245"/>
      <c r="AB163" s="245"/>
      <c r="AC163" s="59"/>
      <c r="AD163" s="59">
        <f>SUM(AD164:AD165)</f>
        <v>250000</v>
      </c>
      <c r="AE163" s="58" t="s">
        <v>218</v>
      </c>
    </row>
    <row r="164" spans="1:31" s="238" customFormat="1" ht="24" customHeight="1" x14ac:dyDescent="0.15">
      <c r="A164" s="52"/>
      <c r="B164" s="52"/>
      <c r="C164" s="52" t="s">
        <v>214</v>
      </c>
      <c r="D164" s="217"/>
      <c r="E164" s="217"/>
      <c r="F164" s="217"/>
      <c r="G164" s="217"/>
      <c r="H164" s="217"/>
      <c r="I164" s="217"/>
      <c r="J164" s="217"/>
      <c r="K164" s="217"/>
      <c r="L164" s="217"/>
      <c r="M164" s="217"/>
      <c r="N164" s="77"/>
      <c r="O164" s="56" t="s">
        <v>92</v>
      </c>
      <c r="P164" s="56"/>
      <c r="Q164" s="56"/>
      <c r="R164" s="56"/>
      <c r="S164" s="47">
        <v>50000</v>
      </c>
      <c r="T164" s="47" t="s">
        <v>218</v>
      </c>
      <c r="U164" s="56" t="s">
        <v>272</v>
      </c>
      <c r="V164" s="47">
        <v>5</v>
      </c>
      <c r="W164" s="47" t="s">
        <v>271</v>
      </c>
      <c r="X164" s="56" t="s">
        <v>272</v>
      </c>
      <c r="Y164" s="191">
        <v>1</v>
      </c>
      <c r="Z164" s="78" t="s">
        <v>226</v>
      </c>
      <c r="AA164" s="78" t="s">
        <v>235</v>
      </c>
      <c r="AB164" s="47" t="s">
        <v>274</v>
      </c>
      <c r="AC164" s="55"/>
      <c r="AD164" s="47">
        <f>S164*V164</f>
        <v>250000</v>
      </c>
      <c r="AE164" s="46" t="s">
        <v>218</v>
      </c>
    </row>
    <row r="165" spans="1:31" s="238" customFormat="1" ht="24" customHeight="1" x14ac:dyDescent="0.15">
      <c r="A165" s="52"/>
      <c r="B165" s="52"/>
      <c r="C165" s="52"/>
      <c r="D165" s="217"/>
      <c r="E165" s="217"/>
      <c r="F165" s="217"/>
      <c r="G165" s="217"/>
      <c r="H165" s="217"/>
      <c r="I165" s="217"/>
      <c r="J165" s="217"/>
      <c r="K165" s="217"/>
      <c r="L165" s="217"/>
      <c r="M165" s="217"/>
      <c r="N165" s="77"/>
      <c r="O165" s="241"/>
      <c r="P165" s="80"/>
      <c r="Q165" s="80"/>
      <c r="R165" s="244"/>
      <c r="S165" s="47"/>
      <c r="T165" s="47"/>
      <c r="U165" s="56"/>
      <c r="V165" s="47"/>
      <c r="W165" s="47"/>
      <c r="X165" s="56"/>
      <c r="Y165" s="191"/>
      <c r="Z165" s="78"/>
      <c r="AA165" s="78"/>
      <c r="AB165" s="47"/>
      <c r="AC165" s="55"/>
      <c r="AD165" s="47"/>
      <c r="AE165" s="46"/>
    </row>
    <row r="166" spans="1:31" s="238" customFormat="1" ht="24" customHeight="1" x14ac:dyDescent="0.15">
      <c r="A166" s="52"/>
      <c r="B166" s="52"/>
      <c r="C166" s="75" t="s">
        <v>234</v>
      </c>
      <c r="D166" s="223">
        <v>500</v>
      </c>
      <c r="E166" s="223">
        <f>SUM(F166:L166)</f>
        <v>700</v>
      </c>
      <c r="F166" s="223">
        <f>SUMIF($AB$168:$AB$170,"보조",$AD$168:$AD$170)/1000</f>
        <v>0</v>
      </c>
      <c r="G166" s="223">
        <f>SUMIF($AB$168:$AB$170,"7종",$AD$168:$AD$170)/1000</f>
        <v>0</v>
      </c>
      <c r="H166" s="223">
        <f>SUMIF($AB$168:$AB$170,"시비",$AD$168:$AD$170)/1000</f>
        <v>0</v>
      </c>
      <c r="I166" s="223">
        <f>SUMIF($AB$168:$AB$170,"후원",$AD$168:$AD$170)/1000</f>
        <v>0</v>
      </c>
      <c r="J166" s="223">
        <f>SUMIF($AB$167:$AB$170,"입소",$AD$167:$AD$170)/1000</f>
        <v>700</v>
      </c>
      <c r="K166" s="223">
        <f>SUMIF($AB$168:$AB$170,"법인",$AD$168:$AD$170)/1000</f>
        <v>0</v>
      </c>
      <c r="L166" s="223">
        <f>SUMIF($AB$168:$AB$170,"잡수",$AD$168:$AD$170)/1000</f>
        <v>0</v>
      </c>
      <c r="M166" s="247">
        <f>E166-D166</f>
        <v>200</v>
      </c>
      <c r="N166" s="135">
        <f>IF(D166=0,0,M166/D166)</f>
        <v>0.4</v>
      </c>
      <c r="O166" s="57"/>
      <c r="P166" s="61"/>
      <c r="Q166" s="61"/>
      <c r="R166" s="246"/>
      <c r="S166" s="246"/>
      <c r="T166" s="246"/>
      <c r="U166" s="246"/>
      <c r="V166" s="246"/>
      <c r="W166" s="245" t="s">
        <v>102</v>
      </c>
      <c r="X166" s="245"/>
      <c r="Y166" s="245"/>
      <c r="Z166" s="245"/>
      <c r="AA166" s="245"/>
      <c r="AB166" s="245"/>
      <c r="AC166" s="59"/>
      <c r="AD166" s="59">
        <f>SUM(AD167:AD169)</f>
        <v>700000</v>
      </c>
      <c r="AE166" s="58" t="s">
        <v>218</v>
      </c>
    </row>
    <row r="167" spans="1:31" s="238" customFormat="1" ht="24" customHeight="1" x14ac:dyDescent="0.15">
      <c r="A167" s="52"/>
      <c r="B167" s="52"/>
      <c r="C167" s="52" t="s">
        <v>46</v>
      </c>
      <c r="D167" s="300"/>
      <c r="E167" s="300"/>
      <c r="F167" s="300"/>
      <c r="G167" s="300"/>
      <c r="H167" s="300"/>
      <c r="I167" s="300"/>
      <c r="J167" s="300"/>
      <c r="K167" s="300"/>
      <c r="L167" s="300"/>
      <c r="M167" s="217"/>
      <c r="N167" s="77"/>
      <c r="O167" s="56" t="s">
        <v>59</v>
      </c>
      <c r="P167" s="80"/>
      <c r="Q167" s="80"/>
      <c r="R167" s="244"/>
      <c r="S167" s="47">
        <v>100000</v>
      </c>
      <c r="T167" s="192" t="s">
        <v>218</v>
      </c>
      <c r="U167" s="192" t="s">
        <v>272</v>
      </c>
      <c r="V167" s="47">
        <v>1</v>
      </c>
      <c r="W167" s="56" t="s">
        <v>226</v>
      </c>
      <c r="X167" s="47"/>
      <c r="Y167" s="241"/>
      <c r="Z167" s="241" t="s">
        <v>235</v>
      </c>
      <c r="AA167" s="241"/>
      <c r="AB167" s="241" t="s">
        <v>274</v>
      </c>
      <c r="AC167" s="241"/>
      <c r="AD167" s="240">
        <f>S167*V167</f>
        <v>100000</v>
      </c>
      <c r="AE167" s="239" t="s">
        <v>218</v>
      </c>
    </row>
    <row r="168" spans="1:31" s="238" customFormat="1" ht="24" customHeight="1" x14ac:dyDescent="0.15">
      <c r="A168" s="52"/>
      <c r="B168" s="52"/>
      <c r="C168" s="52"/>
      <c r="D168" s="217"/>
      <c r="E168" s="217"/>
      <c r="F168" s="217"/>
      <c r="G168" s="217"/>
      <c r="H168" s="217"/>
      <c r="I168" s="217"/>
      <c r="J168" s="217"/>
      <c r="K168" s="217"/>
      <c r="L168" s="217"/>
      <c r="M168" s="217"/>
      <c r="N168" s="77"/>
      <c r="O168" s="56" t="s">
        <v>40</v>
      </c>
      <c r="P168" s="80"/>
      <c r="Q168" s="80"/>
      <c r="R168" s="244"/>
      <c r="S168" s="47">
        <v>500000</v>
      </c>
      <c r="T168" s="192" t="s">
        <v>218</v>
      </c>
      <c r="U168" s="192" t="s">
        <v>272</v>
      </c>
      <c r="V168" s="47">
        <v>1</v>
      </c>
      <c r="W168" s="56" t="s">
        <v>226</v>
      </c>
      <c r="X168" s="47"/>
      <c r="Y168" s="241"/>
      <c r="Z168" s="241" t="s">
        <v>235</v>
      </c>
      <c r="AA168" s="241"/>
      <c r="AB168" s="241" t="s">
        <v>274</v>
      </c>
      <c r="AC168" s="241"/>
      <c r="AD168" s="240">
        <f>S168*V168</f>
        <v>500000</v>
      </c>
      <c r="AE168" s="239" t="s">
        <v>218</v>
      </c>
    </row>
    <row r="169" spans="1:31" s="238" customFormat="1" ht="24" customHeight="1" x14ac:dyDescent="0.15">
      <c r="A169" s="52"/>
      <c r="B169" s="52"/>
      <c r="C169" s="52"/>
      <c r="D169" s="217"/>
      <c r="E169" s="217"/>
      <c r="F169" s="217"/>
      <c r="G169" s="217"/>
      <c r="H169" s="217"/>
      <c r="I169" s="217"/>
      <c r="J169" s="217"/>
      <c r="K169" s="217"/>
      <c r="L169" s="217"/>
      <c r="M169" s="217"/>
      <c r="N169" s="77"/>
      <c r="O169" s="56" t="s">
        <v>147</v>
      </c>
      <c r="P169" s="80"/>
      <c r="Q169" s="80"/>
      <c r="R169" s="244"/>
      <c r="S169" s="47"/>
      <c r="T169" s="192"/>
      <c r="U169" s="192"/>
      <c r="V169" s="47"/>
      <c r="W169" s="56"/>
      <c r="X169" s="47"/>
      <c r="Y169" s="241"/>
      <c r="Z169" s="241"/>
      <c r="AA169" s="241"/>
      <c r="AB169" s="241" t="s">
        <v>274</v>
      </c>
      <c r="AC169" s="241"/>
      <c r="AD169" s="240">
        <v>100000</v>
      </c>
      <c r="AE169" s="239" t="s">
        <v>218</v>
      </c>
    </row>
    <row r="170" spans="1:31" s="238" customFormat="1" ht="24" customHeight="1" x14ac:dyDescent="0.15">
      <c r="A170" s="52"/>
      <c r="B170" s="52"/>
      <c r="C170" s="122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119"/>
      <c r="O170" s="117"/>
      <c r="P170" s="222"/>
      <c r="Q170" s="222"/>
      <c r="R170" s="242"/>
      <c r="S170" s="47"/>
      <c r="T170" s="242"/>
      <c r="U170" s="192"/>
      <c r="V170" s="47"/>
      <c r="W170" s="56"/>
      <c r="X170" s="47"/>
      <c r="Y170" s="241"/>
      <c r="Z170" s="241"/>
      <c r="AA170" s="241"/>
      <c r="AB170" s="241"/>
      <c r="AC170" s="114"/>
      <c r="AD170" s="240"/>
      <c r="AE170" s="239"/>
    </row>
    <row r="171" spans="1:31" s="36" customFormat="1" ht="21" customHeight="1" x14ac:dyDescent="0.15">
      <c r="A171" s="237" t="s">
        <v>261</v>
      </c>
      <c r="B171" s="421" t="s">
        <v>70</v>
      </c>
      <c r="C171" s="422"/>
      <c r="D171" s="234">
        <v>16</v>
      </c>
      <c r="E171" s="234">
        <f>SUM(E172)</f>
        <v>20</v>
      </c>
      <c r="F171" s="234">
        <f>SUM(F172)</f>
        <v>20</v>
      </c>
      <c r="G171" s="234">
        <f t="shared" ref="G171:L171" si="10">SUM(G172)</f>
        <v>0</v>
      </c>
      <c r="H171" s="234">
        <f t="shared" si="10"/>
        <v>0</v>
      </c>
      <c r="I171" s="234">
        <f t="shared" si="10"/>
        <v>0</v>
      </c>
      <c r="J171" s="234">
        <f t="shared" si="10"/>
        <v>0</v>
      </c>
      <c r="K171" s="234">
        <f t="shared" si="10"/>
        <v>0</v>
      </c>
      <c r="L171" s="234">
        <f t="shared" si="10"/>
        <v>0</v>
      </c>
      <c r="M171" s="234">
        <f>E171-D171</f>
        <v>4</v>
      </c>
      <c r="N171" s="233">
        <f>IF(D171=0,0,M171/D171)</f>
        <v>0.25</v>
      </c>
      <c r="O171" s="62" t="s">
        <v>61</v>
      </c>
      <c r="P171" s="232"/>
      <c r="Q171" s="232"/>
      <c r="R171" s="232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>
        <f>SUM(AD172)</f>
        <v>20000</v>
      </c>
      <c r="AE171" s="231" t="s">
        <v>218</v>
      </c>
    </row>
    <row r="172" spans="1:31" s="36" customFormat="1" ht="21" customHeight="1" x14ac:dyDescent="0.15">
      <c r="A172" s="236" t="s">
        <v>254</v>
      </c>
      <c r="B172" s="52" t="s">
        <v>261</v>
      </c>
      <c r="C172" s="52" t="s">
        <v>261</v>
      </c>
      <c r="D172" s="223">
        <v>16</v>
      </c>
      <c r="E172" s="223">
        <f>SUM(F172:L172)</f>
        <v>20</v>
      </c>
      <c r="F172" s="223">
        <f>SUMIF($AB$173:$AB$177,"보조",$AD$173:$AD$177)/1000</f>
        <v>20</v>
      </c>
      <c r="G172" s="223">
        <f>SUMIF($AB$173:$AB$177,"7종",$AD$173:$AD$177)/1000</f>
        <v>0</v>
      </c>
      <c r="H172" s="223">
        <f>SUMIF($AB$173:$AB$177,"시비",$AD$173:$AD$177)/1000</f>
        <v>0</v>
      </c>
      <c r="I172" s="223">
        <f>SUMIF($AB$173:$AB$177,"후원",$AD$173:$AD$177)/1000</f>
        <v>0</v>
      </c>
      <c r="J172" s="223">
        <f>SUMIF($AB$173:$AB$177,"입소",$AD$173:$AD$177)/1000</f>
        <v>0</v>
      </c>
      <c r="K172" s="223">
        <f>SUMIF($AB$173:$AB$177,"법인",$AD$173:$AD$177)/1000</f>
        <v>0</v>
      </c>
      <c r="L172" s="223">
        <f>SUMIF($AB$173:$AB$177,"잡수",$AD$173:$AD$177)/1000</f>
        <v>0</v>
      </c>
      <c r="M172" s="217">
        <f>E172-D172</f>
        <v>4</v>
      </c>
      <c r="N172" s="77">
        <f>IF(D172=0,0,M172/D172)</f>
        <v>0.25</v>
      </c>
      <c r="O172" s="222" t="s">
        <v>311</v>
      </c>
      <c r="P172" s="80"/>
      <c r="Q172" s="80"/>
      <c r="R172" s="80"/>
      <c r="S172" s="80"/>
      <c r="T172" s="79"/>
      <c r="U172" s="79"/>
      <c r="V172" s="79"/>
      <c r="W172" s="79"/>
      <c r="X172" s="79"/>
      <c r="Y172" s="221" t="s">
        <v>223</v>
      </c>
      <c r="Z172" s="220"/>
      <c r="AA172" s="220"/>
      <c r="AB172" s="220"/>
      <c r="AC172" s="219"/>
      <c r="AD172" s="219">
        <f>ROUNDUP(SUM(AD173:AD176),-3)</f>
        <v>20000</v>
      </c>
      <c r="AE172" s="218" t="s">
        <v>218</v>
      </c>
    </row>
    <row r="173" spans="1:31" ht="21" customHeight="1" x14ac:dyDescent="0.15">
      <c r="A173" s="101"/>
      <c r="B173" s="52" t="s">
        <v>254</v>
      </c>
      <c r="C173" s="52" t="s">
        <v>254</v>
      </c>
      <c r="D173" s="217"/>
      <c r="E173" s="217"/>
      <c r="F173" s="217"/>
      <c r="G173" s="217"/>
      <c r="H173" s="217"/>
      <c r="I173" s="217"/>
      <c r="J173" s="217"/>
      <c r="K173" s="217"/>
      <c r="L173" s="217"/>
      <c r="M173" s="217"/>
      <c r="N173" s="77"/>
      <c r="O173" s="56" t="s">
        <v>292</v>
      </c>
      <c r="P173" s="56"/>
      <c r="Q173" s="56"/>
      <c r="R173" s="56"/>
      <c r="S173" s="47"/>
      <c r="T173" s="47"/>
      <c r="U173" s="47"/>
      <c r="V173" s="47"/>
      <c r="W173" s="47"/>
      <c r="X173" s="47"/>
      <c r="Y173" s="47"/>
      <c r="Z173" s="47"/>
      <c r="AA173" s="47"/>
      <c r="AB173" s="47" t="s">
        <v>269</v>
      </c>
      <c r="AC173" s="47"/>
      <c r="AD173" s="55">
        <v>0</v>
      </c>
      <c r="AE173" s="46" t="s">
        <v>218</v>
      </c>
    </row>
    <row r="174" spans="1:31" ht="21" customHeight="1" x14ac:dyDescent="0.15">
      <c r="A174" s="101"/>
      <c r="B174" s="52"/>
      <c r="C174" s="52"/>
      <c r="D174" s="217"/>
      <c r="E174" s="217"/>
      <c r="F174" s="217"/>
      <c r="G174" s="217"/>
      <c r="H174" s="217"/>
      <c r="I174" s="217"/>
      <c r="J174" s="217"/>
      <c r="K174" s="217"/>
      <c r="L174" s="217"/>
      <c r="M174" s="217"/>
      <c r="N174" s="77"/>
      <c r="O174" s="56" t="s">
        <v>316</v>
      </c>
      <c r="P174" s="56"/>
      <c r="Q174" s="56"/>
      <c r="R174" s="56"/>
      <c r="S174" s="47"/>
      <c r="T174" s="47"/>
      <c r="U174" s="47"/>
      <c r="V174" s="47"/>
      <c r="W174" s="47"/>
      <c r="X174" s="47"/>
      <c r="Y174" s="47"/>
      <c r="Z174" s="47"/>
      <c r="AA174" s="47"/>
      <c r="AB174" s="47" t="s">
        <v>269</v>
      </c>
      <c r="AC174" s="47"/>
      <c r="AD174" s="55">
        <v>20000</v>
      </c>
      <c r="AE174" s="46" t="s">
        <v>218</v>
      </c>
    </row>
    <row r="175" spans="1:31" ht="21" customHeight="1" x14ac:dyDescent="0.15">
      <c r="A175" s="101"/>
      <c r="B175" s="52"/>
      <c r="C175" s="52"/>
      <c r="D175" s="217"/>
      <c r="E175" s="217"/>
      <c r="F175" s="217"/>
      <c r="G175" s="217"/>
      <c r="H175" s="217"/>
      <c r="I175" s="217"/>
      <c r="J175" s="217"/>
      <c r="K175" s="217"/>
      <c r="L175" s="217"/>
      <c r="M175" s="217"/>
      <c r="N175" s="77"/>
      <c r="O175" s="56" t="s">
        <v>208</v>
      </c>
      <c r="P175" s="56"/>
      <c r="Q175" s="56"/>
      <c r="R175" s="56"/>
      <c r="S175" s="47"/>
      <c r="T175" s="47"/>
      <c r="U175" s="47"/>
      <c r="V175" s="47"/>
      <c r="W175" s="47"/>
      <c r="X175" s="47"/>
      <c r="Y175" s="47"/>
      <c r="Z175" s="47"/>
      <c r="AA175" s="47"/>
      <c r="AB175" s="47" t="s">
        <v>262</v>
      </c>
      <c r="AC175" s="47"/>
      <c r="AD175" s="55">
        <v>0</v>
      </c>
      <c r="AE175" s="46" t="s">
        <v>218</v>
      </c>
    </row>
    <row r="176" spans="1:31" ht="21" customHeight="1" x14ac:dyDescent="0.15">
      <c r="A176" s="101"/>
      <c r="B176" s="52"/>
      <c r="C176" s="52"/>
      <c r="D176" s="217"/>
      <c r="E176" s="217"/>
      <c r="F176" s="217"/>
      <c r="G176" s="217"/>
      <c r="H176" s="217"/>
      <c r="I176" s="217"/>
      <c r="J176" s="217"/>
      <c r="K176" s="217"/>
      <c r="L176" s="217"/>
      <c r="M176" s="217"/>
      <c r="N176" s="77"/>
      <c r="O176" s="56" t="s">
        <v>295</v>
      </c>
      <c r="P176" s="56"/>
      <c r="Q176" s="56"/>
      <c r="R176" s="56"/>
      <c r="S176" s="47"/>
      <c r="T176" s="47"/>
      <c r="U176" s="47"/>
      <c r="V176" s="47"/>
      <c r="W176" s="47"/>
      <c r="X176" s="47"/>
      <c r="Y176" s="47"/>
      <c r="Z176" s="47"/>
      <c r="AA176" s="47"/>
      <c r="AB176" s="47" t="s">
        <v>262</v>
      </c>
      <c r="AC176" s="47"/>
      <c r="AD176" s="55">
        <v>0</v>
      </c>
      <c r="AE176" s="46" t="s">
        <v>218</v>
      </c>
    </row>
    <row r="177" spans="1:31" s="235" customFormat="1" ht="21" customHeight="1" x14ac:dyDescent="0.15">
      <c r="A177" s="101"/>
      <c r="B177" s="122"/>
      <c r="C177" s="194"/>
      <c r="D177" s="217"/>
      <c r="E177" s="217"/>
      <c r="F177" s="217"/>
      <c r="G177" s="217"/>
      <c r="H177" s="217"/>
      <c r="I177" s="217"/>
      <c r="J177" s="217"/>
      <c r="K177" s="217"/>
      <c r="L177" s="217"/>
      <c r="M177" s="217"/>
      <c r="N177" s="77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47"/>
      <c r="AE177" s="46"/>
    </row>
    <row r="178" spans="1:31" s="36" customFormat="1" ht="21" customHeight="1" x14ac:dyDescent="0.15">
      <c r="A178" s="129" t="s">
        <v>275</v>
      </c>
      <c r="B178" s="421" t="s">
        <v>70</v>
      </c>
      <c r="C178" s="422"/>
      <c r="D178" s="234">
        <v>0</v>
      </c>
      <c r="E178" s="234">
        <f>E179</f>
        <v>0</v>
      </c>
      <c r="F178" s="234">
        <f>F179</f>
        <v>0</v>
      </c>
      <c r="G178" s="234">
        <f t="shared" ref="G178:L178" si="11">G179</f>
        <v>0</v>
      </c>
      <c r="H178" s="234">
        <f t="shared" si="11"/>
        <v>0</v>
      </c>
      <c r="I178" s="234">
        <f t="shared" si="11"/>
        <v>0</v>
      </c>
      <c r="J178" s="234">
        <f t="shared" si="11"/>
        <v>0</v>
      </c>
      <c r="K178" s="234">
        <f t="shared" si="11"/>
        <v>0</v>
      </c>
      <c r="L178" s="234">
        <f t="shared" si="11"/>
        <v>0</v>
      </c>
      <c r="M178" s="234">
        <f>E178-D178</f>
        <v>0</v>
      </c>
      <c r="N178" s="233">
        <f>IF(D178=0,0,M178/D178)</f>
        <v>0</v>
      </c>
      <c r="O178" s="232" t="s">
        <v>275</v>
      </c>
      <c r="P178" s="232"/>
      <c r="Q178" s="232"/>
      <c r="R178" s="232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>
        <f>SUM(AD179)</f>
        <v>0</v>
      </c>
      <c r="AE178" s="231" t="s">
        <v>218</v>
      </c>
    </row>
    <row r="179" spans="1:31" s="36" customFormat="1" ht="21" customHeight="1" x14ac:dyDescent="0.15">
      <c r="A179" s="101"/>
      <c r="B179" s="52" t="s">
        <v>275</v>
      </c>
      <c r="C179" s="52" t="s">
        <v>275</v>
      </c>
      <c r="D179" s="223">
        <v>0</v>
      </c>
      <c r="E179" s="223">
        <f>SUM(F179:L179)</f>
        <v>0</v>
      </c>
      <c r="F179" s="223">
        <f>SUMIF($AB$180:$AB$180,"보조",$AD$180:$AD$180)/1000</f>
        <v>0</v>
      </c>
      <c r="G179" s="223">
        <f>SUMIF($AB$180:$AB$180,"7종",$AD$180:$AD$180)/1000</f>
        <v>0</v>
      </c>
      <c r="H179" s="223">
        <f>SUMIF($AB$180:$AB$180,"시비",$AD$180:$AD$180)/1000</f>
        <v>0</v>
      </c>
      <c r="I179" s="223">
        <f>SUMIF($AB$180:$AB$180,"후원",$AD$180:$AD$180)/1000</f>
        <v>0</v>
      </c>
      <c r="J179" s="223">
        <f>SUMIF($AB$180:$AB$180,"입소",$AD$180:$AD$180)/1000</f>
        <v>0</v>
      </c>
      <c r="K179" s="223">
        <f>SUMIF($AB$180:$AB$180,"법인",$AD$180:$AD$180)/1000</f>
        <v>0</v>
      </c>
      <c r="L179" s="223">
        <f>SUMIF($AB$180:$AB$180,"잡수",$AD$180:$AD$180)/1000</f>
        <v>0</v>
      </c>
      <c r="M179" s="217">
        <f>E179-D179</f>
        <v>0</v>
      </c>
      <c r="N179" s="77">
        <f>IF(D179=0,0,M179/D179)</f>
        <v>0</v>
      </c>
      <c r="O179" s="222" t="s">
        <v>64</v>
      </c>
      <c r="P179" s="80"/>
      <c r="Q179" s="80"/>
      <c r="R179" s="80"/>
      <c r="S179" s="80"/>
      <c r="T179" s="79"/>
      <c r="U179" s="79"/>
      <c r="V179" s="79"/>
      <c r="W179" s="79"/>
      <c r="X179" s="79"/>
      <c r="Y179" s="221" t="s">
        <v>223</v>
      </c>
      <c r="Z179" s="220"/>
      <c r="AA179" s="220"/>
      <c r="AB179" s="220"/>
      <c r="AC179" s="219"/>
      <c r="AD179" s="219">
        <v>0</v>
      </c>
      <c r="AE179" s="218" t="s">
        <v>218</v>
      </c>
    </row>
    <row r="180" spans="1:31" s="29" customFormat="1" ht="21" customHeight="1" x14ac:dyDescent="0.15">
      <c r="A180" s="216"/>
      <c r="B180" s="52"/>
      <c r="C180" s="52"/>
      <c r="D180" s="217"/>
      <c r="E180" s="217"/>
      <c r="F180" s="217"/>
      <c r="G180" s="217"/>
      <c r="H180" s="217"/>
      <c r="I180" s="217"/>
      <c r="J180" s="217"/>
      <c r="K180" s="217"/>
      <c r="L180" s="217"/>
      <c r="M180" s="217"/>
      <c r="N180" s="77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230"/>
    </row>
    <row r="181" spans="1:31" s="36" customFormat="1" ht="21" customHeight="1" x14ac:dyDescent="0.15">
      <c r="A181" s="129" t="s">
        <v>239</v>
      </c>
      <c r="B181" s="419" t="s">
        <v>70</v>
      </c>
      <c r="C181" s="420"/>
      <c r="D181" s="229">
        <v>66</v>
      </c>
      <c r="E181" s="229">
        <f>SUM(E182)</f>
        <v>9</v>
      </c>
      <c r="F181" s="229">
        <f>SUM(F182)</f>
        <v>0</v>
      </c>
      <c r="G181" s="229">
        <f t="shared" ref="G181:L181" si="12">SUM(G182)</f>
        <v>0</v>
      </c>
      <c r="H181" s="229">
        <f t="shared" si="12"/>
        <v>0</v>
      </c>
      <c r="I181" s="229">
        <f t="shared" si="12"/>
        <v>1</v>
      </c>
      <c r="J181" s="229">
        <f t="shared" si="12"/>
        <v>5</v>
      </c>
      <c r="K181" s="229">
        <f t="shared" si="12"/>
        <v>1</v>
      </c>
      <c r="L181" s="229">
        <f t="shared" si="12"/>
        <v>2</v>
      </c>
      <c r="M181" s="229">
        <f>E181-D181</f>
        <v>-57</v>
      </c>
      <c r="N181" s="228">
        <f>IF(D181=0,0,M181/D181)</f>
        <v>-0.86363636363636365</v>
      </c>
      <c r="O181" s="227" t="s">
        <v>239</v>
      </c>
      <c r="P181" s="226"/>
      <c r="Q181" s="226"/>
      <c r="R181" s="226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>
        <f>AD182</f>
        <v>9000</v>
      </c>
      <c r="AE181" s="224" t="s">
        <v>218</v>
      </c>
    </row>
    <row r="182" spans="1:31" s="36" customFormat="1" ht="21" customHeight="1" x14ac:dyDescent="0.15">
      <c r="A182" s="101"/>
      <c r="B182" s="52" t="s">
        <v>239</v>
      </c>
      <c r="C182" s="52" t="s">
        <v>239</v>
      </c>
      <c r="D182" s="223">
        <v>66</v>
      </c>
      <c r="E182" s="223">
        <f>SUM(F182:L182)</f>
        <v>9</v>
      </c>
      <c r="F182" s="223">
        <f>SUMIF($AB$183:$AB$191,"보조",$AD$183:$AD$191)/1000</f>
        <v>0</v>
      </c>
      <c r="G182" s="223">
        <f>SUMIF($AB$183:$AB$191,"7종",$AD$183:$AD$191)/1000</f>
        <v>0</v>
      </c>
      <c r="H182" s="223">
        <f>SUMIF($AB$183:$AB$191,"시비",$AD$183:$AD$191)/1000</f>
        <v>0</v>
      </c>
      <c r="I182" s="223">
        <f>SUMIF($AB$183:$AB$191,"후원",$AD$183:$AD$191)/1000</f>
        <v>1</v>
      </c>
      <c r="J182" s="223">
        <f>SUMIF($AB$183:$AB$191,"입소",$AD$183:$AD$191)/1000</f>
        <v>5</v>
      </c>
      <c r="K182" s="223">
        <f>SUMIF($AB$183:$AB$191,"법인",$AD$183:$AD$191)/1000</f>
        <v>1</v>
      </c>
      <c r="L182" s="223">
        <f>SUMIF($AB$183:$AB$191,"잡수",$AD$183:$AD$191)/1000</f>
        <v>2</v>
      </c>
      <c r="M182" s="217">
        <f>E182-D182</f>
        <v>-57</v>
      </c>
      <c r="N182" s="77">
        <f>IF(D182=0,0,M182/D182)</f>
        <v>-0.86363636363636365</v>
      </c>
      <c r="O182" s="222" t="s">
        <v>58</v>
      </c>
      <c r="P182" s="80"/>
      <c r="Q182" s="80"/>
      <c r="R182" s="80"/>
      <c r="S182" s="80"/>
      <c r="T182" s="79"/>
      <c r="U182" s="79"/>
      <c r="V182" s="79"/>
      <c r="W182" s="79"/>
      <c r="X182" s="79"/>
      <c r="Y182" s="221" t="s">
        <v>223</v>
      </c>
      <c r="Z182" s="220"/>
      <c r="AA182" s="220"/>
      <c r="AB182" s="220"/>
      <c r="AC182" s="219"/>
      <c r="AD182" s="219">
        <f>SUM(AD183:AD191)</f>
        <v>9000</v>
      </c>
      <c r="AE182" s="218" t="s">
        <v>218</v>
      </c>
    </row>
    <row r="183" spans="1:31" s="36" customFormat="1" ht="21" customHeight="1" x14ac:dyDescent="0.15">
      <c r="A183" s="101"/>
      <c r="B183" s="52"/>
      <c r="C183" s="52"/>
      <c r="D183" s="217"/>
      <c r="E183" s="217"/>
      <c r="F183" s="217"/>
      <c r="G183" s="217"/>
      <c r="H183" s="217"/>
      <c r="I183" s="217"/>
      <c r="J183" s="217"/>
      <c r="K183" s="217"/>
      <c r="L183" s="217"/>
      <c r="M183" s="217"/>
      <c r="N183" s="77"/>
      <c r="O183" s="56" t="s">
        <v>288</v>
      </c>
      <c r="P183" s="56"/>
      <c r="Q183" s="56"/>
      <c r="R183" s="56"/>
      <c r="S183" s="56"/>
      <c r="T183" s="47"/>
      <c r="U183" s="47"/>
      <c r="V183" s="47"/>
      <c r="W183" s="47"/>
      <c r="X183" s="47"/>
      <c r="Y183" s="47"/>
      <c r="Z183" s="47"/>
      <c r="AA183" s="47"/>
      <c r="AB183" s="47" t="s">
        <v>221</v>
      </c>
      <c r="AC183" s="55"/>
      <c r="AD183" s="55">
        <v>1000</v>
      </c>
      <c r="AE183" s="46" t="s">
        <v>218</v>
      </c>
    </row>
    <row r="184" spans="1:31" s="36" customFormat="1" ht="21" customHeight="1" x14ac:dyDescent="0.15">
      <c r="A184" s="101"/>
      <c r="B184" s="52"/>
      <c r="C184" s="52"/>
      <c r="D184" s="217"/>
      <c r="E184" s="217"/>
      <c r="F184" s="217"/>
      <c r="G184" s="217"/>
      <c r="H184" s="217"/>
      <c r="I184" s="217"/>
      <c r="J184" s="217"/>
      <c r="K184" s="217"/>
      <c r="L184" s="217"/>
      <c r="M184" s="217"/>
      <c r="N184" s="77"/>
      <c r="O184" s="56" t="s">
        <v>276</v>
      </c>
      <c r="P184" s="56"/>
      <c r="Q184" s="56"/>
      <c r="R184" s="56"/>
      <c r="S184" s="56"/>
      <c r="T184" s="47"/>
      <c r="U184" s="47"/>
      <c r="V184" s="47"/>
      <c r="W184" s="47"/>
      <c r="X184" s="47"/>
      <c r="Y184" s="47"/>
      <c r="Z184" s="47"/>
      <c r="AA184" s="47"/>
      <c r="AB184" s="47" t="s">
        <v>221</v>
      </c>
      <c r="AC184" s="55"/>
      <c r="AD184" s="55">
        <v>0</v>
      </c>
      <c r="AE184" s="46" t="s">
        <v>218</v>
      </c>
    </row>
    <row r="185" spans="1:31" s="36" customFormat="1" ht="21" customHeight="1" x14ac:dyDescent="0.15">
      <c r="A185" s="101"/>
      <c r="B185" s="52"/>
      <c r="C185" s="52"/>
      <c r="D185" s="217"/>
      <c r="E185" s="217"/>
      <c r="F185" s="217"/>
      <c r="G185" s="217"/>
      <c r="H185" s="217"/>
      <c r="I185" s="217"/>
      <c r="J185" s="217"/>
      <c r="K185" s="217"/>
      <c r="L185" s="217"/>
      <c r="M185" s="217"/>
      <c r="N185" s="77"/>
      <c r="O185" s="56" t="s">
        <v>192</v>
      </c>
      <c r="P185" s="56"/>
      <c r="Q185" s="56"/>
      <c r="R185" s="56"/>
      <c r="S185" s="56"/>
      <c r="T185" s="47"/>
      <c r="U185" s="47"/>
      <c r="V185" s="47"/>
      <c r="W185" s="47"/>
      <c r="X185" s="47"/>
      <c r="Y185" s="47"/>
      <c r="Z185" s="47"/>
      <c r="AA185" s="47"/>
      <c r="AB185" s="47" t="s">
        <v>274</v>
      </c>
      <c r="AC185" s="55"/>
      <c r="AD185" s="55">
        <v>5000</v>
      </c>
      <c r="AE185" s="46" t="s">
        <v>218</v>
      </c>
    </row>
    <row r="186" spans="1:31" s="36" customFormat="1" ht="21" customHeight="1" x14ac:dyDescent="0.15">
      <c r="A186" s="101"/>
      <c r="B186" s="52"/>
      <c r="C186" s="52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77"/>
      <c r="O186" s="56" t="s">
        <v>289</v>
      </c>
      <c r="P186" s="56"/>
      <c r="Q186" s="56"/>
      <c r="R186" s="56"/>
      <c r="S186" s="56"/>
      <c r="T186" s="47"/>
      <c r="U186" s="47"/>
      <c r="V186" s="47"/>
      <c r="W186" s="47"/>
      <c r="X186" s="47"/>
      <c r="Y186" s="47"/>
      <c r="Z186" s="47"/>
      <c r="AA186" s="47"/>
      <c r="AB186" s="47" t="s">
        <v>274</v>
      </c>
      <c r="AC186" s="55"/>
      <c r="AD186" s="55">
        <v>0</v>
      </c>
      <c r="AE186" s="46" t="s">
        <v>218</v>
      </c>
    </row>
    <row r="187" spans="1:31" s="36" customFormat="1" ht="21" customHeight="1" x14ac:dyDescent="0.15">
      <c r="A187" s="101"/>
      <c r="B187" s="52"/>
      <c r="C187" s="52"/>
      <c r="D187" s="217"/>
      <c r="E187" s="217"/>
      <c r="F187" s="217"/>
      <c r="G187" s="217"/>
      <c r="H187" s="217"/>
      <c r="I187" s="217"/>
      <c r="J187" s="217"/>
      <c r="K187" s="217"/>
      <c r="L187" s="217"/>
      <c r="M187" s="217"/>
      <c r="N187" s="77"/>
      <c r="O187" s="56" t="s">
        <v>206</v>
      </c>
      <c r="P187" s="56"/>
      <c r="Q187" s="56"/>
      <c r="R187" s="56"/>
      <c r="S187" s="56"/>
      <c r="T187" s="47"/>
      <c r="U187" s="47"/>
      <c r="V187" s="47"/>
      <c r="W187" s="47"/>
      <c r="X187" s="47"/>
      <c r="Y187" s="47"/>
      <c r="Z187" s="47"/>
      <c r="AA187" s="47"/>
      <c r="AB187" s="47" t="s">
        <v>219</v>
      </c>
      <c r="AC187" s="55"/>
      <c r="AD187" s="55">
        <v>2000</v>
      </c>
      <c r="AE187" s="46" t="s">
        <v>218</v>
      </c>
    </row>
    <row r="188" spans="1:31" s="36" customFormat="1" ht="21" customHeight="1" x14ac:dyDescent="0.15">
      <c r="A188" s="101"/>
      <c r="B188" s="52"/>
      <c r="C188" s="52"/>
      <c r="D188" s="217"/>
      <c r="E188" s="217"/>
      <c r="F188" s="217"/>
      <c r="G188" s="217"/>
      <c r="H188" s="217"/>
      <c r="I188" s="217"/>
      <c r="J188" s="217"/>
      <c r="K188" s="217"/>
      <c r="L188" s="217"/>
      <c r="M188" s="217"/>
      <c r="N188" s="77"/>
      <c r="O188" s="56" t="s">
        <v>298</v>
      </c>
      <c r="P188" s="56"/>
      <c r="Q188" s="56"/>
      <c r="R188" s="56"/>
      <c r="S188" s="56"/>
      <c r="T188" s="47"/>
      <c r="U188" s="47"/>
      <c r="V188" s="47"/>
      <c r="W188" s="47"/>
      <c r="X188" s="47"/>
      <c r="Y188" s="47"/>
      <c r="Z188" s="47"/>
      <c r="AA188" s="47"/>
      <c r="AB188" s="47" t="s">
        <v>219</v>
      </c>
      <c r="AC188" s="55"/>
      <c r="AD188" s="55">
        <v>0</v>
      </c>
      <c r="AE188" s="46" t="s">
        <v>218</v>
      </c>
    </row>
    <row r="189" spans="1:31" s="36" customFormat="1" ht="21" customHeight="1" x14ac:dyDescent="0.15">
      <c r="A189" s="101"/>
      <c r="B189" s="52"/>
      <c r="C189" s="52"/>
      <c r="D189" s="217"/>
      <c r="E189" s="217"/>
      <c r="F189" s="217"/>
      <c r="G189" s="217"/>
      <c r="H189" s="217"/>
      <c r="I189" s="217"/>
      <c r="J189" s="217"/>
      <c r="K189" s="217"/>
      <c r="L189" s="217"/>
      <c r="M189" s="217"/>
      <c r="N189" s="77"/>
      <c r="O189" s="56" t="s">
        <v>157</v>
      </c>
      <c r="P189" s="56"/>
      <c r="Q189" s="56"/>
      <c r="R189" s="56"/>
      <c r="S189" s="56"/>
      <c r="T189" s="47"/>
      <c r="U189" s="47"/>
      <c r="V189" s="47"/>
      <c r="W189" s="47"/>
      <c r="X189" s="47"/>
      <c r="Y189" s="47"/>
      <c r="Z189" s="47"/>
      <c r="AA189" s="47"/>
      <c r="AB189" s="47" t="s">
        <v>237</v>
      </c>
      <c r="AC189" s="55"/>
      <c r="AD189" s="55">
        <v>1000</v>
      </c>
      <c r="AE189" s="46" t="s">
        <v>218</v>
      </c>
    </row>
    <row r="190" spans="1:31" s="36" customFormat="1" ht="21" customHeight="1" x14ac:dyDescent="0.15">
      <c r="A190" s="101"/>
      <c r="B190" s="52"/>
      <c r="C190" s="52"/>
      <c r="D190" s="217"/>
      <c r="E190" s="217"/>
      <c r="F190" s="217"/>
      <c r="G190" s="217"/>
      <c r="H190" s="217"/>
      <c r="I190" s="217"/>
      <c r="J190" s="217"/>
      <c r="K190" s="217"/>
      <c r="L190" s="217"/>
      <c r="M190" s="217"/>
      <c r="N190" s="77"/>
      <c r="O190" s="56" t="s">
        <v>308</v>
      </c>
      <c r="P190" s="56"/>
      <c r="Q190" s="56"/>
      <c r="R190" s="56"/>
      <c r="S190" s="56"/>
      <c r="T190" s="47"/>
      <c r="U190" s="47"/>
      <c r="V190" s="47"/>
      <c r="W190" s="47"/>
      <c r="X190" s="47"/>
      <c r="Y190" s="47"/>
      <c r="Z190" s="47"/>
      <c r="AA190" s="47"/>
      <c r="AB190" s="47" t="s">
        <v>237</v>
      </c>
      <c r="AC190" s="55"/>
      <c r="AD190" s="55">
        <v>0</v>
      </c>
      <c r="AE190" s="46" t="s">
        <v>218</v>
      </c>
    </row>
    <row r="191" spans="1:31" s="29" customFormat="1" ht="21" customHeight="1" x14ac:dyDescent="0.15">
      <c r="A191" s="216"/>
      <c r="B191" s="215"/>
      <c r="C191" s="215"/>
      <c r="D191" s="214"/>
      <c r="E191" s="214"/>
      <c r="F191" s="214"/>
      <c r="G191" s="214"/>
      <c r="H191" s="214"/>
      <c r="I191" s="214"/>
      <c r="J191" s="214"/>
      <c r="K191" s="214"/>
      <c r="L191" s="214"/>
      <c r="M191" s="214"/>
      <c r="N191" s="213"/>
      <c r="O191" s="39"/>
      <c r="P191" s="39"/>
      <c r="Q191" s="39"/>
      <c r="R191" s="39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7"/>
    </row>
    <row r="192" spans="1:31" ht="21" customHeight="1" x14ac:dyDescent="0.15">
      <c r="K192" s="210"/>
      <c r="L192" s="90"/>
      <c r="M192" s="90"/>
      <c r="N192" s="90"/>
      <c r="P192" s="209"/>
      <c r="Q192" s="209"/>
      <c r="R192" s="209"/>
      <c r="AC192" s="90"/>
      <c r="AD192" s="90"/>
      <c r="AE192" s="90"/>
    </row>
    <row r="193" spans="11:31" ht="21" customHeight="1" x14ac:dyDescent="0.15">
      <c r="K193" s="210"/>
      <c r="L193" s="90"/>
      <c r="M193" s="90"/>
      <c r="N193" s="90"/>
      <c r="P193" s="209"/>
      <c r="Q193" s="209"/>
      <c r="R193" s="209"/>
      <c r="AC193" s="90"/>
      <c r="AD193" s="90"/>
      <c r="AE193" s="90"/>
    </row>
  </sheetData>
  <mergeCells count="16">
    <mergeCell ref="A1:E1"/>
    <mergeCell ref="O110:R110"/>
    <mergeCell ref="O2:AE3"/>
    <mergeCell ref="V96:W96"/>
    <mergeCell ref="V67:W67"/>
    <mergeCell ref="B5:C5"/>
    <mergeCell ref="A4:C4"/>
    <mergeCell ref="M2:N2"/>
    <mergeCell ref="A2:C2"/>
    <mergeCell ref="D2:D3"/>
    <mergeCell ref="E2:L2"/>
    <mergeCell ref="B181:C181"/>
    <mergeCell ref="B178:C178"/>
    <mergeCell ref="B171:C171"/>
    <mergeCell ref="B119:C119"/>
    <mergeCell ref="B105:C105"/>
  </mergeCells>
  <phoneticPr fontId="24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fitToHeight="0" orientation="landscape" r:id="rId1"/>
  <headerFooter>
    <oddFooter>&amp;C&amp;"돋움,Regular"&amp;P/&amp;N&amp;R&amp;"돋움,Regular"공동생활가정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마르따의집</dc:creator>
  <cp:lastModifiedBy>마르따의집</cp:lastModifiedBy>
  <cp:revision>81</cp:revision>
  <cp:lastPrinted>2021-12-01T05:46:59Z</cp:lastPrinted>
  <dcterms:created xsi:type="dcterms:W3CDTF">2003-12-18T04:11:57Z</dcterms:created>
  <dcterms:modified xsi:type="dcterms:W3CDTF">2021-12-28T06:30:29Z</dcterms:modified>
  <cp:version>1100.0100.01</cp:version>
</cp:coreProperties>
</file>