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480" windowHeight="8115" tabRatio="568" activeTab="2"/>
  </bookViews>
  <sheets>
    <sheet name="세입세출총괄표" sheetId="18" r:id="rId1"/>
    <sheet name="세입" sheetId="29" r:id="rId2"/>
    <sheet name="세출" sheetId="5" r:id="rId3"/>
    <sheet name="인건비" sheetId="32" r:id="rId4"/>
    <sheet name="재원" sheetId="33" r:id="rId5"/>
  </sheets>
  <externalReferences>
    <externalReference r:id="rId6"/>
  </externalReferences>
  <definedNames>
    <definedName name="_xlnm.Print_Area" localSheetId="1">세입!$A$1:$Y$99</definedName>
    <definedName name="_xlnm.Print_Titles" localSheetId="1">세입!$2:$3</definedName>
    <definedName name="_xlnm.Print_Titles" localSheetId="2">세출!$2:$3</definedName>
    <definedName name="_xlnm.Print_Titles" localSheetId="3">인건비!$B:$E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세출!$AA$8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33" l="1"/>
  <c r="I5" i="33" s="1"/>
  <c r="I142" i="5"/>
  <c r="H142" i="5"/>
  <c r="G142" i="5"/>
  <c r="F142" i="5"/>
  <c r="H147" i="5"/>
  <c r="G147" i="5"/>
  <c r="H139" i="5"/>
  <c r="G139" i="5"/>
  <c r="H127" i="5"/>
  <c r="G127" i="5"/>
  <c r="H125" i="5"/>
  <c r="G125" i="5"/>
  <c r="H123" i="5"/>
  <c r="G123" i="5"/>
  <c r="H120" i="5"/>
  <c r="G120" i="5"/>
  <c r="H117" i="5"/>
  <c r="G117" i="5"/>
  <c r="H114" i="5"/>
  <c r="G114" i="5"/>
  <c r="F114" i="5"/>
  <c r="H112" i="5"/>
  <c r="G112" i="5"/>
  <c r="H110" i="5"/>
  <c r="G110" i="5"/>
  <c r="H108" i="5"/>
  <c r="G108" i="5"/>
  <c r="H93" i="5"/>
  <c r="G93" i="5"/>
  <c r="H90" i="5"/>
  <c r="G90" i="5"/>
  <c r="H87" i="5"/>
  <c r="G87" i="5"/>
  <c r="G76" i="5"/>
  <c r="G69" i="5"/>
  <c r="H65" i="5"/>
  <c r="G65" i="5"/>
  <c r="G62" i="5"/>
  <c r="G55" i="5"/>
  <c r="H52" i="5"/>
  <c r="G52" i="5"/>
  <c r="H47" i="5"/>
  <c r="G47" i="5"/>
  <c r="H45" i="5"/>
  <c r="G45" i="5"/>
  <c r="H42" i="5"/>
  <c r="G42" i="5"/>
  <c r="G38" i="5"/>
  <c r="G20" i="5"/>
  <c r="H16" i="5"/>
  <c r="H7" i="5"/>
  <c r="G7" i="5"/>
  <c r="I114" i="5"/>
  <c r="AA114" i="5"/>
  <c r="AA17" i="5"/>
  <c r="G16" i="5" s="1"/>
  <c r="AA77" i="5"/>
  <c r="H76" i="5" s="1"/>
  <c r="F4" i="33"/>
  <c r="I4" i="33" s="1"/>
  <c r="X42" i="29"/>
  <c r="X31" i="29"/>
  <c r="X29" i="29" s="1"/>
  <c r="K19" i="18"/>
  <c r="J23" i="18"/>
  <c r="I127" i="5"/>
  <c r="F127" i="5"/>
  <c r="I125" i="5"/>
  <c r="F125" i="5"/>
  <c r="I123" i="5"/>
  <c r="F123" i="5"/>
  <c r="I120" i="5"/>
  <c r="F120" i="5"/>
  <c r="I117" i="5"/>
  <c r="F117" i="5"/>
  <c r="I110" i="5"/>
  <c r="F110" i="5"/>
  <c r="I108" i="5"/>
  <c r="F108" i="5"/>
  <c r="I93" i="5"/>
  <c r="I90" i="5"/>
  <c r="I65" i="5"/>
  <c r="I52" i="5"/>
  <c r="I47" i="5"/>
  <c r="I20" i="5"/>
  <c r="I16" i="5"/>
  <c r="F16" i="5"/>
  <c r="I7" i="5"/>
  <c r="F7" i="5"/>
  <c r="P27" i="5"/>
  <c r="AA27" i="5" s="1"/>
  <c r="E142" i="5" l="1"/>
  <c r="P23" i="5"/>
  <c r="AA23" i="5" s="1"/>
  <c r="F6" i="32" l="1"/>
  <c r="G3" i="32"/>
  <c r="L3" i="32" s="1"/>
  <c r="H3" i="32"/>
  <c r="I3" i="32"/>
  <c r="J3" i="32"/>
  <c r="K3" i="32" s="1"/>
  <c r="M3" i="32" l="1"/>
  <c r="N3" i="32" l="1"/>
  <c r="O3" i="32" s="1"/>
  <c r="H4" i="32" l="1"/>
  <c r="AA127" i="5"/>
  <c r="E127" i="5" s="1"/>
  <c r="X47" i="29"/>
  <c r="E15" i="18" l="1"/>
  <c r="X46" i="29"/>
  <c r="AA120" i="5" l="1"/>
  <c r="F3" i="33"/>
  <c r="I3" i="33" s="1"/>
  <c r="H6" i="33"/>
  <c r="E6" i="33"/>
  <c r="D6" i="33"/>
  <c r="C6" i="33"/>
  <c r="F6" i="33" l="1"/>
  <c r="G4" i="32"/>
  <c r="G5" i="32"/>
  <c r="I4" i="32"/>
  <c r="I6" i="32" s="1"/>
  <c r="M4" i="32" l="1"/>
  <c r="J4" i="32"/>
  <c r="M5" i="32"/>
  <c r="J5" i="32"/>
  <c r="G6" i="32"/>
  <c r="L4" i="32"/>
  <c r="K5" i="32"/>
  <c r="L5" i="32"/>
  <c r="H5" i="32"/>
  <c r="H6" i="32" s="1"/>
  <c r="M6" i="32" l="1"/>
  <c r="L6" i="32"/>
  <c r="K4" i="32"/>
  <c r="K6" i="32" s="1"/>
  <c r="J6" i="32"/>
  <c r="N5" i="32"/>
  <c r="O5" i="32" s="1"/>
  <c r="N4" i="32" l="1"/>
  <c r="O4" i="32" s="1"/>
  <c r="O6" i="32" s="1"/>
  <c r="N6" i="32" l="1"/>
  <c r="J16" i="18"/>
  <c r="X59" i="29"/>
  <c r="F59" i="29" s="1"/>
  <c r="D107" i="5" l="1"/>
  <c r="E114" i="5"/>
  <c r="J114" i="5" s="1"/>
  <c r="K114" i="5" s="1"/>
  <c r="X76" i="29"/>
  <c r="F76" i="29" s="1"/>
  <c r="I23" i="18" l="1"/>
  <c r="AA76" i="5" l="1"/>
  <c r="E76" i="5" s="1"/>
  <c r="AA70" i="5"/>
  <c r="AA142" i="5" l="1"/>
  <c r="E64" i="29"/>
  <c r="X58" i="29"/>
  <c r="X45" i="29"/>
  <c r="F45" i="29" s="1"/>
  <c r="I69" i="5" l="1"/>
  <c r="F69" i="5"/>
  <c r="AA45" i="5"/>
  <c r="E45" i="5" s="1"/>
  <c r="K147" i="5"/>
  <c r="I147" i="5"/>
  <c r="F147" i="5"/>
  <c r="I139" i="5"/>
  <c r="F139" i="5"/>
  <c r="K136" i="5"/>
  <c r="J136" i="5"/>
  <c r="I136" i="5"/>
  <c r="H136" i="5"/>
  <c r="G136" i="5"/>
  <c r="F136" i="5"/>
  <c r="K134" i="5"/>
  <c r="I134" i="5"/>
  <c r="H134" i="5"/>
  <c r="G134" i="5"/>
  <c r="F134" i="5"/>
  <c r="I131" i="5"/>
  <c r="G131" i="5"/>
  <c r="F131" i="5"/>
  <c r="K131" i="5"/>
  <c r="H131" i="5"/>
  <c r="E131" i="5"/>
  <c r="J131" i="5" s="1"/>
  <c r="I13" i="5"/>
  <c r="H13" i="5"/>
  <c r="G13" i="5"/>
  <c r="F13" i="5"/>
  <c r="I10" i="5"/>
  <c r="H10" i="5"/>
  <c r="G10" i="5"/>
  <c r="F10" i="5"/>
  <c r="AA136" i="5"/>
  <c r="AA134" i="5"/>
  <c r="AA139" i="5"/>
  <c r="D119" i="5"/>
  <c r="I112" i="5"/>
  <c r="F112" i="5"/>
  <c r="J127" i="5"/>
  <c r="K127" i="5" s="1"/>
  <c r="AA125" i="5"/>
  <c r="AA123" i="5"/>
  <c r="E123" i="5" s="1"/>
  <c r="J123" i="5" s="1"/>
  <c r="K123" i="5" s="1"/>
  <c r="E120" i="5"/>
  <c r="J120" i="5" s="1"/>
  <c r="K120" i="5" s="1"/>
  <c r="AA117" i="5"/>
  <c r="AA112" i="5"/>
  <c r="AA110" i="5"/>
  <c r="AA108" i="5"/>
  <c r="AA71" i="5"/>
  <c r="AA65" i="5"/>
  <c r="E65" i="5" s="1"/>
  <c r="E108" i="5" l="1"/>
  <c r="J108" i="5" s="1"/>
  <c r="K108" i="5" s="1"/>
  <c r="E110" i="5"/>
  <c r="J110" i="5" s="1"/>
  <c r="K110" i="5" s="1"/>
  <c r="E147" i="5"/>
  <c r="J147" i="5" s="1"/>
  <c r="E117" i="5"/>
  <c r="J117" i="5" s="1"/>
  <c r="K117" i="5" s="1"/>
  <c r="E125" i="5"/>
  <c r="J125" i="5" s="1"/>
  <c r="K125" i="5" s="1"/>
  <c r="I107" i="5"/>
  <c r="F107" i="5"/>
  <c r="H107" i="5"/>
  <c r="G107" i="5"/>
  <c r="E112" i="5"/>
  <c r="J112" i="5" s="1"/>
  <c r="K112" i="5" s="1"/>
  <c r="AA107" i="5"/>
  <c r="AA7" i="5"/>
  <c r="E7" i="5" s="1"/>
  <c r="I119" i="5"/>
  <c r="G119" i="5"/>
  <c r="F119" i="5"/>
  <c r="H119" i="5"/>
  <c r="H106" i="5" l="1"/>
  <c r="AA16" i="5"/>
  <c r="E16" i="5" s="1"/>
  <c r="F106" i="5"/>
  <c r="I106" i="5"/>
  <c r="G106" i="5"/>
  <c r="D51" i="5"/>
  <c r="AA147" i="5"/>
  <c r="I133" i="5"/>
  <c r="H133" i="5"/>
  <c r="G133" i="5"/>
  <c r="F133" i="5"/>
  <c r="E134" i="5"/>
  <c r="AA133" i="5"/>
  <c r="D133" i="5"/>
  <c r="K133" i="5" s="1"/>
  <c r="I138" i="5"/>
  <c r="H138" i="5"/>
  <c r="G138" i="5"/>
  <c r="F138" i="5"/>
  <c r="E139" i="5"/>
  <c r="J139" i="5" s="1"/>
  <c r="K139" i="5" s="1"/>
  <c r="AA138" i="5"/>
  <c r="D138" i="5"/>
  <c r="D97" i="5"/>
  <c r="D96" i="5" s="1"/>
  <c r="X69" i="29"/>
  <c r="F69" i="29" s="1"/>
  <c r="X65" i="29"/>
  <c r="F65" i="29" s="1"/>
  <c r="E34" i="29"/>
  <c r="X20" i="29"/>
  <c r="X19" i="29" s="1"/>
  <c r="X23" i="29"/>
  <c r="X22" i="29" s="1"/>
  <c r="X26" i="29"/>
  <c r="X25" i="29" s="1"/>
  <c r="X6" i="29"/>
  <c r="X8" i="29"/>
  <c r="X10" i="29"/>
  <c r="G65" i="29" l="1"/>
  <c r="H65" i="29" s="1"/>
  <c r="E133" i="5"/>
  <c r="J133" i="5" s="1"/>
  <c r="J134" i="5"/>
  <c r="D106" i="5"/>
  <c r="E138" i="5"/>
  <c r="J138" i="5" s="1"/>
  <c r="K138" i="5" s="1"/>
  <c r="AA69" i="5"/>
  <c r="E69" i="5" s="1"/>
  <c r="J69" i="5" s="1"/>
  <c r="K69" i="5" s="1"/>
  <c r="G69" i="29" l="1"/>
  <c r="H69" i="29" s="1"/>
  <c r="X87" i="29"/>
  <c r="I21" i="18" l="1"/>
  <c r="I16" i="18"/>
  <c r="I12" i="18"/>
  <c r="I8" i="18"/>
  <c r="D22" i="18"/>
  <c r="D20" i="18"/>
  <c r="D18" i="18"/>
  <c r="D15" i="18"/>
  <c r="D10" i="18"/>
  <c r="D8" i="18"/>
  <c r="D7" i="18" l="1"/>
  <c r="I7" i="18"/>
  <c r="I102" i="5" l="1"/>
  <c r="H102" i="5"/>
  <c r="G102" i="5"/>
  <c r="F102" i="5"/>
  <c r="H98" i="5"/>
  <c r="F90" i="5"/>
  <c r="I87" i="5"/>
  <c r="F87" i="5"/>
  <c r="I76" i="5"/>
  <c r="I73" i="5"/>
  <c r="H73" i="5"/>
  <c r="I62" i="5"/>
  <c r="F52" i="5"/>
  <c r="F47" i="5"/>
  <c r="I45" i="5"/>
  <c r="F45" i="5"/>
  <c r="I42" i="5"/>
  <c r="H41" i="5"/>
  <c r="F42" i="5"/>
  <c r="F38" i="5"/>
  <c r="I41" i="5" l="1"/>
  <c r="H97" i="5"/>
  <c r="H96" i="5" s="1"/>
  <c r="E22" i="18"/>
  <c r="AA99" i="5" l="1"/>
  <c r="G98" i="5" s="1"/>
  <c r="G97" i="5" s="1"/>
  <c r="G96" i="5" s="1"/>
  <c r="F76" i="5" l="1"/>
  <c r="F13" i="18"/>
  <c r="AA90" i="5" l="1"/>
  <c r="E90" i="5" s="1"/>
  <c r="X13" i="29" l="1"/>
  <c r="X12" i="29" s="1"/>
  <c r="X5" i="29" s="1"/>
  <c r="H14" i="29"/>
  <c r="X14" i="29"/>
  <c r="F14" i="29" s="1"/>
  <c r="G14" i="29" s="1"/>
  <c r="H16" i="29"/>
  <c r="X16" i="29"/>
  <c r="F16" i="29" s="1"/>
  <c r="G16" i="29" s="1"/>
  <c r="E19" i="29"/>
  <c r="E22" i="29"/>
  <c r="E25" i="29"/>
  <c r="E28" i="29"/>
  <c r="X28" i="29"/>
  <c r="F29" i="29"/>
  <c r="F28" i="29" s="1"/>
  <c r="X35" i="29"/>
  <c r="X34" i="29" s="1"/>
  <c r="E44" i="29"/>
  <c r="E51" i="29"/>
  <c r="H51" i="29" s="1"/>
  <c r="H52" i="29"/>
  <c r="X52" i="29"/>
  <c r="X51" i="29" s="1"/>
  <c r="E54" i="29"/>
  <c r="H54" i="29" s="1"/>
  <c r="X54" i="29"/>
  <c r="F55" i="29"/>
  <c r="F54" i="29" s="1"/>
  <c r="H55" i="29"/>
  <c r="E58" i="29"/>
  <c r="E57" i="29" s="1"/>
  <c r="X57" i="29"/>
  <c r="E75" i="29"/>
  <c r="E82" i="29"/>
  <c r="H82" i="29" s="1"/>
  <c r="H83" i="29"/>
  <c r="X83" i="29"/>
  <c r="X82" i="29" s="1"/>
  <c r="E86" i="29"/>
  <c r="H86" i="29" s="1"/>
  <c r="H87" i="29"/>
  <c r="X89" i="29"/>
  <c r="X86" i="29" s="1"/>
  <c r="E90" i="29"/>
  <c r="X91" i="29"/>
  <c r="E96" i="29"/>
  <c r="X90" i="29" l="1"/>
  <c r="F91" i="29"/>
  <c r="G91" i="29" s="1"/>
  <c r="H91" i="29" s="1"/>
  <c r="F72" i="29"/>
  <c r="F64" i="29" s="1"/>
  <c r="X64" i="29"/>
  <c r="E63" i="29"/>
  <c r="X97" i="29"/>
  <c r="F23" i="29"/>
  <c r="G23" i="29" s="1"/>
  <c r="H23" i="29" s="1"/>
  <c r="G59" i="29"/>
  <c r="H59" i="29" s="1"/>
  <c r="G28" i="29"/>
  <c r="H28" i="29" s="1"/>
  <c r="E50" i="29"/>
  <c r="H50" i="29" s="1"/>
  <c r="G54" i="29"/>
  <c r="F20" i="29"/>
  <c r="E33" i="29"/>
  <c r="G55" i="29"/>
  <c r="F83" i="29"/>
  <c r="G83" i="29" s="1"/>
  <c r="F26" i="29"/>
  <c r="X50" i="29"/>
  <c r="G29" i="29"/>
  <c r="H29" i="29" s="1"/>
  <c r="E18" i="29"/>
  <c r="F5" i="29"/>
  <c r="X44" i="29"/>
  <c r="F35" i="29"/>
  <c r="F34" i="29" s="1"/>
  <c r="G76" i="29"/>
  <c r="H76" i="29" s="1"/>
  <c r="F75" i="29"/>
  <c r="F87" i="29"/>
  <c r="X75" i="29"/>
  <c r="F52" i="29"/>
  <c r="E85" i="29"/>
  <c r="X96" i="29" l="1"/>
  <c r="X85" i="29" s="1"/>
  <c r="F97" i="29"/>
  <c r="G97" i="29" s="1"/>
  <c r="H97" i="29" s="1"/>
  <c r="G72" i="29"/>
  <c r="H72" i="29" s="1"/>
  <c r="X63" i="29"/>
  <c r="G75" i="29"/>
  <c r="H75" i="29" s="1"/>
  <c r="E4" i="29"/>
  <c r="F58" i="29"/>
  <c r="F90" i="29"/>
  <c r="G90" i="29" s="1"/>
  <c r="H90" i="29" s="1"/>
  <c r="F82" i="29"/>
  <c r="G82" i="29" s="1"/>
  <c r="G26" i="29"/>
  <c r="H26" i="29" s="1"/>
  <c r="G87" i="29"/>
  <c r="F86" i="29"/>
  <c r="G20" i="29"/>
  <c r="H20" i="29" s="1"/>
  <c r="G45" i="29"/>
  <c r="H45" i="29" s="1"/>
  <c r="F44" i="29"/>
  <c r="G44" i="29" s="1"/>
  <c r="H44" i="29" s="1"/>
  <c r="G52" i="29"/>
  <c r="F51" i="29"/>
  <c r="G35" i="29"/>
  <c r="H35" i="29" s="1"/>
  <c r="G5" i="29"/>
  <c r="X33" i="29"/>
  <c r="F63" i="29" l="1"/>
  <c r="G63" i="29" s="1"/>
  <c r="H63" i="29" s="1"/>
  <c r="G58" i="29"/>
  <c r="H58" i="29" s="1"/>
  <c r="F57" i="29"/>
  <c r="F96" i="29"/>
  <c r="G96" i="29" s="1"/>
  <c r="H96" i="29" s="1"/>
  <c r="H5" i="29"/>
  <c r="G34" i="29"/>
  <c r="H34" i="29" s="1"/>
  <c r="F33" i="29"/>
  <c r="G33" i="29" s="1"/>
  <c r="H33" i="29" s="1"/>
  <c r="G86" i="29"/>
  <c r="G64" i="29"/>
  <c r="H64" i="29" s="1"/>
  <c r="F50" i="29"/>
  <c r="G50" i="29" s="1"/>
  <c r="G51" i="29"/>
  <c r="F19" i="29" l="1"/>
  <c r="G19" i="29" s="1"/>
  <c r="H19" i="29" s="1"/>
  <c r="F85" i="29"/>
  <c r="G85" i="29" s="1"/>
  <c r="H85" i="29" s="1"/>
  <c r="F22" i="29" l="1"/>
  <c r="G22" i="29" s="1"/>
  <c r="H22" i="29" s="1"/>
  <c r="X18" i="29"/>
  <c r="F25" i="29"/>
  <c r="G25" i="29" s="1"/>
  <c r="H25" i="29" s="1"/>
  <c r="F18" i="29" l="1"/>
  <c r="G18" i="29" l="1"/>
  <c r="AA56" i="5"/>
  <c r="I55" i="5" l="1"/>
  <c r="H18" i="29"/>
  <c r="F55" i="5" l="1"/>
  <c r="J21" i="18" l="1"/>
  <c r="J12" i="18"/>
  <c r="J8" i="18"/>
  <c r="K24" i="18"/>
  <c r="K23" i="18" s="1"/>
  <c r="K22" i="18"/>
  <c r="K21" i="18" s="1"/>
  <c r="K20" i="18"/>
  <c r="K18" i="18"/>
  <c r="K17" i="18"/>
  <c r="K15" i="18"/>
  <c r="K14" i="18"/>
  <c r="K11" i="18"/>
  <c r="K10" i="18"/>
  <c r="E20" i="18"/>
  <c r="E18" i="18"/>
  <c r="E10" i="18"/>
  <c r="E8" i="18"/>
  <c r="K16" i="18" l="1"/>
  <c r="J7" i="18"/>
  <c r="E7" i="18"/>
  <c r="AA74" i="5" l="1"/>
  <c r="G73" i="5" l="1"/>
  <c r="H69" i="5"/>
  <c r="F98" i="5"/>
  <c r="F97" i="5" s="1"/>
  <c r="F96" i="5" s="1"/>
  <c r="D141" i="5" l="1"/>
  <c r="D130" i="5"/>
  <c r="D86" i="5"/>
  <c r="D85" i="5" s="1"/>
  <c r="F23" i="18" l="1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F73" i="5" l="1"/>
  <c r="F7" i="18"/>
  <c r="AA73" i="5"/>
  <c r="D41" i="5"/>
  <c r="F141" i="5" l="1"/>
  <c r="G141" i="5"/>
  <c r="H141" i="5"/>
  <c r="I141" i="5"/>
  <c r="AA141" i="5"/>
  <c r="F130" i="5"/>
  <c r="G130" i="5"/>
  <c r="H130" i="5"/>
  <c r="I130" i="5"/>
  <c r="AA102" i="5"/>
  <c r="I98" i="5"/>
  <c r="I97" i="5" s="1"/>
  <c r="I96" i="5" s="1"/>
  <c r="G86" i="5"/>
  <c r="G85" i="5" s="1"/>
  <c r="H86" i="5"/>
  <c r="H85" i="5" s="1"/>
  <c r="I86" i="5"/>
  <c r="I85" i="5" s="1"/>
  <c r="AA87" i="5"/>
  <c r="E87" i="5" s="1"/>
  <c r="J87" i="5" s="1"/>
  <c r="K87" i="5" s="1"/>
  <c r="AA63" i="5"/>
  <c r="H62" i="5" s="1"/>
  <c r="G41" i="5"/>
  <c r="AA42" i="5"/>
  <c r="E42" i="5" s="1"/>
  <c r="I51" i="5" l="1"/>
  <c r="AA22" i="5"/>
  <c r="F62" i="5"/>
  <c r="F93" i="5"/>
  <c r="F86" i="5" s="1"/>
  <c r="F85" i="5" s="1"/>
  <c r="AA52" i="5"/>
  <c r="E52" i="5" s="1"/>
  <c r="AA93" i="5"/>
  <c r="AA62" i="5"/>
  <c r="E62" i="5" s="1"/>
  <c r="AA26" i="5"/>
  <c r="J142" i="5"/>
  <c r="K142" i="5" s="1"/>
  <c r="AA86" i="5" l="1"/>
  <c r="E93" i="5"/>
  <c r="P30" i="5"/>
  <c r="P33" i="5"/>
  <c r="AA33" i="5" s="1"/>
  <c r="AA30" i="5" l="1"/>
  <c r="H20" i="5" s="1"/>
  <c r="AA32" i="5"/>
  <c r="P36" i="5"/>
  <c r="AA36" i="5" s="1"/>
  <c r="AA29" i="5" l="1"/>
  <c r="F20" i="5"/>
  <c r="AA35" i="5" l="1"/>
  <c r="J7" i="5"/>
  <c r="AA14" i="5"/>
  <c r="AA13" i="5" s="1"/>
  <c r="AA20" i="5" l="1"/>
  <c r="E20" i="5" l="1"/>
  <c r="J20" i="5" s="1"/>
  <c r="K20" i="5" s="1"/>
  <c r="F6" i="5"/>
  <c r="F41" i="5" l="1"/>
  <c r="AA39" i="5"/>
  <c r="H38" i="5" s="1"/>
  <c r="H6" i="5" s="1"/>
  <c r="AA11" i="5"/>
  <c r="AA59" i="5"/>
  <c r="AA60" i="5"/>
  <c r="I38" i="5" l="1"/>
  <c r="I6" i="5" s="1"/>
  <c r="F65" i="5"/>
  <c r="AA10" i="5"/>
  <c r="J65" i="5"/>
  <c r="K65" i="5" s="1"/>
  <c r="AA47" i="5"/>
  <c r="E47" i="5" s="1"/>
  <c r="AA98" i="5"/>
  <c r="J16" i="5"/>
  <c r="K16" i="5" s="1"/>
  <c r="G6" i="5"/>
  <c r="J90" i="5"/>
  <c r="K90" i="5" s="1"/>
  <c r="AA38" i="5"/>
  <c r="E38" i="5" s="1"/>
  <c r="E13" i="5"/>
  <c r="K7" i="5"/>
  <c r="AA58" i="5"/>
  <c r="H55" i="5" s="1"/>
  <c r="H51" i="5" s="1"/>
  <c r="H5" i="5" s="1"/>
  <c r="H4" i="5" s="1"/>
  <c r="E102" i="5"/>
  <c r="J102" i="5" s="1"/>
  <c r="K102" i="5" s="1"/>
  <c r="G51" i="5" l="1"/>
  <c r="G5" i="5" s="1"/>
  <c r="G4" i="5" s="1"/>
  <c r="F51" i="5"/>
  <c r="F5" i="5" s="1"/>
  <c r="F4" i="5" s="1"/>
  <c r="E98" i="5"/>
  <c r="E97" i="5" s="1"/>
  <c r="E96" i="5" s="1"/>
  <c r="AA97" i="5"/>
  <c r="AA96" i="5" s="1"/>
  <c r="AA41" i="5"/>
  <c r="J47" i="5"/>
  <c r="K47" i="5" s="1"/>
  <c r="AA55" i="5"/>
  <c r="I5" i="5"/>
  <c r="I4" i="5" s="1"/>
  <c r="J38" i="5"/>
  <c r="K38" i="5" s="1"/>
  <c r="AA6" i="5"/>
  <c r="J52" i="5"/>
  <c r="K52" i="5" s="1"/>
  <c r="J93" i="5"/>
  <c r="K93" i="5" s="1"/>
  <c r="E86" i="5"/>
  <c r="E85" i="5" s="1"/>
  <c r="AA85" i="5"/>
  <c r="J76" i="5"/>
  <c r="K76" i="5" s="1"/>
  <c r="E73" i="5"/>
  <c r="J42" i="5"/>
  <c r="K42" i="5" s="1"/>
  <c r="J62" i="5"/>
  <c r="K62" i="5" s="1"/>
  <c r="D6" i="5"/>
  <c r="D5" i="5" s="1"/>
  <c r="D4" i="5" s="1"/>
  <c r="E10" i="5"/>
  <c r="J45" i="5"/>
  <c r="K45" i="5" s="1"/>
  <c r="AA51" i="5" l="1"/>
  <c r="AA5" i="5" s="1"/>
  <c r="E55" i="5"/>
  <c r="J73" i="5"/>
  <c r="K73" i="5" s="1"/>
  <c r="J98" i="5"/>
  <c r="J97" i="5" s="1"/>
  <c r="J96" i="5" s="1"/>
  <c r="K98" i="5"/>
  <c r="K97" i="5" s="1"/>
  <c r="K96" i="5" s="1"/>
  <c r="E6" i="5"/>
  <c r="J10" i="5"/>
  <c r="K10" i="5" s="1"/>
  <c r="AA130" i="5"/>
  <c r="J85" i="5"/>
  <c r="K85" i="5" s="1"/>
  <c r="J86" i="5"/>
  <c r="K86" i="5" s="1"/>
  <c r="E41" i="5"/>
  <c r="J41" i="5" s="1"/>
  <c r="K41" i="5" s="1"/>
  <c r="J13" i="5"/>
  <c r="K13" i="5" s="1"/>
  <c r="E51" i="5"/>
  <c r="E141" i="5"/>
  <c r="J141" i="5" s="1"/>
  <c r="K141" i="5" s="1"/>
  <c r="AA119" i="5" l="1"/>
  <c r="E130" i="5"/>
  <c r="J130" i="5" s="1"/>
  <c r="K130" i="5" s="1"/>
  <c r="J55" i="5"/>
  <c r="K55" i="5" s="1"/>
  <c r="J51" i="5"/>
  <c r="K51" i="5" s="1"/>
  <c r="J6" i="5"/>
  <c r="K6" i="5" s="1"/>
  <c r="AA106" i="5" l="1"/>
  <c r="AA4" i="5" s="1"/>
  <c r="E119" i="5"/>
  <c r="J119" i="5" s="1"/>
  <c r="K119" i="5" s="1"/>
  <c r="E107" i="5"/>
  <c r="E5" i="5"/>
  <c r="E106" i="5" l="1"/>
  <c r="J106" i="5" s="1"/>
  <c r="K106" i="5" s="1"/>
  <c r="J107" i="5"/>
  <c r="K107" i="5" s="1"/>
  <c r="J5" i="5"/>
  <c r="K5" i="5" s="1"/>
  <c r="X4" i="29"/>
  <c r="E4" i="5" l="1"/>
  <c r="G57" i="29"/>
  <c r="F4" i="29"/>
  <c r="J4" i="5" l="1"/>
  <c r="K4" i="5" s="1"/>
  <c r="G4" i="29"/>
  <c r="H4" i="29" s="1"/>
  <c r="H57" i="29"/>
</calcChain>
</file>

<file path=xl/sharedStrings.xml><?xml version="1.0" encoding="utf-8"?>
<sst xmlns="http://schemas.openxmlformats.org/spreadsheetml/2006/main" count="976" uniqueCount="478">
  <si>
    <t>월</t>
    <phoneticPr fontId="11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</si>
  <si>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</si>
  <si>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</si>
  <si>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</si>
  <si>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</si>
  <si>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</si>
  <si>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</si>
  <si>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</si>
  <si>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</si>
  <si>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</si>
  <si>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</si>
  <si>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</si>
  <si>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</si>
  <si>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</si>
  <si>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</si>
  <si>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</si>
  <si>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</si>
  <si>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</si>
  <si>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</si>
  <si>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</si>
  <si>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</si>
  <si>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</si>
  <si>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</si>
  <si>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</si>
  <si>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</si>
  <si>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</si>
  <si>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</si>
  <si>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</si>
  <si>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</si>
  <si>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</si>
  <si>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</si>
  <si>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</si>
  <si>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</si>
  <si>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</si>
  <si>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</si>
  <si>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</si>
  <si>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</si>
  <si>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</si>
  <si>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</si>
  <si>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</si>
  <si>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</si>
  <si>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</si>
  <si>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</si>
  <si>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</si>
  <si>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</si>
  <si>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</si>
  <si>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</si>
  <si>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</si>
  <si>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</si>
  <si>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</si>
  <si>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</si>
  <si>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</si>
  <si>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1" type="noConversion"/>
  </si>
  <si>
    <t>산              출               기              초</t>
    <phoneticPr fontId="11" type="noConversion"/>
  </si>
  <si>
    <t>명</t>
    <phoneticPr fontId="11" type="noConversion"/>
  </si>
  <si>
    <t>원</t>
    <phoneticPr fontId="11" type="noConversion"/>
  </si>
  <si>
    <t>×</t>
    <phoneticPr fontId="11" type="noConversion"/>
  </si>
  <si>
    <t>잡수입</t>
    <phoneticPr fontId="11" type="noConversion"/>
  </si>
  <si>
    <t xml:space="preserve">                                                                                    </t>
    <phoneticPr fontId="11" type="noConversion"/>
  </si>
  <si>
    <t>원</t>
    <phoneticPr fontId="11" type="noConversion"/>
  </si>
  <si>
    <t>총  계 :</t>
    <phoneticPr fontId="11" type="noConversion"/>
  </si>
  <si>
    <t>소계 :</t>
    <phoneticPr fontId="11" type="noConversion"/>
  </si>
  <si>
    <t>원</t>
    <phoneticPr fontId="11" type="noConversion"/>
  </si>
  <si>
    <t>사회보험</t>
    <phoneticPr fontId="11" type="noConversion"/>
  </si>
  <si>
    <t>기타후생</t>
    <phoneticPr fontId="11" type="noConversion"/>
  </si>
  <si>
    <t>※ 기타후생경비</t>
    <phoneticPr fontId="11" type="noConversion"/>
  </si>
  <si>
    <t>회  의  비</t>
    <phoneticPr fontId="11" type="noConversion"/>
  </si>
  <si>
    <t>여    비</t>
    <phoneticPr fontId="11" type="noConversion"/>
  </si>
  <si>
    <t>기타운영비</t>
    <phoneticPr fontId="11" type="noConversion"/>
  </si>
  <si>
    <t>※ 직원 교육훈련비</t>
    <phoneticPr fontId="11" type="noConversion"/>
  </si>
  <si>
    <t>일</t>
    <phoneticPr fontId="11" type="noConversion"/>
  </si>
  <si>
    <t>운      영      비</t>
    <phoneticPr fontId="30" type="noConversion"/>
  </si>
  <si>
    <t>재산조성비</t>
    <phoneticPr fontId="30" type="noConversion"/>
  </si>
  <si>
    <t>시      설      비</t>
    <phoneticPr fontId="30" type="noConversion"/>
  </si>
  <si>
    <t>후원금  수입</t>
    <phoneticPr fontId="30" type="noConversion"/>
  </si>
  <si>
    <t>자 산   취 득 비</t>
    <phoneticPr fontId="30" type="noConversion"/>
  </si>
  <si>
    <t>시설장비유지비</t>
    <phoneticPr fontId="30" type="noConversion"/>
  </si>
  <si>
    <t>전    입    금</t>
    <phoneticPr fontId="30" type="noConversion"/>
  </si>
  <si>
    <t>이    월    금</t>
    <phoneticPr fontId="30" type="noConversion"/>
  </si>
  <si>
    <t>잡    수    입</t>
    <phoneticPr fontId="30" type="noConversion"/>
  </si>
  <si>
    <t>잡      수      입</t>
    <phoneticPr fontId="30" type="noConversion"/>
  </si>
  <si>
    <t>잡      지      출</t>
    <phoneticPr fontId="30" type="noConversion"/>
  </si>
  <si>
    <t>금액
(B-A)</t>
    <phoneticPr fontId="11" type="noConversion"/>
  </si>
  <si>
    <t>합  계 :</t>
    <phoneticPr fontId="11" type="noConversion"/>
  </si>
  <si>
    <t>부담금</t>
    <phoneticPr fontId="11" type="noConversion"/>
  </si>
  <si>
    <t>업   무</t>
    <phoneticPr fontId="11" type="noConversion"/>
  </si>
  <si>
    <t>경      비</t>
    <phoneticPr fontId="11" type="noConversion"/>
  </si>
  <si>
    <t>사업비</t>
    <phoneticPr fontId="11" type="noConversion"/>
  </si>
  <si>
    <t>추진비</t>
    <phoneticPr fontId="11" type="noConversion"/>
  </si>
  <si>
    <t>업무추진비</t>
    <phoneticPr fontId="11" type="noConversion"/>
  </si>
  <si>
    <t>※ 직책보조비</t>
    <phoneticPr fontId="11" type="noConversion"/>
  </si>
  <si>
    <t>소계:</t>
    <phoneticPr fontId="11" type="noConversion"/>
  </si>
  <si>
    <t>운영비</t>
    <phoneticPr fontId="11" type="noConversion"/>
  </si>
  <si>
    <t>재산조성비</t>
    <phoneticPr fontId="11" type="noConversion"/>
  </si>
  <si>
    <t>계</t>
    <phoneticPr fontId="11" type="noConversion"/>
  </si>
  <si>
    <t>시설비</t>
    <phoneticPr fontId="11" type="noConversion"/>
  </si>
  <si>
    <t>수수료</t>
    <phoneticPr fontId="11" type="noConversion"/>
  </si>
  <si>
    <t>사업비</t>
    <phoneticPr fontId="11" type="noConversion"/>
  </si>
  <si>
    <t>계</t>
    <phoneticPr fontId="11" type="noConversion"/>
  </si>
  <si>
    <t>조성비</t>
    <phoneticPr fontId="11" type="noConversion"/>
  </si>
  <si>
    <t>후원</t>
    <phoneticPr fontId="11" type="noConversion"/>
  </si>
  <si>
    <t>유지비</t>
    <phoneticPr fontId="11" type="noConversion"/>
  </si>
  <si>
    <t>세       입</t>
    <phoneticPr fontId="30" type="noConversion"/>
  </si>
  <si>
    <t>세       출</t>
    <phoneticPr fontId="30" type="noConversion"/>
  </si>
  <si>
    <t>구        분</t>
    <phoneticPr fontId="30" type="noConversion"/>
  </si>
  <si>
    <t>증감</t>
    <phoneticPr fontId="30" type="noConversion"/>
  </si>
  <si>
    <t>합        계</t>
    <phoneticPr fontId="30" type="noConversion"/>
  </si>
  <si>
    <t>사   무   비</t>
    <phoneticPr fontId="30" type="noConversion"/>
  </si>
  <si>
    <t>인      건      비</t>
    <phoneticPr fontId="30" type="noConversion"/>
  </si>
  <si>
    <t>보조금  수입</t>
    <phoneticPr fontId="30" type="noConversion"/>
  </si>
  <si>
    <t>업 무   추 진 비</t>
    <phoneticPr fontId="30" type="noConversion"/>
  </si>
  <si>
    <t>수 입</t>
    <phoneticPr fontId="11" type="noConversion"/>
  </si>
  <si>
    <t>기 타</t>
    <phoneticPr fontId="11" type="noConversion"/>
  </si>
  <si>
    <t>(후원)</t>
    <phoneticPr fontId="11" type="noConversion"/>
  </si>
  <si>
    <t>전년도</t>
    <phoneticPr fontId="11" type="noConversion"/>
  </si>
  <si>
    <t>이월금</t>
    <phoneticPr fontId="11" type="noConversion"/>
  </si>
  <si>
    <t xml:space="preserve"> &lt;전년도이월금(후원금)&gt;</t>
    <phoneticPr fontId="11" type="noConversion"/>
  </si>
  <si>
    <t>이 월</t>
    <phoneticPr fontId="11" type="noConversion"/>
  </si>
  <si>
    <t xml:space="preserve"> &lt;이월 사업비&gt;</t>
    <phoneticPr fontId="11" type="noConversion"/>
  </si>
  <si>
    <t>불용품</t>
    <phoneticPr fontId="11" type="noConversion"/>
  </si>
  <si>
    <t>매각대</t>
    <phoneticPr fontId="11" type="noConversion"/>
  </si>
  <si>
    <t>기타예</t>
    <phoneticPr fontId="11" type="noConversion"/>
  </si>
  <si>
    <t>금이자</t>
    <phoneticPr fontId="11" type="noConversion"/>
  </si>
  <si>
    <t xml:space="preserve"> &lt;불용품매각대&gt;</t>
    <phoneticPr fontId="11" type="noConversion"/>
  </si>
  <si>
    <t xml:space="preserve"> &lt;기타예금이자수입&gt;</t>
    <phoneticPr fontId="11" type="noConversion"/>
  </si>
  <si>
    <t xml:space="preserve"> &lt;잡수입이월금&gt;</t>
    <phoneticPr fontId="11" type="noConversion"/>
  </si>
  <si>
    <t xml:space="preserve"> &lt;기타잡수입&gt;</t>
    <phoneticPr fontId="11" type="noConversion"/>
  </si>
  <si>
    <t>소  계</t>
    <phoneticPr fontId="11" type="noConversion"/>
  </si>
  <si>
    <t>※ 잡 수 입</t>
    <phoneticPr fontId="11" type="noConversion"/>
  </si>
  <si>
    <t>합    계 :</t>
    <phoneticPr fontId="11" type="noConversion"/>
  </si>
  <si>
    <t xml:space="preserve"> </t>
    <phoneticPr fontId="11" type="noConversion"/>
  </si>
  <si>
    <t>원</t>
    <phoneticPr fontId="11" type="noConversion"/>
  </si>
  <si>
    <t>국고보조금</t>
    <phoneticPr fontId="30" type="noConversion"/>
  </si>
  <si>
    <t>시도보조금</t>
    <phoneticPr fontId="30" type="noConversion"/>
  </si>
  <si>
    <t>시군구보조금</t>
    <phoneticPr fontId="30" type="noConversion"/>
  </si>
  <si>
    <t xml:space="preserve"> * 잡수입이월액</t>
    <phoneticPr fontId="11" type="noConversion"/>
  </si>
  <si>
    <t xml:space="preserve"> &lt;후원금이월금&gt;</t>
    <phoneticPr fontId="11" type="noConversion"/>
  </si>
  <si>
    <t>1. 회의관련 다과비등</t>
    <phoneticPr fontId="11" type="noConversion"/>
  </si>
  <si>
    <t>소계:</t>
    <phoneticPr fontId="11" type="noConversion"/>
  </si>
  <si>
    <t>세출총계</t>
    <phoneticPr fontId="11" type="noConversion"/>
  </si>
  <si>
    <t>사무비</t>
    <phoneticPr fontId="11" type="noConversion"/>
  </si>
  <si>
    <t>인건비</t>
    <phoneticPr fontId="11" type="noConversion"/>
  </si>
  <si>
    <t>기타</t>
    <phoneticPr fontId="11" type="noConversion"/>
  </si>
  <si>
    <t>원</t>
    <phoneticPr fontId="11" type="noConversion"/>
  </si>
  <si>
    <t>월</t>
    <phoneticPr fontId="11" type="noConversion"/>
  </si>
  <si>
    <t>명</t>
    <phoneticPr fontId="11" type="noConversion"/>
  </si>
  <si>
    <t>원</t>
    <phoneticPr fontId="11" type="noConversion"/>
  </si>
  <si>
    <t>×</t>
    <phoneticPr fontId="11" type="noConversion"/>
  </si>
  <si>
    <t>=</t>
    <phoneticPr fontId="11" type="noConversion"/>
  </si>
  <si>
    <t xml:space="preserve"> ① CMS 이용료</t>
    <phoneticPr fontId="11" type="noConversion"/>
  </si>
  <si>
    <t xml:space="preserve"> ② CMS 이체수수료</t>
    <phoneticPr fontId="11" type="noConversion"/>
  </si>
  <si>
    <t xml:space="preserve"> ③ 보증보험료</t>
    <phoneticPr fontId="11" type="noConversion"/>
  </si>
  <si>
    <t>합    계 :</t>
    <phoneticPr fontId="11" type="noConversion"/>
  </si>
  <si>
    <t>합    계 :</t>
    <phoneticPr fontId="11" type="noConversion"/>
  </si>
  <si>
    <t>÷</t>
    <phoneticPr fontId="11" type="noConversion"/>
  </si>
  <si>
    <t>÷</t>
    <phoneticPr fontId="11" type="noConversion"/>
  </si>
  <si>
    <t>=</t>
    <phoneticPr fontId="11" type="noConversion"/>
  </si>
  <si>
    <t xml:space="preserve"> </t>
    <phoneticPr fontId="11" type="noConversion"/>
  </si>
  <si>
    <t>×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</si>
  <si>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</si>
  <si>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</si>
  <si>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</si>
  <si>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=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</si>
  <si>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</si>
  <si>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</si>
  <si>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</si>
  <si>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월</t>
    <phoneticPr fontId="11" type="noConversion"/>
  </si>
  <si>
    <t>=</t>
    <phoneticPr fontId="11" type="noConversion"/>
  </si>
  <si>
    <t>1. 사무용품비(문구류 )</t>
    <phoneticPr fontId="11" type="noConversion"/>
  </si>
  <si>
    <t>1.차량유류대(운영비)</t>
    <phoneticPr fontId="11" type="noConversion"/>
  </si>
  <si>
    <t>2.차량 점검 및 정비비 등</t>
    <phoneticPr fontId="11" type="noConversion"/>
  </si>
  <si>
    <t>소계</t>
    <phoneticPr fontId="11" type="noConversion"/>
  </si>
  <si>
    <t>기타잡수입</t>
    <phoneticPr fontId="11" type="noConversion"/>
  </si>
  <si>
    <t>수     입</t>
    <phoneticPr fontId="11" type="noConversion"/>
  </si>
  <si>
    <t xml:space="preserve"> &lt;기타예금이자 수입&gt;</t>
    <phoneticPr fontId="11" type="noConversion"/>
  </si>
  <si>
    <t>기타예금이자</t>
    <phoneticPr fontId="11" type="noConversion"/>
  </si>
  <si>
    <t>불용품매각대</t>
    <phoneticPr fontId="11" type="noConversion"/>
  </si>
  <si>
    <t>이월사업비</t>
    <phoneticPr fontId="11" type="noConversion"/>
  </si>
  <si>
    <t>(후원금)</t>
    <phoneticPr fontId="11" type="noConversion"/>
  </si>
  <si>
    <t>전년도이월금</t>
    <phoneticPr fontId="11" type="noConversion"/>
  </si>
  <si>
    <t>잡수입이월금</t>
  </si>
  <si>
    <t>원</t>
    <phoneticPr fontId="11" type="noConversion"/>
  </si>
  <si>
    <t>소계 :</t>
    <phoneticPr fontId="11" type="noConversion"/>
  </si>
  <si>
    <t xml:space="preserve"> &lt;전년도 이월금&gt;</t>
    <phoneticPr fontId="11" type="noConversion"/>
  </si>
  <si>
    <t>계</t>
    <phoneticPr fontId="11" type="noConversion"/>
  </si>
  <si>
    <t>전년도</t>
    <phoneticPr fontId="11" type="noConversion"/>
  </si>
  <si>
    <t>총  계 :</t>
    <phoneticPr fontId="11" type="noConversion"/>
  </si>
  <si>
    <t>※이 월 금</t>
    <phoneticPr fontId="11" type="noConversion"/>
  </si>
  <si>
    <t>소  계</t>
    <phoneticPr fontId="11" type="noConversion"/>
  </si>
  <si>
    <t>원</t>
    <phoneticPr fontId="11" type="noConversion"/>
  </si>
  <si>
    <t>소계 :</t>
    <phoneticPr fontId="11" type="noConversion"/>
  </si>
  <si>
    <t>계</t>
    <phoneticPr fontId="11" type="noConversion"/>
  </si>
  <si>
    <t>전입금</t>
    <phoneticPr fontId="11" type="noConversion"/>
  </si>
  <si>
    <t xml:space="preserve">  *기타 차입금</t>
    <phoneticPr fontId="11" type="noConversion"/>
  </si>
  <si>
    <t>기타 차입금</t>
    <phoneticPr fontId="11" type="noConversion"/>
  </si>
  <si>
    <t>차입금</t>
    <phoneticPr fontId="11" type="noConversion"/>
  </si>
  <si>
    <t xml:space="preserve"> &lt;기타 차입금&gt;</t>
    <phoneticPr fontId="11" type="noConversion"/>
  </si>
  <si>
    <t>기 타</t>
    <phoneticPr fontId="11" type="noConversion"/>
  </si>
  <si>
    <t xml:space="preserve">  *금융기관 차입금</t>
    <phoneticPr fontId="11" type="noConversion"/>
  </si>
  <si>
    <t xml:space="preserve"> &lt;금융기관 차입금&gt;</t>
    <phoneticPr fontId="11" type="noConversion"/>
  </si>
  <si>
    <t>금융기관</t>
    <phoneticPr fontId="11" type="noConversion"/>
  </si>
  <si>
    <t>기관</t>
    <phoneticPr fontId="11" type="noConversion"/>
  </si>
  <si>
    <t>금융</t>
    <phoneticPr fontId="11" type="noConversion"/>
  </si>
  <si>
    <t>※ 차 입 금</t>
    <phoneticPr fontId="11" type="noConversion"/>
  </si>
  <si>
    <t xml:space="preserve">  *후원금 수입</t>
    <phoneticPr fontId="11" type="noConversion"/>
  </si>
  <si>
    <t>&lt;비지정후원금&gt;</t>
    <phoneticPr fontId="11" type="noConversion"/>
  </si>
  <si>
    <t>비지정후원금</t>
    <phoneticPr fontId="11" type="noConversion"/>
  </si>
  <si>
    <t>후원금</t>
    <phoneticPr fontId="11" type="noConversion"/>
  </si>
  <si>
    <t xml:space="preserve"> &lt;비지정 후원금 합계&gt;</t>
    <phoneticPr fontId="11" type="noConversion"/>
  </si>
  <si>
    <t>비지정</t>
    <phoneticPr fontId="11" type="noConversion"/>
  </si>
  <si>
    <t>&lt;지정후원금&gt;</t>
    <phoneticPr fontId="11" type="noConversion"/>
  </si>
  <si>
    <t>지정 후원금</t>
    <phoneticPr fontId="11" type="noConversion"/>
  </si>
  <si>
    <t xml:space="preserve"> &lt;지정 후원금 합계&gt;</t>
    <phoneticPr fontId="11" type="noConversion"/>
  </si>
  <si>
    <t>지 정</t>
    <phoneticPr fontId="11" type="noConversion"/>
  </si>
  <si>
    <t>수 입</t>
    <phoneticPr fontId="11" type="noConversion"/>
  </si>
  <si>
    <t>총  계 :</t>
    <phoneticPr fontId="11" type="noConversion"/>
  </si>
  <si>
    <t>※후원금수입</t>
    <phoneticPr fontId="11" type="noConversion"/>
  </si>
  <si>
    <t>소  계</t>
    <phoneticPr fontId="11" type="noConversion"/>
  </si>
  <si>
    <t>기타 보조금</t>
    <phoneticPr fontId="11" type="noConversion"/>
  </si>
  <si>
    <t>보조금</t>
    <phoneticPr fontId="11" type="noConversion"/>
  </si>
  <si>
    <t xml:space="preserve"> &lt;시군구 보조금 합계&gt;</t>
    <phoneticPr fontId="11" type="noConversion"/>
  </si>
  <si>
    <t>기 타</t>
    <phoneticPr fontId="11" type="noConversion"/>
  </si>
  <si>
    <t>계:</t>
    <phoneticPr fontId="11" type="noConversion"/>
  </si>
  <si>
    <t>보조금</t>
    <phoneticPr fontId="11" type="noConversion"/>
  </si>
  <si>
    <t xml:space="preserve"> &lt;시군구 보조금 합계&gt;</t>
    <phoneticPr fontId="11" type="noConversion"/>
  </si>
  <si>
    <t>시군구</t>
    <phoneticPr fontId="11" type="noConversion"/>
  </si>
  <si>
    <t xml:space="preserve"> &lt;시도 보조금 합계&gt;</t>
    <phoneticPr fontId="11" type="noConversion"/>
  </si>
  <si>
    <t>시 도</t>
    <phoneticPr fontId="11" type="noConversion"/>
  </si>
  <si>
    <t xml:space="preserve"> &lt;국고 보조금 합계&gt;</t>
    <phoneticPr fontId="11" type="noConversion"/>
  </si>
  <si>
    <t>국 고</t>
    <phoneticPr fontId="11" type="noConversion"/>
  </si>
  <si>
    <t>수 입</t>
    <phoneticPr fontId="11" type="noConversion"/>
  </si>
  <si>
    <t>수  입</t>
    <phoneticPr fontId="11" type="noConversion"/>
  </si>
  <si>
    <t>※ 보조금수입 합계</t>
    <phoneticPr fontId="11" type="noConversion"/>
  </si>
  <si>
    <t>합  계 :</t>
    <phoneticPr fontId="11" type="noConversion"/>
  </si>
  <si>
    <t>※ 과년도 수입</t>
    <phoneticPr fontId="11" type="noConversion"/>
  </si>
  <si>
    <t>과년도</t>
    <phoneticPr fontId="11" type="noConversion"/>
  </si>
  <si>
    <t>합  계 :</t>
    <phoneticPr fontId="11" type="noConversion"/>
  </si>
  <si>
    <t>※ 사업수입</t>
    <phoneticPr fontId="11" type="noConversion"/>
  </si>
  <si>
    <t>사 업</t>
    <phoneticPr fontId="11" type="noConversion"/>
  </si>
  <si>
    <t>※ 총 계</t>
    <phoneticPr fontId="11" type="noConversion"/>
  </si>
  <si>
    <t>금액
(B-A)</t>
    <phoneticPr fontId="11" type="noConversion"/>
  </si>
  <si>
    <t>세목</t>
    <phoneticPr fontId="11" type="noConversion"/>
  </si>
  <si>
    <t>목</t>
    <phoneticPr fontId="11" type="noConversion"/>
  </si>
  <si>
    <t>산               출                기               초</t>
    <phoneticPr fontId="11" type="noConversion"/>
  </si>
  <si>
    <t>과            목</t>
    <phoneticPr fontId="11" type="noConversion"/>
  </si>
  <si>
    <t>기타 보조금</t>
    <phoneticPr fontId="30" type="noConversion"/>
  </si>
  <si>
    <t>원</t>
    <phoneticPr fontId="11" type="noConversion"/>
  </si>
  <si>
    <t>회</t>
    <phoneticPr fontId="11" type="noConversion"/>
  </si>
  <si>
    <t>재산</t>
    <phoneticPr fontId="11" type="noConversion"/>
  </si>
  <si>
    <t>수입</t>
    <phoneticPr fontId="11" type="noConversion"/>
  </si>
  <si>
    <t>기본</t>
    <phoneticPr fontId="11" type="noConversion"/>
  </si>
  <si>
    <t>임대료</t>
    <phoneticPr fontId="11" type="noConversion"/>
  </si>
  <si>
    <t>임대료수입</t>
    <phoneticPr fontId="11" type="noConversion"/>
  </si>
  <si>
    <t>배당 및</t>
    <phoneticPr fontId="11" type="noConversion"/>
  </si>
  <si>
    <t>이자</t>
    <phoneticPr fontId="11" type="noConversion"/>
  </si>
  <si>
    <t>이자수입</t>
    <phoneticPr fontId="11" type="noConversion"/>
  </si>
  <si>
    <t xml:space="preserve">배당 및 </t>
    <phoneticPr fontId="11" type="noConversion"/>
  </si>
  <si>
    <t>재산매각</t>
    <phoneticPr fontId="11" type="noConversion"/>
  </si>
  <si>
    <t>기타</t>
    <phoneticPr fontId="11" type="noConversion"/>
  </si>
  <si>
    <t>※ 배당 및 이자수입</t>
    <phoneticPr fontId="11" type="noConversion"/>
  </si>
  <si>
    <t>※ 재산매각수입</t>
    <phoneticPr fontId="11" type="noConversion"/>
  </si>
  <si>
    <t>※ 기타수입</t>
    <phoneticPr fontId="11" type="noConversion"/>
  </si>
  <si>
    <t xml:space="preserve">* </t>
    <phoneticPr fontId="11" type="noConversion"/>
  </si>
  <si>
    <t>※ 재산수입 합계</t>
    <phoneticPr fontId="11" type="noConversion"/>
  </si>
  <si>
    <t>국고</t>
    <phoneticPr fontId="11" type="noConversion"/>
  </si>
  <si>
    <t>보조금</t>
    <phoneticPr fontId="11" type="noConversion"/>
  </si>
  <si>
    <t>시도</t>
    <phoneticPr fontId="11" type="noConversion"/>
  </si>
  <si>
    <t>시군구</t>
    <phoneticPr fontId="11" type="noConversion"/>
  </si>
  <si>
    <t>다른회계로</t>
    <phoneticPr fontId="11" type="noConversion"/>
  </si>
  <si>
    <t>부터의</t>
    <phoneticPr fontId="11" type="noConversion"/>
  </si>
  <si>
    <t>전입금</t>
    <phoneticPr fontId="11" type="noConversion"/>
  </si>
  <si>
    <t>다른회계</t>
    <phoneticPr fontId="11" type="noConversion"/>
  </si>
  <si>
    <t>로 부터의</t>
    <phoneticPr fontId="11" type="noConversion"/>
  </si>
  <si>
    <t xml:space="preserve"> * 예금이자(후원금)</t>
    <phoneticPr fontId="11" type="noConversion"/>
  </si>
  <si>
    <t xml:space="preserve"> &lt;???이월금&gt;</t>
    <phoneticPr fontId="11" type="noConversion"/>
  </si>
  <si>
    <t>제수당</t>
    <phoneticPr fontId="11" type="noConversion"/>
  </si>
  <si>
    <t>일용잡급</t>
    <phoneticPr fontId="11" type="noConversion"/>
  </si>
  <si>
    <t>연 료 비</t>
    <phoneticPr fontId="11" type="noConversion"/>
  </si>
  <si>
    <t>※ 연료비</t>
    <phoneticPr fontId="11" type="noConversion"/>
  </si>
  <si>
    <t>1.난방연료비</t>
    <phoneticPr fontId="11" type="noConversion"/>
  </si>
  <si>
    <t>일반</t>
    <phoneticPr fontId="11" type="noConversion"/>
  </si>
  <si>
    <t>사업비</t>
    <phoneticPr fontId="11" type="noConversion"/>
  </si>
  <si>
    <t>○○사업비</t>
    <phoneticPr fontId="11" type="noConversion"/>
  </si>
  <si>
    <t>전출금</t>
    <phoneticPr fontId="11" type="noConversion"/>
  </si>
  <si>
    <t>전출금</t>
    <phoneticPr fontId="11" type="noConversion"/>
  </si>
  <si>
    <t>바다의별</t>
    <phoneticPr fontId="11" type="noConversion"/>
  </si>
  <si>
    <t>소계:</t>
    <phoneticPr fontId="11" type="noConversion"/>
  </si>
  <si>
    <t>하늘의별</t>
    <phoneticPr fontId="11" type="noConversion"/>
  </si>
  <si>
    <t>직업재활</t>
    <phoneticPr fontId="11" type="noConversion"/>
  </si>
  <si>
    <t>잡지출</t>
    <phoneticPr fontId="11" type="noConversion"/>
  </si>
  <si>
    <t>※ 잡지출</t>
    <phoneticPr fontId="11" type="noConversion"/>
  </si>
  <si>
    <t>과년도</t>
    <phoneticPr fontId="11" type="noConversion"/>
  </si>
  <si>
    <t>지출</t>
    <phoneticPr fontId="11" type="noConversion"/>
  </si>
  <si>
    <t>상환금</t>
    <phoneticPr fontId="11" type="noConversion"/>
  </si>
  <si>
    <t>부채</t>
    <phoneticPr fontId="11" type="noConversion"/>
  </si>
  <si>
    <t>상환금</t>
    <phoneticPr fontId="11" type="noConversion"/>
  </si>
  <si>
    <t>원금</t>
    <phoneticPr fontId="11" type="noConversion"/>
  </si>
  <si>
    <t>지급금</t>
    <phoneticPr fontId="11" type="noConversion"/>
  </si>
  <si>
    <t>및</t>
    <phoneticPr fontId="11" type="noConversion"/>
  </si>
  <si>
    <t>반환금</t>
    <phoneticPr fontId="11" type="noConversion"/>
  </si>
  <si>
    <t>※ 반환금</t>
    <phoneticPr fontId="11" type="noConversion"/>
  </si>
  <si>
    <t>1.</t>
    <phoneticPr fontId="11" type="noConversion"/>
  </si>
  <si>
    <t>※ 원금상환금</t>
    <phoneticPr fontId="11" type="noConversion"/>
  </si>
  <si>
    <t>※ 이자지급금</t>
    <phoneticPr fontId="11" type="noConversion"/>
  </si>
  <si>
    <t>과년도지출</t>
    <phoneticPr fontId="11" type="noConversion"/>
  </si>
  <si>
    <t>※ 과년도지출</t>
    <phoneticPr fontId="11" type="noConversion"/>
  </si>
  <si>
    <t>※ 바다의별 전출금</t>
    <phoneticPr fontId="11" type="noConversion"/>
  </si>
  <si>
    <t>※ 하늘의별 전출금</t>
    <phoneticPr fontId="11" type="noConversion"/>
  </si>
  <si>
    <t>※ 직업재활센터 전출금</t>
    <phoneticPr fontId="11" type="noConversion"/>
  </si>
  <si>
    <t>○○시설</t>
    <phoneticPr fontId="11" type="noConversion"/>
  </si>
  <si>
    <t>계</t>
    <phoneticPr fontId="11" type="noConversion"/>
  </si>
  <si>
    <t>※ 시설전출금</t>
    <phoneticPr fontId="11" type="noConversion"/>
  </si>
  <si>
    <t>(후원금)</t>
    <phoneticPr fontId="11" type="noConversion"/>
  </si>
  <si>
    <t>전출금(후)</t>
    <phoneticPr fontId="11" type="noConversion"/>
  </si>
  <si>
    <t>※ 시설전출금(후원금)</t>
    <phoneticPr fontId="11" type="noConversion"/>
  </si>
  <si>
    <t>※ 바다의별 전출금(후원금)</t>
    <phoneticPr fontId="11" type="noConversion"/>
  </si>
  <si>
    <t>※ 하늘의별 전출금(후원금)</t>
    <phoneticPr fontId="11" type="noConversion"/>
  </si>
  <si>
    <t>※ 직업재활센터 전출금(후원금)</t>
    <phoneticPr fontId="11" type="noConversion"/>
  </si>
  <si>
    <t>※ ○○ 전출금(후원금)</t>
    <phoneticPr fontId="11" type="noConversion"/>
  </si>
  <si>
    <t>※ 급여</t>
    <phoneticPr fontId="11" type="noConversion"/>
  </si>
  <si>
    <t>원</t>
    <phoneticPr fontId="11" type="noConversion"/>
  </si>
  <si>
    <t>후원</t>
    <phoneticPr fontId="11" type="noConversion"/>
  </si>
  <si>
    <t>보조금</t>
    <phoneticPr fontId="11" type="noConversion"/>
  </si>
  <si>
    <t>* 전화료(인터넷 등 포함)</t>
    <phoneticPr fontId="11" type="noConversion"/>
  </si>
  <si>
    <t>* 면허세, 등록세, 재산세 등</t>
    <phoneticPr fontId="11" type="noConversion"/>
  </si>
  <si>
    <t>○○사업비</t>
    <phoneticPr fontId="11" type="noConversion"/>
  </si>
  <si>
    <t>1.○○사업비</t>
    <phoneticPr fontId="11" type="noConversion"/>
  </si>
  <si>
    <t>※ ○○사업비</t>
    <phoneticPr fontId="11" type="noConversion"/>
  </si>
  <si>
    <t>2.○○사업비</t>
    <phoneticPr fontId="11" type="noConversion"/>
  </si>
  <si>
    <t>전출금</t>
    <phoneticPr fontId="11" type="noConversion"/>
  </si>
  <si>
    <t>후원</t>
    <phoneticPr fontId="11" type="noConversion"/>
  </si>
  <si>
    <t>2. 이사회 참석수당</t>
    <phoneticPr fontId="11" type="noConversion"/>
  </si>
  <si>
    <t>※ 일용잡급</t>
    <phoneticPr fontId="11" type="noConversion"/>
  </si>
  <si>
    <t>원</t>
    <phoneticPr fontId="11" type="noConversion"/>
  </si>
  <si>
    <t>원</t>
    <phoneticPr fontId="11" type="noConversion"/>
  </si>
  <si>
    <t xml:space="preserve">  *의료비 지정후원금</t>
    <phoneticPr fontId="11" type="noConversion"/>
  </si>
  <si>
    <t>잡지출</t>
    <phoneticPr fontId="11" type="noConversion"/>
  </si>
  <si>
    <t>예비비</t>
    <phoneticPr fontId="11" type="noConversion"/>
  </si>
  <si>
    <t>기타</t>
    <phoneticPr fontId="11" type="noConversion"/>
  </si>
  <si>
    <t>재산수입</t>
    <phoneticPr fontId="30" type="noConversion"/>
  </si>
  <si>
    <t>기본재산수입</t>
    <phoneticPr fontId="30" type="noConversion"/>
  </si>
  <si>
    <t>다른회계 전입금</t>
    <phoneticPr fontId="30" type="noConversion"/>
  </si>
  <si>
    <t>전   출   금</t>
    <phoneticPr fontId="30" type="noConversion"/>
  </si>
  <si>
    <t>전출금(후원금)</t>
    <phoneticPr fontId="30" type="noConversion"/>
  </si>
  <si>
    <t>전출금</t>
    <phoneticPr fontId="30" type="noConversion"/>
  </si>
  <si>
    <t>잡   지   출</t>
    <phoneticPr fontId="30" type="noConversion"/>
  </si>
  <si>
    <t>예   비   비</t>
    <phoneticPr fontId="30" type="noConversion"/>
  </si>
  <si>
    <t>예      비      비</t>
    <phoneticPr fontId="30" type="noConversion"/>
  </si>
  <si>
    <t xml:space="preserve"> * </t>
    <phoneticPr fontId="11" type="noConversion"/>
  </si>
  <si>
    <t>원</t>
    <phoneticPr fontId="11" type="noConversion"/>
  </si>
  <si>
    <t>※다른회계로 부터의 전입금</t>
    <phoneticPr fontId="11" type="noConversion"/>
  </si>
  <si>
    <t xml:space="preserve"> &lt;다른회계로 부터의 전입금&gt;</t>
    <phoneticPr fontId="11" type="noConversion"/>
  </si>
  <si>
    <t xml:space="preserve"> *법인 상근직원 인건비 지원금</t>
    <phoneticPr fontId="11" type="noConversion"/>
  </si>
  <si>
    <t xml:space="preserve"> * 직원 출장여비</t>
    <phoneticPr fontId="11" type="noConversion"/>
  </si>
  <si>
    <t>원</t>
    <phoneticPr fontId="11" type="noConversion"/>
  </si>
  <si>
    <t xml:space="preserve">* </t>
    <phoneticPr fontId="11" type="noConversion"/>
  </si>
  <si>
    <t>후원</t>
    <phoneticPr fontId="11" type="noConversion"/>
  </si>
  <si>
    <t xml:space="preserve"> *법인 상근직원 퇴직적립금 지원금</t>
    <phoneticPr fontId="11" type="noConversion"/>
  </si>
  <si>
    <t>총계</t>
    <phoneticPr fontId="30" type="noConversion"/>
  </si>
  <si>
    <t>부담금
합계</t>
    <phoneticPr fontId="30" type="noConversion"/>
  </si>
  <si>
    <t>국민연금
(4.5%)</t>
    <phoneticPr fontId="30" type="noConversion"/>
  </si>
  <si>
    <t>퇴직적립금</t>
    <phoneticPr fontId="30" type="noConversion"/>
  </si>
  <si>
    <t>기본급
합계</t>
    <phoneticPr fontId="30" type="noConversion"/>
  </si>
  <si>
    <t>기본급</t>
    <phoneticPr fontId="30" type="noConversion"/>
  </si>
  <si>
    <t>입사일</t>
    <phoneticPr fontId="30" type="noConversion"/>
  </si>
  <si>
    <t>성명</t>
    <phoneticPr fontId="30" type="noConversion"/>
  </si>
  <si>
    <t>직위</t>
    <phoneticPr fontId="30" type="noConversion"/>
  </si>
  <si>
    <t>번호</t>
    <phoneticPr fontId="30" type="noConversion"/>
  </si>
  <si>
    <t xml:space="preserve">  *후원금 수입(모금함)</t>
    <phoneticPr fontId="11" type="noConversion"/>
  </si>
  <si>
    <t>???이월금</t>
    <phoneticPr fontId="11" type="noConversion"/>
  </si>
  <si>
    <t xml:space="preserve"> * 지정후원금이월액(의료)</t>
    <phoneticPr fontId="11" type="noConversion"/>
  </si>
  <si>
    <t xml:space="preserve"> * 비지정후원금이월액</t>
    <phoneticPr fontId="11" type="noConversion"/>
  </si>
  <si>
    <t xml:space="preserve"> * 비지정후원금이월액(모금함)</t>
    <phoneticPr fontId="11" type="noConversion"/>
  </si>
  <si>
    <t>원</t>
    <phoneticPr fontId="11" type="noConversion"/>
  </si>
  <si>
    <t>산재보험료
(0.81%)</t>
    <phoneticPr fontId="30" type="noConversion"/>
  </si>
  <si>
    <t>2. 공인인증서, 퇴직연금 수수료 등 기타 수수료</t>
    <phoneticPr fontId="11" type="noConversion"/>
  </si>
  <si>
    <t>3. CMS수수료,보증보험료,이용료</t>
    <phoneticPr fontId="11" type="noConversion"/>
  </si>
  <si>
    <t>* 비품 수선비 등</t>
    <phoneticPr fontId="11" type="noConversion"/>
  </si>
  <si>
    <t>(단위:천원)</t>
    <phoneticPr fontId="30" type="noConversion"/>
  </si>
  <si>
    <t>몬띠요양원</t>
    <phoneticPr fontId="11" type="noConversion"/>
  </si>
  <si>
    <t>※ 몬띠요양원 전출금</t>
    <phoneticPr fontId="11" type="noConversion"/>
  </si>
  <si>
    <t>전출금(후)</t>
    <phoneticPr fontId="11" type="noConversion"/>
  </si>
  <si>
    <t>※ 몬띠요양원 전출금(후원금)</t>
    <phoneticPr fontId="11" type="noConversion"/>
  </si>
  <si>
    <t>후원</t>
    <phoneticPr fontId="11" type="noConversion"/>
  </si>
  <si>
    <t xml:space="preserve">  *기타 후원금 수입</t>
    <phoneticPr fontId="11" type="noConversion"/>
  </si>
  <si>
    <t>원</t>
    <phoneticPr fontId="11" type="noConversion"/>
  </si>
  <si>
    <t>후원</t>
    <phoneticPr fontId="11" type="noConversion"/>
  </si>
  <si>
    <t xml:space="preserve"> * 기본급</t>
    <phoneticPr fontId="11" type="noConversion"/>
  </si>
  <si>
    <t>=</t>
    <phoneticPr fontId="11" type="noConversion"/>
  </si>
  <si>
    <t>1.국민연금부담금</t>
    <phoneticPr fontId="11" type="noConversion"/>
  </si>
  <si>
    <t>2.국민건강보험부담금</t>
    <phoneticPr fontId="11" type="noConversion"/>
  </si>
  <si>
    <t>3.장기요양보험부담금</t>
    <phoneticPr fontId="11" type="noConversion"/>
  </si>
  <si>
    <t>4.고용보험부담금</t>
    <phoneticPr fontId="11" type="noConversion"/>
  </si>
  <si>
    <t>5.산업재해보험부담금</t>
    <phoneticPr fontId="11" type="noConversion"/>
  </si>
  <si>
    <t>계
(A)</t>
    <phoneticPr fontId="11" type="noConversion"/>
  </si>
  <si>
    <t>* 직원축일·생일축하 상품권 구입비</t>
    <phoneticPr fontId="11" type="noConversion"/>
  </si>
  <si>
    <t>* 유관기관경조사비 등</t>
    <phoneticPr fontId="11" type="noConversion"/>
  </si>
  <si>
    <t>후원</t>
    <phoneticPr fontId="11" type="noConversion"/>
  </si>
  <si>
    <t>우현구</t>
    <phoneticPr fontId="30" type="noConversion"/>
  </si>
  <si>
    <t>최종현</t>
    <phoneticPr fontId="30" type="noConversion"/>
  </si>
  <si>
    <t>임현자</t>
    <phoneticPr fontId="30" type="noConversion"/>
  </si>
  <si>
    <t>합계</t>
    <phoneticPr fontId="30" type="noConversion"/>
  </si>
  <si>
    <t xml:space="preserve"> * 예금이자(잡수입)</t>
    <phoneticPr fontId="11" type="noConversion"/>
  </si>
  <si>
    <t>1.외부교육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</si>
  <si>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</si>
  <si>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</si>
  <si>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</si>
  <si>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=</t>
    <phoneticPr fontId="11" type="noConversion"/>
  </si>
  <si>
    <t>후원</t>
    <phoneticPr fontId="11" type="noConversion"/>
  </si>
  <si>
    <t>2. 산하시설 보조금 정산검증비용 - 회계사</t>
    <phoneticPr fontId="11" type="noConversion"/>
  </si>
  <si>
    <t xml:space="preserve">3. 기본재산평가수수료 </t>
    <phoneticPr fontId="11" type="noConversion"/>
  </si>
  <si>
    <t>4. 임원/자산/분사무소 등기수수료</t>
    <phoneticPr fontId="11" type="noConversion"/>
  </si>
  <si>
    <t>5. 법인산하시설 외부감사 수수료</t>
    <phoneticPr fontId="11" type="noConversion"/>
  </si>
  <si>
    <t>7. 노무사 법인산하시설 자문수수료 등</t>
    <phoneticPr fontId="11" type="noConversion"/>
  </si>
  <si>
    <t>1.기타 비품구입비</t>
    <phoneticPr fontId="11" type="noConversion"/>
  </si>
  <si>
    <t>구분</t>
    <phoneticPr fontId="11" type="noConversion"/>
  </si>
  <si>
    <t>세입액</t>
    <phoneticPr fontId="11" type="noConversion"/>
  </si>
  <si>
    <t>예금이자</t>
    <phoneticPr fontId="11" type="noConversion"/>
  </si>
  <si>
    <t>합계</t>
    <phoneticPr fontId="11" type="noConversion"/>
  </si>
  <si>
    <t>계</t>
    <phoneticPr fontId="11" type="noConversion"/>
  </si>
  <si>
    <t>원</t>
    <phoneticPr fontId="11" type="noConversion"/>
  </si>
  <si>
    <t>원</t>
    <phoneticPr fontId="11" type="noConversion"/>
  </si>
  <si>
    <t>건강보험
(3.335%)</t>
    <phoneticPr fontId="30" type="noConversion"/>
  </si>
  <si>
    <t>요양보험료
(10.25%)</t>
    <phoneticPr fontId="30" type="noConversion"/>
  </si>
  <si>
    <t>`</t>
    <phoneticPr fontId="11" type="noConversion"/>
  </si>
  <si>
    <t>잡수</t>
    <phoneticPr fontId="11" type="noConversion"/>
  </si>
  <si>
    <t>고용보험료
(1.05%)</t>
    <phoneticPr fontId="30" type="noConversion"/>
  </si>
  <si>
    <t>* .보험료 및 세금 등</t>
    <phoneticPr fontId="11" type="noConversion"/>
  </si>
  <si>
    <t>전출금</t>
    <phoneticPr fontId="11" type="noConversion"/>
  </si>
  <si>
    <t>&lt;2021년도 본예산 세입내역&gt;</t>
    <phoneticPr fontId="11" type="noConversion"/>
  </si>
  <si>
    <t>2020년
2차 추경예산
(A)
(단위:천원)</t>
    <phoneticPr fontId="11" type="noConversion"/>
  </si>
  <si>
    <t>2021년
본예산
(B)
(단위:천원)</t>
    <phoneticPr fontId="11" type="noConversion"/>
  </si>
  <si>
    <t>2020년
2차 추경예산
(B)
(단위:천원)</t>
    <phoneticPr fontId="11" type="noConversion"/>
  </si>
  <si>
    <t>2021년 본예산액(A)         (단위:천원)</t>
    <phoneticPr fontId="11" type="noConversion"/>
  </si>
  <si>
    <t>&lt;기타보조금&gt;</t>
    <phoneticPr fontId="11" type="noConversion"/>
  </si>
  <si>
    <t xml:space="preserve"> *2020년 장애인 고용장려금</t>
    <phoneticPr fontId="11" type="noConversion"/>
  </si>
  <si>
    <t xml:space="preserve"> *일자리안정자금</t>
    <phoneticPr fontId="11" type="noConversion"/>
  </si>
  <si>
    <t>원</t>
    <phoneticPr fontId="11" type="noConversion"/>
  </si>
  <si>
    <t>보조</t>
    <phoneticPr fontId="11" type="noConversion"/>
  </si>
  <si>
    <t>후원</t>
    <phoneticPr fontId="11" type="noConversion"/>
  </si>
  <si>
    <t>(수도원지정후원금)</t>
    <phoneticPr fontId="11" type="noConversion"/>
  </si>
  <si>
    <t>(장애인 고용장려금)</t>
    <phoneticPr fontId="11" type="noConversion"/>
  </si>
  <si>
    <t xml:space="preserve"> * 예금이자(기타보조금)</t>
    <phoneticPr fontId="11" type="noConversion"/>
  </si>
  <si>
    <t>&lt;2021년도 본예산 세출내역&gt;</t>
    <phoneticPr fontId="11" type="noConversion"/>
  </si>
  <si>
    <t xml:space="preserve">  * </t>
    <phoneticPr fontId="11" type="noConversion"/>
  </si>
  <si>
    <t xml:space="preserve"> &lt;다른회계로 부터의 전입금&gt; - 마리아의 아들 수도회(운영주체)로 부터의 전입금</t>
    <phoneticPr fontId="11" type="noConversion"/>
  </si>
  <si>
    <t>(법인산하시설지원금)</t>
    <phoneticPr fontId="11" type="noConversion"/>
  </si>
  <si>
    <t xml:space="preserve">  * 지정후원금(마리아의 아들 수도회) - 법인 및 산하시설 지원</t>
    <phoneticPr fontId="11" type="noConversion"/>
  </si>
  <si>
    <t>(법인-업무추진비 지원)</t>
    <phoneticPr fontId="11" type="noConversion"/>
  </si>
  <si>
    <t>기타보조금</t>
    <phoneticPr fontId="11" type="noConversion"/>
  </si>
  <si>
    <t xml:space="preserve"> &lt;기타보조금 이월금&gt;</t>
    <phoneticPr fontId="11" type="noConversion"/>
  </si>
  <si>
    <t xml:space="preserve"> * 기타보조금 이월액</t>
    <phoneticPr fontId="11" type="noConversion"/>
  </si>
  <si>
    <t xml:space="preserve"> * 예금이자(지정후원금) - 수도원</t>
    <phoneticPr fontId="11" type="noConversion"/>
  </si>
  <si>
    <t>(법인상근직원 인건비 지원)</t>
    <phoneticPr fontId="11" type="noConversion"/>
  </si>
  <si>
    <t xml:space="preserve"> * 지정후원금이월액(수도원 지정후원금)</t>
    <phoneticPr fontId="11" type="noConversion"/>
  </si>
  <si>
    <r>
      <t>* 산하시설 의료비 지원금</t>
    </r>
    <r>
      <rPr>
        <sz val="10"/>
        <color rgb="FFFF0000"/>
        <rFont val="맑은 고딕"/>
        <family val="3"/>
        <charset val="129"/>
        <scheme val="major"/>
      </rPr>
      <t>(지정후원금)</t>
    </r>
    <phoneticPr fontId="11" type="noConversion"/>
  </si>
  <si>
    <r>
      <t>* 산하시설 의료비 지원금</t>
    </r>
    <r>
      <rPr>
        <sz val="10"/>
        <color rgb="FFFF0000"/>
        <rFont val="맑은 고딕"/>
        <family val="3"/>
        <charset val="129"/>
        <scheme val="major"/>
      </rPr>
      <t>(비지정후원금)</t>
    </r>
    <phoneticPr fontId="11" type="noConversion"/>
  </si>
  <si>
    <t>원</t>
    <phoneticPr fontId="11" type="noConversion"/>
  </si>
  <si>
    <t>(비지정)</t>
    <phoneticPr fontId="11" type="noConversion"/>
  </si>
  <si>
    <t>(지정)</t>
    <phoneticPr fontId="11" type="noConversion"/>
  </si>
  <si>
    <t>전출금(후)</t>
    <phoneticPr fontId="11" type="noConversion"/>
  </si>
  <si>
    <t>(일자리안정자금)</t>
    <phoneticPr fontId="11" type="noConversion"/>
  </si>
  <si>
    <t>(법인-여비 지원)</t>
    <phoneticPr fontId="11" type="noConversion"/>
  </si>
  <si>
    <t>(법인-재산조성비 지원)</t>
    <phoneticPr fontId="11" type="noConversion"/>
  </si>
  <si>
    <t>기타보조금</t>
    <phoneticPr fontId="11" type="noConversion"/>
  </si>
  <si>
    <t>이월금</t>
    <phoneticPr fontId="11" type="noConversion"/>
  </si>
  <si>
    <t>지정
후원금</t>
    <phoneticPr fontId="11" type="noConversion"/>
  </si>
  <si>
    <t>비지정
후원금</t>
    <phoneticPr fontId="11" type="noConversion"/>
  </si>
  <si>
    <t>지후</t>
    <phoneticPr fontId="11" type="noConversion"/>
  </si>
  <si>
    <t>지정후원금</t>
    <phoneticPr fontId="11" type="noConversion"/>
  </si>
  <si>
    <t>6. 세무조정 세무사 지급수수료 등</t>
    <phoneticPr fontId="11" type="noConversion"/>
  </si>
  <si>
    <t>□ 2021년도 본예산 세 입 · 세 출 총  괄  표</t>
    <phoneticPr fontId="30" type="noConversion"/>
  </si>
  <si>
    <t>2020년
2차 추경예산</t>
    <phoneticPr fontId="30" type="noConversion"/>
  </si>
  <si>
    <t>2021년
본예산</t>
    <phoneticPr fontId="30" type="noConversion"/>
  </si>
  <si>
    <t>지정    후원금</t>
    <phoneticPr fontId="30" type="noConversion"/>
  </si>
  <si>
    <t>비지정 후원금</t>
    <phoneticPr fontId="30" type="noConversion"/>
  </si>
  <si>
    <t>전년도 이월금</t>
    <phoneticPr fontId="30" type="noConversion"/>
  </si>
  <si>
    <t>■ 2021년도 인건비 본예산계상액(산출내역)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</si>
</sst>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.000%"/>
    <numFmt numFmtId="184" formatCode="#,##0_ ;[Red]\-#,##0\ "/>
    <numFmt numFmtId="185" formatCode="#,##0&quot;월&quot;;&quot;△&quot;#,##0"/>
  </numFmts>
  <fonts count="5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6"/>
      <color indexed="8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 applyFill="0" applyAlignment="0">
      <alignment vertical="center"/>
    </xf>
    <xf numFmtId="9" fontId="10" fillId="0" borderId="0" applyFont="0" applyFill="0" applyAlignment="0" applyProtection="0">
      <alignment vertical="center"/>
    </xf>
    <xf numFmtId="41" fontId="10" fillId="0" borderId="0" applyFont="0" applyFill="0" applyAlignment="0" applyProtection="0">
      <alignment vertical="center"/>
    </xf>
    <xf numFmtId="0" fontId="10" fillId="0" borderId="0" applyFill="0" applyAlignment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" fillId="0" borderId="0">
      <alignment vertical="center"/>
    </xf>
  </cellStyleXfs>
  <cellXfs count="577">
    <xf numFmtId="0" fontId="0" fillId="0" borderId="0" xfId="0" applyFill="1" applyAlignment="1">
      <alignment vertical="center"/>
    </xf>
    <xf numFmtId="0" fontId="12" fillId="0" borderId="0" xfId="3" applyFont="1" applyFill="1" applyAlignment="1">
      <alignment vertical="center"/>
    </xf>
    <xf numFmtId="176" fontId="12" fillId="0" borderId="0" xfId="3" applyNumberFormat="1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horizontal="center" vertical="center" wrapText="1"/>
    </xf>
    <xf numFmtId="41" fontId="12" fillId="0" borderId="0" xfId="2" applyFont="1" applyFill="1" applyAlignment="1">
      <alignment horizontal="center" vertical="center"/>
    </xf>
    <xf numFmtId="178" fontId="12" fillId="0" borderId="0" xfId="3" applyNumberFormat="1" applyFont="1" applyFill="1" applyAlignment="1">
      <alignment vertical="center"/>
    </xf>
    <xf numFmtId="177" fontId="12" fillId="0" borderId="0" xfId="3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9" fontId="12" fillId="0" borderId="0" xfId="3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14" fillId="0" borderId="0" xfId="3" applyNumberFormat="1" applyFont="1" applyFill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6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/>
    </xf>
    <xf numFmtId="41" fontId="13" fillId="0" borderId="0" xfId="2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7" fillId="0" borderId="16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9" fontId="18" fillId="0" borderId="3" xfId="3" applyNumberFormat="1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vertical="center"/>
    </xf>
    <xf numFmtId="176" fontId="20" fillId="0" borderId="22" xfId="3" applyNumberFormat="1" applyFont="1" applyFill="1" applyBorder="1" applyAlignment="1">
      <alignment horizontal="center" vertical="center"/>
    </xf>
    <xf numFmtId="176" fontId="20" fillId="0" borderId="24" xfId="3" applyNumberFormat="1" applyFont="1" applyFill="1" applyBorder="1" applyAlignment="1">
      <alignment vertical="center"/>
    </xf>
    <xf numFmtId="9" fontId="17" fillId="0" borderId="2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176" fontId="19" fillId="0" borderId="0" xfId="3" applyNumberFormat="1" applyFont="1" applyFill="1" applyBorder="1" applyAlignment="1">
      <alignment vertical="center"/>
    </xf>
    <xf numFmtId="176" fontId="19" fillId="0" borderId="5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vertical="center"/>
    </xf>
    <xf numFmtId="176" fontId="22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0" xfId="3" applyNumberFormat="1" applyFont="1" applyFill="1" applyBorder="1" applyAlignment="1">
      <alignment vertical="center"/>
    </xf>
    <xf numFmtId="0" fontId="17" fillId="0" borderId="31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178" fontId="17" fillId="0" borderId="26" xfId="3" applyNumberFormat="1" applyFont="1" applyFill="1" applyBorder="1" applyAlignment="1">
      <alignment vertical="center"/>
    </xf>
    <xf numFmtId="177" fontId="17" fillId="0" borderId="26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9" fillId="0" borderId="0" xfId="3" applyNumberFormat="1" applyFont="1" applyFill="1" applyBorder="1" applyAlignment="1">
      <alignment horizontal="right" vertical="center"/>
    </xf>
    <xf numFmtId="0" fontId="17" fillId="0" borderId="32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center" vertical="center"/>
    </xf>
    <xf numFmtId="41" fontId="17" fillId="0" borderId="0" xfId="2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7" fillId="0" borderId="17" xfId="3" applyFont="1" applyFill="1" applyBorder="1" applyAlignment="1">
      <alignment horizontal="center" vertical="center" wrapText="1"/>
    </xf>
    <xf numFmtId="0" fontId="17" fillId="0" borderId="11" xfId="3" applyFont="1" applyFill="1" applyBorder="1" applyAlignment="1">
      <alignment horizontal="center" vertical="center" wrapText="1"/>
    </xf>
    <xf numFmtId="0" fontId="17" fillId="0" borderId="31" xfId="3" applyFont="1" applyFill="1" applyBorder="1" applyAlignment="1">
      <alignment vertical="center" wrapText="1"/>
    </xf>
    <xf numFmtId="178" fontId="17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0" fontId="17" fillId="0" borderId="36" xfId="3" applyFont="1" applyFill="1" applyBorder="1" applyAlignment="1">
      <alignment vertical="center"/>
    </xf>
    <xf numFmtId="0" fontId="17" fillId="0" borderId="13" xfId="3" applyFont="1" applyFill="1" applyBorder="1" applyAlignment="1">
      <alignment vertical="center"/>
    </xf>
    <xf numFmtId="176" fontId="17" fillId="0" borderId="13" xfId="3" applyNumberFormat="1" applyFont="1" applyFill="1" applyBorder="1" applyAlignment="1">
      <alignment vertical="center"/>
    </xf>
    <xf numFmtId="176" fontId="17" fillId="0" borderId="37" xfId="3" applyNumberFormat="1" applyFont="1" applyFill="1" applyBorder="1" applyAlignment="1">
      <alignment vertical="center"/>
    </xf>
    <xf numFmtId="0" fontId="17" fillId="0" borderId="32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178" fontId="17" fillId="0" borderId="0" xfId="3" applyNumberFormat="1" applyFont="1" applyFill="1" applyBorder="1" applyAlignment="1">
      <alignment horizontal="center" vertical="center"/>
    </xf>
    <xf numFmtId="9" fontId="17" fillId="0" borderId="26" xfId="1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42" fontId="17" fillId="0" borderId="0" xfId="3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9" fontId="17" fillId="0" borderId="0" xfId="1" applyFont="1" applyFill="1" applyBorder="1" applyAlignment="1">
      <alignment horizontal="center" vertical="center"/>
    </xf>
    <xf numFmtId="10" fontId="17" fillId="0" borderId="0" xfId="1" applyNumberFormat="1" applyFont="1" applyFill="1" applyBorder="1" applyAlignment="1">
      <alignment horizontal="center" vertical="center"/>
    </xf>
    <xf numFmtId="180" fontId="17" fillId="0" borderId="0" xfId="2" applyNumberFormat="1" applyFont="1" applyFill="1" applyBorder="1" applyAlignment="1">
      <alignment horizontal="center" vertical="center"/>
    </xf>
    <xf numFmtId="176" fontId="17" fillId="0" borderId="14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26" xfId="3" applyFont="1" applyFill="1" applyBorder="1" applyAlignment="1">
      <alignment vertical="center" wrapText="1"/>
    </xf>
    <xf numFmtId="0" fontId="17" fillId="0" borderId="11" xfId="3" applyFont="1" applyFill="1" applyBorder="1" applyAlignment="1">
      <alignment vertical="center" wrapText="1"/>
    </xf>
    <xf numFmtId="9" fontId="17" fillId="0" borderId="11" xfId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/>
    </xf>
    <xf numFmtId="176" fontId="17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0" fontId="17" fillId="0" borderId="26" xfId="3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horizontal="center" vertical="center"/>
    </xf>
    <xf numFmtId="179" fontId="17" fillId="0" borderId="0" xfId="1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0" xfId="3" applyNumberFormat="1" applyFont="1" applyFill="1" applyBorder="1" applyAlignment="1">
      <alignment vertical="center"/>
    </xf>
    <xf numFmtId="0" fontId="17" fillId="0" borderId="25" xfId="3" applyFont="1" applyFill="1" applyBorder="1" applyAlignment="1">
      <alignment horizontal="center" vertical="center"/>
    </xf>
    <xf numFmtId="0" fontId="19" fillId="0" borderId="39" xfId="3" applyFont="1" applyFill="1" applyBorder="1" applyAlignment="1">
      <alignment vertical="center"/>
    </xf>
    <xf numFmtId="0" fontId="17" fillId="0" borderId="25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0" fontId="17" fillId="0" borderId="6" xfId="3" applyFont="1" applyFill="1" applyBorder="1" applyAlignment="1">
      <alignment vertical="center" wrapText="1"/>
    </xf>
    <xf numFmtId="0" fontId="17" fillId="0" borderId="7" xfId="3" applyFont="1" applyFill="1" applyBorder="1" applyAlignment="1">
      <alignment horizontal="center" vertical="center"/>
    </xf>
    <xf numFmtId="0" fontId="17" fillId="0" borderId="7" xfId="3" applyFont="1" applyFill="1" applyBorder="1" applyAlignment="1">
      <alignment horizontal="center" vertical="center" wrapText="1"/>
    </xf>
    <xf numFmtId="178" fontId="17" fillId="0" borderId="7" xfId="3" applyNumberFormat="1" applyFont="1" applyFill="1" applyBorder="1" applyAlignment="1">
      <alignment vertical="center"/>
    </xf>
    <xf numFmtId="177" fontId="17" fillId="0" borderId="7" xfId="3" applyNumberFormat="1" applyFont="1" applyFill="1" applyBorder="1" applyAlignment="1">
      <alignment vertical="center"/>
    </xf>
    <xf numFmtId="9" fontId="17" fillId="0" borderId="7" xfId="3" applyNumberFormat="1" applyFont="1" applyFill="1" applyBorder="1" applyAlignment="1">
      <alignment horizontal="center" vertical="center"/>
    </xf>
    <xf numFmtId="176" fontId="17" fillId="0" borderId="13" xfId="3" applyNumberFormat="1" applyFont="1" applyFill="1" applyBorder="1" applyAlignment="1">
      <alignment horizontal="center" vertical="center"/>
    </xf>
    <xf numFmtId="9" fontId="17" fillId="0" borderId="3" xfId="1" applyFont="1" applyFill="1" applyBorder="1" applyAlignment="1">
      <alignment horizontal="center" vertical="center"/>
    </xf>
    <xf numFmtId="38" fontId="17" fillId="0" borderId="26" xfId="3" applyNumberFormat="1" applyFont="1" applyFill="1" applyBorder="1" applyAlignment="1">
      <alignment vertical="center"/>
    </xf>
    <xf numFmtId="3" fontId="27" fillId="0" borderId="0" xfId="0" applyNumberFormat="1" applyFont="1" applyFill="1" applyAlignment="1">
      <alignment vertical="center"/>
    </xf>
    <xf numFmtId="38" fontId="17" fillId="0" borderId="11" xfId="3" applyNumberFormat="1" applyFont="1" applyFill="1" applyBorder="1" applyAlignment="1">
      <alignment vertical="center"/>
    </xf>
    <xf numFmtId="0" fontId="19" fillId="0" borderId="2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38" fontId="21" fillId="0" borderId="26" xfId="3" applyNumberFormat="1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9" fontId="17" fillId="0" borderId="1" xfId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38" fontId="28" fillId="0" borderId="1" xfId="3" applyNumberFormat="1" applyFont="1" applyFill="1" applyBorder="1" applyAlignment="1">
      <alignment vertical="center"/>
    </xf>
    <xf numFmtId="0" fontId="17" fillId="0" borderId="35" xfId="0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left" vertical="center" wrapText="1"/>
    </xf>
    <xf numFmtId="38" fontId="17" fillId="0" borderId="14" xfId="3" applyNumberFormat="1" applyFont="1" applyFill="1" applyBorder="1" applyAlignment="1">
      <alignment vertical="center"/>
    </xf>
    <xf numFmtId="38" fontId="17" fillId="0" borderId="29" xfId="3" applyNumberFormat="1" applyFont="1" applyFill="1" applyBorder="1" applyAlignment="1">
      <alignment vertical="center"/>
    </xf>
    <xf numFmtId="38" fontId="17" fillId="0" borderId="0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left" vertical="center"/>
    </xf>
    <xf numFmtId="3" fontId="17" fillId="0" borderId="0" xfId="0" applyNumberFormat="1" applyFont="1" applyFill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176" fontId="28" fillId="0" borderId="5" xfId="3" applyNumberFormat="1" applyFont="1" applyFill="1" applyBorder="1" applyAlignment="1">
      <alignment vertical="center"/>
    </xf>
    <xf numFmtId="0" fontId="17" fillId="0" borderId="6" xfId="3" applyFont="1" applyFill="1" applyBorder="1" applyAlignment="1">
      <alignment horizontal="center" vertical="center" wrapText="1"/>
    </xf>
    <xf numFmtId="38" fontId="17" fillId="0" borderId="7" xfId="3" applyNumberFormat="1" applyFont="1" applyFill="1" applyBorder="1" applyAlignment="1">
      <alignment vertical="center"/>
    </xf>
    <xf numFmtId="9" fontId="17" fillId="0" borderId="7" xfId="1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vertical="center"/>
    </xf>
    <xf numFmtId="0" fontId="22" fillId="0" borderId="29" xfId="3" applyFont="1" applyFill="1" applyBorder="1" applyAlignment="1">
      <alignment vertical="center"/>
    </xf>
    <xf numFmtId="0" fontId="17" fillId="0" borderId="39" xfId="3" applyFont="1" applyFill="1" applyBorder="1" applyAlignment="1">
      <alignment vertical="center"/>
    </xf>
    <xf numFmtId="176" fontId="17" fillId="0" borderId="49" xfId="3" applyNumberFormat="1" applyFont="1" applyFill="1" applyBorder="1" applyAlignment="1">
      <alignment horizontal="right" vertical="center"/>
    </xf>
    <xf numFmtId="176" fontId="17" fillId="0" borderId="50" xfId="3" applyNumberFormat="1" applyFont="1" applyFill="1" applyBorder="1" applyAlignment="1">
      <alignment vertical="center"/>
    </xf>
    <xf numFmtId="0" fontId="17" fillId="0" borderId="49" xfId="3" applyFont="1" applyFill="1" applyBorder="1" applyAlignment="1">
      <alignment vertical="center"/>
    </xf>
    <xf numFmtId="177" fontId="17" fillId="0" borderId="3" xfId="3" applyNumberFormat="1" applyFont="1" applyFill="1" applyBorder="1" applyAlignment="1">
      <alignment horizontal="center" vertical="center" wrapText="1"/>
    </xf>
    <xf numFmtId="178" fontId="18" fillId="0" borderId="3" xfId="3" applyNumberFormat="1" applyFont="1" applyFill="1" applyBorder="1" applyAlignment="1">
      <alignment horizontal="center" vertical="center" wrapText="1"/>
    </xf>
    <xf numFmtId="176" fontId="17" fillId="0" borderId="14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9" fillId="0" borderId="0" xfId="3" applyNumberFormat="1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38" fontId="17" fillId="0" borderId="32" xfId="3" applyNumberFormat="1" applyFont="1" applyFill="1" applyBorder="1" applyAlignment="1">
      <alignment vertical="center"/>
    </xf>
    <xf numFmtId="38" fontId="17" fillId="0" borderId="34" xfId="3" applyNumberFormat="1" applyFont="1" applyFill="1" applyBorder="1" applyAlignment="1">
      <alignment vertical="center"/>
    </xf>
    <xf numFmtId="38" fontId="17" fillId="0" borderId="33" xfId="3" applyNumberFormat="1" applyFont="1" applyFill="1" applyBorder="1" applyAlignment="1">
      <alignment vertical="center"/>
    </xf>
    <xf numFmtId="3" fontId="27" fillId="0" borderId="32" xfId="0" applyNumberFormat="1" applyFont="1" applyFill="1" applyBorder="1" applyAlignment="1">
      <alignment vertical="center"/>
    </xf>
    <xf numFmtId="3" fontId="27" fillId="0" borderId="34" xfId="0" applyNumberFormat="1" applyFont="1" applyFill="1" applyBorder="1" applyAlignment="1">
      <alignment vertical="center"/>
    </xf>
    <xf numFmtId="38" fontId="17" fillId="0" borderId="36" xfId="3" applyNumberFormat="1" applyFont="1" applyFill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9" fontId="19" fillId="0" borderId="20" xfId="1" applyFont="1" applyFill="1" applyBorder="1" applyAlignment="1">
      <alignment horizontal="center" vertical="center"/>
    </xf>
    <xf numFmtId="9" fontId="17" fillId="0" borderId="13" xfId="1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0" fontId="19" fillId="0" borderId="49" xfId="3" applyFont="1" applyFill="1" applyBorder="1" applyAlignment="1">
      <alignment vertical="center"/>
    </xf>
    <xf numFmtId="176" fontId="19" fillId="0" borderId="49" xfId="3" applyNumberFormat="1" applyFont="1" applyFill="1" applyBorder="1" applyAlignment="1">
      <alignment vertical="center"/>
    </xf>
    <xf numFmtId="176" fontId="19" fillId="0" borderId="50" xfId="3" applyNumberFormat="1" applyFont="1" applyFill="1" applyBorder="1" applyAlignment="1">
      <alignment vertical="center"/>
    </xf>
    <xf numFmtId="176" fontId="19" fillId="0" borderId="49" xfId="3" applyNumberFormat="1" applyFont="1" applyFill="1" applyBorder="1" applyAlignment="1">
      <alignment horizontal="right" vertical="center"/>
    </xf>
    <xf numFmtId="9" fontId="12" fillId="0" borderId="0" xfId="1" applyFont="1" applyFill="1" applyBorder="1" applyAlignment="1">
      <alignment horizontal="center" vertical="center"/>
    </xf>
    <xf numFmtId="178" fontId="18" fillId="0" borderId="3" xfId="3" applyNumberFormat="1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19" fillId="0" borderId="49" xfId="3" applyFont="1" applyFill="1" applyBorder="1" applyAlignment="1">
      <alignment horizontal="center" vertical="center"/>
    </xf>
    <xf numFmtId="38" fontId="26" fillId="0" borderId="1" xfId="3" applyNumberFormat="1" applyFont="1" applyFill="1" applyBorder="1" applyAlignment="1">
      <alignment vertical="center"/>
    </xf>
    <xf numFmtId="9" fontId="26" fillId="0" borderId="1" xfId="1" applyFont="1" applyFill="1" applyBorder="1" applyAlignment="1">
      <alignment horizontal="center" vertical="center"/>
    </xf>
    <xf numFmtId="0" fontId="19" fillId="0" borderId="31" xfId="3" applyFont="1" applyFill="1" applyBorder="1" applyAlignment="1">
      <alignment horizontal="center" vertical="center" wrapText="1"/>
    </xf>
    <xf numFmtId="38" fontId="19" fillId="0" borderId="20" xfId="3" applyNumberFormat="1" applyFont="1" applyFill="1" applyBorder="1" applyAlignment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38" fontId="19" fillId="0" borderId="1" xfId="3" applyNumberFormat="1" applyFont="1" applyFill="1" applyBorder="1" applyAlignment="1">
      <alignment vertical="center"/>
    </xf>
    <xf numFmtId="0" fontId="8" fillId="0" borderId="0" xfId="6">
      <alignment vertical="center"/>
    </xf>
    <xf numFmtId="0" fontId="29" fillId="0" borderId="0" xfId="6" applyFont="1">
      <alignment vertical="center"/>
    </xf>
    <xf numFmtId="0" fontId="31" fillId="0" borderId="0" xfId="6" applyFont="1" applyAlignment="1">
      <alignment horizontal="right"/>
    </xf>
    <xf numFmtId="0" fontId="8" fillId="0" borderId="20" xfId="6" applyBorder="1" applyAlignment="1">
      <alignment horizontal="center" vertical="center"/>
    </xf>
    <xf numFmtId="41" fontId="0" fillId="0" borderId="20" xfId="7" applyFont="1" applyBorder="1">
      <alignment vertical="center"/>
    </xf>
    <xf numFmtId="182" fontId="0" fillId="0" borderId="39" xfId="7" applyNumberFormat="1" applyFont="1" applyBorder="1">
      <alignment vertical="center"/>
    </xf>
    <xf numFmtId="182" fontId="0" fillId="0" borderId="18" xfId="7" applyNumberFormat="1" applyFont="1" applyBorder="1">
      <alignment vertical="center"/>
    </xf>
    <xf numFmtId="41" fontId="0" fillId="0" borderId="3" xfId="7" applyFont="1" applyBorder="1">
      <alignment vertical="center"/>
    </xf>
    <xf numFmtId="182" fontId="0" fillId="0" borderId="4" xfId="7" applyNumberFormat="1" applyFont="1" applyBorder="1">
      <alignment vertical="center"/>
    </xf>
    <xf numFmtId="176" fontId="17" fillId="0" borderId="14" xfId="3" applyNumberFormat="1" applyFont="1" applyFill="1" applyBorder="1" applyAlignment="1">
      <alignment horizontal="center" vertical="center"/>
    </xf>
    <xf numFmtId="0" fontId="17" fillId="0" borderId="27" xfId="3" applyFont="1" applyFill="1" applyBorder="1" applyAlignment="1">
      <alignment horizontal="center" vertical="center" wrapText="1"/>
    </xf>
    <xf numFmtId="9" fontId="17" fillId="0" borderId="11" xfId="3" applyNumberFormat="1" applyFont="1" applyFill="1" applyBorder="1" applyAlignment="1">
      <alignment horizontal="center" vertical="center"/>
    </xf>
    <xf numFmtId="0" fontId="23" fillId="0" borderId="39" xfId="3" applyFont="1" applyFill="1" applyBorder="1" applyAlignment="1">
      <alignment vertical="center"/>
    </xf>
    <xf numFmtId="0" fontId="24" fillId="0" borderId="49" xfId="3" applyFont="1" applyFill="1" applyBorder="1" applyAlignment="1">
      <alignment vertical="center"/>
    </xf>
    <xf numFmtId="176" fontId="24" fillId="0" borderId="49" xfId="3" applyNumberFormat="1" applyFont="1" applyFill="1" applyBorder="1" applyAlignment="1">
      <alignment vertical="center"/>
    </xf>
    <xf numFmtId="176" fontId="23" fillId="0" borderId="49" xfId="3" applyNumberFormat="1" applyFont="1" applyFill="1" applyBorder="1" applyAlignment="1">
      <alignment vertical="center"/>
    </xf>
    <xf numFmtId="42" fontId="17" fillId="0" borderId="0" xfId="3" applyNumberFormat="1" applyFont="1" applyFill="1" applyBorder="1" applyAlignment="1">
      <alignment horizontal="left" vertical="center"/>
    </xf>
    <xf numFmtId="41" fontId="17" fillId="0" borderId="0" xfId="2" applyNumberFormat="1" applyFont="1" applyFill="1" applyBorder="1" applyAlignment="1">
      <alignment vertical="center"/>
    </xf>
    <xf numFmtId="178" fontId="28" fillId="0" borderId="0" xfId="0" applyNumberFormat="1" applyFont="1" applyBorder="1">
      <alignment vertical="center"/>
    </xf>
    <xf numFmtId="42" fontId="17" fillId="0" borderId="14" xfId="3" applyNumberFormat="1" applyFont="1" applyFill="1" applyBorder="1" applyAlignment="1">
      <alignment horizontal="center" vertical="center"/>
    </xf>
    <xf numFmtId="178" fontId="17" fillId="0" borderId="14" xfId="3" applyNumberFormat="1" applyFont="1" applyFill="1" applyBorder="1" applyAlignment="1">
      <alignment horizontal="center" vertical="center"/>
    </xf>
    <xf numFmtId="180" fontId="17" fillId="0" borderId="14" xfId="2" applyNumberFormat="1" applyFont="1" applyFill="1" applyBorder="1" applyAlignment="1">
      <alignment horizontal="center" vertical="center"/>
    </xf>
    <xf numFmtId="178" fontId="25" fillId="0" borderId="14" xfId="0" applyNumberFormat="1" applyFont="1" applyBorder="1">
      <alignment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178" fontId="20" fillId="0" borderId="23" xfId="3" applyNumberFormat="1" applyFont="1" applyFill="1" applyBorder="1" applyAlignment="1">
      <alignment vertical="center"/>
    </xf>
    <xf numFmtId="9" fontId="20" fillId="0" borderId="23" xfId="3" applyNumberFormat="1" applyFont="1" applyFill="1" applyBorder="1" applyAlignment="1">
      <alignment horizontal="center" vertical="center"/>
    </xf>
    <xf numFmtId="176" fontId="17" fillId="0" borderId="14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7" fontId="22" fillId="0" borderId="11" xfId="3" applyNumberFormat="1" applyFont="1" applyFill="1" applyBorder="1" applyAlignment="1">
      <alignment vertical="center"/>
    </xf>
    <xf numFmtId="9" fontId="22" fillId="0" borderId="11" xfId="3" applyNumberFormat="1" applyFont="1" applyFill="1" applyBorder="1" applyAlignment="1">
      <alignment horizontal="center" vertical="center"/>
    </xf>
    <xf numFmtId="0" fontId="20" fillId="0" borderId="34" xfId="3" applyFont="1" applyFill="1" applyBorder="1" applyAlignment="1">
      <alignment vertical="center"/>
    </xf>
    <xf numFmtId="0" fontId="22" fillId="0" borderId="14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horizontal="right" vertical="center"/>
    </xf>
    <xf numFmtId="176" fontId="34" fillId="0" borderId="49" xfId="3" applyNumberFormat="1" applyFont="1" applyFill="1" applyBorder="1" applyAlignment="1">
      <alignment vertical="center"/>
    </xf>
    <xf numFmtId="176" fontId="34" fillId="0" borderId="49" xfId="3" applyNumberFormat="1" applyFont="1" applyFill="1" applyBorder="1" applyAlignment="1">
      <alignment horizontal="right" vertical="center"/>
    </xf>
    <xf numFmtId="176" fontId="34" fillId="0" borderId="14" xfId="3" applyNumberFormat="1" applyFont="1" applyFill="1" applyBorder="1" applyAlignment="1">
      <alignment horizontal="right" vertical="center"/>
    </xf>
    <xf numFmtId="178" fontId="26" fillId="0" borderId="1" xfId="3" applyNumberFormat="1" applyFont="1" applyFill="1" applyBorder="1" applyAlignment="1">
      <alignment vertical="center"/>
    </xf>
    <xf numFmtId="42" fontId="17" fillId="0" borderId="29" xfId="3" applyNumberFormat="1" applyFont="1" applyFill="1" applyBorder="1" applyAlignment="1">
      <alignment horizontal="left" vertical="center"/>
    </xf>
    <xf numFmtId="176" fontId="17" fillId="0" borderId="29" xfId="3" applyNumberFormat="1" applyFont="1" applyFill="1" applyBorder="1" applyAlignment="1">
      <alignment horizontal="left" vertical="center"/>
    </xf>
    <xf numFmtId="176" fontId="17" fillId="0" borderId="29" xfId="3" applyNumberFormat="1" applyFont="1" applyFill="1" applyBorder="1" applyAlignment="1">
      <alignment horizontal="center" vertical="center"/>
    </xf>
    <xf numFmtId="178" fontId="35" fillId="0" borderId="20" xfId="3" applyNumberFormat="1" applyFont="1" applyFill="1" applyBorder="1" applyAlignment="1">
      <alignment vertical="center"/>
    </xf>
    <xf numFmtId="177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39" xfId="3" applyFont="1" applyFill="1" applyBorder="1" applyAlignment="1">
      <alignment vertical="center"/>
    </xf>
    <xf numFmtId="176" fontId="36" fillId="0" borderId="49" xfId="3" applyNumberFormat="1" applyFont="1" applyFill="1" applyBorder="1" applyAlignment="1">
      <alignment vertical="center"/>
    </xf>
    <xf numFmtId="0" fontId="36" fillId="0" borderId="49" xfId="3" applyFont="1" applyFill="1" applyBorder="1" applyAlignment="1">
      <alignment horizontal="center" vertical="center"/>
    </xf>
    <xf numFmtId="0" fontId="36" fillId="0" borderId="49" xfId="3" applyFont="1" applyFill="1" applyBorder="1" applyAlignment="1">
      <alignment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5" fillId="0" borderId="0" xfId="3" applyFont="1" applyFill="1" applyBorder="1" applyAlignment="1">
      <alignment vertical="center" wrapText="1"/>
    </xf>
    <xf numFmtId="178" fontId="35" fillId="0" borderId="0" xfId="3" applyNumberFormat="1" applyFont="1" applyFill="1" applyBorder="1" applyAlignment="1">
      <alignment vertical="center"/>
    </xf>
    <xf numFmtId="177" fontId="35" fillId="0" borderId="0" xfId="3" applyNumberFormat="1" applyFont="1" applyFill="1" applyBorder="1" applyAlignment="1">
      <alignment vertical="center"/>
    </xf>
    <xf numFmtId="9" fontId="35" fillId="0" borderId="0" xfId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176" fontId="36" fillId="0" borderId="0" xfId="3" applyNumberFormat="1" applyFont="1" applyFill="1" applyBorder="1" applyAlignment="1">
      <alignment horizontal="right" vertical="center"/>
    </xf>
    <xf numFmtId="176" fontId="36" fillId="0" borderId="4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176" fontId="36" fillId="0" borderId="50" xfId="3" applyNumberFormat="1" applyFont="1" applyFill="1" applyBorder="1" applyAlignment="1">
      <alignment vertical="center"/>
    </xf>
    <xf numFmtId="176" fontId="34" fillId="0" borderId="50" xfId="3" applyNumberFormat="1" applyFont="1" applyFill="1" applyBorder="1" applyAlignment="1">
      <alignment vertical="center"/>
    </xf>
    <xf numFmtId="0" fontId="17" fillId="0" borderId="17" xfId="3" applyFont="1" applyFill="1" applyBorder="1" applyAlignment="1">
      <alignment vertical="center" wrapText="1"/>
    </xf>
    <xf numFmtId="0" fontId="35" fillId="0" borderId="50" xfId="3" applyFont="1" applyFill="1" applyBorder="1" applyAlignment="1">
      <alignment vertical="center" wrapText="1"/>
    </xf>
    <xf numFmtId="177" fontId="26" fillId="0" borderId="26" xfId="3" applyNumberFormat="1" applyFont="1" applyFill="1" applyBorder="1" applyAlignment="1">
      <alignment vertical="center"/>
    </xf>
    <xf numFmtId="9" fontId="26" fillId="0" borderId="26" xfId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176" fontId="19" fillId="0" borderId="49" xfId="3" applyNumberFormat="1" applyFont="1" applyFill="1" applyBorder="1" applyAlignment="1">
      <alignment vertical="center"/>
    </xf>
    <xf numFmtId="178" fontId="20" fillId="0" borderId="42" xfId="3" applyNumberFormat="1" applyFont="1" applyFill="1" applyBorder="1" applyAlignment="1">
      <alignment vertical="center"/>
    </xf>
    <xf numFmtId="0" fontId="6" fillId="0" borderId="20" xfId="6" applyFont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9" fontId="17" fillId="0" borderId="1" xfId="1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28" fillId="0" borderId="32" xfId="3" applyFont="1" applyFill="1" applyBorder="1" applyAlignment="1">
      <alignment vertical="center"/>
    </xf>
    <xf numFmtId="0" fontId="28" fillId="0" borderId="39" xfId="3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84" fontId="20" fillId="0" borderId="23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center" vertical="center"/>
    </xf>
    <xf numFmtId="176" fontId="28" fillId="0" borderId="29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8" fillId="0" borderId="0" xfId="3" applyFont="1" applyFill="1" applyBorder="1" applyAlignment="1">
      <alignment horizontal="center" vertical="center"/>
    </xf>
    <xf numFmtId="41" fontId="28" fillId="0" borderId="0" xfId="2" applyFont="1" applyFill="1" applyBorder="1" applyAlignment="1">
      <alignment vertical="center"/>
    </xf>
    <xf numFmtId="176" fontId="26" fillId="0" borderId="5" xfId="3" applyNumberFormat="1" applyFont="1" applyFill="1" applyBorder="1" applyAlignment="1">
      <alignment vertical="center"/>
    </xf>
    <xf numFmtId="0" fontId="37" fillId="0" borderId="39" xfId="3" applyFont="1" applyFill="1" applyBorder="1" applyAlignment="1">
      <alignment vertical="center"/>
    </xf>
    <xf numFmtId="0" fontId="37" fillId="0" borderId="29" xfId="3" applyFont="1" applyFill="1" applyBorder="1" applyAlignment="1">
      <alignment vertical="center"/>
    </xf>
    <xf numFmtId="176" fontId="37" fillId="0" borderId="29" xfId="3" applyNumberFormat="1" applyFont="1" applyFill="1" applyBorder="1" applyAlignment="1">
      <alignment vertical="center"/>
    </xf>
    <xf numFmtId="176" fontId="37" fillId="0" borderId="49" xfId="3" applyNumberFormat="1" applyFont="1" applyFill="1" applyBorder="1" applyAlignment="1">
      <alignment vertical="center"/>
    </xf>
    <xf numFmtId="176" fontId="37" fillId="0" borderId="49" xfId="3" applyNumberFormat="1" applyFont="1" applyFill="1" applyBorder="1" applyAlignment="1">
      <alignment horizontal="right" vertical="center"/>
    </xf>
    <xf numFmtId="0" fontId="28" fillId="0" borderId="29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6" fillId="0" borderId="8" xfId="0" applyNumberFormat="1" applyFont="1" applyFill="1" applyBorder="1" applyAlignment="1">
      <alignment vertical="center"/>
    </xf>
    <xf numFmtId="38" fontId="36" fillId="0" borderId="8" xfId="3" applyNumberFormat="1" applyFont="1" applyFill="1" applyBorder="1" applyAlignment="1">
      <alignment vertical="center"/>
    </xf>
    <xf numFmtId="9" fontId="36" fillId="0" borderId="8" xfId="3" applyNumberFormat="1" applyFont="1" applyFill="1" applyBorder="1" applyAlignment="1">
      <alignment horizontal="center" vertical="center"/>
    </xf>
    <xf numFmtId="0" fontId="36" fillId="0" borderId="10" xfId="3" applyFont="1" applyFill="1" applyBorder="1" applyAlignment="1">
      <alignment vertical="center"/>
    </xf>
    <xf numFmtId="0" fontId="36" fillId="0" borderId="42" xfId="3" applyFont="1" applyFill="1" applyBorder="1" applyAlignment="1">
      <alignment vertical="center"/>
    </xf>
    <xf numFmtId="176" fontId="36" fillId="0" borderId="42" xfId="3" applyNumberFormat="1" applyFont="1" applyFill="1" applyBorder="1" applyAlignment="1">
      <alignment vertical="center"/>
    </xf>
    <xf numFmtId="176" fontId="36" fillId="0" borderId="43" xfId="3" applyNumberFormat="1" applyFont="1" applyFill="1" applyBorder="1" applyAlignment="1">
      <alignment vertical="center"/>
    </xf>
    <xf numFmtId="41" fontId="34" fillId="0" borderId="26" xfId="0" applyNumberFormat="1" applyFont="1" applyFill="1" applyBorder="1" applyAlignment="1">
      <alignment vertical="center"/>
    </xf>
    <xf numFmtId="38" fontId="34" fillId="0" borderId="26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176" fontId="34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49" xfId="3" applyFont="1" applyFill="1" applyBorder="1" applyAlignment="1">
      <alignment vertical="center"/>
    </xf>
    <xf numFmtId="176" fontId="41" fillId="0" borderId="49" xfId="3" applyNumberFormat="1" applyFont="1" applyFill="1" applyBorder="1" applyAlignment="1">
      <alignment vertical="center"/>
    </xf>
    <xf numFmtId="176" fontId="41" fillId="0" borderId="50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6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49" xfId="3" applyNumberFormat="1" applyFont="1" applyFill="1" applyBorder="1" applyAlignment="1">
      <alignment vertical="center"/>
    </xf>
    <xf numFmtId="176" fontId="43" fillId="0" borderId="49" xfId="3" applyNumberFormat="1" applyFont="1" applyFill="1" applyBorder="1" applyAlignment="1">
      <alignment horizontal="right" vertical="center"/>
    </xf>
    <xf numFmtId="176" fontId="43" fillId="0" borderId="50" xfId="3" applyNumberFormat="1" applyFont="1" applyFill="1" applyBorder="1" applyAlignment="1">
      <alignment vertical="center"/>
    </xf>
    <xf numFmtId="0" fontId="26" fillId="0" borderId="29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39" xfId="3" applyFont="1" applyFill="1" applyBorder="1" applyAlignment="1">
      <alignment vertical="center"/>
    </xf>
    <xf numFmtId="0" fontId="43" fillId="0" borderId="29" xfId="3" applyFont="1" applyFill="1" applyBorder="1" applyAlignment="1">
      <alignment vertical="center"/>
    </xf>
    <xf numFmtId="176" fontId="43" fillId="0" borderId="29" xfId="3" applyNumberFormat="1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6" fontId="26" fillId="0" borderId="35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9" fillId="0" borderId="49" xfId="3" applyNumberFormat="1" applyFont="1" applyFill="1" applyBorder="1" applyAlignment="1">
      <alignment vertical="center"/>
    </xf>
    <xf numFmtId="41" fontId="26" fillId="0" borderId="0" xfId="2" applyFont="1" applyFill="1" applyBorder="1" applyAlignment="1">
      <alignment vertical="center"/>
    </xf>
    <xf numFmtId="177" fontId="26" fillId="0" borderId="14" xfId="3" applyNumberFormat="1" applyFont="1" applyFill="1" applyBorder="1" applyAlignment="1">
      <alignment vertical="center"/>
    </xf>
    <xf numFmtId="42" fontId="26" fillId="0" borderId="14" xfId="3" applyNumberFormat="1" applyFont="1" applyFill="1" applyBorder="1" applyAlignment="1">
      <alignment horizontal="left" vertical="center"/>
    </xf>
    <xf numFmtId="176" fontId="26" fillId="0" borderId="14" xfId="3" applyNumberFormat="1" applyFont="1" applyFill="1" applyBorder="1" applyAlignment="1">
      <alignment horizontal="left" vertical="center"/>
    </xf>
    <xf numFmtId="180" fontId="26" fillId="0" borderId="14" xfId="2" applyNumberFormat="1" applyFont="1" applyFill="1" applyBorder="1" applyAlignment="1">
      <alignment vertical="center"/>
    </xf>
    <xf numFmtId="41" fontId="26" fillId="0" borderId="14" xfId="2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center" vertical="center"/>
    </xf>
    <xf numFmtId="9" fontId="26" fillId="0" borderId="14" xfId="1" applyFont="1" applyFill="1" applyBorder="1" applyAlignment="1">
      <alignment horizontal="left" vertical="center"/>
    </xf>
    <xf numFmtId="0" fontId="26" fillId="0" borderId="14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5" fillId="0" borderId="14" xfId="0" applyNumberFormat="1" applyFont="1" applyFill="1" applyBorder="1" applyAlignment="1">
      <alignment vertical="center"/>
    </xf>
    <xf numFmtId="176" fontId="45" fillId="0" borderId="35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9" fontId="26" fillId="0" borderId="0" xfId="3" applyNumberFormat="1" applyFont="1" applyFill="1" applyBorder="1" applyAlignment="1">
      <alignment vertical="center"/>
    </xf>
    <xf numFmtId="9" fontId="26" fillId="0" borderId="0" xfId="1" applyFont="1" applyFill="1" applyBorder="1" applyAlignment="1">
      <alignment vertical="center"/>
    </xf>
    <xf numFmtId="181" fontId="26" fillId="0" borderId="0" xfId="1" applyNumberFormat="1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41" fontId="26" fillId="0" borderId="0" xfId="2" applyNumberFormat="1" applyFont="1" applyFill="1" applyBorder="1" applyAlignment="1">
      <alignment horizontal="left" vertical="center"/>
    </xf>
    <xf numFmtId="10" fontId="26" fillId="0" borderId="0" xfId="1" applyNumberFormat="1" applyFont="1" applyFill="1" applyBorder="1" applyAlignment="1">
      <alignment horizontal="center" vertical="center"/>
    </xf>
    <xf numFmtId="41" fontId="26" fillId="0" borderId="0" xfId="2" applyNumberFormat="1" applyFont="1" applyFill="1" applyBorder="1" applyAlignment="1">
      <alignment horizontal="center" vertical="center"/>
    </xf>
    <xf numFmtId="41" fontId="26" fillId="0" borderId="0" xfId="2" applyFont="1" applyFill="1" applyAlignment="1">
      <alignment vertical="center"/>
    </xf>
    <xf numFmtId="183" fontId="26" fillId="0" borderId="0" xfId="1" applyNumberFormat="1" applyFont="1" applyFill="1" applyBorder="1" applyAlignment="1">
      <alignment horizontal="center" vertical="center"/>
    </xf>
    <xf numFmtId="42" fontId="28" fillId="0" borderId="0" xfId="3" applyNumberFormat="1" applyFont="1" applyFill="1" applyBorder="1" applyAlignment="1">
      <alignment horizontal="center" vertical="center"/>
    </xf>
    <xf numFmtId="178" fontId="28" fillId="0" borderId="0" xfId="3" applyNumberFormat="1" applyFont="1" applyFill="1" applyBorder="1" applyAlignment="1">
      <alignment horizontal="center" vertical="center"/>
    </xf>
    <xf numFmtId="180" fontId="28" fillId="0" borderId="0" xfId="2" applyNumberFormat="1" applyFont="1" applyFill="1" applyBorder="1" applyAlignment="1">
      <alignment horizontal="center"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0" applyFont="1" applyFill="1" applyBorder="1" applyAlignment="1">
      <alignment vertical="center"/>
    </xf>
    <xf numFmtId="0" fontId="28" fillId="0" borderId="35" xfId="0" applyFont="1" applyFill="1" applyBorder="1" applyAlignment="1">
      <alignment vertical="center"/>
    </xf>
    <xf numFmtId="176" fontId="28" fillId="0" borderId="30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horizontal="center" vertical="center"/>
    </xf>
    <xf numFmtId="176" fontId="28" fillId="0" borderId="35" xfId="3" applyNumberFormat="1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horizontal="right" vertical="center"/>
    </xf>
    <xf numFmtId="0" fontId="28" fillId="0" borderId="13" xfId="3" applyFont="1" applyFill="1" applyBorder="1" applyAlignment="1">
      <alignment vertical="center"/>
    </xf>
    <xf numFmtId="176" fontId="28" fillId="0" borderId="13" xfId="3" applyNumberFormat="1" applyFont="1" applyFill="1" applyBorder="1" applyAlignment="1">
      <alignment vertical="center"/>
    </xf>
    <xf numFmtId="176" fontId="28" fillId="0" borderId="37" xfId="3" applyNumberFormat="1" applyFont="1" applyFill="1" applyBorder="1" applyAlignment="1">
      <alignment vertical="center"/>
    </xf>
    <xf numFmtId="41" fontId="47" fillId="0" borderId="11" xfId="7" applyFont="1" applyBorder="1" applyAlignment="1">
      <alignment vertical="center"/>
    </xf>
    <xf numFmtId="182" fontId="47" fillId="0" borderId="34" xfId="7" applyNumberFormat="1" applyFont="1" applyBorder="1" applyAlignment="1">
      <alignment vertical="center"/>
    </xf>
    <xf numFmtId="182" fontId="47" fillId="0" borderId="12" xfId="7" applyNumberFormat="1" applyFont="1" applyBorder="1" applyAlignment="1">
      <alignment vertical="center"/>
    </xf>
    <xf numFmtId="0" fontId="48" fillId="0" borderId="11" xfId="6" applyFont="1" applyBorder="1" applyAlignment="1">
      <alignment horizontal="center" vertical="center"/>
    </xf>
    <xf numFmtId="41" fontId="49" fillId="0" borderId="11" xfId="7" applyFont="1" applyBorder="1" applyAlignment="1">
      <alignment vertical="center"/>
    </xf>
    <xf numFmtId="182" fontId="49" fillId="0" borderId="34" xfId="7" applyNumberFormat="1" applyFont="1" applyBorder="1" applyAlignment="1">
      <alignment vertical="center"/>
    </xf>
    <xf numFmtId="0" fontId="48" fillId="0" borderId="20" xfId="6" applyFont="1" applyBorder="1" applyAlignment="1">
      <alignment horizontal="center" vertical="center"/>
    </xf>
    <xf numFmtId="41" fontId="49" fillId="0" borderId="20" xfId="7" applyFont="1" applyBorder="1">
      <alignment vertical="center"/>
    </xf>
    <xf numFmtId="182" fontId="49" fillId="0" borderId="39" xfId="7" applyNumberFormat="1" applyFont="1" applyBorder="1">
      <alignment vertical="center"/>
    </xf>
    <xf numFmtId="182" fontId="49" fillId="0" borderId="12" xfId="7" applyNumberFormat="1" applyFont="1" applyBorder="1" applyAlignment="1">
      <alignment vertical="center"/>
    </xf>
    <xf numFmtId="182" fontId="49" fillId="0" borderId="18" xfId="7" applyNumberFormat="1" applyFont="1" applyBorder="1">
      <alignment vertical="center"/>
    </xf>
    <xf numFmtId="176" fontId="28" fillId="0" borderId="0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176" fontId="28" fillId="0" borderId="20" xfId="0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28" fillId="0" borderId="49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horizontal="center" vertical="center"/>
    </xf>
    <xf numFmtId="9" fontId="17" fillId="0" borderId="49" xfId="1" applyFont="1" applyFill="1" applyBorder="1" applyAlignment="1">
      <alignment vertical="center"/>
    </xf>
    <xf numFmtId="178" fontId="28" fillId="0" borderId="29" xfId="0" applyNumberFormat="1" applyFont="1" applyBorder="1">
      <alignment vertical="center"/>
    </xf>
    <xf numFmtId="41" fontId="17" fillId="0" borderId="29" xfId="2" applyNumberFormat="1" applyFont="1" applyFill="1" applyBorder="1" applyAlignment="1">
      <alignment vertical="center"/>
    </xf>
    <xf numFmtId="178" fontId="26" fillId="0" borderId="26" xfId="3" applyNumberFormat="1" applyFont="1" applyFill="1" applyBorder="1" applyAlignment="1">
      <alignment vertical="center"/>
    </xf>
    <xf numFmtId="0" fontId="17" fillId="0" borderId="40" xfId="3" applyFont="1" applyFill="1" applyBorder="1" applyAlignment="1">
      <alignment horizontal="center" vertical="center" wrapText="1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5" fillId="0" borderId="20" xfId="6" applyFont="1" applyBorder="1" applyAlignment="1">
      <alignment horizontal="center"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28" fillId="0" borderId="0" xfId="3" applyNumberFormat="1" applyFont="1" applyFill="1" applyBorder="1" applyAlignment="1">
      <alignment horizontal="center" vertical="center"/>
    </xf>
    <xf numFmtId="176" fontId="28" fillId="0" borderId="0" xfId="3" applyNumberFormat="1" applyFont="1" applyFill="1" applyBorder="1" applyAlignment="1">
      <alignment horizontal="center" vertical="center"/>
    </xf>
    <xf numFmtId="0" fontId="28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17" fillId="0" borderId="49" xfId="3" applyNumberFormat="1" applyFont="1" applyFill="1" applyBorder="1" applyAlignment="1">
      <alignment horizontal="center"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19" fillId="0" borderId="49" xfId="3" applyNumberFormat="1" applyFont="1" applyFill="1" applyBorder="1" applyAlignment="1">
      <alignment vertical="center"/>
    </xf>
    <xf numFmtId="0" fontId="19" fillId="0" borderId="49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8" fontId="22" fillId="0" borderId="26" xfId="3" applyNumberFormat="1" applyFont="1" applyFill="1" applyBorder="1" applyAlignment="1">
      <alignment vertical="center"/>
    </xf>
    <xf numFmtId="177" fontId="22" fillId="0" borderId="26" xfId="3" applyNumberFormat="1" applyFont="1" applyFill="1" applyBorder="1" applyAlignment="1">
      <alignment vertical="center"/>
    </xf>
    <xf numFmtId="9" fontId="22" fillId="0" borderId="26" xfId="3" applyNumberFormat="1" applyFont="1" applyFill="1" applyBorder="1" applyAlignment="1">
      <alignment horizontal="center" vertical="center"/>
    </xf>
    <xf numFmtId="178" fontId="22" fillId="0" borderId="20" xfId="3" applyNumberFormat="1" applyFont="1" applyFill="1" applyBorder="1" applyAlignment="1">
      <alignment vertical="center"/>
    </xf>
    <xf numFmtId="177" fontId="22" fillId="0" borderId="20" xfId="3" applyNumberFormat="1" applyFont="1" applyFill="1" applyBorder="1" applyAlignment="1">
      <alignment vertical="center"/>
    </xf>
    <xf numFmtId="9" fontId="22" fillId="0" borderId="20" xfId="3" applyNumberFormat="1" applyFont="1" applyFill="1" applyBorder="1" applyAlignment="1">
      <alignment horizontal="center" vertical="center"/>
    </xf>
    <xf numFmtId="0" fontId="20" fillId="0" borderId="39" xfId="3" applyFont="1" applyFill="1" applyBorder="1" applyAlignment="1">
      <alignment vertical="center"/>
    </xf>
    <xf numFmtId="0" fontId="22" fillId="0" borderId="49" xfId="3" applyFont="1" applyFill="1" applyBorder="1" applyAlignment="1">
      <alignment vertical="center"/>
    </xf>
    <xf numFmtId="176" fontId="22" fillId="0" borderId="49" xfId="3" applyNumberFormat="1" applyFont="1" applyFill="1" applyBorder="1" applyAlignment="1">
      <alignment vertical="center"/>
    </xf>
    <xf numFmtId="176" fontId="20" fillId="0" borderId="49" xfId="3" applyNumberFormat="1" applyFont="1" applyFill="1" applyBorder="1" applyAlignment="1">
      <alignment vertical="center"/>
    </xf>
    <xf numFmtId="176" fontId="20" fillId="0" borderId="49" xfId="3" applyNumberFormat="1" applyFont="1" applyFill="1" applyBorder="1" applyAlignment="1">
      <alignment horizontal="right" vertical="center"/>
    </xf>
    <xf numFmtId="176" fontId="20" fillId="0" borderId="50" xfId="3" applyNumberFormat="1" applyFont="1" applyFill="1" applyBorder="1" applyAlignment="1">
      <alignment vertical="center"/>
    </xf>
    <xf numFmtId="0" fontId="37" fillId="0" borderId="49" xfId="3" applyFont="1" applyFill="1" applyBorder="1" applyAlignment="1">
      <alignment vertical="center"/>
    </xf>
    <xf numFmtId="0" fontId="17" fillId="0" borderId="35" xfId="3" applyFont="1" applyFill="1" applyBorder="1" applyAlignment="1">
      <alignment vertical="center"/>
    </xf>
    <xf numFmtId="176" fontId="17" fillId="0" borderId="26" xfId="0" applyNumberFormat="1" applyFont="1" applyFill="1" applyBorder="1" applyAlignment="1">
      <alignment vertical="center"/>
    </xf>
    <xf numFmtId="176" fontId="17" fillId="0" borderId="11" xfId="0" applyNumberFormat="1" applyFont="1" applyFill="1" applyBorder="1" applyAlignment="1">
      <alignment vertical="center"/>
    </xf>
    <xf numFmtId="0" fontId="28" fillId="0" borderId="14" xfId="3" quotePrefix="1" applyFont="1" applyFill="1" applyBorder="1" applyAlignment="1">
      <alignment vertical="center"/>
    </xf>
    <xf numFmtId="0" fontId="28" fillId="0" borderId="28" xfId="3" quotePrefix="1" applyFont="1" applyFill="1" applyBorder="1" applyAlignment="1">
      <alignment vertical="center"/>
    </xf>
    <xf numFmtId="38" fontId="17" fillId="0" borderId="39" xfId="3" applyNumberFormat="1" applyFont="1" applyFill="1" applyBorder="1" applyAlignment="1">
      <alignment vertical="center"/>
    </xf>
    <xf numFmtId="0" fontId="28" fillId="0" borderId="49" xfId="3" applyFont="1" applyFill="1" applyBorder="1" applyAlignment="1">
      <alignment vertical="center"/>
    </xf>
    <xf numFmtId="0" fontId="50" fillId="0" borderId="0" xfId="3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0" fontId="26" fillId="0" borderId="32" xfId="3" applyFont="1" applyFill="1" applyBorder="1" applyAlignment="1">
      <alignment vertical="center"/>
    </xf>
    <xf numFmtId="41" fontId="17" fillId="0" borderId="0" xfId="2" applyFont="1" applyFill="1" applyAlignment="1">
      <alignment vertical="center"/>
    </xf>
    <xf numFmtId="185" fontId="26" fillId="0" borderId="0" xfId="3" applyNumberFormat="1" applyFont="1" applyFill="1" applyBorder="1" applyAlignment="1">
      <alignment vertical="center"/>
    </xf>
    <xf numFmtId="0" fontId="37" fillId="0" borderId="14" xfId="3" applyFont="1" applyFill="1" applyBorder="1" applyAlignment="1">
      <alignment vertical="center"/>
    </xf>
    <xf numFmtId="41" fontId="34" fillId="0" borderId="20" xfId="0" applyNumberFormat="1" applyFont="1" applyFill="1" applyBorder="1" applyAlignment="1">
      <alignment vertical="center"/>
    </xf>
    <xf numFmtId="38" fontId="34" fillId="0" borderId="20" xfId="3" applyNumberFormat="1" applyFont="1" applyFill="1" applyBorder="1" applyAlignment="1">
      <alignment vertical="center"/>
    </xf>
    <xf numFmtId="0" fontId="34" fillId="0" borderId="49" xfId="3" applyFont="1" applyFill="1" applyBorder="1" applyAlignment="1">
      <alignment vertical="center"/>
    </xf>
    <xf numFmtId="176" fontId="34" fillId="0" borderId="19" xfId="3" applyNumberFormat="1" applyFont="1" applyFill="1" applyBorder="1" applyAlignment="1">
      <alignment vertical="center"/>
    </xf>
    <xf numFmtId="176" fontId="37" fillId="0" borderId="50" xfId="3" applyNumberFormat="1" applyFont="1" applyFill="1" applyBorder="1" applyAlignment="1">
      <alignment vertical="center"/>
    </xf>
    <xf numFmtId="41" fontId="17" fillId="0" borderId="49" xfId="2" applyFont="1" applyFill="1" applyBorder="1" applyAlignment="1">
      <alignment vertical="center"/>
    </xf>
    <xf numFmtId="0" fontId="17" fillId="0" borderId="50" xfId="3" applyFont="1" applyFill="1" applyBorder="1" applyAlignment="1">
      <alignment vertical="center"/>
    </xf>
    <xf numFmtId="0" fontId="28" fillId="0" borderId="34" xfId="3" applyFont="1" applyFill="1" applyBorder="1" applyAlignment="1">
      <alignment horizontal="left" vertical="center"/>
    </xf>
    <xf numFmtId="41" fontId="17" fillId="0" borderId="14" xfId="2" applyFont="1" applyFill="1" applyBorder="1" applyAlignment="1">
      <alignment vertical="center"/>
    </xf>
    <xf numFmtId="0" fontId="4" fillId="0" borderId="20" xfId="6" applyFont="1" applyBorder="1" applyAlignment="1">
      <alignment horizontal="center" vertical="center"/>
    </xf>
    <xf numFmtId="41" fontId="0" fillId="0" borderId="20" xfId="11" applyFont="1" applyBorder="1">
      <alignment vertical="center"/>
    </xf>
    <xf numFmtId="41" fontId="0" fillId="0" borderId="11" xfId="11" applyFont="1" applyBorder="1">
      <alignment vertical="center"/>
    </xf>
    <xf numFmtId="0" fontId="3" fillId="0" borderId="0" xfId="12">
      <alignment vertical="center"/>
    </xf>
    <xf numFmtId="0" fontId="51" fillId="0" borderId="20" xfId="12" applyFont="1" applyBorder="1" applyAlignment="1">
      <alignment horizontal="center" vertical="center"/>
    </xf>
    <xf numFmtId="0" fontId="52" fillId="0" borderId="20" xfId="12" applyFont="1" applyBorder="1" applyAlignment="1">
      <alignment horizontal="center" vertical="center"/>
    </xf>
    <xf numFmtId="0" fontId="52" fillId="0" borderId="20" xfId="12" applyFont="1" applyBorder="1" applyAlignment="1">
      <alignment horizontal="center" vertical="center" wrapText="1"/>
    </xf>
    <xf numFmtId="0" fontId="52" fillId="0" borderId="1" xfId="12" applyFont="1" applyBorder="1" applyAlignment="1">
      <alignment horizontal="center" vertical="center" wrapText="1"/>
    </xf>
    <xf numFmtId="0" fontId="3" fillId="0" borderId="20" xfId="12" applyBorder="1" applyAlignment="1">
      <alignment horizontal="center" vertical="center"/>
    </xf>
    <xf numFmtId="0" fontId="3" fillId="0" borderId="20" xfId="12" applyBorder="1">
      <alignment vertical="center"/>
    </xf>
    <xf numFmtId="14" fontId="3" fillId="0" borderId="20" xfId="12" applyNumberFormat="1" applyBorder="1">
      <alignment vertical="center"/>
    </xf>
    <xf numFmtId="176" fontId="19" fillId="0" borderId="49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horizontal="left" vertical="center" wrapText="1"/>
    </xf>
    <xf numFmtId="41" fontId="0" fillId="0" borderId="0" xfId="2" applyFont="1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2" fillId="0" borderId="20" xfId="12" applyFont="1" applyBorder="1">
      <alignment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0" fontId="55" fillId="0" borderId="52" xfId="0" applyFont="1" applyFill="1" applyBorder="1" applyAlignment="1">
      <alignment horizontal="center" vertical="center"/>
    </xf>
    <xf numFmtId="0" fontId="55" fillId="0" borderId="51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/>
    </xf>
    <xf numFmtId="0" fontId="55" fillId="0" borderId="38" xfId="0" applyFont="1" applyFill="1" applyBorder="1" applyAlignment="1">
      <alignment horizontal="center" vertical="center"/>
    </xf>
    <xf numFmtId="0" fontId="56" fillId="0" borderId="0" xfId="0" applyFont="1" applyFill="1" applyAlignment="1">
      <alignment vertical="center"/>
    </xf>
    <xf numFmtId="0" fontId="56" fillId="0" borderId="53" xfId="0" applyFont="1" applyFill="1" applyBorder="1" applyAlignment="1">
      <alignment vertical="center"/>
    </xf>
    <xf numFmtId="41" fontId="56" fillId="0" borderId="8" xfId="2" applyFont="1" applyFill="1" applyBorder="1" applyAlignment="1">
      <alignment vertical="center"/>
    </xf>
    <xf numFmtId="41" fontId="56" fillId="0" borderId="10" xfId="2" applyFont="1" applyFill="1" applyBorder="1" applyAlignment="1">
      <alignment vertical="center"/>
    </xf>
    <xf numFmtId="41" fontId="56" fillId="0" borderId="53" xfId="2" applyFont="1" applyFill="1" applyBorder="1" applyAlignment="1">
      <alignment vertical="center"/>
    </xf>
    <xf numFmtId="41" fontId="56" fillId="0" borderId="0" xfId="2" applyFont="1" applyFill="1" applyAlignment="1">
      <alignment vertical="center"/>
    </xf>
    <xf numFmtId="41" fontId="56" fillId="0" borderId="0" xfId="0" applyNumberFormat="1" applyFont="1" applyFill="1" applyAlignment="1">
      <alignment vertical="center"/>
    </xf>
    <xf numFmtId="0" fontId="56" fillId="0" borderId="54" xfId="0" applyFont="1" applyFill="1" applyBorder="1" applyAlignment="1">
      <alignment vertical="center"/>
    </xf>
    <xf numFmtId="41" fontId="55" fillId="0" borderId="56" xfId="2" applyFont="1" applyFill="1" applyBorder="1" applyAlignment="1">
      <alignment vertical="center"/>
    </xf>
    <xf numFmtId="41" fontId="55" fillId="0" borderId="7" xfId="2" applyFont="1" applyFill="1" applyBorder="1" applyAlignment="1">
      <alignment vertical="center"/>
    </xf>
    <xf numFmtId="41" fontId="55" fillId="0" borderId="36" xfId="2" applyFont="1" applyFill="1" applyBorder="1" applyAlignment="1">
      <alignment vertical="center"/>
    </xf>
    <xf numFmtId="41" fontId="55" fillId="0" borderId="55" xfId="2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41" fontId="55" fillId="0" borderId="0" xfId="2" applyFont="1" applyFill="1" applyAlignment="1">
      <alignment vertical="center"/>
    </xf>
    <xf numFmtId="0" fontId="37" fillId="0" borderId="0" xfId="3" applyFont="1" applyFill="1" applyBorder="1" applyAlignment="1">
      <alignment vertical="center"/>
    </xf>
    <xf numFmtId="0" fontId="28" fillId="0" borderId="34" xfId="3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0" fontId="55" fillId="0" borderId="55" xfId="0" applyFont="1" applyFill="1" applyBorder="1" applyAlignment="1">
      <alignment horizontal="center" vertical="center"/>
    </xf>
    <xf numFmtId="0" fontId="3" fillId="0" borderId="25" xfId="12" applyBorder="1">
      <alignment vertical="center"/>
    </xf>
    <xf numFmtId="184" fontId="17" fillId="0" borderId="0" xfId="3" applyNumberFormat="1" applyFont="1" applyFill="1" applyBorder="1" applyAlignment="1">
      <alignment horizontal="right" vertical="center"/>
    </xf>
    <xf numFmtId="176" fontId="28" fillId="0" borderId="14" xfId="3" applyNumberFormat="1" applyFont="1" applyFill="1" applyBorder="1" applyAlignment="1">
      <alignment vertical="center"/>
    </xf>
    <xf numFmtId="0" fontId="8" fillId="0" borderId="57" xfId="6" applyBorder="1" applyAlignment="1">
      <alignment vertical="center"/>
    </xf>
    <xf numFmtId="0" fontId="8" fillId="0" borderId="58" xfId="6" applyBorder="1" applyAlignment="1">
      <alignment vertical="center"/>
    </xf>
    <xf numFmtId="0" fontId="4" fillId="0" borderId="3" xfId="6" applyFont="1" applyBorder="1" applyAlignment="1">
      <alignment horizontal="center" vertical="center"/>
    </xf>
    <xf numFmtId="0" fontId="57" fillId="0" borderId="13" xfId="3" applyFont="1" applyFill="1" applyBorder="1" applyAlignment="1">
      <alignment vertical="center" wrapText="1"/>
    </xf>
    <xf numFmtId="176" fontId="35" fillId="0" borderId="14" xfId="3" applyNumberFormat="1" applyFont="1" applyFill="1" applyBorder="1" applyAlignment="1">
      <alignment vertical="center"/>
    </xf>
    <xf numFmtId="0" fontId="56" fillId="0" borderId="59" xfId="0" applyFont="1" applyFill="1" applyBorder="1" applyAlignment="1">
      <alignment vertical="center"/>
    </xf>
    <xf numFmtId="41" fontId="56" fillId="0" borderId="11" xfId="2" applyFont="1" applyFill="1" applyBorder="1" applyAlignment="1">
      <alignment vertical="center"/>
    </xf>
    <xf numFmtId="41" fontId="56" fillId="0" borderId="34" xfId="2" applyFont="1" applyFill="1" applyBorder="1" applyAlignment="1">
      <alignment vertical="center"/>
    </xf>
    <xf numFmtId="41" fontId="56" fillId="0" borderId="59" xfId="2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176" fontId="35" fillId="0" borderId="29" xfId="3" applyNumberFormat="1" applyFont="1" applyFill="1" applyBorder="1" applyAlignment="1">
      <alignment vertical="center"/>
    </xf>
    <xf numFmtId="0" fontId="35" fillId="0" borderId="14" xfId="3" applyFont="1" applyFill="1" applyBorder="1" applyAlignment="1">
      <alignment vertical="center"/>
    </xf>
    <xf numFmtId="41" fontId="56" fillId="0" borderId="41" xfId="2" applyFont="1" applyFill="1" applyBorder="1" applyAlignment="1">
      <alignment vertical="center"/>
    </xf>
    <xf numFmtId="41" fontId="56" fillId="0" borderId="17" xfId="2" applyFont="1" applyFill="1" applyBorder="1" applyAlignment="1">
      <alignment vertical="center"/>
    </xf>
    <xf numFmtId="41" fontId="56" fillId="0" borderId="6" xfId="2" applyFont="1" applyFill="1" applyBorder="1" applyAlignment="1">
      <alignment vertical="center"/>
    </xf>
    <xf numFmtId="41" fontId="56" fillId="0" borderId="7" xfId="2" applyFont="1" applyFill="1" applyBorder="1" applyAlignment="1">
      <alignment vertical="center"/>
    </xf>
    <xf numFmtId="41" fontId="56" fillId="0" borderId="36" xfId="2" applyFont="1" applyFill="1" applyBorder="1" applyAlignment="1">
      <alignment vertical="center"/>
    </xf>
    <xf numFmtId="41" fontId="56" fillId="0" borderId="55" xfId="2" applyFont="1" applyFill="1" applyBorder="1" applyAlignment="1">
      <alignment vertical="center"/>
    </xf>
    <xf numFmtId="0" fontId="1" fillId="0" borderId="20" xfId="6" applyFont="1" applyBorder="1" applyAlignment="1">
      <alignment horizontal="center" vertical="center"/>
    </xf>
    <xf numFmtId="0" fontId="32" fillId="0" borderId="41" xfId="6" applyFont="1" applyBorder="1" applyAlignment="1">
      <alignment horizontal="center" vertical="center"/>
    </xf>
    <xf numFmtId="0" fontId="32" fillId="0" borderId="8" xfId="6" applyFont="1" applyBorder="1" applyAlignment="1">
      <alignment horizontal="center" vertical="center"/>
    </xf>
    <xf numFmtId="0" fontId="32" fillId="0" borderId="10" xfId="6" applyFont="1" applyBorder="1" applyAlignment="1">
      <alignment horizontal="center" vertical="center"/>
    </xf>
    <xf numFmtId="0" fontId="32" fillId="0" borderId="9" xfId="6" applyFont="1" applyBorder="1" applyAlignment="1">
      <alignment horizontal="center" vertical="center"/>
    </xf>
    <xf numFmtId="0" fontId="32" fillId="0" borderId="15" xfId="6" applyFont="1" applyBorder="1" applyAlignment="1">
      <alignment horizontal="center" vertical="center"/>
    </xf>
    <xf numFmtId="0" fontId="32" fillId="0" borderId="20" xfId="6" applyFont="1" applyBorder="1" applyAlignment="1">
      <alignment horizontal="center" vertical="center"/>
    </xf>
    <xf numFmtId="0" fontId="32" fillId="0" borderId="44" xfId="6" applyFont="1" applyBorder="1" applyAlignment="1">
      <alignment horizontal="center" vertical="center"/>
    </xf>
    <xf numFmtId="0" fontId="32" fillId="0" borderId="45" xfId="6" applyFont="1" applyBorder="1" applyAlignment="1">
      <alignment horizontal="center" vertical="center"/>
    </xf>
    <xf numFmtId="0" fontId="32" fillId="0" borderId="20" xfId="6" applyFont="1" applyBorder="1" applyAlignment="1">
      <alignment horizontal="center" vertical="center" wrapText="1"/>
    </xf>
    <xf numFmtId="0" fontId="32" fillId="0" borderId="45" xfId="6" applyFont="1" applyBorder="1" applyAlignment="1">
      <alignment horizontal="center" vertical="center" wrapText="1"/>
    </xf>
    <xf numFmtId="0" fontId="32" fillId="0" borderId="39" xfId="6" applyFont="1" applyBorder="1" applyAlignment="1">
      <alignment horizontal="center" vertical="center"/>
    </xf>
    <xf numFmtId="0" fontId="32" fillId="0" borderId="46" xfId="6" applyFont="1" applyBorder="1" applyAlignment="1">
      <alignment horizontal="center" vertical="center"/>
    </xf>
    <xf numFmtId="0" fontId="32" fillId="0" borderId="18" xfId="6" applyFont="1" applyBorder="1" applyAlignment="1">
      <alignment horizontal="center" vertical="center"/>
    </xf>
    <xf numFmtId="0" fontId="32" fillId="0" borderId="47" xfId="6" applyFont="1" applyBorder="1" applyAlignment="1">
      <alignment horizontal="center" vertical="center"/>
    </xf>
    <xf numFmtId="0" fontId="8" fillId="0" borderId="2" xfId="6" applyBorder="1" applyAlignment="1">
      <alignment horizontal="center" vertical="center"/>
    </xf>
    <xf numFmtId="0" fontId="8" fillId="0" borderId="17" xfId="6" applyBorder="1" applyAlignment="1">
      <alignment horizontal="center" vertical="center"/>
    </xf>
    <xf numFmtId="0" fontId="8" fillId="0" borderId="31" xfId="6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8" fillId="0" borderId="17" xfId="6" applyFont="1" applyBorder="1" applyAlignment="1">
      <alignment horizontal="center" vertical="center"/>
    </xf>
    <xf numFmtId="0" fontId="8" fillId="0" borderId="6" xfId="6" applyBorder="1" applyAlignment="1">
      <alignment horizontal="center" vertical="center"/>
    </xf>
    <xf numFmtId="0" fontId="46" fillId="0" borderId="17" xfId="6" applyFont="1" applyBorder="1" applyAlignment="1">
      <alignment horizontal="center" vertical="center"/>
    </xf>
    <xf numFmtId="0" fontId="46" fillId="0" borderId="11" xfId="6" applyFont="1" applyBorder="1" applyAlignment="1">
      <alignment horizontal="center" vertical="center"/>
    </xf>
    <xf numFmtId="0" fontId="4" fillId="0" borderId="31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 wrapText="1"/>
    </xf>
    <xf numFmtId="0" fontId="17" fillId="0" borderId="41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178" fontId="18" fillId="0" borderId="23" xfId="3" applyNumberFormat="1" applyFont="1" applyFill="1" applyBorder="1" applyAlignment="1">
      <alignment horizontal="center" vertical="center" wrapText="1"/>
    </xf>
    <xf numFmtId="178" fontId="18" fillId="0" borderId="7" xfId="3" applyNumberFormat="1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51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/>
    </xf>
    <xf numFmtId="0" fontId="35" fillId="0" borderId="39" xfId="3" applyFont="1" applyFill="1" applyBorder="1" applyAlignment="1">
      <alignment horizontal="center" vertical="center" wrapText="1"/>
    </xf>
    <xf numFmtId="0" fontId="35" fillId="0" borderId="19" xfId="3" applyFont="1" applyFill="1" applyBorder="1" applyAlignment="1">
      <alignment horizontal="center" vertical="center" wrapText="1"/>
    </xf>
    <xf numFmtId="176" fontId="17" fillId="0" borderId="49" xfId="3" applyNumberFormat="1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34" fillId="0" borderId="39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0" fontId="17" fillId="0" borderId="39" xfId="3" applyFont="1" applyFill="1" applyBorder="1" applyAlignment="1">
      <alignment horizontal="center" vertical="center" wrapText="1"/>
    </xf>
    <xf numFmtId="0" fontId="17" fillId="0" borderId="19" xfId="3" applyFont="1" applyFill="1" applyBorder="1" applyAlignment="1">
      <alignment horizontal="center" vertical="center" wrapText="1"/>
    </xf>
    <xf numFmtId="0" fontId="19" fillId="0" borderId="33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0" fontId="19" fillId="0" borderId="20" xfId="3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37" xfId="3" applyFont="1" applyFill="1" applyBorder="1" applyAlignment="1">
      <alignment horizontal="center"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19" fillId="0" borderId="49" xfId="3" applyNumberFormat="1" applyFont="1" applyFill="1" applyBorder="1" applyAlignment="1">
      <alignment vertical="center"/>
    </xf>
    <xf numFmtId="0" fontId="19" fillId="0" borderId="49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0" fontId="34" fillId="0" borderId="32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0" fontId="36" fillId="0" borderId="41" xfId="3" applyFont="1" applyFill="1" applyBorder="1" applyAlignment="1">
      <alignment horizontal="center" vertical="center" wrapText="1"/>
    </xf>
    <xf numFmtId="0" fontId="36" fillId="0" borderId="8" xfId="3" applyFont="1" applyFill="1" applyBorder="1" applyAlignment="1">
      <alignment horizontal="center" vertical="center" wrapText="1"/>
    </xf>
    <xf numFmtId="178" fontId="18" fillId="0" borderId="10" xfId="3" applyNumberFormat="1" applyFont="1" applyFill="1" applyBorder="1" applyAlignment="1">
      <alignment horizontal="center" vertical="center" wrapText="1"/>
    </xf>
    <xf numFmtId="178" fontId="18" fillId="0" borderId="42" xfId="3" applyNumberFormat="1" applyFont="1" applyFill="1" applyBorder="1" applyAlignment="1">
      <alignment horizontal="center" vertical="center" wrapText="1"/>
    </xf>
    <xf numFmtId="178" fontId="18" fillId="0" borderId="48" xfId="3" applyNumberFormat="1" applyFont="1" applyFill="1" applyBorder="1" applyAlignment="1">
      <alignment horizontal="center" vertical="center" wrapText="1"/>
    </xf>
    <xf numFmtId="0" fontId="26" fillId="0" borderId="32" xfId="3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right" vertical="center"/>
    </xf>
    <xf numFmtId="0" fontId="32" fillId="0" borderId="14" xfId="12" applyFont="1" applyBorder="1" applyAlignment="1">
      <alignment horizontal="left" vertical="center"/>
    </xf>
  </cellXfs>
  <cellStyles count="18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쉼표 [0] 3" xfId="11"/>
    <cellStyle name="통화 [0]" xfId="3" builtinId="7"/>
    <cellStyle name="표준" xfId="0" builtinId="0"/>
    <cellStyle name="표준 2" xfId="4"/>
    <cellStyle name="표준 2 2" xfId="6"/>
    <cellStyle name="표준 2 3" xfId="8"/>
    <cellStyle name="표준 2 4" xfId="14"/>
    <cellStyle name="표준 3" xfId="10"/>
    <cellStyle name="표준 3 2" xfId="12"/>
    <cellStyle name="표준 3 3" xfId="16"/>
    <cellStyle name="표준 4" xfId="13"/>
    <cellStyle name="표준 4 2" xfId="15"/>
    <cellStyle name="표준 5" xfId="17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zoomScale="85" zoomScaleNormal="85" workbookViewId="0">
      <selection activeCell="C22" sqref="C22"/>
    </sheetView>
  </sheetViews>
  <sheetFormatPr defaultRowHeight="16.5"/>
  <cols>
    <col min="1" max="1" width="1.44140625" style="180" customWidth="1"/>
    <col min="2" max="2" width="11.5546875" style="180" bestFit="1" customWidth="1"/>
    <col min="3" max="3" width="13.33203125" style="180" bestFit="1" customWidth="1"/>
    <col min="4" max="5" width="18" style="180" bestFit="1" customWidth="1"/>
    <col min="6" max="6" width="16" style="180" bestFit="1" customWidth="1"/>
    <col min="7" max="7" width="9.6640625" style="180" bestFit="1" customWidth="1"/>
    <col min="8" max="8" width="13.33203125" style="180" bestFit="1" customWidth="1"/>
    <col min="9" max="10" width="18" style="180" bestFit="1" customWidth="1"/>
    <col min="11" max="11" width="16" style="180" bestFit="1" customWidth="1"/>
    <col min="12" max="16384" width="8.88671875" style="180"/>
  </cols>
  <sheetData>
    <row r="1" spans="2:11" ht="9.9499999999999993" customHeight="1"/>
    <row r="2" spans="2:11" ht="26.25">
      <c r="B2" s="181" t="s">
        <v>471</v>
      </c>
      <c r="K2" s="182" t="s">
        <v>378</v>
      </c>
    </row>
    <row r="3" spans="2:11" ht="9.9499999999999993" customHeight="1" thickBot="1"/>
    <row r="4" spans="2:11" ht="30" customHeight="1">
      <c r="B4" s="510" t="s">
        <v>102</v>
      </c>
      <c r="C4" s="511"/>
      <c r="D4" s="511"/>
      <c r="E4" s="511"/>
      <c r="F4" s="512"/>
      <c r="G4" s="510" t="s">
        <v>103</v>
      </c>
      <c r="H4" s="511"/>
      <c r="I4" s="511"/>
      <c r="J4" s="511"/>
      <c r="K4" s="513"/>
    </row>
    <row r="5" spans="2:11" ht="16.5" customHeight="1">
      <c r="B5" s="514" t="s">
        <v>104</v>
      </c>
      <c r="C5" s="515"/>
      <c r="D5" s="518" t="s">
        <v>472</v>
      </c>
      <c r="E5" s="518" t="s">
        <v>473</v>
      </c>
      <c r="F5" s="520" t="s">
        <v>105</v>
      </c>
      <c r="G5" s="514" t="s">
        <v>104</v>
      </c>
      <c r="H5" s="515"/>
      <c r="I5" s="518" t="s">
        <v>472</v>
      </c>
      <c r="J5" s="518" t="s">
        <v>473</v>
      </c>
      <c r="K5" s="522" t="s">
        <v>105</v>
      </c>
    </row>
    <row r="6" spans="2:11" ht="22.5" customHeight="1" thickBot="1">
      <c r="B6" s="516"/>
      <c r="C6" s="517"/>
      <c r="D6" s="519"/>
      <c r="E6" s="519"/>
      <c r="F6" s="521"/>
      <c r="G6" s="516"/>
      <c r="H6" s="517"/>
      <c r="I6" s="519"/>
      <c r="J6" s="519"/>
      <c r="K6" s="523"/>
    </row>
    <row r="7" spans="2:11" ht="24.95" customHeight="1" thickTop="1">
      <c r="B7" s="530" t="s">
        <v>106</v>
      </c>
      <c r="C7" s="531"/>
      <c r="D7" s="368">
        <f>SUM(D8:D23)/2</f>
        <v>388931</v>
      </c>
      <c r="E7" s="368">
        <f>SUM(E8:E23)/2</f>
        <v>264706</v>
      </c>
      <c r="F7" s="369">
        <f>SUM(F8:F23)/2</f>
        <v>-124225</v>
      </c>
      <c r="G7" s="530" t="s">
        <v>106</v>
      </c>
      <c r="H7" s="531"/>
      <c r="I7" s="368">
        <f>SUM(I8:I24)/2</f>
        <v>388931</v>
      </c>
      <c r="J7" s="368">
        <f>SUM(J8:J24)/2</f>
        <v>264706</v>
      </c>
      <c r="K7" s="370">
        <f>SUM(K8:K24)/2</f>
        <v>-124225</v>
      </c>
    </row>
    <row r="8" spans="2:11" ht="24.95" customHeight="1">
      <c r="B8" s="527" t="s">
        <v>339</v>
      </c>
      <c r="C8" s="371" t="s">
        <v>171</v>
      </c>
      <c r="D8" s="372">
        <f>D9</f>
        <v>0</v>
      </c>
      <c r="E8" s="372">
        <f>E9</f>
        <v>0</v>
      </c>
      <c r="F8" s="373">
        <f>F9</f>
        <v>0</v>
      </c>
      <c r="G8" s="524" t="s">
        <v>107</v>
      </c>
      <c r="H8" s="371" t="s">
        <v>171</v>
      </c>
      <c r="I8" s="372">
        <f>SUM(I9:I11)</f>
        <v>92031</v>
      </c>
      <c r="J8" s="372">
        <f>SUM(J9:J11)</f>
        <v>94259</v>
      </c>
      <c r="K8" s="377">
        <f>SUM(K9:K11)</f>
        <v>2228</v>
      </c>
    </row>
    <row r="9" spans="2:11" ht="24.95" customHeight="1">
      <c r="B9" s="525"/>
      <c r="C9" s="447" t="s">
        <v>340</v>
      </c>
      <c r="D9" s="184">
        <v>0</v>
      </c>
      <c r="E9" s="184">
        <v>0</v>
      </c>
      <c r="F9" s="185">
        <f>E9-D9</f>
        <v>0</v>
      </c>
      <c r="G9" s="526"/>
      <c r="H9" s="183" t="s">
        <v>108</v>
      </c>
      <c r="I9" s="184">
        <v>75737</v>
      </c>
      <c r="J9" s="184">
        <v>69885</v>
      </c>
      <c r="K9" s="186">
        <f>J9-I9</f>
        <v>-5852</v>
      </c>
    </row>
    <row r="10" spans="2:11" ht="24.95" customHeight="1">
      <c r="B10" s="524" t="s">
        <v>109</v>
      </c>
      <c r="C10" s="374" t="s">
        <v>171</v>
      </c>
      <c r="D10" s="375">
        <f>SUM(D11:D14)</f>
        <v>0</v>
      </c>
      <c r="E10" s="375">
        <f>SUM(E11:E14)</f>
        <v>41080</v>
      </c>
      <c r="F10" s="376">
        <f>SUM(F11:F14)</f>
        <v>41080</v>
      </c>
      <c r="G10" s="526"/>
      <c r="H10" s="183" t="s">
        <v>110</v>
      </c>
      <c r="I10" s="184">
        <v>500</v>
      </c>
      <c r="J10" s="184">
        <v>500</v>
      </c>
      <c r="K10" s="186">
        <f>J10-I10</f>
        <v>0</v>
      </c>
    </row>
    <row r="11" spans="2:11" ht="24.95" customHeight="1">
      <c r="B11" s="526"/>
      <c r="C11" s="255" t="s">
        <v>132</v>
      </c>
      <c r="D11" s="184">
        <v>0</v>
      </c>
      <c r="E11" s="184">
        <v>0</v>
      </c>
      <c r="F11" s="185">
        <f t="shared" ref="F11:F23" si="0">E11-D11</f>
        <v>0</v>
      </c>
      <c r="G11" s="525"/>
      <c r="H11" s="183" t="s">
        <v>71</v>
      </c>
      <c r="I11" s="184">
        <v>15794</v>
      </c>
      <c r="J11" s="184">
        <v>23874</v>
      </c>
      <c r="K11" s="186">
        <f>J11-I11</f>
        <v>8080</v>
      </c>
    </row>
    <row r="12" spans="2:11" ht="24.95" customHeight="1">
      <c r="B12" s="526"/>
      <c r="C12" s="255" t="s">
        <v>133</v>
      </c>
      <c r="D12" s="184">
        <v>0</v>
      </c>
      <c r="E12" s="184">
        <v>0</v>
      </c>
      <c r="F12" s="185">
        <f t="shared" si="0"/>
        <v>0</v>
      </c>
      <c r="G12" s="524" t="s">
        <v>72</v>
      </c>
      <c r="H12" s="374" t="s">
        <v>171</v>
      </c>
      <c r="I12" s="375">
        <f>SUM(I13:I15)</f>
        <v>2226</v>
      </c>
      <c r="J12" s="375">
        <f>SUM(J13:J15)</f>
        <v>2226</v>
      </c>
      <c r="K12" s="378">
        <f>SUM(K13:K15)</f>
        <v>0</v>
      </c>
    </row>
    <row r="13" spans="2:11" ht="24.95" customHeight="1">
      <c r="B13" s="526"/>
      <c r="C13" s="255" t="s">
        <v>134</v>
      </c>
      <c r="D13" s="184">
        <v>0</v>
      </c>
      <c r="E13" s="184">
        <v>0</v>
      </c>
      <c r="F13" s="185">
        <f>E13-D13</f>
        <v>0</v>
      </c>
      <c r="G13" s="526"/>
      <c r="H13" s="183" t="s">
        <v>73</v>
      </c>
      <c r="I13" s="184">
        <v>0</v>
      </c>
      <c r="J13" s="184">
        <v>0</v>
      </c>
      <c r="K13" s="186">
        <f>J13-I13</f>
        <v>0</v>
      </c>
    </row>
    <row r="14" spans="2:11" ht="24.95" customHeight="1">
      <c r="B14" s="525"/>
      <c r="C14" s="395" t="s">
        <v>245</v>
      </c>
      <c r="D14" s="184">
        <v>0</v>
      </c>
      <c r="E14" s="184">
        <v>41080</v>
      </c>
      <c r="F14" s="185">
        <f t="shared" si="0"/>
        <v>41080</v>
      </c>
      <c r="G14" s="526"/>
      <c r="H14" s="183" t="s">
        <v>75</v>
      </c>
      <c r="I14" s="184">
        <v>1000</v>
      </c>
      <c r="J14" s="184">
        <v>1000</v>
      </c>
      <c r="K14" s="186">
        <f>J14-I14</f>
        <v>0</v>
      </c>
    </row>
    <row r="15" spans="2:11" ht="24.95" customHeight="1">
      <c r="B15" s="524" t="s">
        <v>74</v>
      </c>
      <c r="C15" s="374" t="s">
        <v>171</v>
      </c>
      <c r="D15" s="375">
        <f>SUM(D16:D17)</f>
        <v>19120</v>
      </c>
      <c r="E15" s="375">
        <f>SUM(E16:E17)</f>
        <v>208446</v>
      </c>
      <c r="F15" s="376">
        <f>SUM(F16:F17)</f>
        <v>189326</v>
      </c>
      <c r="G15" s="525"/>
      <c r="H15" s="183" t="s">
        <v>76</v>
      </c>
      <c r="I15" s="184">
        <v>1226</v>
      </c>
      <c r="J15" s="184">
        <v>1226</v>
      </c>
      <c r="K15" s="186">
        <f>J15-I15</f>
        <v>0</v>
      </c>
    </row>
    <row r="16" spans="2:11" ht="24.95" customHeight="1">
      <c r="B16" s="526"/>
      <c r="C16" s="509" t="s">
        <v>474</v>
      </c>
      <c r="D16" s="184">
        <v>120</v>
      </c>
      <c r="E16" s="184">
        <v>189246</v>
      </c>
      <c r="F16" s="185">
        <f t="shared" si="0"/>
        <v>189126</v>
      </c>
      <c r="G16" s="527" t="s">
        <v>342</v>
      </c>
      <c r="H16" s="374" t="s">
        <v>171</v>
      </c>
      <c r="I16" s="375">
        <f>SUM(I17:I20)</f>
        <v>282924</v>
      </c>
      <c r="J16" s="375">
        <f>SUM(J17:J20)</f>
        <v>168171</v>
      </c>
      <c r="K16" s="378">
        <f>SUM(K17:K20)</f>
        <v>-114753</v>
      </c>
    </row>
    <row r="17" spans="2:11" ht="24.95" customHeight="1">
      <c r="B17" s="525"/>
      <c r="C17" s="509" t="s">
        <v>475</v>
      </c>
      <c r="D17" s="184">
        <v>19000</v>
      </c>
      <c r="E17" s="184">
        <v>19200</v>
      </c>
      <c r="F17" s="185">
        <f t="shared" si="0"/>
        <v>200</v>
      </c>
      <c r="G17" s="532"/>
      <c r="H17" s="447" t="s">
        <v>343</v>
      </c>
      <c r="I17" s="184">
        <v>26778</v>
      </c>
      <c r="J17" s="184">
        <v>128171</v>
      </c>
      <c r="K17" s="186">
        <f t="shared" ref="K17:K20" si="1">J17-I17</f>
        <v>101393</v>
      </c>
    </row>
    <row r="18" spans="2:11" ht="24.95" customHeight="1">
      <c r="B18" s="524" t="s">
        <v>77</v>
      </c>
      <c r="C18" s="374" t="s">
        <v>171</v>
      </c>
      <c r="D18" s="375">
        <f>D19</f>
        <v>271866</v>
      </c>
      <c r="E18" s="375">
        <f>E19</f>
        <v>0</v>
      </c>
      <c r="F18" s="376">
        <f>F19</f>
        <v>-271866</v>
      </c>
      <c r="G18" s="532"/>
      <c r="H18" s="447" t="s">
        <v>344</v>
      </c>
      <c r="I18" s="184">
        <v>256146</v>
      </c>
      <c r="J18" s="184">
        <v>40000</v>
      </c>
      <c r="K18" s="186">
        <f t="shared" si="1"/>
        <v>-216146</v>
      </c>
    </row>
    <row r="19" spans="2:11" ht="24.95" customHeight="1">
      <c r="B19" s="525"/>
      <c r="C19" s="447" t="s">
        <v>341</v>
      </c>
      <c r="D19" s="184">
        <v>271866</v>
      </c>
      <c r="E19" s="184">
        <v>0</v>
      </c>
      <c r="F19" s="185">
        <f t="shared" si="0"/>
        <v>-271866</v>
      </c>
      <c r="G19" s="532"/>
      <c r="H19" s="183"/>
      <c r="I19" s="184">
        <v>0</v>
      </c>
      <c r="J19" s="184">
        <v>0</v>
      </c>
      <c r="K19" s="186">
        <f t="shared" si="1"/>
        <v>0</v>
      </c>
    </row>
    <row r="20" spans="2:11" ht="24.95" customHeight="1">
      <c r="B20" s="524" t="s">
        <v>78</v>
      </c>
      <c r="C20" s="374" t="s">
        <v>171</v>
      </c>
      <c r="D20" s="375">
        <f>D21</f>
        <v>53775</v>
      </c>
      <c r="E20" s="375">
        <f>E21</f>
        <v>15130</v>
      </c>
      <c r="F20" s="376">
        <f>F21</f>
        <v>-38645</v>
      </c>
      <c r="G20" s="533"/>
      <c r="H20" s="183"/>
      <c r="I20" s="184">
        <v>0</v>
      </c>
      <c r="J20" s="184">
        <v>0</v>
      </c>
      <c r="K20" s="186">
        <f t="shared" si="1"/>
        <v>0</v>
      </c>
    </row>
    <row r="21" spans="2:11" ht="24.95" customHeight="1">
      <c r="B21" s="525"/>
      <c r="C21" s="509" t="s">
        <v>476</v>
      </c>
      <c r="D21" s="184">
        <v>53775</v>
      </c>
      <c r="E21" s="184">
        <v>15130</v>
      </c>
      <c r="F21" s="185">
        <f t="shared" si="0"/>
        <v>-38645</v>
      </c>
      <c r="G21" s="527" t="s">
        <v>345</v>
      </c>
      <c r="H21" s="374" t="s">
        <v>171</v>
      </c>
      <c r="I21" s="375">
        <f>I22</f>
        <v>11675</v>
      </c>
      <c r="J21" s="375">
        <f>J22</f>
        <v>0</v>
      </c>
      <c r="K21" s="378">
        <f>K22</f>
        <v>-11675</v>
      </c>
    </row>
    <row r="22" spans="2:11" ht="24.95" customHeight="1">
      <c r="B22" s="524" t="s">
        <v>79</v>
      </c>
      <c r="C22" s="374" t="s">
        <v>171</v>
      </c>
      <c r="D22" s="375">
        <f>D23</f>
        <v>44170</v>
      </c>
      <c r="E22" s="375">
        <f>E23</f>
        <v>50</v>
      </c>
      <c r="F22" s="376">
        <f>F23</f>
        <v>-44120</v>
      </c>
      <c r="G22" s="528"/>
      <c r="H22" s="447" t="s">
        <v>81</v>
      </c>
      <c r="I22" s="184">
        <v>11675</v>
      </c>
      <c r="J22" s="184">
        <v>0</v>
      </c>
      <c r="K22" s="186">
        <f>J22-I22</f>
        <v>-11675</v>
      </c>
    </row>
    <row r="23" spans="2:11" ht="24.95" customHeight="1">
      <c r="B23" s="525"/>
      <c r="C23" s="183" t="s">
        <v>80</v>
      </c>
      <c r="D23" s="184">
        <v>44170</v>
      </c>
      <c r="E23" s="184">
        <v>50</v>
      </c>
      <c r="F23" s="185">
        <f t="shared" si="0"/>
        <v>-44120</v>
      </c>
      <c r="G23" s="527" t="s">
        <v>346</v>
      </c>
      <c r="H23" s="374" t="s">
        <v>171</v>
      </c>
      <c r="I23" s="375">
        <f>I24</f>
        <v>75</v>
      </c>
      <c r="J23" s="375">
        <f>J24</f>
        <v>50</v>
      </c>
      <c r="K23" s="378">
        <f>K24</f>
        <v>-25</v>
      </c>
    </row>
    <row r="24" spans="2:11" ht="24.95" customHeight="1" thickBot="1">
      <c r="B24" s="490"/>
      <c r="C24" s="491"/>
      <c r="D24" s="491"/>
      <c r="E24" s="491"/>
      <c r="F24" s="491"/>
      <c r="G24" s="529"/>
      <c r="H24" s="492" t="s">
        <v>347</v>
      </c>
      <c r="I24" s="187">
        <v>75</v>
      </c>
      <c r="J24" s="187">
        <v>50</v>
      </c>
      <c r="K24" s="188">
        <f>J24-I24</f>
        <v>-25</v>
      </c>
    </row>
    <row r="25" spans="2:11" ht="24.95" customHeight="1"/>
  </sheetData>
  <mergeCells count="23">
    <mergeCell ref="B7:C7"/>
    <mergeCell ref="G7:H7"/>
    <mergeCell ref="B8:B9"/>
    <mergeCell ref="B10:B14"/>
    <mergeCell ref="B15:B17"/>
    <mergeCell ref="G16:G20"/>
    <mergeCell ref="B18:B19"/>
    <mergeCell ref="B20:B21"/>
    <mergeCell ref="B22:B23"/>
    <mergeCell ref="G8:G11"/>
    <mergeCell ref="G21:G22"/>
    <mergeCell ref="G23:G24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11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0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X77" sqref="X77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10" style="9" customWidth="1"/>
    <col min="6" max="6" width="10.77734375" style="9" customWidth="1"/>
    <col min="7" max="7" width="9.44140625" style="10" bestFit="1" customWidth="1"/>
    <col min="8" max="8" width="7.77734375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34" t="s">
        <v>429</v>
      </c>
      <c r="B1" s="534"/>
      <c r="C1" s="534"/>
      <c r="D1" s="53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35" t="s">
        <v>244</v>
      </c>
      <c r="B2" s="536"/>
      <c r="C2" s="536"/>
      <c r="D2" s="536"/>
      <c r="E2" s="537" t="s">
        <v>430</v>
      </c>
      <c r="F2" s="537" t="s">
        <v>431</v>
      </c>
      <c r="G2" s="542" t="s">
        <v>23</v>
      </c>
      <c r="H2" s="542"/>
      <c r="I2" s="542" t="s">
        <v>243</v>
      </c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6"/>
      <c r="Z2" s="8"/>
    </row>
    <row r="3" spans="1:26" s="3" customFormat="1" ht="36.75" customHeight="1" thickBot="1">
      <c r="A3" s="23" t="s">
        <v>1</v>
      </c>
      <c r="B3" s="24" t="s">
        <v>2</v>
      </c>
      <c r="C3" s="24" t="s">
        <v>242</v>
      </c>
      <c r="D3" s="24" t="s">
        <v>241</v>
      </c>
      <c r="E3" s="538"/>
      <c r="F3" s="538"/>
      <c r="G3" s="142" t="s">
        <v>240</v>
      </c>
      <c r="H3" s="25" t="s">
        <v>4</v>
      </c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8"/>
      <c r="Z3" s="8"/>
    </row>
    <row r="4" spans="1:26" s="3" customFormat="1" ht="19.5" customHeight="1">
      <c r="A4" s="539" t="s">
        <v>24</v>
      </c>
      <c r="B4" s="540"/>
      <c r="C4" s="540"/>
      <c r="D4" s="541"/>
      <c r="E4" s="209">
        <f>SUM(E5,E14,E16,E18,E33,E50,E57,E63,E85)</f>
        <v>388931</v>
      </c>
      <c r="F4" s="209">
        <f>SUM(F5,F14,F16,F18,F33,F50,F57,F63,F85)</f>
        <v>264706</v>
      </c>
      <c r="G4" s="264">
        <f>SUM(G5,G14,G16,G18,G33,G50,G57,G63,G85)</f>
        <v>-124225</v>
      </c>
      <c r="H4" s="210">
        <f>IF(E4=0,0,G4/E4)</f>
        <v>-0.31940112770645696</v>
      </c>
      <c r="I4" s="26" t="s">
        <v>239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54">
        <f>SUM(X5,X14,X16,X18,X33,X50,X57,X63,X85)</f>
        <v>264706000</v>
      </c>
      <c r="Y4" s="28" t="s">
        <v>189</v>
      </c>
      <c r="Z4" s="8"/>
    </row>
    <row r="5" spans="1:26" ht="21" customHeight="1">
      <c r="A5" s="33" t="s">
        <v>248</v>
      </c>
      <c r="B5" s="34" t="s">
        <v>250</v>
      </c>
      <c r="C5" s="543" t="s">
        <v>127</v>
      </c>
      <c r="D5" s="544"/>
      <c r="E5" s="415">
        <v>0</v>
      </c>
      <c r="F5" s="415">
        <f>ROUND(X5/1000,0)</f>
        <v>0</v>
      </c>
      <c r="G5" s="416">
        <f>F5-E5</f>
        <v>0</v>
      </c>
      <c r="H5" s="417">
        <f>IF(E5=0,0,G5/E5)</f>
        <v>0</v>
      </c>
      <c r="I5" s="418" t="s">
        <v>263</v>
      </c>
      <c r="J5" s="419"/>
      <c r="K5" s="420"/>
      <c r="L5" s="420"/>
      <c r="M5" s="420"/>
      <c r="N5" s="420"/>
      <c r="O5" s="420"/>
      <c r="P5" s="421"/>
      <c r="Q5" s="421" t="s">
        <v>236</v>
      </c>
      <c r="R5" s="421"/>
      <c r="S5" s="421"/>
      <c r="T5" s="421"/>
      <c r="U5" s="421"/>
      <c r="V5" s="421"/>
      <c r="W5" s="422"/>
      <c r="X5" s="422">
        <f>SUM(X6,X8,X10,X12)</f>
        <v>0</v>
      </c>
      <c r="Y5" s="423" t="s">
        <v>25</v>
      </c>
    </row>
    <row r="6" spans="1:26" ht="21" customHeight="1" thickBot="1">
      <c r="A6" s="43" t="s">
        <v>249</v>
      </c>
      <c r="B6" s="44" t="s">
        <v>248</v>
      </c>
      <c r="C6" s="44" t="s">
        <v>251</v>
      </c>
      <c r="D6" s="45" t="s">
        <v>252</v>
      </c>
      <c r="E6" s="412"/>
      <c r="F6" s="412"/>
      <c r="G6" s="413"/>
      <c r="H6" s="414"/>
      <c r="I6" s="38" t="s">
        <v>259</v>
      </c>
      <c r="J6" s="137"/>
      <c r="K6" s="39"/>
      <c r="L6" s="39"/>
      <c r="M6" s="39"/>
      <c r="N6" s="39"/>
      <c r="O6" s="39"/>
      <c r="P6" s="40"/>
      <c r="Q6" s="40" t="s">
        <v>83</v>
      </c>
      <c r="R6" s="40"/>
      <c r="S6" s="40"/>
      <c r="T6" s="40"/>
      <c r="U6" s="40"/>
      <c r="V6" s="40"/>
      <c r="W6" s="41"/>
      <c r="X6" s="41">
        <f>X7</f>
        <v>0</v>
      </c>
      <c r="Y6" s="42" t="s">
        <v>25</v>
      </c>
    </row>
    <row r="7" spans="1:26" ht="21" customHeight="1">
      <c r="A7" s="43"/>
      <c r="B7" s="44" t="s">
        <v>249</v>
      </c>
      <c r="C7" s="57" t="s">
        <v>249</v>
      </c>
      <c r="D7" s="392"/>
      <c r="E7" s="212"/>
      <c r="F7" s="212"/>
      <c r="G7" s="214"/>
      <c r="H7" s="215"/>
      <c r="I7" s="216"/>
      <c r="J7" s="217"/>
      <c r="K7" s="218"/>
      <c r="L7" s="218"/>
      <c r="M7" s="218"/>
      <c r="N7" s="218"/>
      <c r="O7" s="218"/>
      <c r="P7" s="219"/>
      <c r="Q7" s="219"/>
      <c r="R7" s="219"/>
      <c r="S7" s="219"/>
      <c r="T7" s="219"/>
      <c r="U7" s="219"/>
      <c r="V7" s="219"/>
      <c r="W7" s="220"/>
      <c r="X7" s="220"/>
      <c r="Y7" s="245"/>
    </row>
    <row r="8" spans="1:26" ht="21" hidden="1" customHeight="1" thickBot="1">
      <c r="A8" s="43"/>
      <c r="B8" s="44"/>
      <c r="C8" s="34" t="s">
        <v>253</v>
      </c>
      <c r="D8" s="190" t="s">
        <v>256</v>
      </c>
      <c r="E8" s="203"/>
      <c r="F8" s="203"/>
      <c r="G8" s="204"/>
      <c r="H8" s="205"/>
      <c r="I8" s="38" t="s">
        <v>259</v>
      </c>
      <c r="J8" s="137"/>
      <c r="K8" s="39"/>
      <c r="L8" s="39"/>
      <c r="M8" s="39"/>
      <c r="N8" s="39"/>
      <c r="O8" s="39"/>
      <c r="P8" s="40"/>
      <c r="Q8" s="40" t="s">
        <v>83</v>
      </c>
      <c r="R8" s="40"/>
      <c r="S8" s="40"/>
      <c r="T8" s="40"/>
      <c r="U8" s="40"/>
      <c r="V8" s="40"/>
      <c r="W8" s="41"/>
      <c r="X8" s="41">
        <f>X9</f>
        <v>0</v>
      </c>
      <c r="Y8" s="42" t="s">
        <v>25</v>
      </c>
    </row>
    <row r="9" spans="1:26" ht="21" hidden="1" customHeight="1">
      <c r="A9" s="43"/>
      <c r="B9" s="44"/>
      <c r="C9" s="57" t="s">
        <v>255</v>
      </c>
      <c r="D9" s="392" t="s">
        <v>255</v>
      </c>
      <c r="E9" s="212"/>
      <c r="F9" s="212"/>
      <c r="G9" s="214"/>
      <c r="H9" s="215"/>
      <c r="I9" s="216"/>
      <c r="J9" s="217"/>
      <c r="K9" s="218"/>
      <c r="L9" s="218"/>
      <c r="M9" s="218"/>
      <c r="N9" s="218"/>
      <c r="O9" s="218"/>
      <c r="P9" s="219"/>
      <c r="Q9" s="219"/>
      <c r="R9" s="219"/>
      <c r="S9" s="219"/>
      <c r="T9" s="219"/>
      <c r="U9" s="219"/>
      <c r="V9" s="219"/>
      <c r="W9" s="220"/>
      <c r="X9" s="220"/>
      <c r="Y9" s="245"/>
    </row>
    <row r="10" spans="1:26" ht="21" hidden="1" customHeight="1" thickBot="1">
      <c r="A10" s="43"/>
      <c r="B10" s="44"/>
      <c r="C10" s="34" t="s">
        <v>257</v>
      </c>
      <c r="D10" s="190" t="s">
        <v>257</v>
      </c>
      <c r="E10" s="203"/>
      <c r="F10" s="203"/>
      <c r="G10" s="204"/>
      <c r="H10" s="205"/>
      <c r="I10" s="38" t="s">
        <v>260</v>
      </c>
      <c r="J10" s="137"/>
      <c r="K10" s="39"/>
      <c r="L10" s="39"/>
      <c r="M10" s="39"/>
      <c r="N10" s="39"/>
      <c r="O10" s="39"/>
      <c r="P10" s="40"/>
      <c r="Q10" s="40" t="s">
        <v>83</v>
      </c>
      <c r="R10" s="40"/>
      <c r="S10" s="40"/>
      <c r="T10" s="40"/>
      <c r="U10" s="40"/>
      <c r="V10" s="40"/>
      <c r="W10" s="41"/>
      <c r="X10" s="41">
        <f>X11</f>
        <v>0</v>
      </c>
      <c r="Y10" s="42" t="s">
        <v>25</v>
      </c>
    </row>
    <row r="11" spans="1:26" ht="21" hidden="1" customHeight="1">
      <c r="A11" s="43"/>
      <c r="B11" s="44"/>
      <c r="C11" s="57" t="s">
        <v>249</v>
      </c>
      <c r="D11" s="392" t="s">
        <v>249</v>
      </c>
      <c r="E11" s="212"/>
      <c r="F11" s="212"/>
      <c r="G11" s="214"/>
      <c r="H11" s="215"/>
      <c r="I11" s="216"/>
      <c r="J11" s="217"/>
      <c r="K11" s="218"/>
      <c r="L11" s="218"/>
      <c r="M11" s="218"/>
      <c r="N11" s="218"/>
      <c r="O11" s="218"/>
      <c r="P11" s="219"/>
      <c r="Q11" s="219"/>
      <c r="R11" s="219"/>
      <c r="S11" s="219"/>
      <c r="T11" s="219"/>
      <c r="U11" s="219"/>
      <c r="V11" s="219"/>
      <c r="W11" s="220"/>
      <c r="X11" s="220"/>
      <c r="Y11" s="245"/>
    </row>
    <row r="12" spans="1:26" ht="21" customHeight="1" thickBot="1">
      <c r="A12" s="43"/>
      <c r="B12" s="44"/>
      <c r="C12" s="45" t="s">
        <v>258</v>
      </c>
      <c r="D12" s="45" t="s">
        <v>258</v>
      </c>
      <c r="E12" s="412"/>
      <c r="F12" s="412"/>
      <c r="G12" s="413"/>
      <c r="H12" s="414"/>
      <c r="I12" s="38" t="s">
        <v>261</v>
      </c>
      <c r="J12" s="137"/>
      <c r="K12" s="39"/>
      <c r="L12" s="39"/>
      <c r="M12" s="39"/>
      <c r="N12" s="39"/>
      <c r="O12" s="39"/>
      <c r="P12" s="40"/>
      <c r="Q12" s="40" t="s">
        <v>83</v>
      </c>
      <c r="R12" s="40"/>
      <c r="S12" s="40"/>
      <c r="T12" s="40"/>
      <c r="U12" s="40"/>
      <c r="V12" s="40"/>
      <c r="W12" s="41"/>
      <c r="X12" s="41">
        <f>X13</f>
        <v>0</v>
      </c>
      <c r="Y12" s="42" t="s">
        <v>25</v>
      </c>
    </row>
    <row r="13" spans="1:26" ht="21" customHeight="1">
      <c r="A13" s="43"/>
      <c r="B13" s="44"/>
      <c r="C13" s="45" t="s">
        <v>249</v>
      </c>
      <c r="D13" s="45" t="s">
        <v>249</v>
      </c>
      <c r="E13" s="46"/>
      <c r="F13" s="46"/>
      <c r="G13" s="47"/>
      <c r="H13" s="29"/>
      <c r="I13" s="445"/>
      <c r="J13" s="128"/>
      <c r="K13" s="83"/>
      <c r="L13" s="83"/>
      <c r="M13" s="211"/>
      <c r="N13" s="211"/>
      <c r="O13" s="324"/>
      <c r="P13" s="433"/>
      <c r="Q13" s="211"/>
      <c r="R13" s="324"/>
      <c r="S13" s="446"/>
      <c r="T13" s="189"/>
      <c r="U13" s="189"/>
      <c r="V13" s="189"/>
      <c r="W13" s="211"/>
      <c r="X13" s="211">
        <f>M13*P13*S13</f>
        <v>0</v>
      </c>
      <c r="Y13" s="71" t="s">
        <v>181</v>
      </c>
    </row>
    <row r="14" spans="1:26" s="11" customFormat="1" ht="19.5" hidden="1" customHeight="1" thickBot="1">
      <c r="A14" s="33" t="s">
        <v>238</v>
      </c>
      <c r="B14" s="34" t="s">
        <v>238</v>
      </c>
      <c r="C14" s="34" t="s">
        <v>238</v>
      </c>
      <c r="D14" s="34" t="s">
        <v>238</v>
      </c>
      <c r="E14" s="203">
        <v>0</v>
      </c>
      <c r="F14" s="203">
        <f>ROUND(X14/1000,0)</f>
        <v>0</v>
      </c>
      <c r="G14" s="204">
        <f>F14-E14</f>
        <v>0</v>
      </c>
      <c r="H14" s="205">
        <f>IF(E14=0,0,G14/E14)</f>
        <v>0</v>
      </c>
      <c r="I14" s="38" t="s">
        <v>237</v>
      </c>
      <c r="J14" s="137"/>
      <c r="K14" s="39"/>
      <c r="L14" s="39"/>
      <c r="M14" s="39"/>
      <c r="N14" s="39"/>
      <c r="O14" s="39"/>
      <c r="P14" s="40"/>
      <c r="Q14" s="40" t="s">
        <v>236</v>
      </c>
      <c r="R14" s="40"/>
      <c r="S14" s="40"/>
      <c r="T14" s="40"/>
      <c r="U14" s="40"/>
      <c r="V14" s="40"/>
      <c r="W14" s="41"/>
      <c r="X14" s="41">
        <f>X15</f>
        <v>0</v>
      </c>
      <c r="Y14" s="42" t="s">
        <v>25</v>
      </c>
      <c r="Z14" s="6"/>
    </row>
    <row r="15" spans="1:26" ht="21" hidden="1" customHeight="1">
      <c r="A15" s="56" t="s">
        <v>230</v>
      </c>
      <c r="B15" s="57" t="s">
        <v>230</v>
      </c>
      <c r="C15" s="57" t="s">
        <v>230</v>
      </c>
      <c r="D15" s="57" t="s">
        <v>230</v>
      </c>
      <c r="E15" s="46"/>
      <c r="F15" s="46"/>
      <c r="G15" s="47"/>
      <c r="H15" s="29"/>
      <c r="I15" s="51" t="s">
        <v>262</v>
      </c>
      <c r="J15" s="52"/>
      <c r="K15" s="53"/>
      <c r="L15" s="53"/>
      <c r="M15" s="268"/>
      <c r="N15" s="268"/>
      <c r="O15" s="269"/>
      <c r="P15" s="268"/>
      <c r="Q15" s="268"/>
      <c r="R15" s="269"/>
      <c r="S15" s="54"/>
      <c r="T15" s="386"/>
      <c r="U15" s="386"/>
      <c r="V15" s="386"/>
      <c r="W15" s="268"/>
      <c r="X15" s="268">
        <v>0</v>
      </c>
      <c r="Y15" s="55" t="s">
        <v>181</v>
      </c>
    </row>
    <row r="16" spans="1:26" ht="21" hidden="1" customHeight="1" thickBot="1">
      <c r="A16" s="33" t="s">
        <v>235</v>
      </c>
      <c r="B16" s="34" t="s">
        <v>235</v>
      </c>
      <c r="C16" s="34" t="s">
        <v>235</v>
      </c>
      <c r="D16" s="34" t="s">
        <v>235</v>
      </c>
      <c r="E16" s="203">
        <v>0</v>
      </c>
      <c r="F16" s="203">
        <f>ROUND(X16/1000,0)</f>
        <v>0</v>
      </c>
      <c r="G16" s="204">
        <f>F16-E16</f>
        <v>0</v>
      </c>
      <c r="H16" s="205">
        <f>IF(E16=0,0,G16/E16)</f>
        <v>0</v>
      </c>
      <c r="I16" s="38" t="s">
        <v>234</v>
      </c>
      <c r="J16" s="137"/>
      <c r="K16" s="39"/>
      <c r="L16" s="39"/>
      <c r="M16" s="39"/>
      <c r="N16" s="39"/>
      <c r="O16" s="39"/>
      <c r="P16" s="40"/>
      <c r="Q16" s="40" t="s">
        <v>233</v>
      </c>
      <c r="R16" s="40"/>
      <c r="S16" s="40"/>
      <c r="T16" s="40"/>
      <c r="U16" s="40"/>
      <c r="V16" s="40"/>
      <c r="W16" s="41"/>
      <c r="X16" s="41">
        <f>X17</f>
        <v>0</v>
      </c>
      <c r="Y16" s="42" t="s">
        <v>25</v>
      </c>
    </row>
    <row r="17" spans="1:26" ht="21" hidden="1" customHeight="1">
      <c r="A17" s="56" t="s">
        <v>230</v>
      </c>
      <c r="B17" s="57" t="s">
        <v>230</v>
      </c>
      <c r="C17" s="57" t="s">
        <v>230</v>
      </c>
      <c r="D17" s="392" t="s">
        <v>230</v>
      </c>
      <c r="E17" s="212"/>
      <c r="F17" s="213">
        <v>0</v>
      </c>
      <c r="G17" s="214"/>
      <c r="H17" s="215"/>
      <c r="I17" s="216"/>
      <c r="J17" s="217"/>
      <c r="K17" s="218"/>
      <c r="L17" s="218"/>
      <c r="M17" s="218"/>
      <c r="N17" s="218"/>
      <c r="O17" s="218"/>
      <c r="P17" s="219"/>
      <c r="Q17" s="219"/>
      <c r="R17" s="219"/>
      <c r="S17" s="219"/>
      <c r="T17" s="219"/>
      <c r="U17" s="219"/>
      <c r="V17" s="219"/>
      <c r="W17" s="220"/>
      <c r="X17" s="220">
        <v>0</v>
      </c>
      <c r="Y17" s="245" t="s">
        <v>181</v>
      </c>
    </row>
    <row r="18" spans="1:26" s="11" customFormat="1" ht="19.5" customHeight="1">
      <c r="A18" s="33" t="s">
        <v>223</v>
      </c>
      <c r="B18" s="34" t="s">
        <v>223</v>
      </c>
      <c r="C18" s="543" t="s">
        <v>188</v>
      </c>
      <c r="D18" s="544"/>
      <c r="E18" s="228">
        <f>SUM(E19,E22,E25,E28)</f>
        <v>0</v>
      </c>
      <c r="F18" s="228">
        <f>SUM(F19,F22,F25,F28)</f>
        <v>41080</v>
      </c>
      <c r="G18" s="229">
        <f>F18-E18</f>
        <v>41080</v>
      </c>
      <c r="H18" s="230">
        <f>IF(E18=0,0,G18/E18)</f>
        <v>0</v>
      </c>
      <c r="I18" s="231" t="s">
        <v>232</v>
      </c>
      <c r="J18" s="232"/>
      <c r="K18" s="233"/>
      <c r="L18" s="233"/>
      <c r="M18" s="232"/>
      <c r="N18" s="232"/>
      <c r="O18" s="232"/>
      <c r="P18" s="232"/>
      <c r="Q18" s="232"/>
      <c r="R18" s="234"/>
      <c r="S18" s="234"/>
      <c r="T18" s="234"/>
      <c r="U18" s="234"/>
      <c r="V18" s="234"/>
      <c r="W18" s="234"/>
      <c r="X18" s="235">
        <f>SUM(X19,X22,X25,X28)</f>
        <v>41080000</v>
      </c>
      <c r="Y18" s="246" t="s">
        <v>25</v>
      </c>
      <c r="Z18" s="6"/>
    </row>
    <row r="19" spans="1:26" s="11" customFormat="1" ht="19.5" customHeight="1">
      <c r="A19" s="43" t="s">
        <v>231</v>
      </c>
      <c r="B19" s="44" t="s">
        <v>230</v>
      </c>
      <c r="C19" s="34" t="s">
        <v>229</v>
      </c>
      <c r="D19" s="387" t="s">
        <v>184</v>
      </c>
      <c r="E19" s="206">
        <f>SUM(E20:E20)</f>
        <v>0</v>
      </c>
      <c r="F19" s="206">
        <f>SUM(F20:F20)</f>
        <v>0</v>
      </c>
      <c r="G19" s="207">
        <f>F19-E19</f>
        <v>0</v>
      </c>
      <c r="H19" s="208">
        <f>IF(E19=0,0,G19/E19)</f>
        <v>0</v>
      </c>
      <c r="I19" s="192" t="s">
        <v>228</v>
      </c>
      <c r="J19" s="193"/>
      <c r="K19" s="194"/>
      <c r="L19" s="194"/>
      <c r="M19" s="194"/>
      <c r="N19" s="194"/>
      <c r="O19" s="194"/>
      <c r="P19" s="195"/>
      <c r="Q19" s="195"/>
      <c r="R19" s="195"/>
      <c r="S19" s="195"/>
      <c r="T19" s="195"/>
      <c r="U19" s="195"/>
      <c r="V19" s="221" t="s">
        <v>182</v>
      </c>
      <c r="W19" s="222"/>
      <c r="X19" s="223">
        <f>X20</f>
        <v>0</v>
      </c>
      <c r="Y19" s="247" t="s">
        <v>181</v>
      </c>
      <c r="Z19" s="6"/>
    </row>
    <row r="20" spans="1:26" s="11" customFormat="1" ht="19.5" customHeight="1">
      <c r="A20" s="43"/>
      <c r="B20" s="44"/>
      <c r="C20" s="44" t="s">
        <v>223</v>
      </c>
      <c r="D20" s="44" t="s">
        <v>264</v>
      </c>
      <c r="E20" s="391">
        <v>0</v>
      </c>
      <c r="F20" s="391">
        <f>ROUND(X20/1000,0)</f>
        <v>0</v>
      </c>
      <c r="G20" s="250">
        <f>F20-E20</f>
        <v>0</v>
      </c>
      <c r="H20" s="251">
        <f>IF(E20=0,0,G20/E20)</f>
        <v>0</v>
      </c>
      <c r="I20" s="138"/>
      <c r="J20" s="269"/>
      <c r="K20" s="268"/>
      <c r="L20" s="268"/>
      <c r="M20" s="268"/>
      <c r="N20" s="386"/>
      <c r="O20" s="196"/>
      <c r="P20" s="268"/>
      <c r="Q20" s="52"/>
      <c r="R20" s="197"/>
      <c r="S20" s="198"/>
      <c r="T20" s="198"/>
      <c r="U20" s="386"/>
      <c r="V20" s="388" t="s">
        <v>222</v>
      </c>
      <c r="W20" s="139"/>
      <c r="X20" s="139">
        <f>X21</f>
        <v>0</v>
      </c>
      <c r="Y20" s="140" t="s">
        <v>181</v>
      </c>
      <c r="Z20" s="6"/>
    </row>
    <row r="21" spans="1:26" s="11" customFormat="1" ht="19.5" customHeight="1">
      <c r="A21" s="58"/>
      <c r="B21" s="44"/>
      <c r="C21" s="44"/>
      <c r="D21" s="57" t="s">
        <v>265</v>
      </c>
      <c r="E21" s="59"/>
      <c r="F21" s="59"/>
      <c r="G21" s="60"/>
      <c r="H21" s="82"/>
      <c r="I21" s="320"/>
      <c r="J21" s="322"/>
      <c r="K21" s="327"/>
      <c r="L21" s="327"/>
      <c r="M21" s="321"/>
      <c r="N21" s="321"/>
      <c r="O21" s="328"/>
      <c r="P21" s="321"/>
      <c r="Q21" s="329"/>
      <c r="R21" s="330"/>
      <c r="S21" s="331"/>
      <c r="T21" s="332"/>
      <c r="U21" s="332"/>
      <c r="V21" s="333"/>
      <c r="W21" s="334"/>
      <c r="X21" s="322"/>
      <c r="Y21" s="323"/>
      <c r="Z21" s="6"/>
    </row>
    <row r="22" spans="1:26" s="11" customFormat="1" ht="19.5" customHeight="1">
      <c r="A22" s="58"/>
      <c r="B22" s="44"/>
      <c r="C22" s="34" t="s">
        <v>227</v>
      </c>
      <c r="D22" s="387" t="s">
        <v>184</v>
      </c>
      <c r="E22" s="206">
        <f>SUM(E23:E24)</f>
        <v>0</v>
      </c>
      <c r="F22" s="206">
        <f>SUM(F23:F24)</f>
        <v>0</v>
      </c>
      <c r="G22" s="207">
        <f>F22-E22</f>
        <v>0</v>
      </c>
      <c r="H22" s="208">
        <f>IF(E22=0,0,G22/E22)</f>
        <v>0</v>
      </c>
      <c r="I22" s="192" t="s">
        <v>226</v>
      </c>
      <c r="J22" s="193"/>
      <c r="K22" s="194"/>
      <c r="L22" s="194"/>
      <c r="M22" s="194"/>
      <c r="N22" s="194"/>
      <c r="O22" s="194"/>
      <c r="P22" s="195"/>
      <c r="Q22" s="195"/>
      <c r="R22" s="195"/>
      <c r="S22" s="195"/>
      <c r="T22" s="195"/>
      <c r="U22" s="195"/>
      <c r="V22" s="221" t="s">
        <v>182</v>
      </c>
      <c r="W22" s="222"/>
      <c r="X22" s="222">
        <f>X23</f>
        <v>0</v>
      </c>
      <c r="Y22" s="247" t="s">
        <v>181</v>
      </c>
      <c r="Z22" s="6"/>
    </row>
    <row r="23" spans="1:26" s="11" customFormat="1" ht="19.5" customHeight="1">
      <c r="A23" s="58"/>
      <c r="B23" s="44"/>
      <c r="C23" s="44" t="s">
        <v>223</v>
      </c>
      <c r="D23" s="34" t="s">
        <v>266</v>
      </c>
      <c r="E23" s="35">
        <v>0</v>
      </c>
      <c r="F23" s="224">
        <f>ROUND(X23/1000,0)</f>
        <v>0</v>
      </c>
      <c r="G23" s="36">
        <f>F23-E23</f>
        <v>0</v>
      </c>
      <c r="H23" s="118">
        <f>IF(E23=0,0,G23/E23)</f>
        <v>0</v>
      </c>
      <c r="I23" s="138"/>
      <c r="J23" s="156"/>
      <c r="K23" s="86"/>
      <c r="L23" s="86"/>
      <c r="M23" s="86"/>
      <c r="N23" s="227"/>
      <c r="O23" s="225"/>
      <c r="P23" s="86"/>
      <c r="Q23" s="226"/>
      <c r="R23" s="390"/>
      <c r="S23" s="389"/>
      <c r="T23" s="389"/>
      <c r="U23" s="227"/>
      <c r="V23" s="388" t="s">
        <v>222</v>
      </c>
      <c r="W23" s="139"/>
      <c r="X23" s="139">
        <f>X24</f>
        <v>0</v>
      </c>
      <c r="Y23" s="140" t="s">
        <v>181</v>
      </c>
      <c r="Z23" s="6"/>
    </row>
    <row r="24" spans="1:26" s="11" customFormat="1" ht="19.5" customHeight="1">
      <c r="A24" s="58"/>
      <c r="B24" s="80"/>
      <c r="C24" s="81"/>
      <c r="D24" s="57" t="s">
        <v>265</v>
      </c>
      <c r="E24" s="59"/>
      <c r="F24" s="59"/>
      <c r="G24" s="60"/>
      <c r="H24" s="82"/>
      <c r="I24" s="324"/>
      <c r="J24" s="211"/>
      <c r="K24" s="83"/>
      <c r="L24" s="83"/>
      <c r="M24" s="211"/>
      <c r="N24" s="211"/>
      <c r="O24" s="324"/>
      <c r="P24" s="211"/>
      <c r="Q24" s="211"/>
      <c r="R24" s="324"/>
      <c r="S24" s="324"/>
      <c r="T24" s="324"/>
      <c r="U24" s="324"/>
      <c r="V24" s="324"/>
      <c r="W24" s="324"/>
      <c r="X24" s="211"/>
      <c r="Y24" s="71"/>
      <c r="Z24" s="6"/>
    </row>
    <row r="25" spans="1:26" s="11" customFormat="1" ht="19.5" customHeight="1">
      <c r="A25" s="43"/>
      <c r="B25" s="44"/>
      <c r="C25" s="44" t="s">
        <v>225</v>
      </c>
      <c r="D25" s="387" t="s">
        <v>184</v>
      </c>
      <c r="E25" s="206">
        <f>SUM(E26:E27)</f>
        <v>0</v>
      </c>
      <c r="F25" s="206">
        <f>SUM(F26:F27)</f>
        <v>0</v>
      </c>
      <c r="G25" s="207">
        <f>F25-E25</f>
        <v>0</v>
      </c>
      <c r="H25" s="208">
        <f>IF(E25=0,0,G25/E25)</f>
        <v>0</v>
      </c>
      <c r="I25" s="192" t="s">
        <v>224</v>
      </c>
      <c r="J25" s="193"/>
      <c r="K25" s="194"/>
      <c r="L25" s="194"/>
      <c r="M25" s="194"/>
      <c r="N25" s="194"/>
      <c r="O25" s="194"/>
      <c r="P25" s="195"/>
      <c r="Q25" s="195"/>
      <c r="R25" s="195"/>
      <c r="S25" s="195"/>
      <c r="T25" s="195"/>
      <c r="U25" s="195"/>
      <c r="V25" s="221" t="s">
        <v>182</v>
      </c>
      <c r="W25" s="222"/>
      <c r="X25" s="223">
        <f>X26</f>
        <v>0</v>
      </c>
      <c r="Y25" s="247" t="s">
        <v>181</v>
      </c>
      <c r="Z25" s="6"/>
    </row>
    <row r="26" spans="1:26" s="11" customFormat="1" ht="19.5" customHeight="1">
      <c r="A26" s="43"/>
      <c r="B26" s="44"/>
      <c r="C26" s="44" t="s">
        <v>223</v>
      </c>
      <c r="D26" s="34" t="s">
        <v>267</v>
      </c>
      <c r="E26" s="224">
        <v>0</v>
      </c>
      <c r="F26" s="224">
        <f>ROUND(X26/1000,0)</f>
        <v>0</v>
      </c>
      <c r="G26" s="252">
        <f>F26-E26</f>
        <v>0</v>
      </c>
      <c r="H26" s="175">
        <f>IF(E26=0,0,G26/E26)</f>
        <v>0</v>
      </c>
      <c r="I26" s="138"/>
      <c r="J26" s="156"/>
      <c r="K26" s="86"/>
      <c r="L26" s="86"/>
      <c r="M26" s="86"/>
      <c r="N26" s="227"/>
      <c r="O26" s="225"/>
      <c r="P26" s="86"/>
      <c r="Q26" s="226"/>
      <c r="R26" s="390"/>
      <c r="S26" s="389"/>
      <c r="T26" s="389"/>
      <c r="U26" s="227"/>
      <c r="V26" s="388" t="s">
        <v>222</v>
      </c>
      <c r="W26" s="139"/>
      <c r="X26" s="139">
        <f>X27</f>
        <v>0</v>
      </c>
      <c r="Y26" s="140" t="s">
        <v>181</v>
      </c>
      <c r="Z26" s="6"/>
    </row>
    <row r="27" spans="1:26" s="11" customFormat="1" ht="19.5" customHeight="1">
      <c r="A27" s="43"/>
      <c r="B27" s="44"/>
      <c r="C27" s="44"/>
      <c r="D27" s="44" t="s">
        <v>265</v>
      </c>
      <c r="E27" s="46"/>
      <c r="F27" s="46"/>
      <c r="G27" s="47"/>
      <c r="H27" s="68"/>
      <c r="I27" s="65"/>
      <c r="J27" s="269"/>
      <c r="K27" s="268"/>
      <c r="L27" s="268"/>
      <c r="M27" s="268"/>
      <c r="N27" s="52"/>
      <c r="O27" s="72"/>
      <c r="P27" s="76"/>
      <c r="Q27" s="72"/>
      <c r="R27" s="72"/>
      <c r="S27" s="75"/>
      <c r="T27" s="74"/>
      <c r="U27" s="386"/>
      <c r="V27" s="268"/>
      <c r="W27" s="66"/>
      <c r="X27" s="66"/>
      <c r="Y27" s="55"/>
      <c r="Z27" s="6"/>
    </row>
    <row r="28" spans="1:26" s="11" customFormat="1" ht="19.5" customHeight="1">
      <c r="A28" s="43"/>
      <c r="B28" s="44"/>
      <c r="C28" s="34" t="s">
        <v>221</v>
      </c>
      <c r="D28" s="387" t="s">
        <v>191</v>
      </c>
      <c r="E28" s="206">
        <f>E29</f>
        <v>0</v>
      </c>
      <c r="F28" s="206">
        <f>F29</f>
        <v>41080</v>
      </c>
      <c r="G28" s="207">
        <f>F28-E28</f>
        <v>41080</v>
      </c>
      <c r="H28" s="208">
        <f>IF(E28=0,0,G28/E28)</f>
        <v>0</v>
      </c>
      <c r="I28" s="192" t="s">
        <v>220</v>
      </c>
      <c r="J28" s="193"/>
      <c r="K28" s="194"/>
      <c r="L28" s="194"/>
      <c r="M28" s="194"/>
      <c r="N28" s="194"/>
      <c r="O28" s="194"/>
      <c r="P28" s="195"/>
      <c r="Q28" s="195"/>
      <c r="R28" s="195"/>
      <c r="S28" s="195"/>
      <c r="T28" s="195"/>
      <c r="U28" s="195"/>
      <c r="V28" s="221" t="s">
        <v>190</v>
      </c>
      <c r="W28" s="222"/>
      <c r="X28" s="222">
        <f>SUM(X29:X29)</f>
        <v>41080000</v>
      </c>
      <c r="Y28" s="247" t="s">
        <v>189</v>
      </c>
      <c r="Z28" s="6"/>
    </row>
    <row r="29" spans="1:26" s="11" customFormat="1" ht="19.5" customHeight="1">
      <c r="A29" s="43"/>
      <c r="B29" s="44"/>
      <c r="C29" s="44" t="s">
        <v>219</v>
      </c>
      <c r="D29" s="44" t="s">
        <v>218</v>
      </c>
      <c r="E29" s="46">
        <v>0</v>
      </c>
      <c r="F29" s="46">
        <f>ROUND(X29/1000,0)</f>
        <v>41080</v>
      </c>
      <c r="G29" s="252">
        <f>F29-E29</f>
        <v>41080</v>
      </c>
      <c r="H29" s="175">
        <f>IF(E29=0,0,G29/E29)</f>
        <v>0</v>
      </c>
      <c r="I29" s="138" t="s">
        <v>434</v>
      </c>
      <c r="J29" s="156"/>
      <c r="K29" s="86"/>
      <c r="L29" s="86"/>
      <c r="M29" s="86"/>
      <c r="N29" s="227"/>
      <c r="O29" s="225"/>
      <c r="P29" s="86"/>
      <c r="Q29" s="226"/>
      <c r="R29" s="390"/>
      <c r="S29" s="389"/>
      <c r="T29" s="389"/>
      <c r="U29" s="227"/>
      <c r="V29" s="388" t="s">
        <v>222</v>
      </c>
      <c r="W29" s="139"/>
      <c r="X29" s="139">
        <f>SUM(X30:X31)</f>
        <v>41080000</v>
      </c>
      <c r="Y29" s="140" t="s">
        <v>131</v>
      </c>
      <c r="Z29" s="6"/>
    </row>
    <row r="30" spans="1:26" s="11" customFormat="1" ht="19.5" customHeight="1">
      <c r="A30" s="43"/>
      <c r="B30" s="44"/>
      <c r="C30" s="44"/>
      <c r="D30" s="44"/>
      <c r="E30" s="46"/>
      <c r="F30" s="46"/>
      <c r="G30" s="250"/>
      <c r="H30" s="251"/>
      <c r="I30" s="261" t="s">
        <v>435</v>
      </c>
      <c r="J30" s="409"/>
      <c r="K30" s="408"/>
      <c r="L30" s="408"/>
      <c r="M30" s="408"/>
      <c r="N30" s="400"/>
      <c r="O30" s="355"/>
      <c r="P30" s="356"/>
      <c r="Q30" s="355"/>
      <c r="R30" s="357"/>
      <c r="S30" s="74"/>
      <c r="T30" s="74"/>
      <c r="U30" s="400"/>
      <c r="V30" s="408"/>
      <c r="W30" s="131"/>
      <c r="X30" s="131">
        <v>40000000</v>
      </c>
      <c r="Y30" s="132" t="s">
        <v>437</v>
      </c>
      <c r="Z30" s="6"/>
    </row>
    <row r="31" spans="1:26" s="11" customFormat="1" ht="19.5" customHeight="1">
      <c r="A31" s="43"/>
      <c r="B31" s="44"/>
      <c r="C31" s="44"/>
      <c r="D31" s="44"/>
      <c r="E31" s="46"/>
      <c r="F31" s="46"/>
      <c r="G31" s="250"/>
      <c r="H31" s="251"/>
      <c r="I31" s="261" t="s">
        <v>436</v>
      </c>
      <c r="J31" s="409"/>
      <c r="K31" s="408"/>
      <c r="L31" s="408"/>
      <c r="M31" s="268">
        <v>90000</v>
      </c>
      <c r="N31" s="402" t="s">
        <v>131</v>
      </c>
      <c r="O31" s="72" t="s">
        <v>147</v>
      </c>
      <c r="P31" s="67">
        <v>12</v>
      </c>
      <c r="Q31" s="72" t="s">
        <v>0</v>
      </c>
      <c r="R31" s="77"/>
      <c r="S31" s="74"/>
      <c r="T31" s="74"/>
      <c r="U31" s="402" t="s">
        <v>52</v>
      </c>
      <c r="V31" s="268"/>
      <c r="W31" s="66"/>
      <c r="X31" s="131">
        <f>M31*P31</f>
        <v>1080000</v>
      </c>
      <c r="Y31" s="55" t="s">
        <v>131</v>
      </c>
      <c r="Z31" s="6"/>
    </row>
    <row r="32" spans="1:26" s="11" customFormat="1" ht="19.5" customHeight="1">
      <c r="A32" s="248"/>
      <c r="B32" s="81"/>
      <c r="C32" s="81"/>
      <c r="D32" s="57"/>
      <c r="E32" s="59"/>
      <c r="F32" s="59"/>
      <c r="G32" s="60"/>
      <c r="H32" s="82"/>
      <c r="I32" s="69"/>
      <c r="J32" s="211"/>
      <c r="K32" s="83"/>
      <c r="L32" s="83"/>
      <c r="M32" s="84"/>
      <c r="N32" s="211"/>
      <c r="O32" s="83"/>
      <c r="P32" s="211"/>
      <c r="Q32" s="211"/>
      <c r="R32" s="211"/>
      <c r="S32" s="211"/>
      <c r="T32" s="211"/>
      <c r="U32" s="211"/>
      <c r="V32" s="211"/>
      <c r="W32" s="211"/>
      <c r="X32" s="211"/>
      <c r="Y32" s="71"/>
      <c r="Z32" s="6"/>
    </row>
    <row r="33" spans="1:27" s="11" customFormat="1" ht="19.5" customHeight="1">
      <c r="A33" s="33" t="s">
        <v>207</v>
      </c>
      <c r="B33" s="34" t="s">
        <v>30</v>
      </c>
      <c r="C33" s="543" t="s">
        <v>217</v>
      </c>
      <c r="D33" s="544"/>
      <c r="E33" s="228">
        <f>SUM(E34,E44)</f>
        <v>19120</v>
      </c>
      <c r="F33" s="228">
        <f>SUM(F34,F44)</f>
        <v>208446</v>
      </c>
      <c r="G33" s="229">
        <f>F33-E33</f>
        <v>189326</v>
      </c>
      <c r="H33" s="230">
        <f>IF(E33=0,0,G33/E33)</f>
        <v>9.9019874476987439</v>
      </c>
      <c r="I33" s="231" t="s">
        <v>216</v>
      </c>
      <c r="J33" s="232"/>
      <c r="K33" s="233"/>
      <c r="L33" s="233"/>
      <c r="M33" s="232"/>
      <c r="N33" s="232"/>
      <c r="O33" s="232"/>
      <c r="P33" s="232"/>
      <c r="Q33" s="232" t="s">
        <v>215</v>
      </c>
      <c r="R33" s="234"/>
      <c r="S33" s="234"/>
      <c r="T33" s="234"/>
      <c r="U33" s="234"/>
      <c r="V33" s="234"/>
      <c r="W33" s="234"/>
      <c r="X33" s="235">
        <f>X34+X44</f>
        <v>208446000</v>
      </c>
      <c r="Y33" s="246" t="s">
        <v>25</v>
      </c>
      <c r="Z33" s="6"/>
    </row>
    <row r="34" spans="1:27" s="11" customFormat="1" ht="19.5" customHeight="1">
      <c r="A34" s="43" t="s">
        <v>214</v>
      </c>
      <c r="B34" s="44" t="s">
        <v>214</v>
      </c>
      <c r="C34" s="34" t="s">
        <v>213</v>
      </c>
      <c r="D34" s="387" t="s">
        <v>191</v>
      </c>
      <c r="E34" s="206">
        <f>E35</f>
        <v>120</v>
      </c>
      <c r="F34" s="206">
        <f>F35</f>
        <v>189246</v>
      </c>
      <c r="G34" s="207">
        <f>F34-E34</f>
        <v>189126</v>
      </c>
      <c r="H34" s="208">
        <f>IF(E34=0,0,G34/E34)</f>
        <v>1576.05</v>
      </c>
      <c r="I34" s="192" t="s">
        <v>212</v>
      </c>
      <c r="J34" s="193"/>
      <c r="K34" s="194"/>
      <c r="L34" s="194"/>
      <c r="M34" s="194"/>
      <c r="N34" s="194"/>
      <c r="O34" s="194"/>
      <c r="P34" s="195"/>
      <c r="Q34" s="195"/>
      <c r="R34" s="195"/>
      <c r="S34" s="195"/>
      <c r="T34" s="195"/>
      <c r="U34" s="195"/>
      <c r="V34" s="221" t="s">
        <v>190</v>
      </c>
      <c r="W34" s="222"/>
      <c r="X34" s="223">
        <f>SUM(X35)</f>
        <v>189246000</v>
      </c>
      <c r="Y34" s="247" t="s">
        <v>189</v>
      </c>
      <c r="Z34" s="268"/>
      <c r="AA34" s="6"/>
    </row>
    <row r="35" spans="1:27" s="11" customFormat="1" ht="19.5" customHeight="1">
      <c r="A35" s="43"/>
      <c r="B35" s="44"/>
      <c r="C35" s="44" t="s">
        <v>207</v>
      </c>
      <c r="D35" s="34" t="s">
        <v>211</v>
      </c>
      <c r="E35" s="35">
        <v>120</v>
      </c>
      <c r="F35" s="46">
        <f>ROUND(X35/1000,0)</f>
        <v>189246</v>
      </c>
      <c r="G35" s="252">
        <f>F35-E35</f>
        <v>189126</v>
      </c>
      <c r="H35" s="175">
        <f>IF(E35=0,0,G35/E35)</f>
        <v>1576.05</v>
      </c>
      <c r="I35" s="138" t="s">
        <v>210</v>
      </c>
      <c r="J35" s="15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545" t="s">
        <v>190</v>
      </c>
      <c r="W35" s="545"/>
      <c r="X35" s="139">
        <f>SUM(X36:X42)</f>
        <v>189246000</v>
      </c>
      <c r="Y35" s="140" t="s">
        <v>189</v>
      </c>
      <c r="Z35" s="6"/>
    </row>
    <row r="36" spans="1:27" s="11" customFormat="1" ht="19.5" customHeight="1">
      <c r="A36" s="43"/>
      <c r="B36" s="44"/>
      <c r="C36" s="44"/>
      <c r="D36" s="44"/>
      <c r="E36" s="46"/>
      <c r="F36" s="46"/>
      <c r="G36" s="47"/>
      <c r="H36" s="29"/>
      <c r="I36" s="434" t="s">
        <v>447</v>
      </c>
      <c r="J36" s="269"/>
      <c r="K36" s="268"/>
      <c r="L36" s="268"/>
      <c r="M36" s="268"/>
      <c r="N36" s="386"/>
      <c r="O36" s="72"/>
      <c r="P36" s="67"/>
      <c r="Q36" s="72"/>
      <c r="R36" s="77"/>
      <c r="S36" s="198" t="s">
        <v>446</v>
      </c>
      <c r="T36" s="198"/>
      <c r="U36" s="386"/>
      <c r="V36" s="268"/>
      <c r="W36" s="66"/>
      <c r="X36" s="131">
        <v>122982000</v>
      </c>
      <c r="Y36" s="55" t="s">
        <v>189</v>
      </c>
      <c r="Z36" s="6"/>
      <c r="AA36" s="11" t="s">
        <v>424</v>
      </c>
    </row>
    <row r="37" spans="1:27" s="11" customFormat="1" ht="19.5" customHeight="1">
      <c r="A37" s="43"/>
      <c r="B37" s="44"/>
      <c r="C37" s="44"/>
      <c r="D37" s="44"/>
      <c r="E37" s="46"/>
      <c r="F37" s="46"/>
      <c r="G37" s="47"/>
      <c r="H37" s="29"/>
      <c r="I37" s="434"/>
      <c r="J37" s="269"/>
      <c r="K37" s="268"/>
      <c r="L37" s="268"/>
      <c r="M37" s="268"/>
      <c r="N37" s="402"/>
      <c r="O37" s="72"/>
      <c r="P37" s="67"/>
      <c r="Q37" s="72"/>
      <c r="R37" s="77"/>
      <c r="S37" s="198" t="s">
        <v>453</v>
      </c>
      <c r="T37" s="74"/>
      <c r="U37" s="402"/>
      <c r="V37" s="268"/>
      <c r="W37" s="66"/>
      <c r="X37" s="131">
        <v>63318000</v>
      </c>
      <c r="Y37" s="55" t="s">
        <v>437</v>
      </c>
      <c r="Z37" s="6"/>
    </row>
    <row r="38" spans="1:27" s="11" customFormat="1" ht="19.5" customHeight="1">
      <c r="A38" s="43"/>
      <c r="B38" s="44"/>
      <c r="C38" s="44"/>
      <c r="D38" s="44"/>
      <c r="E38" s="46"/>
      <c r="F38" s="46"/>
      <c r="G38" s="47"/>
      <c r="H38" s="29"/>
      <c r="I38" s="434"/>
      <c r="J38" s="269"/>
      <c r="K38" s="268"/>
      <c r="L38" s="268"/>
      <c r="M38" s="268"/>
      <c r="N38" s="402"/>
      <c r="O38" s="72"/>
      <c r="P38" s="67"/>
      <c r="Q38" s="72"/>
      <c r="R38" s="77"/>
      <c r="S38" s="198" t="s">
        <v>448</v>
      </c>
      <c r="T38" s="74"/>
      <c r="U38" s="402"/>
      <c r="V38" s="268"/>
      <c r="W38" s="66"/>
      <c r="X38" s="131">
        <v>500000</v>
      </c>
      <c r="Y38" s="55" t="s">
        <v>437</v>
      </c>
      <c r="Z38" s="6"/>
    </row>
    <row r="39" spans="1:27" s="11" customFormat="1" ht="19.5" customHeight="1">
      <c r="A39" s="43"/>
      <c r="B39" s="44"/>
      <c r="C39" s="44"/>
      <c r="D39" s="44"/>
      <c r="E39" s="46"/>
      <c r="F39" s="46"/>
      <c r="G39" s="47"/>
      <c r="H39" s="29"/>
      <c r="I39" s="434"/>
      <c r="J39" s="269"/>
      <c r="K39" s="268"/>
      <c r="L39" s="268"/>
      <c r="M39" s="268"/>
      <c r="N39" s="402"/>
      <c r="O39" s="72"/>
      <c r="P39" s="67"/>
      <c r="Q39" s="72"/>
      <c r="R39" s="77"/>
      <c r="S39" s="198" t="s">
        <v>462</v>
      </c>
      <c r="T39" s="74"/>
      <c r="U39" s="402"/>
      <c r="V39" s="268"/>
      <c r="W39" s="66"/>
      <c r="X39" s="131">
        <v>100000</v>
      </c>
      <c r="Y39" s="55" t="s">
        <v>437</v>
      </c>
      <c r="Z39" s="6"/>
    </row>
    <row r="40" spans="1:27" s="11" customFormat="1" ht="19.5" customHeight="1">
      <c r="A40" s="43"/>
      <c r="B40" s="44"/>
      <c r="C40" s="44"/>
      <c r="D40" s="44"/>
      <c r="E40" s="46"/>
      <c r="F40" s="46"/>
      <c r="G40" s="47"/>
      <c r="H40" s="29"/>
      <c r="I40" s="434"/>
      <c r="J40" s="269"/>
      <c r="K40" s="268"/>
      <c r="L40" s="268"/>
      <c r="M40" s="268"/>
      <c r="N40" s="402"/>
      <c r="O40" s="72"/>
      <c r="P40" s="67"/>
      <c r="Q40" s="72"/>
      <c r="R40" s="77"/>
      <c r="S40" s="198" t="s">
        <v>463</v>
      </c>
      <c r="T40" s="74"/>
      <c r="U40" s="402"/>
      <c r="V40" s="268"/>
      <c r="W40" s="66"/>
      <c r="X40" s="131">
        <v>2226000</v>
      </c>
      <c r="Y40" s="55" t="s">
        <v>437</v>
      </c>
      <c r="Z40" s="6"/>
    </row>
    <row r="41" spans="1:27" s="11" customFormat="1" ht="19.5" customHeight="1">
      <c r="A41" s="43"/>
      <c r="B41" s="44"/>
      <c r="C41" s="44"/>
      <c r="D41" s="44"/>
      <c r="E41" s="46"/>
      <c r="F41" s="46"/>
      <c r="G41" s="47"/>
      <c r="H41" s="29"/>
      <c r="I41" s="434"/>
      <c r="J41" s="269"/>
      <c r="K41" s="268"/>
      <c r="L41" s="268"/>
      <c r="M41" s="268"/>
      <c r="N41" s="402"/>
      <c r="O41" s="72"/>
      <c r="P41" s="67"/>
      <c r="Q41" s="72"/>
      <c r="R41" s="77"/>
      <c r="S41" s="198"/>
      <c r="T41" s="74"/>
      <c r="U41" s="402"/>
      <c r="V41" s="268"/>
      <c r="W41" s="66"/>
      <c r="X41" s="131"/>
      <c r="Y41" s="55"/>
      <c r="Z41" s="6"/>
    </row>
    <row r="42" spans="1:27" s="11" customFormat="1" ht="19.5" customHeight="1">
      <c r="A42" s="43"/>
      <c r="B42" s="44"/>
      <c r="C42" s="44"/>
      <c r="D42" s="44"/>
      <c r="E42" s="46"/>
      <c r="F42" s="46"/>
      <c r="G42" s="47"/>
      <c r="H42" s="29"/>
      <c r="I42" s="434" t="s">
        <v>335</v>
      </c>
      <c r="J42" s="269"/>
      <c r="K42" s="268"/>
      <c r="L42" s="268"/>
      <c r="M42" s="268">
        <v>10000</v>
      </c>
      <c r="N42" s="402" t="s">
        <v>131</v>
      </c>
      <c r="O42" s="72" t="s">
        <v>147</v>
      </c>
      <c r="P42" s="67">
        <v>12</v>
      </c>
      <c r="Q42" s="72" t="s">
        <v>0</v>
      </c>
      <c r="R42" s="77"/>
      <c r="S42" s="74"/>
      <c r="T42" s="74"/>
      <c r="U42" s="402" t="s">
        <v>52</v>
      </c>
      <c r="V42" s="268"/>
      <c r="W42" s="66"/>
      <c r="X42" s="131">
        <f>M42*P42</f>
        <v>120000</v>
      </c>
      <c r="Y42" s="55" t="s">
        <v>131</v>
      </c>
      <c r="Z42" s="6"/>
    </row>
    <row r="43" spans="1:27" s="11" customFormat="1" ht="19.5" customHeight="1">
      <c r="A43" s="43"/>
      <c r="B43" s="44"/>
      <c r="C43" s="57"/>
      <c r="D43" s="57"/>
      <c r="E43" s="59"/>
      <c r="F43" s="59"/>
      <c r="G43" s="60"/>
      <c r="H43" s="191"/>
      <c r="I43" s="261"/>
      <c r="J43" s="397"/>
      <c r="K43" s="396"/>
      <c r="L43" s="396"/>
      <c r="M43" s="396"/>
      <c r="N43" s="265"/>
      <c r="O43" s="355"/>
      <c r="P43" s="356"/>
      <c r="Q43" s="355"/>
      <c r="R43" s="357"/>
      <c r="S43" s="74"/>
      <c r="T43" s="74"/>
      <c r="U43" s="265"/>
      <c r="V43" s="396"/>
      <c r="W43" s="131"/>
      <c r="X43" s="131"/>
      <c r="Y43" s="132"/>
      <c r="Z43" s="6"/>
    </row>
    <row r="44" spans="1:27" s="11" customFormat="1" ht="19.5" customHeight="1">
      <c r="A44" s="43"/>
      <c r="B44" s="44"/>
      <c r="C44" s="44" t="s">
        <v>209</v>
      </c>
      <c r="D44" s="387" t="s">
        <v>191</v>
      </c>
      <c r="E44" s="206">
        <f>E45</f>
        <v>19000</v>
      </c>
      <c r="F44" s="206">
        <f>F45</f>
        <v>19200</v>
      </c>
      <c r="G44" s="207">
        <f>F44-E44</f>
        <v>200</v>
      </c>
      <c r="H44" s="208">
        <f>IF(E44=0,0,G44/E44)</f>
        <v>1.0526315789473684E-2</v>
      </c>
      <c r="I44" s="192" t="s">
        <v>208</v>
      </c>
      <c r="J44" s="193"/>
      <c r="K44" s="194"/>
      <c r="L44" s="194"/>
      <c r="M44" s="194"/>
      <c r="N44" s="194"/>
      <c r="O44" s="194"/>
      <c r="P44" s="195"/>
      <c r="Q44" s="195"/>
      <c r="R44" s="195"/>
      <c r="S44" s="195"/>
      <c r="T44" s="195"/>
      <c r="U44" s="195"/>
      <c r="V44" s="221" t="s">
        <v>190</v>
      </c>
      <c r="W44" s="222"/>
      <c r="X44" s="222">
        <f>X45</f>
        <v>19200000</v>
      </c>
      <c r="Y44" s="247" t="s">
        <v>189</v>
      </c>
      <c r="Z44" s="6"/>
    </row>
    <row r="45" spans="1:27" s="11" customFormat="1" ht="19.5" customHeight="1">
      <c r="A45" s="43"/>
      <c r="B45" s="44"/>
      <c r="C45" s="44" t="s">
        <v>207</v>
      </c>
      <c r="D45" s="44" t="s">
        <v>206</v>
      </c>
      <c r="E45" s="46">
        <v>19000</v>
      </c>
      <c r="F45" s="46">
        <f>ROUND(X45/1000,0)</f>
        <v>19200</v>
      </c>
      <c r="G45" s="252">
        <f>F45-E45</f>
        <v>200</v>
      </c>
      <c r="H45" s="175">
        <f>IF(E45=0,0,G45/E45)</f>
        <v>1.0526315789473684E-2</v>
      </c>
      <c r="I45" s="138" t="s">
        <v>205</v>
      </c>
      <c r="J45" s="15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545" t="s">
        <v>182</v>
      </c>
      <c r="W45" s="545"/>
      <c r="X45" s="139">
        <f>ROUNDUP(SUM(X46:X48),-3)</f>
        <v>19200000</v>
      </c>
      <c r="Y45" s="140" t="s">
        <v>181</v>
      </c>
      <c r="Z45" s="6"/>
    </row>
    <row r="46" spans="1:27" s="11" customFormat="1" ht="19.5" customHeight="1">
      <c r="A46" s="43"/>
      <c r="B46" s="44"/>
      <c r="C46" s="44"/>
      <c r="D46" s="44"/>
      <c r="E46" s="46"/>
      <c r="F46" s="46"/>
      <c r="G46" s="250"/>
      <c r="H46" s="251"/>
      <c r="I46" s="65" t="s">
        <v>204</v>
      </c>
      <c r="J46" s="269"/>
      <c r="K46" s="268"/>
      <c r="L46" s="268"/>
      <c r="M46" s="268">
        <v>1100000</v>
      </c>
      <c r="N46" s="402" t="s">
        <v>59</v>
      </c>
      <c r="O46" s="72" t="s">
        <v>56</v>
      </c>
      <c r="P46" s="67">
        <v>12</v>
      </c>
      <c r="Q46" s="72" t="s">
        <v>0</v>
      </c>
      <c r="R46" s="77"/>
      <c r="S46" s="74"/>
      <c r="T46" s="74"/>
      <c r="U46" s="402" t="s">
        <v>52</v>
      </c>
      <c r="V46" s="268"/>
      <c r="W46" s="66"/>
      <c r="X46" s="131">
        <f>M46*P46</f>
        <v>13200000</v>
      </c>
      <c r="Y46" s="55" t="s">
        <v>59</v>
      </c>
      <c r="Z46" s="6"/>
    </row>
    <row r="47" spans="1:27" s="11" customFormat="1" ht="19.5" customHeight="1">
      <c r="A47" s="43"/>
      <c r="B47" s="44"/>
      <c r="C47" s="44"/>
      <c r="D47" s="44"/>
      <c r="E47" s="46"/>
      <c r="F47" s="46"/>
      <c r="G47" s="250"/>
      <c r="H47" s="251"/>
      <c r="I47" s="65" t="s">
        <v>368</v>
      </c>
      <c r="J47" s="269"/>
      <c r="K47" s="268"/>
      <c r="L47" s="268"/>
      <c r="M47" s="268">
        <v>500000</v>
      </c>
      <c r="N47" s="402" t="s">
        <v>55</v>
      </c>
      <c r="O47" s="72" t="s">
        <v>56</v>
      </c>
      <c r="P47" s="67">
        <v>12</v>
      </c>
      <c r="Q47" s="72" t="s">
        <v>0</v>
      </c>
      <c r="R47" s="77"/>
      <c r="S47" s="74"/>
      <c r="T47" s="74"/>
      <c r="U47" s="402" t="s">
        <v>52</v>
      </c>
      <c r="V47" s="268"/>
      <c r="W47" s="66"/>
      <c r="X47" s="131">
        <f>M47*P47</f>
        <v>6000000</v>
      </c>
      <c r="Y47" s="55" t="s">
        <v>55</v>
      </c>
      <c r="Z47" s="6"/>
    </row>
    <row r="48" spans="1:27" s="11" customFormat="1" ht="19.5" customHeight="1">
      <c r="A48" s="43"/>
      <c r="B48" s="44"/>
      <c r="C48" s="44"/>
      <c r="D48" s="44"/>
      <c r="E48" s="46"/>
      <c r="F48" s="46"/>
      <c r="G48" s="250"/>
      <c r="H48" s="251"/>
      <c r="I48" s="65" t="s">
        <v>384</v>
      </c>
      <c r="J48" s="269"/>
      <c r="K48" s="268"/>
      <c r="L48" s="268"/>
      <c r="M48" s="268"/>
      <c r="N48" s="402"/>
      <c r="O48" s="72"/>
      <c r="P48" s="67"/>
      <c r="Q48" s="72"/>
      <c r="R48" s="77"/>
      <c r="S48" s="74"/>
      <c r="T48" s="74"/>
      <c r="U48" s="402"/>
      <c r="V48" s="268"/>
      <c r="W48" s="66"/>
      <c r="X48" s="488">
        <v>0</v>
      </c>
      <c r="Y48" s="55" t="s">
        <v>385</v>
      </c>
      <c r="Z48" s="6"/>
    </row>
    <row r="49" spans="1:26" s="11" customFormat="1" ht="19.5" customHeight="1">
      <c r="A49" s="56"/>
      <c r="B49" s="57"/>
      <c r="C49" s="57"/>
      <c r="D49" s="57"/>
      <c r="E49" s="59"/>
      <c r="F49" s="59"/>
      <c r="G49" s="60"/>
      <c r="H49" s="191"/>
      <c r="I49" s="69"/>
      <c r="J49" s="324"/>
      <c r="K49" s="211"/>
      <c r="L49" s="211"/>
      <c r="M49" s="211"/>
      <c r="N49" s="189"/>
      <c r="O49" s="199"/>
      <c r="P49" s="200"/>
      <c r="Q49" s="199"/>
      <c r="R49" s="201"/>
      <c r="S49" s="202"/>
      <c r="T49" s="202"/>
      <c r="U49" s="189"/>
      <c r="V49" s="211"/>
      <c r="W49" s="70"/>
      <c r="X49" s="70"/>
      <c r="Y49" s="71"/>
      <c r="Z49" s="6"/>
    </row>
    <row r="50" spans="1:26" s="11" customFormat="1" ht="19.5" hidden="1" customHeight="1">
      <c r="A50" s="33" t="s">
        <v>195</v>
      </c>
      <c r="B50" s="34" t="s">
        <v>195</v>
      </c>
      <c r="C50" s="543" t="s">
        <v>188</v>
      </c>
      <c r="D50" s="544"/>
      <c r="E50" s="228">
        <f>E51+E54</f>
        <v>0</v>
      </c>
      <c r="F50" s="228">
        <f>F51+F54</f>
        <v>0</v>
      </c>
      <c r="G50" s="229">
        <f>F50-E50</f>
        <v>0</v>
      </c>
      <c r="H50" s="230">
        <f>IF(E50=0,0,G50/E50)</f>
        <v>0</v>
      </c>
      <c r="I50" s="231" t="s">
        <v>203</v>
      </c>
      <c r="J50" s="232"/>
      <c r="K50" s="233"/>
      <c r="L50" s="233"/>
      <c r="M50" s="232"/>
      <c r="N50" s="232"/>
      <c r="O50" s="232"/>
      <c r="P50" s="232"/>
      <c r="Q50" s="232" t="s">
        <v>186</v>
      </c>
      <c r="R50" s="234"/>
      <c r="S50" s="234"/>
      <c r="T50" s="234"/>
      <c r="U50" s="234"/>
      <c r="V50" s="234"/>
      <c r="W50" s="234"/>
      <c r="X50" s="235">
        <f>X51+X54</f>
        <v>0</v>
      </c>
      <c r="Y50" s="246" t="s">
        <v>25</v>
      </c>
      <c r="Z50" s="6"/>
    </row>
    <row r="51" spans="1:26" s="11" customFormat="1" ht="19.5" hidden="1" customHeight="1">
      <c r="A51" s="43"/>
      <c r="B51" s="44"/>
      <c r="C51" s="34" t="s">
        <v>202</v>
      </c>
      <c r="D51" s="387" t="s">
        <v>184</v>
      </c>
      <c r="E51" s="206">
        <f>E52</f>
        <v>0</v>
      </c>
      <c r="F51" s="206">
        <f>F52</f>
        <v>0</v>
      </c>
      <c r="G51" s="207">
        <f>F51-E51</f>
        <v>0</v>
      </c>
      <c r="H51" s="208">
        <f>IF(E51=0,0,G51/E51)</f>
        <v>0</v>
      </c>
      <c r="I51" s="192" t="s">
        <v>199</v>
      </c>
      <c r="J51" s="193"/>
      <c r="K51" s="194"/>
      <c r="L51" s="194"/>
      <c r="M51" s="194"/>
      <c r="N51" s="194"/>
      <c r="O51" s="194"/>
      <c r="P51" s="195"/>
      <c r="Q51" s="195"/>
      <c r="R51" s="195"/>
      <c r="S51" s="195"/>
      <c r="T51" s="195"/>
      <c r="U51" s="195"/>
      <c r="V51" s="221" t="s">
        <v>182</v>
      </c>
      <c r="W51" s="222"/>
      <c r="X51" s="223">
        <f>X52</f>
        <v>0</v>
      </c>
      <c r="Y51" s="247" t="s">
        <v>181</v>
      </c>
      <c r="Z51" s="6"/>
    </row>
    <row r="52" spans="1:26" s="11" customFormat="1" ht="19.5" hidden="1" customHeight="1">
      <c r="A52" s="43"/>
      <c r="B52" s="44"/>
      <c r="C52" s="44" t="s">
        <v>201</v>
      </c>
      <c r="D52" s="34" t="s">
        <v>200</v>
      </c>
      <c r="E52" s="35">
        <v>0</v>
      </c>
      <c r="F52" s="46">
        <f>ROUND(X52/1000,0)</f>
        <v>0</v>
      </c>
      <c r="G52" s="36">
        <f>F52-E52</f>
        <v>0</v>
      </c>
      <c r="H52" s="37">
        <f>IF(E52=0,0,G52/E52)</f>
        <v>0</v>
      </c>
      <c r="I52" s="138" t="s">
        <v>199</v>
      </c>
      <c r="J52" s="15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545" t="s">
        <v>182</v>
      </c>
      <c r="W52" s="545"/>
      <c r="X52" s="139">
        <f>X53</f>
        <v>0</v>
      </c>
      <c r="Y52" s="140" t="s">
        <v>181</v>
      </c>
      <c r="Z52" s="6"/>
    </row>
    <row r="53" spans="1:26" s="11" customFormat="1" ht="19.5" hidden="1" customHeight="1">
      <c r="A53" s="43"/>
      <c r="B53" s="44"/>
      <c r="C53" s="44" t="s">
        <v>195</v>
      </c>
      <c r="D53" s="44" t="s">
        <v>195</v>
      </c>
      <c r="E53" s="46"/>
      <c r="F53" s="46"/>
      <c r="G53" s="47"/>
      <c r="H53" s="29"/>
      <c r="I53" s="65" t="s">
        <v>198</v>
      </c>
      <c r="J53" s="269"/>
      <c r="K53" s="268"/>
      <c r="L53" s="268"/>
      <c r="M53" s="268"/>
      <c r="N53" s="386"/>
      <c r="O53" s="72"/>
      <c r="P53" s="67"/>
      <c r="Q53" s="72"/>
      <c r="R53" s="77"/>
      <c r="S53" s="74"/>
      <c r="T53" s="74"/>
      <c r="U53" s="386"/>
      <c r="V53" s="268"/>
      <c r="W53" s="66"/>
      <c r="X53" s="66">
        <v>0</v>
      </c>
      <c r="Y53" s="55" t="s">
        <v>181</v>
      </c>
      <c r="Z53" s="6"/>
    </row>
    <row r="54" spans="1:26" s="11" customFormat="1" ht="19.5" hidden="1" customHeight="1">
      <c r="A54" s="43"/>
      <c r="B54" s="44"/>
      <c r="C54" s="34" t="s">
        <v>197</v>
      </c>
      <c r="D54" s="387" t="s">
        <v>184</v>
      </c>
      <c r="E54" s="206">
        <f>E55</f>
        <v>0</v>
      </c>
      <c r="F54" s="206">
        <f>F55</f>
        <v>0</v>
      </c>
      <c r="G54" s="207">
        <f>F54-E54</f>
        <v>0</v>
      </c>
      <c r="H54" s="208">
        <f>IF(E54=0,0,G54/E54)</f>
        <v>0</v>
      </c>
      <c r="I54" s="192" t="s">
        <v>196</v>
      </c>
      <c r="J54" s="193"/>
      <c r="K54" s="194"/>
      <c r="L54" s="194"/>
      <c r="M54" s="194"/>
      <c r="N54" s="194"/>
      <c r="O54" s="194"/>
      <c r="P54" s="195"/>
      <c r="Q54" s="195"/>
      <c r="R54" s="195"/>
      <c r="S54" s="195"/>
      <c r="T54" s="195"/>
      <c r="U54" s="195"/>
      <c r="V54" s="221" t="s">
        <v>182</v>
      </c>
      <c r="W54" s="222"/>
      <c r="X54" s="222">
        <f>X55</f>
        <v>0</v>
      </c>
      <c r="Y54" s="247" t="s">
        <v>181</v>
      </c>
      <c r="Z54" s="6"/>
    </row>
    <row r="55" spans="1:26" s="11" customFormat="1" ht="19.5" hidden="1" customHeight="1">
      <c r="A55" s="43"/>
      <c r="B55" s="44"/>
      <c r="C55" s="44" t="s">
        <v>195</v>
      </c>
      <c r="D55" s="44" t="s">
        <v>194</v>
      </c>
      <c r="E55" s="46">
        <v>0</v>
      </c>
      <c r="F55" s="46">
        <f>ROUND(X55/1000,0)</f>
        <v>0</v>
      </c>
      <c r="G55" s="36">
        <f>F55-E55</f>
        <v>0</v>
      </c>
      <c r="H55" s="37">
        <f>IF(E55=0,0,G55/E55)</f>
        <v>0</v>
      </c>
      <c r="I55" s="65" t="s">
        <v>193</v>
      </c>
      <c r="J55" s="269"/>
      <c r="K55" s="268"/>
      <c r="L55" s="268"/>
      <c r="M55" s="268"/>
      <c r="N55" s="386"/>
      <c r="O55" s="72"/>
      <c r="P55" s="67"/>
      <c r="Q55" s="72"/>
      <c r="R55" s="77"/>
      <c r="S55" s="74"/>
      <c r="T55" s="74"/>
      <c r="U55" s="386"/>
      <c r="V55" s="268"/>
      <c r="W55" s="66"/>
      <c r="X55" s="66">
        <v>0</v>
      </c>
      <c r="Y55" s="55" t="s">
        <v>181</v>
      </c>
      <c r="Z55" s="6"/>
    </row>
    <row r="56" spans="1:26" s="11" customFormat="1" ht="19.5" hidden="1" customHeight="1">
      <c r="A56" s="56"/>
      <c r="B56" s="57"/>
      <c r="C56" s="57"/>
      <c r="D56" s="57"/>
      <c r="E56" s="59"/>
      <c r="F56" s="59"/>
      <c r="G56" s="60"/>
      <c r="H56" s="191"/>
      <c r="I56" s="69"/>
      <c r="J56" s="324"/>
      <c r="K56" s="211"/>
      <c r="L56" s="211"/>
      <c r="M56" s="211"/>
      <c r="N56" s="189"/>
      <c r="O56" s="199"/>
      <c r="P56" s="200"/>
      <c r="Q56" s="199"/>
      <c r="R56" s="201"/>
      <c r="S56" s="202"/>
      <c r="T56" s="202"/>
      <c r="U56" s="189"/>
      <c r="V56" s="211"/>
      <c r="W56" s="70"/>
      <c r="X56" s="70"/>
      <c r="Y56" s="71"/>
      <c r="Z56" s="6"/>
    </row>
    <row r="57" spans="1:26" s="11" customFormat="1" ht="19.5" customHeight="1">
      <c r="A57" s="33" t="s">
        <v>192</v>
      </c>
      <c r="B57" s="34" t="s">
        <v>13</v>
      </c>
      <c r="C57" s="543" t="s">
        <v>188</v>
      </c>
      <c r="D57" s="544"/>
      <c r="E57" s="228">
        <f>SUM(E58)</f>
        <v>271866</v>
      </c>
      <c r="F57" s="228">
        <f>SUM(F58)</f>
        <v>0</v>
      </c>
      <c r="G57" s="229">
        <f>F57-E57</f>
        <v>-271866</v>
      </c>
      <c r="H57" s="230">
        <f>IF(E57=0,0,G57/E57)</f>
        <v>-1</v>
      </c>
      <c r="I57" s="231" t="s">
        <v>350</v>
      </c>
      <c r="J57" s="232"/>
      <c r="K57" s="233"/>
      <c r="L57" s="233"/>
      <c r="M57" s="232"/>
      <c r="N57" s="232"/>
      <c r="O57" s="232"/>
      <c r="P57" s="232"/>
      <c r="Q57" s="232" t="s">
        <v>186</v>
      </c>
      <c r="R57" s="234"/>
      <c r="S57" s="234"/>
      <c r="T57" s="234"/>
      <c r="U57" s="234"/>
      <c r="V57" s="234"/>
      <c r="W57" s="234"/>
      <c r="X57" s="235">
        <f>X58</f>
        <v>0</v>
      </c>
      <c r="Y57" s="246" t="s">
        <v>25</v>
      </c>
      <c r="Z57" s="6"/>
    </row>
    <row r="58" spans="1:26" s="11" customFormat="1" ht="19.5" customHeight="1">
      <c r="A58" s="43"/>
      <c r="B58" s="44"/>
      <c r="C58" s="34" t="s">
        <v>271</v>
      </c>
      <c r="D58" s="387" t="s">
        <v>184</v>
      </c>
      <c r="E58" s="206">
        <f>E59</f>
        <v>271866</v>
      </c>
      <c r="F58" s="206">
        <f>F59</f>
        <v>0</v>
      </c>
      <c r="G58" s="207">
        <f>F58-E58</f>
        <v>-271866</v>
      </c>
      <c r="H58" s="208">
        <f>IF(E58=0,0,G58/E58)</f>
        <v>-1</v>
      </c>
      <c r="I58" s="192" t="s">
        <v>351</v>
      </c>
      <c r="J58" s="193"/>
      <c r="K58" s="194"/>
      <c r="L58" s="194"/>
      <c r="M58" s="194"/>
      <c r="N58" s="194"/>
      <c r="O58" s="194"/>
      <c r="P58" s="195"/>
      <c r="Q58" s="195"/>
      <c r="R58" s="195"/>
      <c r="S58" s="195"/>
      <c r="T58" s="195"/>
      <c r="U58" s="195"/>
      <c r="V58" s="221" t="s">
        <v>182</v>
      </c>
      <c r="W58" s="222"/>
      <c r="X58" s="223">
        <f>SUM(X59:X59)</f>
        <v>0</v>
      </c>
      <c r="Y58" s="247" t="s">
        <v>181</v>
      </c>
      <c r="Z58" s="6"/>
    </row>
    <row r="59" spans="1:26" s="11" customFormat="1" ht="19.5" customHeight="1">
      <c r="A59" s="43"/>
      <c r="B59" s="44"/>
      <c r="C59" s="44" t="s">
        <v>272</v>
      </c>
      <c r="D59" s="34" t="s">
        <v>268</v>
      </c>
      <c r="E59" s="35">
        <v>271866</v>
      </c>
      <c r="F59" s="46">
        <f>ROUND(X59/1000,0)</f>
        <v>0</v>
      </c>
      <c r="G59" s="36">
        <f>F59-E59</f>
        <v>-271866</v>
      </c>
      <c r="H59" s="37">
        <f>IF(E59=0,0,G59/E59)</f>
        <v>-1</v>
      </c>
      <c r="I59" s="138" t="s">
        <v>445</v>
      </c>
      <c r="J59" s="15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545" t="s">
        <v>182</v>
      </c>
      <c r="W59" s="545"/>
      <c r="X59" s="139">
        <f>SUM(X60:X62)</f>
        <v>0</v>
      </c>
      <c r="Y59" s="140" t="s">
        <v>181</v>
      </c>
      <c r="Z59" s="6"/>
    </row>
    <row r="60" spans="1:26" s="11" customFormat="1" ht="19.5" customHeight="1">
      <c r="A60" s="43"/>
      <c r="B60" s="44"/>
      <c r="C60" s="44" t="s">
        <v>270</v>
      </c>
      <c r="D60" s="44" t="s">
        <v>269</v>
      </c>
      <c r="E60" s="46"/>
      <c r="F60" s="46"/>
      <c r="G60" s="47"/>
      <c r="H60" s="29"/>
      <c r="I60" s="65" t="s">
        <v>352</v>
      </c>
      <c r="J60" s="269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386"/>
      <c r="W60" s="386"/>
      <c r="X60" s="66">
        <v>0</v>
      </c>
      <c r="Y60" s="55" t="s">
        <v>181</v>
      </c>
      <c r="Z60" s="6"/>
    </row>
    <row r="61" spans="1:26" s="11" customFormat="1" ht="19.5" customHeight="1">
      <c r="A61" s="43"/>
      <c r="B61" s="44"/>
      <c r="C61" s="44"/>
      <c r="D61" s="44" t="s">
        <v>192</v>
      </c>
      <c r="E61" s="46"/>
      <c r="F61" s="46"/>
      <c r="G61" s="47"/>
      <c r="H61" s="29"/>
      <c r="I61" s="65" t="s">
        <v>357</v>
      </c>
      <c r="J61" s="269"/>
      <c r="K61" s="268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402"/>
      <c r="W61" s="402"/>
      <c r="X61" s="66">
        <v>0</v>
      </c>
      <c r="Y61" s="55" t="s">
        <v>354</v>
      </c>
      <c r="Z61" s="6"/>
    </row>
    <row r="62" spans="1:26" s="11" customFormat="1" ht="19.5" customHeight="1">
      <c r="A62" s="56"/>
      <c r="B62" s="57"/>
      <c r="C62" s="57"/>
      <c r="D62" s="57"/>
      <c r="E62" s="59"/>
      <c r="F62" s="59"/>
      <c r="G62" s="60"/>
      <c r="H62" s="191"/>
      <c r="I62" s="69"/>
      <c r="J62" s="324"/>
      <c r="K62" s="211"/>
      <c r="L62" s="211"/>
      <c r="M62" s="211"/>
      <c r="N62" s="189"/>
      <c r="O62" s="199"/>
      <c r="P62" s="200"/>
      <c r="Q62" s="199"/>
      <c r="R62" s="201"/>
      <c r="S62" s="202"/>
      <c r="T62" s="202"/>
      <c r="U62" s="189"/>
      <c r="V62" s="211"/>
      <c r="W62" s="70"/>
      <c r="X62" s="70"/>
      <c r="Y62" s="71"/>
      <c r="Z62" s="6"/>
    </row>
    <row r="63" spans="1:26" s="11" customFormat="1" ht="19.5" customHeight="1">
      <c r="A63" s="33" t="s">
        <v>14</v>
      </c>
      <c r="B63" s="34" t="s">
        <v>14</v>
      </c>
      <c r="C63" s="543" t="s">
        <v>188</v>
      </c>
      <c r="D63" s="544"/>
      <c r="E63" s="228">
        <f>SUM(E64,E75,E82)</f>
        <v>53775</v>
      </c>
      <c r="F63" s="228">
        <f>SUM(F64,F75,F82)</f>
        <v>15130</v>
      </c>
      <c r="G63" s="229">
        <f>F63-E63</f>
        <v>-38645</v>
      </c>
      <c r="H63" s="230">
        <f>IF(E63=0,0,G63/E63)</f>
        <v>-0.71864249186424922</v>
      </c>
      <c r="I63" s="231" t="s">
        <v>187</v>
      </c>
      <c r="J63" s="232"/>
      <c r="K63" s="233"/>
      <c r="L63" s="233"/>
      <c r="M63" s="232"/>
      <c r="N63" s="232"/>
      <c r="O63" s="232"/>
      <c r="P63" s="232"/>
      <c r="Q63" s="232" t="s">
        <v>186</v>
      </c>
      <c r="R63" s="234"/>
      <c r="S63" s="234"/>
      <c r="T63" s="234"/>
      <c r="U63" s="234"/>
      <c r="V63" s="234"/>
      <c r="W63" s="234"/>
      <c r="X63" s="235">
        <f>SUM(X64,X75,X82)</f>
        <v>15130000</v>
      </c>
      <c r="Y63" s="246" t="s">
        <v>25</v>
      </c>
      <c r="Z63" s="6"/>
    </row>
    <row r="64" spans="1:26" s="11" customFormat="1" ht="19.5" customHeight="1">
      <c r="A64" s="43"/>
      <c r="B64" s="44"/>
      <c r="C64" s="34" t="s">
        <v>185</v>
      </c>
      <c r="D64" s="387" t="s">
        <v>184</v>
      </c>
      <c r="E64" s="206">
        <f>SUM(E65,E69,E72)</f>
        <v>26421</v>
      </c>
      <c r="F64" s="206">
        <f>SUM(F65,F69,F72)</f>
        <v>4200</v>
      </c>
      <c r="G64" s="207">
        <f>F64-E64</f>
        <v>-22221</v>
      </c>
      <c r="H64" s="208">
        <f>IF(E64=0,0,G64/E64)</f>
        <v>-0.84103553991143409</v>
      </c>
      <c r="I64" s="192" t="s">
        <v>183</v>
      </c>
      <c r="J64" s="193"/>
      <c r="K64" s="194"/>
      <c r="L64" s="194"/>
      <c r="M64" s="194"/>
      <c r="N64" s="194"/>
      <c r="O64" s="194"/>
      <c r="P64" s="195"/>
      <c r="Q64" s="195"/>
      <c r="R64" s="195"/>
      <c r="S64" s="195"/>
      <c r="T64" s="195"/>
      <c r="U64" s="195"/>
      <c r="V64" s="221" t="s">
        <v>182</v>
      </c>
      <c r="W64" s="222"/>
      <c r="X64" s="223">
        <f>SUM(X65,X69,X72)</f>
        <v>4200000</v>
      </c>
      <c r="Y64" s="247" t="s">
        <v>181</v>
      </c>
      <c r="Z64" s="6"/>
    </row>
    <row r="65" spans="1:26" s="11" customFormat="1" ht="19.5" customHeight="1">
      <c r="A65" s="43"/>
      <c r="B65" s="44"/>
      <c r="C65" s="44" t="s">
        <v>115</v>
      </c>
      <c r="D65" s="34" t="s">
        <v>464</v>
      </c>
      <c r="E65" s="35">
        <v>14299</v>
      </c>
      <c r="F65" s="46">
        <f>ROUND(X65/1000,0)</f>
        <v>4200</v>
      </c>
      <c r="G65" s="36">
        <f>F65-E65</f>
        <v>-10099</v>
      </c>
      <c r="H65" s="37">
        <f>IF(E65=0,0,G65/E65)</f>
        <v>-0.70627316595566125</v>
      </c>
      <c r="I65" s="138" t="s">
        <v>450</v>
      </c>
      <c r="J65" s="15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403" t="s">
        <v>61</v>
      </c>
      <c r="W65" s="403"/>
      <c r="X65" s="139">
        <f>ROUNDUP(SUM(W66:X67),-3)</f>
        <v>4200000</v>
      </c>
      <c r="Y65" s="140" t="s">
        <v>55</v>
      </c>
      <c r="Z65" s="6"/>
    </row>
    <row r="66" spans="1:26" s="11" customFormat="1" ht="19.5" customHeight="1">
      <c r="A66" s="43"/>
      <c r="B66" s="44"/>
      <c r="C66" s="44"/>
      <c r="D66" s="44" t="s">
        <v>465</v>
      </c>
      <c r="E66" s="46"/>
      <c r="F66" s="46"/>
      <c r="G66" s="47"/>
      <c r="H66" s="29"/>
      <c r="I66" s="261" t="s">
        <v>451</v>
      </c>
      <c r="J66" s="269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402"/>
      <c r="W66" s="402"/>
      <c r="X66" s="66">
        <v>4200000</v>
      </c>
      <c r="Y66" s="55" t="s">
        <v>55</v>
      </c>
      <c r="Z66" s="6"/>
    </row>
    <row r="67" spans="1:26" s="11" customFormat="1" ht="19.5" customHeight="1">
      <c r="A67" s="43"/>
      <c r="B67" s="44"/>
      <c r="C67" s="44"/>
      <c r="D67" s="44"/>
      <c r="E67" s="46"/>
      <c r="F67" s="46"/>
      <c r="G67" s="47"/>
      <c r="H67" s="29"/>
      <c r="I67" s="261" t="s">
        <v>442</v>
      </c>
      <c r="J67" s="269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402"/>
      <c r="W67" s="402"/>
      <c r="X67" s="66">
        <v>0</v>
      </c>
      <c r="Y67" s="55" t="s">
        <v>55</v>
      </c>
      <c r="Z67" s="6"/>
    </row>
    <row r="68" spans="1:26" s="11" customFormat="1" ht="19.5" customHeight="1">
      <c r="A68" s="43"/>
      <c r="B68" s="44"/>
      <c r="C68" s="44"/>
      <c r="D68" s="57"/>
      <c r="E68" s="59"/>
      <c r="F68" s="59"/>
      <c r="G68" s="60"/>
      <c r="H68" s="191"/>
      <c r="I68" s="69"/>
      <c r="J68" s="324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189"/>
      <c r="W68" s="189"/>
      <c r="X68" s="70"/>
      <c r="Y68" s="71"/>
      <c r="Z68" s="6"/>
    </row>
    <row r="69" spans="1:26" s="11" customFormat="1" ht="19.5" customHeight="1">
      <c r="A69" s="43"/>
      <c r="B69" s="44"/>
      <c r="C69" s="44"/>
      <c r="D69" s="44" t="s">
        <v>180</v>
      </c>
      <c r="E69" s="46">
        <v>12122</v>
      </c>
      <c r="F69" s="46">
        <f>ROUND(X69/1000,0)</f>
        <v>0</v>
      </c>
      <c r="G69" s="36">
        <f>F69-E69</f>
        <v>-12122</v>
      </c>
      <c r="H69" s="37">
        <f>IF(E69=0,0,G69/E69)</f>
        <v>-1</v>
      </c>
      <c r="I69" s="138" t="s">
        <v>125</v>
      </c>
      <c r="J69" s="15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545" t="s">
        <v>61</v>
      </c>
      <c r="W69" s="545"/>
      <c r="X69" s="139">
        <f>ROUNDUP(SUM(W70:X71),-3)</f>
        <v>0</v>
      </c>
      <c r="Y69" s="140" t="s">
        <v>55</v>
      </c>
      <c r="Z69" s="6"/>
    </row>
    <row r="70" spans="1:26" s="11" customFormat="1" ht="19.5" customHeight="1">
      <c r="A70" s="43"/>
      <c r="B70" s="44"/>
      <c r="C70" s="44"/>
      <c r="D70" s="44"/>
      <c r="E70" s="46"/>
      <c r="F70" s="46"/>
      <c r="G70" s="47"/>
      <c r="H70" s="29"/>
      <c r="I70" s="261" t="s">
        <v>135</v>
      </c>
      <c r="J70" s="269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402"/>
      <c r="W70" s="402"/>
      <c r="X70" s="66">
        <v>0</v>
      </c>
      <c r="Y70" s="55" t="s">
        <v>55</v>
      </c>
      <c r="Z70" s="6"/>
    </row>
    <row r="71" spans="1:26" s="11" customFormat="1" ht="19.5" customHeight="1">
      <c r="A71" s="43"/>
      <c r="B71" s="44"/>
      <c r="C71" s="44"/>
      <c r="D71" s="57"/>
      <c r="E71" s="59"/>
      <c r="F71" s="46"/>
      <c r="G71" s="47"/>
      <c r="H71" s="29"/>
      <c r="I71" s="261" t="s">
        <v>402</v>
      </c>
      <c r="J71" s="269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402"/>
      <c r="W71" s="402"/>
      <c r="X71" s="66">
        <v>0</v>
      </c>
      <c r="Y71" s="55" t="s">
        <v>55</v>
      </c>
      <c r="Z71" s="6"/>
    </row>
    <row r="72" spans="1:26" s="11" customFormat="1" ht="19.5" customHeight="1">
      <c r="A72" s="43"/>
      <c r="B72" s="44"/>
      <c r="C72" s="44"/>
      <c r="D72" s="44" t="s">
        <v>369</v>
      </c>
      <c r="E72" s="46">
        <v>0</v>
      </c>
      <c r="F72" s="35">
        <f>ROUND(X72/1000,0)</f>
        <v>0</v>
      </c>
      <c r="G72" s="36">
        <f>F72-E72</f>
        <v>0</v>
      </c>
      <c r="H72" s="37">
        <f>IF(E72=0,0,G72/E72)</f>
        <v>0</v>
      </c>
      <c r="I72" s="138" t="s">
        <v>274</v>
      </c>
      <c r="J72" s="15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545" t="s">
        <v>61</v>
      </c>
      <c r="W72" s="545"/>
      <c r="X72" s="139"/>
      <c r="Y72" s="140" t="s">
        <v>55</v>
      </c>
      <c r="Z72" s="6"/>
    </row>
    <row r="73" spans="1:26" s="11" customFormat="1" ht="19.5" customHeight="1">
      <c r="A73" s="43"/>
      <c r="B73" s="44"/>
      <c r="C73" s="44"/>
      <c r="D73" s="44"/>
      <c r="E73" s="46"/>
      <c r="F73" s="46"/>
      <c r="G73" s="47"/>
      <c r="H73" s="29"/>
      <c r="I73" s="261"/>
      <c r="J73" s="269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386"/>
      <c r="W73" s="386"/>
      <c r="X73" s="66"/>
      <c r="Y73" s="55" t="s">
        <v>55</v>
      </c>
      <c r="Z73" s="6"/>
    </row>
    <row r="74" spans="1:26" s="11" customFormat="1" ht="19.5" customHeight="1">
      <c r="A74" s="43"/>
      <c r="B74" s="44"/>
      <c r="C74" s="44"/>
      <c r="D74" s="44"/>
      <c r="E74" s="46"/>
      <c r="F74" s="46"/>
      <c r="G74" s="47"/>
      <c r="H74" s="29"/>
      <c r="I74" s="65"/>
      <c r="J74" s="269"/>
      <c r="K74" s="268"/>
      <c r="L74" s="268"/>
      <c r="M74" s="268"/>
      <c r="N74" s="386"/>
      <c r="O74" s="72"/>
      <c r="P74" s="67"/>
      <c r="Q74" s="72"/>
      <c r="R74" s="77"/>
      <c r="S74" s="74"/>
      <c r="T74" s="74"/>
      <c r="U74" s="386"/>
      <c r="V74" s="268"/>
      <c r="W74" s="66"/>
      <c r="X74" s="66"/>
      <c r="Y74" s="55"/>
      <c r="Z74" s="6"/>
    </row>
    <row r="75" spans="1:26" s="11" customFormat="1" ht="19.5" customHeight="1">
      <c r="A75" s="43"/>
      <c r="B75" s="44"/>
      <c r="C75" s="34" t="s">
        <v>114</v>
      </c>
      <c r="D75" s="387" t="s">
        <v>94</v>
      </c>
      <c r="E75" s="206">
        <f>E76</f>
        <v>27354</v>
      </c>
      <c r="F75" s="206">
        <f>F76</f>
        <v>10930</v>
      </c>
      <c r="G75" s="207">
        <f>F75-E75</f>
        <v>-16424</v>
      </c>
      <c r="H75" s="208">
        <f>IF(E75=0,0,G75/E75)</f>
        <v>-0.60042406960590777</v>
      </c>
      <c r="I75" s="192" t="s">
        <v>116</v>
      </c>
      <c r="J75" s="193"/>
      <c r="K75" s="194"/>
      <c r="L75" s="194"/>
      <c r="M75" s="194"/>
      <c r="N75" s="194"/>
      <c r="O75" s="194"/>
      <c r="P75" s="195"/>
      <c r="Q75" s="195"/>
      <c r="R75" s="195"/>
      <c r="S75" s="195"/>
      <c r="T75" s="195"/>
      <c r="U75" s="195"/>
      <c r="V75" s="221" t="s">
        <v>61</v>
      </c>
      <c r="W75" s="222"/>
      <c r="X75" s="222">
        <f>X76</f>
        <v>10930000</v>
      </c>
      <c r="Y75" s="247" t="s">
        <v>55</v>
      </c>
      <c r="Z75" s="6"/>
    </row>
    <row r="76" spans="1:26" s="11" customFormat="1" ht="19.5" customHeight="1">
      <c r="A76" s="43"/>
      <c r="B76" s="44"/>
      <c r="C76" s="44" t="s">
        <v>115</v>
      </c>
      <c r="D76" s="44" t="s">
        <v>179</v>
      </c>
      <c r="E76" s="46">
        <v>27354</v>
      </c>
      <c r="F76" s="35">
        <f>ROUND(X76/1000,0)</f>
        <v>10930</v>
      </c>
      <c r="G76" s="36">
        <f>F76-E76</f>
        <v>-16424</v>
      </c>
      <c r="H76" s="37">
        <f>IF(E76=0,0,G76/E76)</f>
        <v>-0.60042406960590777</v>
      </c>
      <c r="I76" s="262" t="s">
        <v>136</v>
      </c>
      <c r="J76" s="15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545"/>
      <c r="W76" s="545"/>
      <c r="X76" s="139">
        <f>ROUNDUP(SUM(W77:X80),-3)</f>
        <v>10930000</v>
      </c>
      <c r="Y76" s="140" t="s">
        <v>55</v>
      </c>
      <c r="Z76" s="6"/>
    </row>
    <row r="77" spans="1:26" s="11" customFormat="1" ht="19.5" customHeight="1">
      <c r="A77" s="43"/>
      <c r="B77" s="44"/>
      <c r="C77" s="44" t="s">
        <v>113</v>
      </c>
      <c r="D77" s="44" t="s">
        <v>178</v>
      </c>
      <c r="E77" s="46"/>
      <c r="F77" s="46"/>
      <c r="G77" s="47"/>
      <c r="H77" s="68"/>
      <c r="I77" s="261" t="s">
        <v>454</v>
      </c>
      <c r="J77" s="269"/>
      <c r="K77" s="268"/>
      <c r="L77" s="268"/>
      <c r="M77" s="268"/>
      <c r="N77" s="268"/>
      <c r="O77" s="268"/>
      <c r="P77" s="268"/>
      <c r="Q77" s="52"/>
      <c r="R77" s="52"/>
      <c r="S77" s="52"/>
      <c r="T77" s="268"/>
      <c r="U77" s="268"/>
      <c r="V77" s="268"/>
      <c r="W77" s="66"/>
      <c r="X77" s="66">
        <v>2300000</v>
      </c>
      <c r="Y77" s="55" t="s">
        <v>55</v>
      </c>
      <c r="Z77" s="6"/>
    </row>
    <row r="78" spans="1:26" s="11" customFormat="1" ht="19.5" customHeight="1">
      <c r="A78" s="43"/>
      <c r="B78" s="44"/>
      <c r="C78" s="44"/>
      <c r="D78" s="44"/>
      <c r="E78" s="46"/>
      <c r="F78" s="46"/>
      <c r="G78" s="47"/>
      <c r="H78" s="68"/>
      <c r="I78" s="261" t="s">
        <v>370</v>
      </c>
      <c r="J78" s="269"/>
      <c r="K78" s="268"/>
      <c r="L78" s="268"/>
      <c r="M78" s="268"/>
      <c r="N78" s="268"/>
      <c r="O78" s="268"/>
      <c r="P78" s="268"/>
      <c r="Q78" s="52"/>
      <c r="R78" s="52"/>
      <c r="S78" s="52"/>
      <c r="T78" s="268"/>
      <c r="U78" s="268"/>
      <c r="V78" s="268"/>
      <c r="W78" s="66"/>
      <c r="X78" s="66">
        <v>130000</v>
      </c>
      <c r="Y78" s="55" t="s">
        <v>55</v>
      </c>
      <c r="Z78" s="6"/>
    </row>
    <row r="79" spans="1:26" s="11" customFormat="1" ht="19.5" customHeight="1">
      <c r="A79" s="43"/>
      <c r="B79" s="44"/>
      <c r="C79" s="44"/>
      <c r="D79" s="44"/>
      <c r="E79" s="46"/>
      <c r="F79" s="46"/>
      <c r="G79" s="47"/>
      <c r="H79" s="68"/>
      <c r="I79" s="261" t="s">
        <v>371</v>
      </c>
      <c r="J79" s="269"/>
      <c r="K79" s="268"/>
      <c r="L79" s="268"/>
      <c r="M79" s="268"/>
      <c r="N79" s="268"/>
      <c r="O79" s="268"/>
      <c r="P79" s="268"/>
      <c r="Q79" s="52"/>
      <c r="R79" s="52"/>
      <c r="S79" s="52"/>
      <c r="T79" s="268"/>
      <c r="U79" s="268"/>
      <c r="V79" s="268"/>
      <c r="W79" s="66"/>
      <c r="X79" s="66">
        <v>4000000</v>
      </c>
      <c r="Y79" s="55" t="s">
        <v>246</v>
      </c>
      <c r="Z79" s="6"/>
    </row>
    <row r="80" spans="1:26" s="11" customFormat="1" ht="19.5" customHeight="1">
      <c r="A80" s="43"/>
      <c r="B80" s="44"/>
      <c r="C80" s="44"/>
      <c r="D80" s="44"/>
      <c r="E80" s="46"/>
      <c r="F80" s="46"/>
      <c r="G80" s="47"/>
      <c r="H80" s="68"/>
      <c r="I80" s="261" t="s">
        <v>372</v>
      </c>
      <c r="J80" s="269"/>
      <c r="K80" s="268"/>
      <c r="L80" s="268"/>
      <c r="M80" s="268"/>
      <c r="N80" s="268"/>
      <c r="O80" s="268"/>
      <c r="P80" s="268"/>
      <c r="Q80" s="52"/>
      <c r="R80" s="52"/>
      <c r="S80" s="52"/>
      <c r="T80" s="268"/>
      <c r="U80" s="268"/>
      <c r="V80" s="268"/>
      <c r="W80" s="66"/>
      <c r="X80" s="66">
        <v>4500000</v>
      </c>
      <c r="Y80" s="55" t="s">
        <v>373</v>
      </c>
      <c r="Z80" s="6"/>
    </row>
    <row r="81" spans="1:26" s="11" customFormat="1" ht="19.5" customHeight="1">
      <c r="A81" s="43"/>
      <c r="B81" s="44"/>
      <c r="C81" s="44"/>
      <c r="D81" s="44"/>
      <c r="E81" s="46"/>
      <c r="F81" s="46"/>
      <c r="G81" s="47"/>
      <c r="H81" s="68"/>
      <c r="I81" s="65"/>
      <c r="J81" s="269"/>
      <c r="K81" s="268"/>
      <c r="L81" s="268"/>
      <c r="M81" s="268"/>
      <c r="N81" s="268"/>
      <c r="O81" s="268"/>
      <c r="P81" s="268"/>
      <c r="Q81" s="52"/>
      <c r="R81" s="52"/>
      <c r="S81" s="52"/>
      <c r="T81" s="268"/>
      <c r="U81" s="268"/>
      <c r="V81" s="268"/>
      <c r="W81" s="66"/>
      <c r="X81" s="66"/>
      <c r="Y81" s="55"/>
      <c r="Z81" s="6"/>
    </row>
    <row r="82" spans="1:26" s="11" customFormat="1" ht="19.5" customHeight="1">
      <c r="A82" s="43"/>
      <c r="B82" s="44"/>
      <c r="C82" s="34" t="s">
        <v>117</v>
      </c>
      <c r="D82" s="387" t="s">
        <v>94</v>
      </c>
      <c r="E82" s="206">
        <f>E83</f>
        <v>0</v>
      </c>
      <c r="F82" s="206">
        <f>F83</f>
        <v>0</v>
      </c>
      <c r="G82" s="207">
        <f>F82-E82</f>
        <v>0</v>
      </c>
      <c r="H82" s="208">
        <f>IF(E82=0,0,G82/E82)</f>
        <v>0</v>
      </c>
      <c r="I82" s="192" t="s">
        <v>118</v>
      </c>
      <c r="J82" s="193"/>
      <c r="K82" s="194"/>
      <c r="L82" s="194"/>
      <c r="M82" s="194"/>
      <c r="N82" s="194"/>
      <c r="O82" s="194"/>
      <c r="P82" s="195"/>
      <c r="Q82" s="195"/>
      <c r="R82" s="195"/>
      <c r="S82" s="195"/>
      <c r="T82" s="195"/>
      <c r="U82" s="195"/>
      <c r="V82" s="221" t="s">
        <v>61</v>
      </c>
      <c r="W82" s="222"/>
      <c r="X82" s="222">
        <f>ROUND(SUM(W83:X84),-3)</f>
        <v>0</v>
      </c>
      <c r="Y82" s="247" t="s">
        <v>55</v>
      </c>
      <c r="Z82" s="6"/>
    </row>
    <row r="83" spans="1:26" s="11" customFormat="1" ht="19.5" customHeight="1">
      <c r="A83" s="43"/>
      <c r="B83" s="44"/>
      <c r="C83" s="44" t="s">
        <v>87</v>
      </c>
      <c r="D83" s="44" t="s">
        <v>177</v>
      </c>
      <c r="E83" s="46">
        <v>0</v>
      </c>
      <c r="F83" s="46">
        <f>ROUND(X83/1000,0)</f>
        <v>0</v>
      </c>
      <c r="G83" s="36">
        <f>F83-E83</f>
        <v>0</v>
      </c>
      <c r="H83" s="37">
        <f>IF(E83=0,0,G83/E83)</f>
        <v>0</v>
      </c>
      <c r="I83" s="65"/>
      <c r="J83" s="269"/>
      <c r="K83" s="268"/>
      <c r="L83" s="268"/>
      <c r="M83" s="268"/>
      <c r="N83" s="386"/>
      <c r="O83" s="72"/>
      <c r="P83" s="67"/>
      <c r="Q83" s="72"/>
      <c r="R83" s="77"/>
      <c r="S83" s="74"/>
      <c r="T83" s="74"/>
      <c r="U83" s="386"/>
      <c r="V83" s="268"/>
      <c r="W83" s="66"/>
      <c r="X83" s="66">
        <f>M83*P83</f>
        <v>0</v>
      </c>
      <c r="Y83" s="55" t="s">
        <v>55</v>
      </c>
      <c r="Z83" s="6"/>
    </row>
    <row r="84" spans="1:26" s="11" customFormat="1" ht="19.5" customHeight="1">
      <c r="A84" s="56"/>
      <c r="B84" s="57"/>
      <c r="C84" s="57"/>
      <c r="D84" s="57"/>
      <c r="E84" s="59"/>
      <c r="F84" s="59"/>
      <c r="G84" s="60"/>
      <c r="H84" s="82"/>
      <c r="I84" s="69"/>
      <c r="J84" s="324"/>
      <c r="K84" s="211"/>
      <c r="L84" s="211"/>
      <c r="M84" s="211"/>
      <c r="N84" s="211"/>
      <c r="O84" s="211"/>
      <c r="P84" s="211"/>
      <c r="Q84" s="128"/>
      <c r="R84" s="128"/>
      <c r="S84" s="128"/>
      <c r="T84" s="211"/>
      <c r="U84" s="211"/>
      <c r="V84" s="211"/>
      <c r="W84" s="70"/>
      <c r="X84" s="70">
        <v>0</v>
      </c>
      <c r="Y84" s="71" t="s">
        <v>55</v>
      </c>
      <c r="Z84" s="6"/>
    </row>
    <row r="85" spans="1:26" ht="21" customHeight="1">
      <c r="A85" s="43" t="s">
        <v>57</v>
      </c>
      <c r="B85" s="85" t="s">
        <v>16</v>
      </c>
      <c r="C85" s="543" t="s">
        <v>127</v>
      </c>
      <c r="D85" s="544"/>
      <c r="E85" s="228">
        <f>SUM(E86,E90,E96)</f>
        <v>44170</v>
      </c>
      <c r="F85" s="228">
        <f>SUM(F86,F90,F96)</f>
        <v>50</v>
      </c>
      <c r="G85" s="229">
        <f>F85-E85</f>
        <v>-44120</v>
      </c>
      <c r="H85" s="230">
        <f>IF(E85=0,0,G85/E85)</f>
        <v>-0.99886800996151237</v>
      </c>
      <c r="I85" s="231" t="s">
        <v>128</v>
      </c>
      <c r="J85" s="232"/>
      <c r="K85" s="233"/>
      <c r="L85" s="233"/>
      <c r="M85" s="232"/>
      <c r="N85" s="232"/>
      <c r="O85" s="232"/>
      <c r="P85" s="232"/>
      <c r="Q85" s="232" t="s">
        <v>60</v>
      </c>
      <c r="R85" s="234"/>
      <c r="S85" s="234"/>
      <c r="T85" s="234"/>
      <c r="U85" s="234"/>
      <c r="V85" s="234"/>
      <c r="W85" s="234"/>
      <c r="X85" s="244">
        <f>SUM(X86,X90,X96)</f>
        <v>50000</v>
      </c>
      <c r="Y85" s="249" t="s">
        <v>55</v>
      </c>
    </row>
    <row r="86" spans="1:26" ht="21" customHeight="1">
      <c r="A86" s="43"/>
      <c r="B86" s="94"/>
      <c r="C86" s="34" t="s">
        <v>119</v>
      </c>
      <c r="D86" s="387" t="s">
        <v>94</v>
      </c>
      <c r="E86" s="206">
        <f>E87</f>
        <v>0</v>
      </c>
      <c r="F86" s="206">
        <f>F87</f>
        <v>0</v>
      </c>
      <c r="G86" s="207">
        <f>F86-E86</f>
        <v>0</v>
      </c>
      <c r="H86" s="208">
        <f>IF(E86=0,0,G86/E86)</f>
        <v>0</v>
      </c>
      <c r="I86" s="192" t="s">
        <v>123</v>
      </c>
      <c r="J86" s="193"/>
      <c r="K86" s="194"/>
      <c r="L86" s="194"/>
      <c r="M86" s="194"/>
      <c r="N86" s="194"/>
      <c r="O86" s="194"/>
      <c r="P86" s="195"/>
      <c r="Q86" s="195"/>
      <c r="R86" s="195"/>
      <c r="S86" s="195"/>
      <c r="T86" s="195"/>
      <c r="U86" s="195"/>
      <c r="V86" s="221" t="s">
        <v>61</v>
      </c>
      <c r="W86" s="222"/>
      <c r="X86" s="223">
        <f>SUM(X87:X87)</f>
        <v>0</v>
      </c>
      <c r="Y86" s="247" t="s">
        <v>55</v>
      </c>
    </row>
    <row r="87" spans="1:26" ht="21" customHeight="1">
      <c r="A87" s="58"/>
      <c r="B87" s="96"/>
      <c r="C87" s="44" t="s">
        <v>120</v>
      </c>
      <c r="D87" s="34" t="s">
        <v>176</v>
      </c>
      <c r="E87" s="35">
        <v>0</v>
      </c>
      <c r="F87" s="46">
        <f>ROUND(X87/1000,0)</f>
        <v>0</v>
      </c>
      <c r="G87" s="36">
        <f>F87-E87</f>
        <v>0</v>
      </c>
      <c r="H87" s="37">
        <f>IF(E87=0,0,G87/E87)</f>
        <v>0</v>
      </c>
      <c r="I87" s="138" t="s">
        <v>123</v>
      </c>
      <c r="J87" s="15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545" t="s">
        <v>61</v>
      </c>
      <c r="W87" s="545"/>
      <c r="X87" s="139">
        <f>ROUNDUP(SUM(W88:X88),-3)</f>
        <v>0</v>
      </c>
      <c r="Y87" s="140" t="s">
        <v>55</v>
      </c>
    </row>
    <row r="88" spans="1:26" ht="21" customHeight="1">
      <c r="A88" s="58"/>
      <c r="B88" s="96"/>
      <c r="C88" s="44"/>
      <c r="D88" s="44"/>
      <c r="E88" s="46"/>
      <c r="F88" s="46"/>
      <c r="G88" s="47"/>
      <c r="H88" s="29"/>
      <c r="I88" s="434" t="s">
        <v>348</v>
      </c>
      <c r="J88" s="257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303"/>
      <c r="W88" s="303"/>
      <c r="X88" s="258">
        <v>0</v>
      </c>
      <c r="Y88" s="272" t="s">
        <v>349</v>
      </c>
    </row>
    <row r="89" spans="1:26" ht="21" customHeight="1">
      <c r="A89" s="58"/>
      <c r="B89" s="88"/>
      <c r="C89" s="44"/>
      <c r="D89" s="44"/>
      <c r="E89" s="46"/>
      <c r="F89" s="46"/>
      <c r="G89" s="47"/>
      <c r="H89" s="29"/>
      <c r="I89" s="65"/>
      <c r="J89" s="269"/>
      <c r="K89" s="268"/>
      <c r="L89" s="268"/>
      <c r="M89" s="268"/>
      <c r="N89" s="386"/>
      <c r="O89" s="72"/>
      <c r="P89" s="67"/>
      <c r="Q89" s="72"/>
      <c r="R89" s="77"/>
      <c r="S89" s="74"/>
      <c r="T89" s="74"/>
      <c r="U89" s="386"/>
      <c r="V89" s="268"/>
      <c r="W89" s="66"/>
      <c r="X89" s="66">
        <f>M89*P89</f>
        <v>0</v>
      </c>
      <c r="Y89" s="55" t="s">
        <v>55</v>
      </c>
    </row>
    <row r="90" spans="1:26" ht="21" customHeight="1">
      <c r="A90" s="58"/>
      <c r="B90" s="88"/>
      <c r="C90" s="34" t="s">
        <v>121</v>
      </c>
      <c r="D90" s="387" t="s">
        <v>94</v>
      </c>
      <c r="E90" s="206">
        <f>E91</f>
        <v>75</v>
      </c>
      <c r="F90" s="206">
        <f>F91</f>
        <v>50</v>
      </c>
      <c r="G90" s="207">
        <f>F90-E90</f>
        <v>-25</v>
      </c>
      <c r="H90" s="208">
        <f>IF(E90=0,0,G90/E90)</f>
        <v>-0.33333333333333331</v>
      </c>
      <c r="I90" s="192" t="s">
        <v>124</v>
      </c>
      <c r="J90" s="193"/>
      <c r="K90" s="194"/>
      <c r="L90" s="194"/>
      <c r="M90" s="194"/>
      <c r="N90" s="194"/>
      <c r="O90" s="194"/>
      <c r="P90" s="195"/>
      <c r="Q90" s="195"/>
      <c r="R90" s="195"/>
      <c r="S90" s="195"/>
      <c r="T90" s="195"/>
      <c r="U90" s="195"/>
      <c r="V90" s="221" t="s">
        <v>61</v>
      </c>
      <c r="W90" s="222"/>
      <c r="X90" s="222">
        <f>SUM(X91:X91)</f>
        <v>50000</v>
      </c>
      <c r="Y90" s="247" t="s">
        <v>55</v>
      </c>
    </row>
    <row r="91" spans="1:26" ht="21" customHeight="1">
      <c r="A91" s="58"/>
      <c r="B91" s="88"/>
      <c r="C91" s="44" t="s">
        <v>122</v>
      </c>
      <c r="D91" s="44" t="s">
        <v>175</v>
      </c>
      <c r="E91" s="46">
        <v>75</v>
      </c>
      <c r="F91" s="46">
        <f>ROUND(X91/1000,0)</f>
        <v>50</v>
      </c>
      <c r="G91" s="36">
        <f>F91-E91</f>
        <v>-25</v>
      </c>
      <c r="H91" s="37">
        <f>IF(E91=0,0,G91/E91)</f>
        <v>-0.33333333333333331</v>
      </c>
      <c r="I91" s="138" t="s">
        <v>174</v>
      </c>
      <c r="J91" s="15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545"/>
      <c r="W91" s="545"/>
      <c r="X91" s="139">
        <f>ROUND(SUM(W92:X94),-3)</f>
        <v>50000</v>
      </c>
      <c r="Y91" s="140" t="s">
        <v>55</v>
      </c>
      <c r="Z91" s="1"/>
    </row>
    <row r="92" spans="1:26" ht="21" customHeight="1">
      <c r="A92" s="58"/>
      <c r="B92" s="88"/>
      <c r="C92" s="44" t="s">
        <v>111</v>
      </c>
      <c r="D92" s="44" t="s">
        <v>173</v>
      </c>
      <c r="E92" s="46"/>
      <c r="F92" s="46"/>
      <c r="G92" s="47"/>
      <c r="H92" s="68"/>
      <c r="I92" s="65" t="s">
        <v>273</v>
      </c>
      <c r="J92" s="269"/>
      <c r="K92" s="268"/>
      <c r="L92" s="268"/>
      <c r="M92" s="268"/>
      <c r="N92" s="268"/>
      <c r="O92" s="268"/>
      <c r="P92" s="268"/>
      <c r="Q92" s="52"/>
      <c r="R92" s="52"/>
      <c r="S92" s="52"/>
      <c r="T92" s="268"/>
      <c r="U92" s="268"/>
      <c r="V92" s="268"/>
      <c r="W92" s="66"/>
      <c r="X92" s="66">
        <v>20000</v>
      </c>
      <c r="Y92" s="55" t="s">
        <v>55</v>
      </c>
      <c r="Z92" s="1"/>
    </row>
    <row r="93" spans="1:26" ht="21" customHeight="1">
      <c r="A93" s="58"/>
      <c r="B93" s="88"/>
      <c r="C93" s="44"/>
      <c r="D93" s="44"/>
      <c r="E93" s="46"/>
      <c r="F93" s="46"/>
      <c r="G93" s="47"/>
      <c r="H93" s="68"/>
      <c r="I93" s="65" t="s">
        <v>452</v>
      </c>
      <c r="J93" s="269"/>
      <c r="K93" s="268"/>
      <c r="L93" s="268"/>
      <c r="M93" s="268"/>
      <c r="N93" s="268"/>
      <c r="O93" s="268"/>
      <c r="P93" s="268"/>
      <c r="Q93" s="52"/>
      <c r="R93" s="52"/>
      <c r="S93" s="52"/>
      <c r="T93" s="268"/>
      <c r="U93" s="268"/>
      <c r="V93" s="268"/>
      <c r="W93" s="66"/>
      <c r="X93" s="66">
        <v>10000</v>
      </c>
      <c r="Y93" s="55" t="s">
        <v>55</v>
      </c>
      <c r="Z93" s="1"/>
    </row>
    <row r="94" spans="1:26" ht="21" customHeight="1">
      <c r="A94" s="58"/>
      <c r="B94" s="88"/>
      <c r="C94" s="44"/>
      <c r="D94" s="44"/>
      <c r="E94" s="46"/>
      <c r="F94" s="46"/>
      <c r="G94" s="47"/>
      <c r="H94" s="68"/>
      <c r="I94" s="65" t="s">
        <v>442</v>
      </c>
      <c r="J94" s="269"/>
      <c r="K94" s="268"/>
      <c r="L94" s="268"/>
      <c r="M94" s="268"/>
      <c r="N94" s="268"/>
      <c r="O94" s="268"/>
      <c r="P94" s="268"/>
      <c r="Q94" s="52"/>
      <c r="R94" s="52"/>
      <c r="S94" s="52"/>
      <c r="T94" s="268"/>
      <c r="U94" s="268"/>
      <c r="V94" s="268"/>
      <c r="W94" s="66"/>
      <c r="X94" s="66">
        <v>20000</v>
      </c>
      <c r="Y94" s="55" t="s">
        <v>55</v>
      </c>
      <c r="Z94" s="1"/>
    </row>
    <row r="95" spans="1:26" ht="21" customHeight="1">
      <c r="A95" s="58"/>
      <c r="B95" s="88"/>
      <c r="C95" s="44"/>
      <c r="D95" s="44"/>
      <c r="E95" s="46"/>
      <c r="F95" s="46"/>
      <c r="G95" s="47"/>
      <c r="H95" s="68"/>
      <c r="I95" s="65"/>
      <c r="J95" s="269"/>
      <c r="K95" s="268"/>
      <c r="L95" s="268"/>
      <c r="M95" s="268"/>
      <c r="N95" s="268"/>
      <c r="O95" s="268"/>
      <c r="P95" s="268"/>
      <c r="Q95" s="52"/>
      <c r="R95" s="52"/>
      <c r="S95" s="52"/>
      <c r="T95" s="268"/>
      <c r="U95" s="268"/>
      <c r="V95" s="268"/>
      <c r="W95" s="66"/>
      <c r="X95" s="66"/>
      <c r="Y95" s="55"/>
      <c r="Z95" s="1"/>
    </row>
    <row r="96" spans="1:26" ht="21" customHeight="1">
      <c r="A96" s="58"/>
      <c r="B96" s="88"/>
      <c r="C96" s="34" t="s">
        <v>112</v>
      </c>
      <c r="D96" s="387" t="s">
        <v>94</v>
      </c>
      <c r="E96" s="206">
        <f>E97</f>
        <v>44095</v>
      </c>
      <c r="F96" s="206">
        <f>F97</f>
        <v>0</v>
      </c>
      <c r="G96" s="207">
        <f>F96-E96</f>
        <v>-44095</v>
      </c>
      <c r="H96" s="208">
        <f>IF(E96=0,0,G96/E96)</f>
        <v>-1</v>
      </c>
      <c r="I96" s="192" t="s">
        <v>126</v>
      </c>
      <c r="J96" s="193"/>
      <c r="K96" s="194"/>
      <c r="L96" s="194"/>
      <c r="M96" s="194"/>
      <c r="N96" s="194"/>
      <c r="O96" s="194"/>
      <c r="P96" s="195"/>
      <c r="Q96" s="195"/>
      <c r="R96" s="195"/>
      <c r="S96" s="195"/>
      <c r="T96" s="195"/>
      <c r="U96" s="195"/>
      <c r="V96" s="221" t="s">
        <v>61</v>
      </c>
      <c r="W96" s="222"/>
      <c r="X96" s="222">
        <f>SUM(X97:X97)</f>
        <v>0</v>
      </c>
      <c r="Y96" s="247" t="s">
        <v>55</v>
      </c>
      <c r="Z96" s="1"/>
    </row>
    <row r="97" spans="1:26" ht="21" customHeight="1">
      <c r="A97" s="58"/>
      <c r="B97" s="88"/>
      <c r="C97" s="44" t="s">
        <v>57</v>
      </c>
      <c r="D97" s="44" t="s">
        <v>172</v>
      </c>
      <c r="E97" s="46">
        <v>44095</v>
      </c>
      <c r="F97" s="46">
        <f>ROUND(X97/1000,0)</f>
        <v>0</v>
      </c>
      <c r="G97" s="36">
        <f>F97-E97</f>
        <v>-44095</v>
      </c>
      <c r="H97" s="37">
        <f>IF(E97=0,0,G97/E97)</f>
        <v>-1</v>
      </c>
      <c r="I97" s="138" t="s">
        <v>126</v>
      </c>
      <c r="J97" s="15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545"/>
      <c r="W97" s="545"/>
      <c r="X97" s="139">
        <f>ROUNDUP(SUM(W98:X98),-3)</f>
        <v>0</v>
      </c>
      <c r="Y97" s="140" t="s">
        <v>55</v>
      </c>
      <c r="Z97" s="1"/>
    </row>
    <row r="98" spans="1:26" ht="21" customHeight="1">
      <c r="A98" s="58"/>
      <c r="B98" s="88"/>
      <c r="C98" s="44"/>
      <c r="D98" s="44"/>
      <c r="E98" s="46"/>
      <c r="F98" s="46"/>
      <c r="G98" s="47"/>
      <c r="H98" s="29"/>
      <c r="I98" s="65" t="s">
        <v>444</v>
      </c>
      <c r="J98" s="268"/>
      <c r="K98" s="268"/>
      <c r="L98" s="268"/>
      <c r="M98" s="268"/>
      <c r="N98" s="268"/>
      <c r="O98" s="269"/>
      <c r="P98" s="268"/>
      <c r="Q98" s="269"/>
      <c r="R98" s="269"/>
      <c r="S98" s="268"/>
      <c r="T98" s="268"/>
      <c r="U98" s="386" t="s">
        <v>388</v>
      </c>
      <c r="V98" s="386"/>
      <c r="W98" s="269"/>
      <c r="X98" s="268">
        <v>0</v>
      </c>
      <c r="Y98" s="55" t="s">
        <v>55</v>
      </c>
      <c r="Z98" s="1"/>
    </row>
    <row r="99" spans="1:26" ht="21" customHeight="1" thickBot="1">
      <c r="A99" s="98"/>
      <c r="B99" s="99"/>
      <c r="C99" s="99"/>
      <c r="D99" s="100"/>
      <c r="E99" s="101"/>
      <c r="F99" s="101"/>
      <c r="G99" s="102"/>
      <c r="H99" s="103"/>
      <c r="I99" s="61"/>
      <c r="J99" s="63"/>
      <c r="K99" s="63"/>
      <c r="L99" s="63"/>
      <c r="M99" s="63"/>
      <c r="N99" s="63"/>
      <c r="O99" s="62"/>
      <c r="P99" s="63"/>
      <c r="Q99" s="62"/>
      <c r="R99" s="62"/>
      <c r="S99" s="63"/>
      <c r="T99" s="63"/>
      <c r="U99" s="104"/>
      <c r="V99" s="104"/>
      <c r="W99" s="62"/>
      <c r="X99" s="63"/>
      <c r="Y99" s="64"/>
      <c r="Z99" s="1"/>
    </row>
    <row r="100" spans="1:26" ht="21" customHeight="1">
      <c r="Z100" s="1"/>
    </row>
    <row r="101" spans="1:26" ht="21" customHeight="1">
      <c r="Z101" s="1"/>
    </row>
    <row r="102" spans="1:26" ht="21" customHeight="1">
      <c r="Z102" s="1"/>
    </row>
    <row r="103" spans="1:26" ht="21" customHeight="1">
      <c r="Z103" s="1"/>
    </row>
    <row r="104" spans="1:26" ht="21" customHeight="1">
      <c r="Z104" s="1"/>
    </row>
    <row r="105" spans="1:26" ht="21" customHeight="1">
      <c r="Z105" s="1"/>
    </row>
    <row r="106" spans="1:26" ht="21" customHeight="1">
      <c r="Z106" s="1"/>
    </row>
    <row r="107" spans="1:26" ht="21" customHeight="1">
      <c r="Z107" s="1"/>
    </row>
    <row r="108" spans="1:26" ht="21" customHeight="1">
      <c r="Z108" s="1"/>
    </row>
    <row r="109" spans="1:26" ht="21" customHeight="1">
      <c r="Z109" s="1"/>
    </row>
    <row r="110" spans="1:26" ht="21" customHeight="1">
      <c r="Z110" s="1"/>
    </row>
    <row r="111" spans="1:26" ht="21" customHeight="1">
      <c r="Z111" s="1"/>
    </row>
    <row r="112" spans="1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>
      <c r="Z120" s="1"/>
    </row>
    <row r="121" spans="26:26" ht="21" customHeight="1">
      <c r="Z121" s="1"/>
    </row>
    <row r="122" spans="26:26" ht="21" customHeight="1">
      <c r="Z122" s="1"/>
    </row>
    <row r="123" spans="26:26" ht="21" customHeight="1">
      <c r="Z123" s="1"/>
    </row>
    <row r="124" spans="26:26" ht="21" customHeight="1">
      <c r="Z124" s="1"/>
    </row>
    <row r="125" spans="26:26" ht="21" customHeight="1">
      <c r="Z125" s="1"/>
    </row>
    <row r="126" spans="26:26" ht="21" customHeight="1"/>
    <row r="127" spans="26:26" ht="21" customHeight="1"/>
    <row r="128" spans="26:26" ht="21" customHeight="1"/>
    <row r="129" spans="1:26" ht="21" customHeight="1"/>
    <row r="130" spans="1:26" ht="21" customHeight="1"/>
    <row r="131" spans="1:26" ht="21" customHeight="1"/>
    <row r="132" spans="1:26" ht="21" customHeight="1"/>
    <row r="133" spans="1:26" ht="21" customHeight="1"/>
    <row r="134" spans="1:26" ht="21" customHeight="1"/>
    <row r="135" spans="1:26" ht="21" customHeight="1"/>
    <row r="136" spans="1:26" s="11" customFormat="1" ht="19.5" customHeight="1">
      <c r="A136" s="7"/>
      <c r="B136" s="7"/>
      <c r="C136" s="7"/>
      <c r="D136" s="7"/>
      <c r="E136" s="9"/>
      <c r="F136" s="9"/>
      <c r="G136" s="10"/>
      <c r="H136" s="12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6"/>
    </row>
    <row r="137" spans="1:26" ht="21" customHeight="1"/>
    <row r="138" spans="1:26" ht="21" customHeight="1"/>
    <row r="139" spans="1:26" ht="21.75" customHeight="1"/>
    <row r="140" spans="1:26" ht="18" customHeight="1"/>
    <row r="141" spans="1:26" ht="18" customHeight="1"/>
    <row r="142" spans="1:26" ht="18" customHeight="1"/>
    <row r="143" spans="1:26" ht="18" customHeight="1"/>
    <row r="144" spans="1:26" ht="18" customHeight="1"/>
    <row r="145" spans="26:26" ht="18" customHeight="1">
      <c r="Z145" s="1"/>
    </row>
    <row r="146" spans="26:26" ht="18" customHeight="1">
      <c r="Z146" s="1"/>
    </row>
    <row r="147" spans="26:26" ht="18" customHeight="1">
      <c r="Z147" s="1"/>
    </row>
    <row r="148" spans="26:26" ht="18" customHeight="1">
      <c r="Z148" s="1"/>
    </row>
    <row r="149" spans="26:26" ht="18" customHeight="1">
      <c r="Z149" s="1"/>
    </row>
    <row r="150" spans="26:26" ht="25.5" customHeight="1">
      <c r="Z150" s="1"/>
    </row>
    <row r="151" spans="26:26" ht="21" customHeight="1">
      <c r="Z151" s="1"/>
    </row>
    <row r="152" spans="26:26" ht="21" customHeight="1">
      <c r="Z152" s="1"/>
    </row>
    <row r="153" spans="26:26" ht="21" customHeight="1">
      <c r="Z153" s="1"/>
    </row>
    <row r="154" spans="26:26" ht="21" customHeight="1">
      <c r="Z154" s="1"/>
    </row>
    <row r="155" spans="26:26" ht="21" customHeight="1">
      <c r="Z155" s="1"/>
    </row>
    <row r="156" spans="26:26" ht="21" customHeight="1">
      <c r="Z156" s="1"/>
    </row>
    <row r="157" spans="26:26" ht="21" customHeight="1">
      <c r="Z157" s="1"/>
    </row>
    <row r="158" spans="26:26" ht="21" customHeight="1">
      <c r="Z158" s="1"/>
    </row>
    <row r="159" spans="26:26" ht="21" customHeight="1">
      <c r="Z159" s="1"/>
    </row>
    <row r="160" spans="26:26" ht="21" customHeight="1">
      <c r="Z160" s="1"/>
    </row>
    <row r="161" spans="26:27" ht="21" customHeight="1">
      <c r="Z161" s="1"/>
    </row>
    <row r="162" spans="26:27" ht="21" customHeight="1">
      <c r="Z162" s="21"/>
      <c r="AA162" s="22"/>
    </row>
    <row r="163" spans="26:27" ht="21" customHeight="1">
      <c r="Z163" s="21"/>
      <c r="AA163" s="22"/>
    </row>
    <row r="164" spans="26:27" ht="21" customHeight="1">
      <c r="Z164" s="21"/>
      <c r="AA164" s="22"/>
    </row>
    <row r="165" spans="26:27" ht="21" customHeight="1">
      <c r="Z165" s="21"/>
      <c r="AA165" s="22"/>
    </row>
    <row r="166" spans="26:27" ht="21" customHeight="1">
      <c r="Z166" s="21"/>
      <c r="AA166" s="22"/>
    </row>
    <row r="167" spans="26:27" ht="21" customHeight="1">
      <c r="Z167" s="21"/>
      <c r="AA167" s="22"/>
    </row>
    <row r="168" spans="26:27" ht="21" customHeight="1"/>
    <row r="169" spans="26:27" ht="21" customHeight="1"/>
    <row r="170" spans="26:27" ht="21" customHeight="1"/>
    <row r="171" spans="26:27" ht="21" customHeight="1"/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26:26" ht="21" customHeight="1">
      <c r="Z209" s="1"/>
    </row>
    <row r="210" spans="26:26" ht="21" customHeight="1">
      <c r="Z210" s="1"/>
    </row>
    <row r="211" spans="26:26" ht="21" customHeight="1">
      <c r="Z211" s="1"/>
    </row>
    <row r="212" spans="26:26" ht="21" customHeight="1">
      <c r="Z212" s="1"/>
    </row>
    <row r="213" spans="26:26" ht="21" customHeight="1">
      <c r="Z213" s="1"/>
    </row>
    <row r="214" spans="26:26" ht="21" customHeight="1">
      <c r="Z214" s="1"/>
    </row>
    <row r="215" spans="26:26" ht="21" customHeight="1">
      <c r="Z215" s="1"/>
    </row>
    <row r="216" spans="26:26" ht="21" customHeight="1">
      <c r="Z216" s="1"/>
    </row>
    <row r="217" spans="26:26" ht="21" customHeight="1">
      <c r="Z217" s="1"/>
    </row>
    <row r="218" spans="26:26" ht="21" customHeight="1">
      <c r="Z218" s="1"/>
    </row>
    <row r="219" spans="26:26" ht="21" customHeight="1"/>
    <row r="220" spans="26:26" ht="21" customHeight="1"/>
    <row r="221" spans="26:26" ht="21" customHeight="1"/>
    <row r="222" spans="26:26" ht="21" customHeight="1"/>
    <row r="223" spans="26:26" ht="21" customHeight="1"/>
    <row r="224" spans="26:26" ht="21" customHeight="1"/>
    <row r="225" spans="1:47" ht="21" customHeight="1"/>
    <row r="226" spans="1:47" ht="21" customHeight="1"/>
    <row r="227" spans="1:47" ht="21" customHeight="1"/>
    <row r="228" spans="1:47" ht="21" customHeight="1"/>
    <row r="229" spans="1:47" ht="21" customHeight="1"/>
    <row r="230" spans="1:47" s="4" customFormat="1" ht="21" customHeight="1">
      <c r="A230" s="7"/>
      <c r="B230" s="7"/>
      <c r="C230" s="7"/>
      <c r="D230" s="7"/>
      <c r="E230" s="9"/>
      <c r="F230" s="9"/>
      <c r="G230" s="10"/>
      <c r="H230" s="12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36"/>
      <c r="AA230" s="237"/>
      <c r="AB230" s="237"/>
      <c r="AC230" s="238"/>
      <c r="AD230" s="239"/>
      <c r="AE230" s="240"/>
      <c r="AF230" s="241"/>
      <c r="AG230" s="242"/>
      <c r="AH230" s="242"/>
      <c r="AI230" s="241"/>
      <c r="AJ230" s="241"/>
      <c r="AK230" s="241"/>
      <c r="AL230" s="241"/>
      <c r="AM230" s="241"/>
      <c r="AN230" s="240"/>
      <c r="AO230" s="240"/>
      <c r="AP230" s="240"/>
      <c r="AQ230" s="240"/>
      <c r="AR230" s="240"/>
      <c r="AS230" s="240"/>
      <c r="AT230" s="243"/>
      <c r="AU230" s="241"/>
    </row>
    <row r="231" spans="1:47" ht="21" customHeight="1"/>
    <row r="232" spans="1:47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47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47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47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47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47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47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47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47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54" spans="1:26" s="11" customFormat="1" ht="19.5" customHeight="1">
      <c r="A254" s="7"/>
      <c r="B254" s="7"/>
      <c r="C254" s="7"/>
      <c r="D254" s="7"/>
      <c r="E254" s="9"/>
      <c r="F254" s="9"/>
      <c r="G254" s="10"/>
      <c r="H254" s="12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6"/>
    </row>
    <row r="255" spans="1:26" s="11" customFormat="1" ht="19.5" customHeight="1">
      <c r="A255" s="7"/>
      <c r="B255" s="7"/>
      <c r="C255" s="7"/>
      <c r="D255" s="7"/>
      <c r="E255" s="9"/>
      <c r="F255" s="9"/>
      <c r="G255" s="10"/>
      <c r="H255" s="12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6"/>
    </row>
    <row r="256" spans="1:26" s="11" customFormat="1" ht="19.5" customHeight="1">
      <c r="A256" s="7"/>
      <c r="B256" s="7"/>
      <c r="C256" s="7"/>
      <c r="D256" s="7"/>
      <c r="E256" s="9"/>
      <c r="F256" s="9"/>
      <c r="G256" s="10"/>
      <c r="H256" s="12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6"/>
    </row>
    <row r="257" spans="1:26" s="11" customFormat="1" ht="19.5" customHeight="1">
      <c r="A257" s="7"/>
      <c r="B257" s="7"/>
      <c r="C257" s="7"/>
      <c r="D257" s="7"/>
      <c r="E257" s="9"/>
      <c r="F257" s="9"/>
      <c r="G257" s="10"/>
      <c r="H257" s="12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6"/>
    </row>
    <row r="258" spans="1:26" s="11" customFormat="1" ht="19.5" customHeight="1">
      <c r="A258" s="7"/>
      <c r="B258" s="7"/>
      <c r="C258" s="7"/>
      <c r="D258" s="7"/>
      <c r="E258" s="9"/>
      <c r="F258" s="9"/>
      <c r="G258" s="10"/>
      <c r="H258" s="12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6"/>
    </row>
    <row r="259" spans="1:26" s="11" customFormat="1" ht="19.5" customHeight="1">
      <c r="A259" s="7"/>
      <c r="B259" s="7"/>
      <c r="C259" s="7"/>
      <c r="D259" s="7"/>
      <c r="E259" s="9"/>
      <c r="F259" s="9"/>
      <c r="G259" s="10"/>
      <c r="H259" s="12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6"/>
    </row>
    <row r="270" spans="1:26" ht="19.5" customHeight="1">
      <c r="Z270" s="6" t="s">
        <v>58</v>
      </c>
    </row>
  </sheetData>
  <mergeCells count="24">
    <mergeCell ref="V97:W97"/>
    <mergeCell ref="V91:W91"/>
    <mergeCell ref="V45:W45"/>
    <mergeCell ref="V76:W76"/>
    <mergeCell ref="V72:W72"/>
    <mergeCell ref="V59:W59"/>
    <mergeCell ref="C85:D85"/>
    <mergeCell ref="V87:W87"/>
    <mergeCell ref="F2:F3"/>
    <mergeCell ref="C18:D18"/>
    <mergeCell ref="C33:D33"/>
    <mergeCell ref="C50:D50"/>
    <mergeCell ref="V52:W52"/>
    <mergeCell ref="C57:D57"/>
    <mergeCell ref="V35:W35"/>
    <mergeCell ref="V69:W69"/>
    <mergeCell ref="I2:Y3"/>
    <mergeCell ref="C5:D5"/>
    <mergeCell ref="C63:D63"/>
    <mergeCell ref="A1:D1"/>
    <mergeCell ref="A2:D2"/>
    <mergeCell ref="E2:E3"/>
    <mergeCell ref="A4:D4"/>
    <mergeCell ref="G2:H2"/>
  </mergeCells>
  <phoneticPr fontId="11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5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C81" sqref="AC81"/>
    </sheetView>
  </sheetViews>
  <sheetFormatPr defaultColWidth="13.77734375" defaultRowHeight="21" customHeight="1"/>
  <cols>
    <col min="1" max="1" width="5.88671875" style="20" bestFit="1" customWidth="1"/>
    <col min="2" max="2" width="7.109375" style="20" bestFit="1" customWidth="1"/>
    <col min="3" max="3" width="8.5546875" style="20" bestFit="1" customWidth="1"/>
    <col min="4" max="4" width="9.21875" style="16" bestFit="1" customWidth="1"/>
    <col min="5" max="5" width="8.109375" style="16" bestFit="1" customWidth="1"/>
    <col min="6" max="6" width="7.6640625" style="16" customWidth="1"/>
    <col min="7" max="7" width="8.33203125" style="16" bestFit="1" customWidth="1"/>
    <col min="8" max="8" width="7.77734375" style="16" customWidth="1"/>
    <col min="9" max="9" width="7.44140625" style="16" bestFit="1" customWidth="1"/>
    <col min="10" max="10" width="7.6640625" style="16" bestFit="1" customWidth="1"/>
    <col min="11" max="11" width="7.33203125" style="166" customWidth="1"/>
    <col min="12" max="12" width="14.109375" style="4" customWidth="1"/>
    <col min="13" max="13" width="12" style="4" customWidth="1"/>
    <col min="14" max="14" width="6.44140625" style="4" customWidth="1"/>
    <col min="15" max="15" width="7.44140625" style="4" customWidth="1"/>
    <col min="16" max="16" width="11.109375" style="5" bestFit="1" customWidth="1"/>
    <col min="17" max="17" width="3.21875" style="5" bestFit="1" customWidth="1"/>
    <col min="18" max="18" width="4" style="5" bestFit="1" customWidth="1"/>
    <col min="19" max="19" width="7.109375" style="5" bestFit="1" customWidth="1"/>
    <col min="20" max="20" width="3.21875" style="5" customWidth="1"/>
    <col min="21" max="21" width="4.88671875" style="5" customWidth="1"/>
    <col min="22" max="22" width="4.77734375" style="5" customWidth="1"/>
    <col min="23" max="23" width="3.6640625" style="5" customWidth="1"/>
    <col min="24" max="24" width="3" style="5" customWidth="1"/>
    <col min="25" max="25" width="3.33203125" style="5" customWidth="1"/>
    <col min="26" max="26" width="1.44140625" style="5" customWidth="1"/>
    <col min="27" max="27" width="12.44140625" style="5" bestFit="1" customWidth="1"/>
    <col min="28" max="28" width="2.77734375" style="5" customWidth="1"/>
    <col min="29" max="29" width="3.6640625" style="4" customWidth="1"/>
    <col min="30" max="16384" width="13.77734375" style="4"/>
  </cols>
  <sheetData>
    <row r="1" spans="1:29" s="11" customFormat="1" ht="44.25" customHeight="1" thickBot="1">
      <c r="A1" s="534" t="s">
        <v>443</v>
      </c>
      <c r="B1" s="534"/>
      <c r="C1" s="534"/>
      <c r="D1" s="534"/>
      <c r="E1" s="493"/>
      <c r="F1" s="493"/>
      <c r="G1" s="493"/>
      <c r="H1" s="493"/>
      <c r="I1" s="493"/>
      <c r="J1" s="493"/>
      <c r="K1" s="158"/>
      <c r="L1" s="62"/>
      <c r="M1" s="62"/>
      <c r="N1" s="62"/>
      <c r="O1" s="62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1"/>
    </row>
    <row r="2" spans="1:29" s="3" customFormat="1" ht="27" customHeight="1">
      <c r="A2" s="535" t="s">
        <v>22</v>
      </c>
      <c r="B2" s="536"/>
      <c r="C2" s="536"/>
      <c r="D2" s="537" t="s">
        <v>432</v>
      </c>
      <c r="E2" s="571" t="s">
        <v>433</v>
      </c>
      <c r="F2" s="572"/>
      <c r="G2" s="572"/>
      <c r="H2" s="572"/>
      <c r="I2" s="573"/>
      <c r="J2" s="542" t="s">
        <v>23</v>
      </c>
      <c r="K2" s="542"/>
      <c r="L2" s="556" t="s">
        <v>53</v>
      </c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8"/>
    </row>
    <row r="3" spans="1:29" s="3" customFormat="1" ht="27" customHeight="1" thickBot="1">
      <c r="A3" s="23" t="s">
        <v>1</v>
      </c>
      <c r="B3" s="24" t="s">
        <v>2</v>
      </c>
      <c r="C3" s="24" t="s">
        <v>3</v>
      </c>
      <c r="D3" s="538"/>
      <c r="E3" s="143" t="s">
        <v>394</v>
      </c>
      <c r="F3" s="167" t="s">
        <v>322</v>
      </c>
      <c r="G3" s="167" t="s">
        <v>466</v>
      </c>
      <c r="H3" s="167" t="s">
        <v>467</v>
      </c>
      <c r="I3" s="143" t="s">
        <v>57</v>
      </c>
      <c r="J3" s="142" t="s">
        <v>82</v>
      </c>
      <c r="K3" s="105" t="s">
        <v>4</v>
      </c>
      <c r="L3" s="559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1"/>
    </row>
    <row r="4" spans="1:29" s="11" customFormat="1" ht="21" customHeight="1">
      <c r="A4" s="569" t="s">
        <v>31</v>
      </c>
      <c r="B4" s="570"/>
      <c r="C4" s="570"/>
      <c r="D4" s="282">
        <f t="shared" ref="D4:I4" si="0">SUM(D5,D85,D96,D106,D130,D133,D138,D141)</f>
        <v>388931</v>
      </c>
      <c r="E4" s="282">
        <f t="shared" si="0"/>
        <v>264706</v>
      </c>
      <c r="F4" s="282">
        <f t="shared" si="0"/>
        <v>45300</v>
      </c>
      <c r="G4" s="282">
        <f t="shared" si="0"/>
        <v>191686</v>
      </c>
      <c r="H4" s="282">
        <f t="shared" si="0"/>
        <v>27720</v>
      </c>
      <c r="I4" s="282">
        <f t="shared" si="0"/>
        <v>0</v>
      </c>
      <c r="J4" s="283">
        <f>E4-D4</f>
        <v>-124225</v>
      </c>
      <c r="K4" s="284">
        <f>IF(D4=0,0,J4/D4)</f>
        <v>-0.31940112770645696</v>
      </c>
      <c r="L4" s="285" t="s">
        <v>139</v>
      </c>
      <c r="M4" s="286"/>
      <c r="N4" s="286"/>
      <c r="O4" s="286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>
        <f>SUM(AA5,AA85,AA96,AA106,AA130,AA133,AA138,AA141)</f>
        <v>264706000</v>
      </c>
      <c r="AB4" s="288" t="s">
        <v>25</v>
      </c>
      <c r="AC4" s="2"/>
    </row>
    <row r="5" spans="1:29" s="11" customFormat="1" ht="21" customHeight="1">
      <c r="A5" s="109" t="s">
        <v>6</v>
      </c>
      <c r="B5" s="567" t="s">
        <v>7</v>
      </c>
      <c r="C5" s="568"/>
      <c r="D5" s="289">
        <f t="shared" ref="D5:I5" si="1">SUM(D6,D41,D51)</f>
        <v>92031</v>
      </c>
      <c r="E5" s="289">
        <f t="shared" si="1"/>
        <v>94259</v>
      </c>
      <c r="F5" s="289">
        <f t="shared" si="1"/>
        <v>5280</v>
      </c>
      <c r="G5" s="289">
        <f t="shared" si="1"/>
        <v>66218</v>
      </c>
      <c r="H5" s="289">
        <f t="shared" si="1"/>
        <v>22761</v>
      </c>
      <c r="I5" s="289">
        <f t="shared" si="1"/>
        <v>0</v>
      </c>
      <c r="J5" s="290">
        <f>E5-D5</f>
        <v>2228</v>
      </c>
      <c r="K5" s="291">
        <f>IF(D5=0,0,J5/D5)</f>
        <v>2.4209233845117407E-2</v>
      </c>
      <c r="L5" s="292" t="s">
        <v>140</v>
      </c>
      <c r="M5" s="292"/>
      <c r="N5" s="292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>
        <f>SUM(AA6,AA41,AA51)</f>
        <v>94259000</v>
      </c>
      <c r="AB5" s="294" t="s">
        <v>25</v>
      </c>
      <c r="AC5" s="2"/>
    </row>
    <row r="6" spans="1:29" s="11" customFormat="1" ht="21" customHeight="1">
      <c r="A6" s="43"/>
      <c r="B6" s="34" t="s">
        <v>8</v>
      </c>
      <c r="C6" s="295" t="s">
        <v>5</v>
      </c>
      <c r="D6" s="381">
        <f t="shared" ref="D6:I6" si="2">SUM(D7,D10,D13,D16,D20,D38)</f>
        <v>75737</v>
      </c>
      <c r="E6" s="296">
        <f t="shared" si="2"/>
        <v>69885</v>
      </c>
      <c r="F6" s="296">
        <f t="shared" si="2"/>
        <v>1080</v>
      </c>
      <c r="G6" s="296">
        <f t="shared" si="2"/>
        <v>63318</v>
      </c>
      <c r="H6" s="296">
        <f t="shared" si="2"/>
        <v>5487</v>
      </c>
      <c r="I6" s="296">
        <f t="shared" si="2"/>
        <v>0</v>
      </c>
      <c r="J6" s="297">
        <f>E6-D6</f>
        <v>-5852</v>
      </c>
      <c r="K6" s="298">
        <f>IF(D6=0,0,J6/D6)</f>
        <v>-7.7267385821989248E-2</v>
      </c>
      <c r="L6" s="299" t="s">
        <v>141</v>
      </c>
      <c r="M6" s="299"/>
      <c r="N6" s="299"/>
      <c r="O6" s="299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>
        <f>SUM(AA7,AA10,AA13,AA16,AA20,AA38)</f>
        <v>69885000</v>
      </c>
      <c r="AB6" s="301" t="s">
        <v>25</v>
      </c>
      <c r="AC6" s="2"/>
    </row>
    <row r="7" spans="1:29" s="11" customFormat="1" ht="21" customHeight="1">
      <c r="A7" s="43"/>
      <c r="B7" s="44"/>
      <c r="C7" s="34" t="s">
        <v>32</v>
      </c>
      <c r="D7" s="152">
        <v>64440</v>
      </c>
      <c r="E7" s="106">
        <f>AA7/1000</f>
        <v>58440</v>
      </c>
      <c r="F7" s="111">
        <f>SUMIF($Y$8:$Y$8,"보조",$AA$8:$AA$8)/1000</f>
        <v>0</v>
      </c>
      <c r="G7" s="111">
        <f>SUMIF($Y$8:$Y$8,"지후",$AA$8:$AA$8)/1000</f>
        <v>58440</v>
      </c>
      <c r="H7" s="111">
        <f>SUMIF($Y$8:$Y$8,"후원",$AA$8:$AA$8)/1000</f>
        <v>0</v>
      </c>
      <c r="I7" s="111">
        <f>SUMIF($Y$8:$Y$8,"잡수",$AA$8:$AA$8)/1000</f>
        <v>0</v>
      </c>
      <c r="J7" s="110">
        <f>E7-D7</f>
        <v>-6000</v>
      </c>
      <c r="K7" s="259">
        <f>IF(D7=0,0,J7/D7)</f>
        <v>-9.3109869646182494E-2</v>
      </c>
      <c r="L7" s="113" t="s">
        <v>319</v>
      </c>
      <c r="M7" s="113"/>
      <c r="N7" s="149"/>
      <c r="O7" s="149"/>
      <c r="P7" s="149"/>
      <c r="Q7" s="148"/>
      <c r="R7" s="148"/>
      <c r="S7" s="148"/>
      <c r="T7" s="97" t="s">
        <v>83</v>
      </c>
      <c r="U7" s="97"/>
      <c r="V7" s="97"/>
      <c r="W7" s="97"/>
      <c r="X7" s="97"/>
      <c r="Y7" s="97"/>
      <c r="Z7" s="115"/>
      <c r="AA7" s="115">
        <f>SUM(AA8:AA8)</f>
        <v>58440000</v>
      </c>
      <c r="AB7" s="116" t="s">
        <v>55</v>
      </c>
      <c r="AC7" s="1"/>
    </row>
    <row r="8" spans="1:29" s="11" customFormat="1" ht="21" customHeight="1">
      <c r="A8" s="43"/>
      <c r="B8" s="44"/>
      <c r="C8" s="44"/>
      <c r="D8" s="150"/>
      <c r="E8" s="106"/>
      <c r="F8" s="106"/>
      <c r="G8" s="106"/>
      <c r="H8" s="106"/>
      <c r="I8" s="106"/>
      <c r="J8" s="106"/>
      <c r="K8" s="68"/>
      <c r="L8" s="434" t="s">
        <v>387</v>
      </c>
      <c r="M8" s="432"/>
      <c r="N8" s="432"/>
      <c r="O8" s="432"/>
      <c r="P8" s="353"/>
      <c r="Q8" s="256"/>
      <c r="R8" s="269"/>
      <c r="S8" s="436"/>
      <c r="T8" s="256"/>
      <c r="U8" s="337" t="s">
        <v>440</v>
      </c>
      <c r="V8" s="256"/>
      <c r="W8" s="256"/>
      <c r="X8" s="256"/>
      <c r="Y8" s="256" t="s">
        <v>468</v>
      </c>
      <c r="Z8" s="258"/>
      <c r="AA8" s="258">
        <v>58440000</v>
      </c>
      <c r="AB8" s="272" t="s">
        <v>373</v>
      </c>
      <c r="AC8" s="2">
        <v>0</v>
      </c>
    </row>
    <row r="9" spans="1:29" s="11" customFormat="1" ht="21" customHeight="1">
      <c r="A9" s="43"/>
      <c r="B9" s="44"/>
      <c r="C9" s="44"/>
      <c r="D9" s="150"/>
      <c r="E9" s="106"/>
      <c r="F9" s="106"/>
      <c r="G9" s="106"/>
      <c r="H9" s="106"/>
      <c r="I9" s="106"/>
      <c r="J9" s="106"/>
      <c r="K9" s="68"/>
      <c r="L9" s="48"/>
      <c r="M9" s="48"/>
      <c r="N9" s="48"/>
      <c r="O9" s="48"/>
      <c r="P9" s="435"/>
      <c r="Q9" s="49"/>
      <c r="R9" s="49"/>
      <c r="S9" s="144"/>
      <c r="T9" s="144"/>
      <c r="U9" s="144"/>
      <c r="V9" s="144"/>
      <c r="W9" s="144"/>
      <c r="X9" s="144"/>
      <c r="Y9" s="144"/>
      <c r="Z9" s="70"/>
      <c r="AA9" s="70"/>
      <c r="AB9" s="71"/>
      <c r="AC9" s="1"/>
    </row>
    <row r="10" spans="1:29" s="11" customFormat="1" ht="21" hidden="1" customHeight="1">
      <c r="A10" s="43"/>
      <c r="B10" s="44"/>
      <c r="C10" s="34" t="s">
        <v>275</v>
      </c>
      <c r="D10" s="152">
        <v>0</v>
      </c>
      <c r="E10" s="111">
        <f>ROUND(AA10/1000,0)</f>
        <v>0</v>
      </c>
      <c r="F10" s="111">
        <f>SUMIF(Y11:Y12,"보조",AA11:AA12)/1000</f>
        <v>0</v>
      </c>
      <c r="G10" s="111">
        <f>SUMIF(Y11:Y12,"후원",AA11:AA12)/1000</f>
        <v>0</v>
      </c>
      <c r="H10" s="111">
        <f>SUMIF(Y11:Y12,"입소",AA11:AA12)/1000</f>
        <v>0</v>
      </c>
      <c r="I10" s="111">
        <f>SUMIF(Y11:Y12,"잡수",AA11:AA12)/1000</f>
        <v>0</v>
      </c>
      <c r="J10" s="120">
        <f>E10-D10</f>
        <v>0</v>
      </c>
      <c r="K10" s="118">
        <f>IF(D10=0,0,J10/D10)</f>
        <v>0</v>
      </c>
      <c r="L10" s="95" t="s">
        <v>33</v>
      </c>
      <c r="M10" s="162"/>
      <c r="N10" s="91"/>
      <c r="O10" s="91"/>
      <c r="P10" s="91"/>
      <c r="Q10" s="87"/>
      <c r="R10" s="87"/>
      <c r="S10" s="148"/>
      <c r="T10" s="97" t="s">
        <v>83</v>
      </c>
      <c r="U10" s="97"/>
      <c r="V10" s="97"/>
      <c r="W10" s="97"/>
      <c r="X10" s="97"/>
      <c r="Y10" s="97"/>
      <c r="Z10" s="115"/>
      <c r="AA10" s="115">
        <f>SUM(AA11:AA11)</f>
        <v>0</v>
      </c>
      <c r="AB10" s="116" t="s">
        <v>55</v>
      </c>
      <c r="AC10" s="1"/>
    </row>
    <row r="11" spans="1:29" s="11" customFormat="1" ht="21" hidden="1" customHeight="1">
      <c r="A11" s="43"/>
      <c r="B11" s="44"/>
      <c r="C11" s="44"/>
      <c r="D11" s="150"/>
      <c r="E11" s="106"/>
      <c r="F11" s="106"/>
      <c r="G11" s="106"/>
      <c r="H11" s="106"/>
      <c r="I11" s="106"/>
      <c r="J11" s="106"/>
      <c r="K11" s="68"/>
      <c r="L11" s="261"/>
      <c r="M11" s="269"/>
      <c r="N11" s="48"/>
      <c r="O11" s="48"/>
      <c r="P11" s="122">
        <v>45000</v>
      </c>
      <c r="Q11" s="122" t="s">
        <v>55</v>
      </c>
      <c r="R11" s="123" t="s">
        <v>56</v>
      </c>
      <c r="S11" s="122">
        <v>0</v>
      </c>
      <c r="T11" s="122" t="s">
        <v>54</v>
      </c>
      <c r="U11" s="123" t="s">
        <v>56</v>
      </c>
      <c r="V11" s="271">
        <v>0</v>
      </c>
      <c r="W11" s="89" t="s">
        <v>70</v>
      </c>
      <c r="X11" s="89" t="s">
        <v>52</v>
      </c>
      <c r="Y11" s="268"/>
      <c r="Z11" s="66"/>
      <c r="AA11" s="130">
        <f>P11*S11*V11</f>
        <v>0</v>
      </c>
      <c r="AB11" s="55" t="s">
        <v>62</v>
      </c>
      <c r="AC11" s="1"/>
    </row>
    <row r="12" spans="1:29" s="11" customFormat="1" ht="21" hidden="1" customHeight="1">
      <c r="A12" s="43"/>
      <c r="B12" s="44"/>
      <c r="C12" s="44"/>
      <c r="D12" s="150"/>
      <c r="E12" s="106"/>
      <c r="F12" s="106"/>
      <c r="G12" s="106"/>
      <c r="H12" s="106"/>
      <c r="I12" s="106"/>
      <c r="J12" s="106"/>
      <c r="K12" s="68"/>
      <c r="L12" s="48"/>
      <c r="M12" s="48"/>
      <c r="N12" s="48"/>
      <c r="O12" s="48"/>
      <c r="P12" s="49"/>
      <c r="Q12" s="49"/>
      <c r="R12" s="48"/>
      <c r="S12" s="49"/>
      <c r="T12" s="49"/>
      <c r="U12" s="48"/>
      <c r="V12" s="90"/>
      <c r="W12" s="49"/>
      <c r="X12" s="49"/>
      <c r="Y12" s="49"/>
      <c r="Z12" s="66"/>
      <c r="AA12" s="49"/>
      <c r="AB12" s="55"/>
      <c r="AC12" s="1"/>
    </row>
    <row r="13" spans="1:29" s="11" customFormat="1" ht="21" hidden="1" customHeight="1">
      <c r="A13" s="43"/>
      <c r="B13" s="44"/>
      <c r="C13" s="34" t="s">
        <v>276</v>
      </c>
      <c r="D13" s="152">
        <v>0</v>
      </c>
      <c r="E13" s="111">
        <f>ROUND(AA13/1000,0)</f>
        <v>0</v>
      </c>
      <c r="F13" s="111">
        <f>SUMIF(Y14:Y15,"보조",AA14:AA15)/1000</f>
        <v>0</v>
      </c>
      <c r="G13" s="111">
        <f>SUMIF(Y14:Y15,"후원",AA14:AA15)/1000</f>
        <v>0</v>
      </c>
      <c r="H13" s="111">
        <f>SUMIF(Y14:Y15,"입소",AA14:AA15)/1000</f>
        <v>0</v>
      </c>
      <c r="I13" s="111">
        <f>SUMIF(Y14:Y15,"잡수",AA14:AA15)/1000</f>
        <v>0</v>
      </c>
      <c r="J13" s="110">
        <f>E13-D13</f>
        <v>0</v>
      </c>
      <c r="K13" s="118">
        <f>IF(D13=0,0,J13/D13)</f>
        <v>0</v>
      </c>
      <c r="L13" s="95" t="s">
        <v>332</v>
      </c>
      <c r="M13" s="162"/>
      <c r="N13" s="91"/>
      <c r="O13" s="91"/>
      <c r="P13" s="91"/>
      <c r="Q13" s="87"/>
      <c r="R13" s="87"/>
      <c r="S13" s="87"/>
      <c r="T13" s="163" t="s">
        <v>83</v>
      </c>
      <c r="U13" s="163"/>
      <c r="V13" s="163"/>
      <c r="W13" s="163"/>
      <c r="X13" s="163"/>
      <c r="Y13" s="163"/>
      <c r="Z13" s="165"/>
      <c r="AA13" s="165">
        <f>AA14</f>
        <v>0</v>
      </c>
      <c r="AB13" s="164" t="s">
        <v>55</v>
      </c>
      <c r="AC13" s="1"/>
    </row>
    <row r="14" spans="1:29" s="11" customFormat="1" ht="21" hidden="1" customHeight="1">
      <c r="A14" s="43"/>
      <c r="B14" s="44"/>
      <c r="C14" s="44"/>
      <c r="D14" s="150"/>
      <c r="E14" s="106"/>
      <c r="F14" s="106"/>
      <c r="G14" s="106"/>
      <c r="H14" s="106"/>
      <c r="I14" s="106"/>
      <c r="J14" s="106"/>
      <c r="K14" s="68"/>
      <c r="L14" s="574"/>
      <c r="M14" s="575"/>
      <c r="N14" s="256"/>
      <c r="O14" s="256"/>
      <c r="P14" s="256">
        <v>0</v>
      </c>
      <c r="Q14" s="256" t="s">
        <v>143</v>
      </c>
      <c r="R14" s="257" t="s">
        <v>147</v>
      </c>
      <c r="S14" s="256">
        <v>4</v>
      </c>
      <c r="T14" s="256" t="s">
        <v>145</v>
      </c>
      <c r="U14" s="257" t="s">
        <v>147</v>
      </c>
      <c r="V14" s="326">
        <v>12</v>
      </c>
      <c r="W14" s="303" t="s">
        <v>144</v>
      </c>
      <c r="X14" s="303" t="s">
        <v>148</v>
      </c>
      <c r="Y14" s="303"/>
      <c r="Z14" s="257"/>
      <c r="AA14" s="256">
        <f>P14*S14*V14</f>
        <v>0</v>
      </c>
      <c r="AB14" s="272" t="s">
        <v>143</v>
      </c>
      <c r="AC14" s="15"/>
    </row>
    <row r="15" spans="1:29" s="11" customFormat="1" ht="21" hidden="1" customHeight="1">
      <c r="A15" s="43"/>
      <c r="B15" s="44"/>
      <c r="C15" s="44"/>
      <c r="D15" s="150"/>
      <c r="E15" s="106"/>
      <c r="F15" s="106"/>
      <c r="G15" s="106"/>
      <c r="H15" s="106"/>
      <c r="I15" s="106"/>
      <c r="J15" s="106"/>
      <c r="K15" s="68"/>
      <c r="L15" s="257"/>
      <c r="M15" s="257"/>
      <c r="N15" s="257"/>
      <c r="O15" s="257"/>
      <c r="P15" s="256"/>
      <c r="Q15" s="306"/>
      <c r="R15" s="346"/>
      <c r="S15" s="306"/>
      <c r="T15" s="347"/>
      <c r="U15" s="347"/>
      <c r="V15" s="256"/>
      <c r="W15" s="256"/>
      <c r="X15" s="256"/>
      <c r="Y15" s="256"/>
      <c r="Z15" s="256"/>
      <c r="AA15" s="256"/>
      <c r="AB15" s="272"/>
      <c r="AC15" s="15"/>
    </row>
    <row r="16" spans="1:29" s="11" customFormat="1" ht="21" customHeight="1">
      <c r="A16" s="43"/>
      <c r="B16" s="44"/>
      <c r="C16" s="34" t="s">
        <v>9</v>
      </c>
      <c r="D16" s="152">
        <v>5379</v>
      </c>
      <c r="E16" s="110">
        <f>AA16/1000</f>
        <v>5958</v>
      </c>
      <c r="F16" s="111">
        <f>SUMIF($Y$17:$Y$19,"보조",$AA$17:$AA$19)/1000</f>
        <v>1080</v>
      </c>
      <c r="G16" s="111">
        <f>SUMIF($Y$17:$Y$19,"지후",$AA$17:$AA$19)/1000</f>
        <v>4878</v>
      </c>
      <c r="H16" s="111">
        <f>SUMIF($Y$17:$Y$19,"후원",$AA$17:$AA$19)/1000</f>
        <v>0</v>
      </c>
      <c r="I16" s="111">
        <f>SUMIF($Y$17:$Y$19,"잡수",$AA$17:$AA$19)/1000</f>
        <v>0</v>
      </c>
      <c r="J16" s="110">
        <f>E16-D16</f>
        <v>579</v>
      </c>
      <c r="K16" s="118">
        <f>IF(D16=0,0,J16/D16)</f>
        <v>0.10764082543223648</v>
      </c>
      <c r="L16" s="95" t="s">
        <v>34</v>
      </c>
      <c r="M16" s="162"/>
      <c r="N16" s="146"/>
      <c r="O16" s="91"/>
      <c r="P16" s="91"/>
      <c r="Q16" s="87"/>
      <c r="R16" s="87"/>
      <c r="S16" s="87"/>
      <c r="T16" s="253" t="s">
        <v>129</v>
      </c>
      <c r="U16" s="253"/>
      <c r="V16" s="253"/>
      <c r="W16" s="253"/>
      <c r="X16" s="253"/>
      <c r="Y16" s="253"/>
      <c r="Z16" s="165" t="s">
        <v>130</v>
      </c>
      <c r="AA16" s="165">
        <f>ROUNDUP(SUM(AA17,AA18),-3)</f>
        <v>5958000</v>
      </c>
      <c r="AB16" s="164" t="s">
        <v>131</v>
      </c>
      <c r="AC16" s="2"/>
    </row>
    <row r="17" spans="1:29" s="11" customFormat="1" ht="21" customHeight="1">
      <c r="A17" s="43"/>
      <c r="B17" s="44"/>
      <c r="C17" s="44"/>
      <c r="D17" s="153"/>
      <c r="E17" s="106"/>
      <c r="F17" s="106"/>
      <c r="G17" s="106"/>
      <c r="H17" s="106"/>
      <c r="I17" s="106"/>
      <c r="J17" s="112"/>
      <c r="K17" s="68"/>
      <c r="L17" s="257"/>
      <c r="M17" s="257"/>
      <c r="N17" s="257"/>
      <c r="O17" s="257"/>
      <c r="P17" s="256">
        <v>58440000</v>
      </c>
      <c r="Q17" s="303" t="s">
        <v>143</v>
      </c>
      <c r="R17" s="303" t="s">
        <v>154</v>
      </c>
      <c r="S17" s="348">
        <v>12</v>
      </c>
      <c r="T17" s="302" t="s">
        <v>144</v>
      </c>
      <c r="U17" s="337" t="s">
        <v>440</v>
      </c>
      <c r="V17" s="256"/>
      <c r="W17" s="256"/>
      <c r="X17" s="256" t="s">
        <v>148</v>
      </c>
      <c r="Y17" s="256" t="s">
        <v>468</v>
      </c>
      <c r="Z17" s="258"/>
      <c r="AA17" s="258">
        <f>P17/S17+8000</f>
        <v>4878000</v>
      </c>
      <c r="AB17" s="272" t="s">
        <v>143</v>
      </c>
      <c r="AC17" s="2">
        <v>0</v>
      </c>
    </row>
    <row r="18" spans="1:29" s="11" customFormat="1" ht="21" customHeight="1">
      <c r="A18" s="43"/>
      <c r="B18" s="44"/>
      <c r="C18" s="44"/>
      <c r="D18" s="153"/>
      <c r="E18" s="106"/>
      <c r="F18" s="106"/>
      <c r="G18" s="106"/>
      <c r="H18" s="106"/>
      <c r="I18" s="106"/>
      <c r="J18" s="112"/>
      <c r="K18" s="68"/>
      <c r="L18" s="257"/>
      <c r="M18" s="257"/>
      <c r="N18" s="257"/>
      <c r="O18" s="257"/>
      <c r="P18" s="256"/>
      <c r="Q18" s="303"/>
      <c r="R18" s="303"/>
      <c r="S18" s="348"/>
      <c r="T18" s="302"/>
      <c r="U18" s="337" t="s">
        <v>461</v>
      </c>
      <c r="V18" s="256"/>
      <c r="W18" s="256"/>
      <c r="X18" s="256"/>
      <c r="Y18" s="256" t="s">
        <v>438</v>
      </c>
      <c r="Z18" s="258"/>
      <c r="AA18" s="258">
        <v>1080000</v>
      </c>
      <c r="AB18" s="272" t="s">
        <v>333</v>
      </c>
      <c r="AC18" s="2">
        <v>0</v>
      </c>
    </row>
    <row r="19" spans="1:29" s="11" customFormat="1" ht="21" customHeight="1">
      <c r="A19" s="43"/>
      <c r="B19" s="44"/>
      <c r="C19" s="44"/>
      <c r="D19" s="154"/>
      <c r="E19" s="106"/>
      <c r="F19" s="106"/>
      <c r="G19" s="106"/>
      <c r="H19" s="106"/>
      <c r="I19" s="106"/>
      <c r="J19" s="112"/>
      <c r="K19" s="68"/>
      <c r="L19" s="30"/>
      <c r="M19" s="30"/>
      <c r="N19" s="30"/>
      <c r="O19" s="30"/>
      <c r="P19" s="30"/>
      <c r="Q19" s="31"/>
      <c r="R19" s="31"/>
      <c r="S19" s="31"/>
      <c r="T19" s="31"/>
      <c r="U19" s="31"/>
      <c r="V19" s="31"/>
      <c r="W19" s="31"/>
      <c r="X19" s="31"/>
      <c r="Y19" s="31"/>
      <c r="Z19" s="50"/>
      <c r="AA19" s="50"/>
      <c r="AB19" s="32"/>
      <c r="AC19" s="2"/>
    </row>
    <row r="20" spans="1:29" s="11" customFormat="1" ht="21" customHeight="1">
      <c r="A20" s="43"/>
      <c r="B20" s="44"/>
      <c r="C20" s="119" t="s">
        <v>63</v>
      </c>
      <c r="D20" s="152">
        <v>5798</v>
      </c>
      <c r="E20" s="110">
        <f>AA20/1000</f>
        <v>5397</v>
      </c>
      <c r="F20" s="111">
        <f>SUMIF($Y$21:$Y$37,"보조",$AA$21:$AA$37)/1000</f>
        <v>0</v>
      </c>
      <c r="G20" s="111">
        <f>SUMIF($Y$21:$Y$37,"지후",$AA$21:$AA$37)/1000</f>
        <v>0</v>
      </c>
      <c r="H20" s="111">
        <f>SUMIF($Y$21:$Y$37,"후원",$AA$21:$AA$37)/1000</f>
        <v>5397</v>
      </c>
      <c r="I20" s="111">
        <f>SUMIF($Y$21:$Y$37,"잡수",$AA$21:$AA$37)/1000</f>
        <v>0</v>
      </c>
      <c r="J20" s="120">
        <f>E20-D20</f>
        <v>-401</v>
      </c>
      <c r="K20" s="118">
        <f>IF(D20=0,0,J20/D20)</f>
        <v>-6.9161779924111766E-2</v>
      </c>
      <c r="L20" s="95" t="s">
        <v>35</v>
      </c>
      <c r="M20" s="162"/>
      <c r="N20" s="91"/>
      <c r="O20" s="91"/>
      <c r="P20" s="91"/>
      <c r="Q20" s="87"/>
      <c r="R20" s="87"/>
      <c r="S20" s="87"/>
      <c r="T20" s="163" t="s">
        <v>83</v>
      </c>
      <c r="U20" s="163"/>
      <c r="V20" s="163"/>
      <c r="W20" s="163"/>
      <c r="X20" s="163"/>
      <c r="Y20" s="163"/>
      <c r="Z20" s="165"/>
      <c r="AA20" s="165">
        <f>SUM(AA22,AA26,AA29,AA32,AA35)</f>
        <v>5397000</v>
      </c>
      <c r="AB20" s="164" t="s">
        <v>25</v>
      </c>
    </row>
    <row r="21" spans="1:29" s="11" customFormat="1" ht="21" customHeight="1">
      <c r="A21" s="43"/>
      <c r="B21" s="44"/>
      <c r="C21" s="44" t="s">
        <v>84</v>
      </c>
      <c r="D21" s="150"/>
      <c r="E21" s="106"/>
      <c r="F21" s="106"/>
      <c r="G21" s="106"/>
      <c r="H21" s="106"/>
      <c r="I21" s="106"/>
      <c r="J21" s="106"/>
      <c r="K21" s="68"/>
      <c r="L21" s="149"/>
      <c r="M21" s="30"/>
      <c r="N21" s="30"/>
      <c r="O21" s="30"/>
      <c r="P21" s="30"/>
      <c r="Q21" s="31"/>
      <c r="R21" s="31"/>
      <c r="S21" s="31"/>
      <c r="T21" s="31"/>
      <c r="U21" s="31"/>
      <c r="V21" s="31"/>
      <c r="W21" s="31"/>
      <c r="X21" s="31"/>
      <c r="Y21" s="31"/>
      <c r="Z21" s="50"/>
      <c r="AA21" s="50"/>
      <c r="AB21" s="32"/>
      <c r="AC21" s="2"/>
    </row>
    <row r="22" spans="1:29" s="11" customFormat="1" ht="21" customHeight="1">
      <c r="A22" s="43"/>
      <c r="B22" s="44"/>
      <c r="C22" s="44"/>
      <c r="D22" s="150"/>
      <c r="E22" s="106"/>
      <c r="F22" s="106"/>
      <c r="G22" s="106"/>
      <c r="H22" s="106"/>
      <c r="I22" s="106"/>
      <c r="J22" s="106"/>
      <c r="K22" s="68"/>
      <c r="L22" s="334" t="s">
        <v>389</v>
      </c>
      <c r="M22" s="257"/>
      <c r="N22" s="257"/>
      <c r="O22" s="257"/>
      <c r="P22" s="257"/>
      <c r="Q22" s="256"/>
      <c r="R22" s="256"/>
      <c r="S22" s="256"/>
      <c r="T22" s="321" t="s">
        <v>153</v>
      </c>
      <c r="U22" s="321"/>
      <c r="V22" s="321"/>
      <c r="W22" s="321"/>
      <c r="X22" s="321"/>
      <c r="Y22" s="321"/>
      <c r="Z22" s="322"/>
      <c r="AA22" s="322">
        <f>ROUND(SUM(AA23:AA25),-3)</f>
        <v>2160000</v>
      </c>
      <c r="AB22" s="323" t="s">
        <v>143</v>
      </c>
      <c r="AC22" s="2"/>
    </row>
    <row r="23" spans="1:29" s="11" customFormat="1" ht="21" customHeight="1">
      <c r="A23" s="43"/>
      <c r="B23" s="44"/>
      <c r="C23" s="44"/>
      <c r="D23" s="150"/>
      <c r="E23" s="106"/>
      <c r="F23" s="106"/>
      <c r="G23" s="106"/>
      <c r="H23" s="106"/>
      <c r="I23" s="106"/>
      <c r="J23" s="106"/>
      <c r="K23" s="68"/>
      <c r="L23" s="257"/>
      <c r="M23" s="257"/>
      <c r="N23" s="257"/>
      <c r="O23" s="257"/>
      <c r="P23" s="256">
        <f>P17-10440000</f>
        <v>48000000</v>
      </c>
      <c r="Q23" s="303" t="s">
        <v>143</v>
      </c>
      <c r="R23" s="302" t="s">
        <v>147</v>
      </c>
      <c r="S23" s="349">
        <v>0.09</v>
      </c>
      <c r="T23" s="303" t="s">
        <v>154</v>
      </c>
      <c r="U23" s="350">
        <v>2</v>
      </c>
      <c r="V23" s="305"/>
      <c r="W23" s="305"/>
      <c r="X23" s="303" t="s">
        <v>148</v>
      </c>
      <c r="Y23" s="256" t="s">
        <v>356</v>
      </c>
      <c r="Z23" s="258"/>
      <c r="AA23" s="258">
        <f>P23*S23/U23</f>
        <v>2160000</v>
      </c>
      <c r="AB23" s="272" t="s">
        <v>143</v>
      </c>
      <c r="AC23" s="2"/>
    </row>
    <row r="24" spans="1:29" s="11" customFormat="1" ht="21" customHeight="1">
      <c r="A24" s="43"/>
      <c r="B24" s="44"/>
      <c r="C24" s="44"/>
      <c r="D24" s="150"/>
      <c r="E24" s="106"/>
      <c r="F24" s="106"/>
      <c r="G24" s="106"/>
      <c r="H24" s="106"/>
      <c r="I24" s="106"/>
      <c r="J24" s="106"/>
      <c r="K24" s="68"/>
      <c r="L24" s="257"/>
      <c r="M24" s="257"/>
      <c r="N24" s="257"/>
      <c r="O24" s="257"/>
      <c r="P24" s="256"/>
      <c r="Q24" s="303"/>
      <c r="R24" s="302"/>
      <c r="S24" s="349"/>
      <c r="T24" s="303"/>
      <c r="U24" s="350"/>
      <c r="V24" s="305"/>
      <c r="W24" s="305"/>
      <c r="X24" s="303"/>
      <c r="Y24" s="256" t="s">
        <v>425</v>
      </c>
      <c r="Z24" s="258"/>
      <c r="AA24" s="258">
        <v>0</v>
      </c>
      <c r="AB24" s="272" t="s">
        <v>420</v>
      </c>
      <c r="AC24" s="2"/>
    </row>
    <row r="25" spans="1:29" s="11" customFormat="1" ht="21" customHeight="1">
      <c r="A25" s="43"/>
      <c r="B25" s="44"/>
      <c r="C25" s="44"/>
      <c r="D25" s="150"/>
      <c r="E25" s="106"/>
      <c r="F25" s="106"/>
      <c r="G25" s="106"/>
      <c r="H25" s="106"/>
      <c r="I25" s="106"/>
      <c r="J25" s="106"/>
      <c r="K25" s="68"/>
      <c r="L25" s="257"/>
      <c r="M25" s="257"/>
      <c r="N25" s="257"/>
      <c r="O25" s="257"/>
      <c r="P25" s="256"/>
      <c r="Q25" s="303"/>
      <c r="R25" s="302"/>
      <c r="S25" s="349"/>
      <c r="T25" s="303"/>
      <c r="U25" s="350"/>
      <c r="V25" s="305"/>
      <c r="W25" s="305"/>
      <c r="X25" s="303"/>
      <c r="Y25" s="256"/>
      <c r="Z25" s="258"/>
      <c r="AA25" s="258"/>
      <c r="AB25" s="272"/>
      <c r="AC25" s="2"/>
    </row>
    <row r="26" spans="1:29" s="11" customFormat="1" ht="21" customHeight="1">
      <c r="A26" s="43"/>
      <c r="B26" s="44"/>
      <c r="C26" s="44"/>
      <c r="D26" s="150"/>
      <c r="E26" s="106"/>
      <c r="F26" s="106"/>
      <c r="G26" s="106"/>
      <c r="H26" s="106"/>
      <c r="I26" s="106"/>
      <c r="J26" s="106"/>
      <c r="K26" s="68"/>
      <c r="L26" s="334" t="s">
        <v>390</v>
      </c>
      <c r="M26" s="257"/>
      <c r="N26" s="257"/>
      <c r="O26" s="257"/>
      <c r="P26" s="257"/>
      <c r="Q26" s="256"/>
      <c r="R26" s="256"/>
      <c r="S26" s="256"/>
      <c r="T26" s="321" t="s">
        <v>152</v>
      </c>
      <c r="U26" s="321"/>
      <c r="V26" s="321"/>
      <c r="W26" s="321"/>
      <c r="X26" s="321"/>
      <c r="Y26" s="321"/>
      <c r="Z26" s="322" t="s">
        <v>157</v>
      </c>
      <c r="AA26" s="322">
        <f>ROUNDUP(SUM(AA27:AA28),-3)</f>
        <v>1949000</v>
      </c>
      <c r="AB26" s="323" t="s">
        <v>146</v>
      </c>
      <c r="AC26" s="2"/>
    </row>
    <row r="27" spans="1:29" s="11" customFormat="1" ht="21" customHeight="1">
      <c r="A27" s="43"/>
      <c r="B27" s="44"/>
      <c r="C27" s="44"/>
      <c r="D27" s="150"/>
      <c r="E27" s="106"/>
      <c r="F27" s="106"/>
      <c r="G27" s="106"/>
      <c r="H27" s="106"/>
      <c r="I27" s="106"/>
      <c r="J27" s="106"/>
      <c r="K27" s="68"/>
      <c r="L27" s="257"/>
      <c r="M27" s="257"/>
      <c r="N27" s="257"/>
      <c r="O27" s="257"/>
      <c r="P27" s="256">
        <f>P17</f>
        <v>58440000</v>
      </c>
      <c r="Q27" s="303" t="s">
        <v>146</v>
      </c>
      <c r="R27" s="302" t="s">
        <v>158</v>
      </c>
      <c r="S27" s="351">
        <v>6.6699999999999995E-2</v>
      </c>
      <c r="T27" s="303" t="s">
        <v>155</v>
      </c>
      <c r="U27" s="352">
        <v>2</v>
      </c>
      <c r="V27" s="305"/>
      <c r="W27" s="305"/>
      <c r="X27" s="303" t="s">
        <v>156</v>
      </c>
      <c r="Y27" s="256" t="s">
        <v>356</v>
      </c>
      <c r="Z27" s="258"/>
      <c r="AA27" s="258">
        <f>ROUNDUP(P27*S27/U27,-3)</f>
        <v>1949000</v>
      </c>
      <c r="AB27" s="272" t="s">
        <v>146</v>
      </c>
      <c r="AC27" s="2"/>
    </row>
    <row r="28" spans="1:29" s="11" customFormat="1" ht="21" customHeight="1">
      <c r="A28" s="43"/>
      <c r="B28" s="44"/>
      <c r="C28" s="44"/>
      <c r="D28" s="150"/>
      <c r="E28" s="106"/>
      <c r="F28" s="106"/>
      <c r="G28" s="106"/>
      <c r="H28" s="106"/>
      <c r="I28" s="106"/>
      <c r="J28" s="106"/>
      <c r="K28" s="68"/>
      <c r="L28" s="257"/>
      <c r="M28" s="257"/>
      <c r="N28" s="257"/>
      <c r="O28" s="257"/>
      <c r="P28" s="256"/>
      <c r="Q28" s="303"/>
      <c r="R28" s="302"/>
      <c r="S28" s="351"/>
      <c r="T28" s="303"/>
      <c r="U28" s="352"/>
      <c r="V28" s="305"/>
      <c r="W28" s="305"/>
      <c r="X28" s="303"/>
      <c r="Y28" s="256"/>
      <c r="Z28" s="258"/>
      <c r="AA28" s="258"/>
      <c r="AB28" s="272"/>
      <c r="AC28" s="2"/>
    </row>
    <row r="29" spans="1:29" s="11" customFormat="1" ht="21" customHeight="1">
      <c r="A29" s="43"/>
      <c r="B29" s="44"/>
      <c r="C29" s="44"/>
      <c r="D29" s="150"/>
      <c r="E29" s="106"/>
      <c r="F29" s="106"/>
      <c r="G29" s="106"/>
      <c r="H29" s="106"/>
      <c r="I29" s="106"/>
      <c r="J29" s="106"/>
      <c r="K29" s="68"/>
      <c r="L29" s="334" t="s">
        <v>391</v>
      </c>
      <c r="M29" s="257"/>
      <c r="N29" s="257"/>
      <c r="O29" s="257"/>
      <c r="P29" s="257"/>
      <c r="Q29" s="256"/>
      <c r="R29" s="256"/>
      <c r="S29" s="256"/>
      <c r="T29" s="321" t="s">
        <v>152</v>
      </c>
      <c r="U29" s="321"/>
      <c r="V29" s="321"/>
      <c r="W29" s="321"/>
      <c r="X29" s="321"/>
      <c r="Y29" s="321"/>
      <c r="Z29" s="322" t="s">
        <v>157</v>
      </c>
      <c r="AA29" s="322">
        <f>ROUND(SUM(AA30:AA31),-3)</f>
        <v>200000</v>
      </c>
      <c r="AB29" s="323" t="s">
        <v>146</v>
      </c>
      <c r="AC29" s="2"/>
    </row>
    <row r="30" spans="1:29" s="11" customFormat="1" ht="21" customHeight="1">
      <c r="A30" s="43"/>
      <c r="B30" s="44"/>
      <c r="C30" s="44"/>
      <c r="D30" s="150"/>
      <c r="E30" s="106"/>
      <c r="F30" s="106"/>
      <c r="G30" s="106"/>
      <c r="H30" s="106"/>
      <c r="I30" s="106"/>
      <c r="J30" s="106"/>
      <c r="K30" s="68"/>
      <c r="L30" s="257"/>
      <c r="M30" s="257"/>
      <c r="N30" s="257"/>
      <c r="O30" s="257"/>
      <c r="P30" s="353">
        <f>AA26</f>
        <v>1949000</v>
      </c>
      <c r="Q30" s="303" t="s">
        <v>146</v>
      </c>
      <c r="R30" s="302" t="s">
        <v>158</v>
      </c>
      <c r="S30" s="351">
        <v>0.10249999999999999</v>
      </c>
      <c r="T30" s="302"/>
      <c r="U30" s="304"/>
      <c r="V30" s="305"/>
      <c r="W30" s="305"/>
      <c r="X30" s="303" t="s">
        <v>156</v>
      </c>
      <c r="Y30" s="256" t="s">
        <v>356</v>
      </c>
      <c r="Z30" s="258"/>
      <c r="AA30" s="258">
        <f>ROUNDUP(P30*S30,-3)</f>
        <v>200000</v>
      </c>
      <c r="AB30" s="272" t="s">
        <v>146</v>
      </c>
      <c r="AC30" s="2"/>
    </row>
    <row r="31" spans="1:29" s="11" customFormat="1" ht="21" customHeight="1">
      <c r="A31" s="43"/>
      <c r="B31" s="44"/>
      <c r="C31" s="44"/>
      <c r="D31" s="150"/>
      <c r="E31" s="106"/>
      <c r="F31" s="106"/>
      <c r="G31" s="106"/>
      <c r="H31" s="106"/>
      <c r="I31" s="106"/>
      <c r="J31" s="106"/>
      <c r="K31" s="68"/>
      <c r="L31" s="257"/>
      <c r="M31" s="257"/>
      <c r="N31" s="257"/>
      <c r="O31" s="257"/>
      <c r="P31" s="353"/>
      <c r="Q31" s="303"/>
      <c r="R31" s="302"/>
      <c r="S31" s="351"/>
      <c r="T31" s="302"/>
      <c r="U31" s="304"/>
      <c r="V31" s="305"/>
      <c r="W31" s="305"/>
      <c r="X31" s="303"/>
      <c r="Y31" s="256"/>
      <c r="Z31" s="258"/>
      <c r="AA31" s="258"/>
      <c r="AB31" s="272"/>
      <c r="AC31" s="2"/>
    </row>
    <row r="32" spans="1:29" s="11" customFormat="1" ht="21" customHeight="1">
      <c r="A32" s="43"/>
      <c r="B32" s="44"/>
      <c r="C32" s="44"/>
      <c r="D32" s="150"/>
      <c r="E32" s="106"/>
      <c r="F32" s="106"/>
      <c r="G32" s="106"/>
      <c r="H32" s="106"/>
      <c r="I32" s="106"/>
      <c r="J32" s="106"/>
      <c r="K32" s="68"/>
      <c r="L32" s="334" t="s">
        <v>392</v>
      </c>
      <c r="M32" s="257"/>
      <c r="N32" s="257"/>
      <c r="O32" s="257"/>
      <c r="P32" s="257"/>
      <c r="Q32" s="256"/>
      <c r="R32" s="256"/>
      <c r="S32" s="256"/>
      <c r="T32" s="321" t="s">
        <v>152</v>
      </c>
      <c r="U32" s="321"/>
      <c r="V32" s="321"/>
      <c r="W32" s="321"/>
      <c r="X32" s="321"/>
      <c r="Y32" s="321"/>
      <c r="Z32" s="322" t="s">
        <v>157</v>
      </c>
      <c r="AA32" s="322">
        <f>ROUND(SUM(AA33:AA34),-3)</f>
        <v>614000</v>
      </c>
      <c r="AB32" s="323" t="s">
        <v>146</v>
      </c>
      <c r="AC32" s="2"/>
    </row>
    <row r="33" spans="1:29" s="11" customFormat="1" ht="21" customHeight="1">
      <c r="A33" s="43"/>
      <c r="B33" s="44"/>
      <c r="C33" s="44"/>
      <c r="D33" s="150"/>
      <c r="E33" s="106"/>
      <c r="F33" s="106"/>
      <c r="G33" s="106"/>
      <c r="H33" s="106"/>
      <c r="I33" s="106"/>
      <c r="J33" s="106"/>
      <c r="K33" s="68"/>
      <c r="L33" s="257"/>
      <c r="M33" s="257"/>
      <c r="N33" s="257"/>
      <c r="O33" s="257"/>
      <c r="P33" s="256">
        <f>P27</f>
        <v>58440000</v>
      </c>
      <c r="Q33" s="303" t="s">
        <v>146</v>
      </c>
      <c r="R33" s="302" t="s">
        <v>158</v>
      </c>
      <c r="S33" s="351">
        <v>1.0500000000000001E-2</v>
      </c>
      <c r="T33" s="302"/>
      <c r="U33" s="304"/>
      <c r="V33" s="305"/>
      <c r="W33" s="305"/>
      <c r="X33" s="303" t="s">
        <v>156</v>
      </c>
      <c r="Y33" s="256" t="s">
        <v>356</v>
      </c>
      <c r="Z33" s="258"/>
      <c r="AA33" s="258">
        <f>ROUND(P33*S33,-3)</f>
        <v>614000</v>
      </c>
      <c r="AB33" s="272" t="s">
        <v>146</v>
      </c>
      <c r="AC33" s="2"/>
    </row>
    <row r="34" spans="1:29" s="11" customFormat="1" ht="21" customHeight="1">
      <c r="A34" s="43"/>
      <c r="B34" s="44"/>
      <c r="C34" s="44"/>
      <c r="D34" s="150"/>
      <c r="E34" s="106"/>
      <c r="F34" s="106"/>
      <c r="G34" s="106"/>
      <c r="H34" s="106"/>
      <c r="I34" s="106"/>
      <c r="J34" s="106"/>
      <c r="K34" s="68"/>
      <c r="L34" s="257"/>
      <c r="M34" s="257"/>
      <c r="N34" s="257"/>
      <c r="O34" s="257"/>
      <c r="P34" s="256"/>
      <c r="Q34" s="303"/>
      <c r="R34" s="302"/>
      <c r="S34" s="351"/>
      <c r="T34" s="302"/>
      <c r="U34" s="304"/>
      <c r="V34" s="305"/>
      <c r="W34" s="305"/>
      <c r="X34" s="303"/>
      <c r="Y34" s="256"/>
      <c r="Z34" s="258"/>
      <c r="AA34" s="258"/>
      <c r="AB34" s="272"/>
      <c r="AC34" s="2"/>
    </row>
    <row r="35" spans="1:29" s="11" customFormat="1" ht="21" customHeight="1">
      <c r="A35" s="43"/>
      <c r="B35" s="44"/>
      <c r="C35" s="44"/>
      <c r="D35" s="150"/>
      <c r="E35" s="106"/>
      <c r="F35" s="106"/>
      <c r="G35" s="106"/>
      <c r="H35" s="106"/>
      <c r="I35" s="106"/>
      <c r="J35" s="106"/>
      <c r="K35" s="68"/>
      <c r="L35" s="334" t="s">
        <v>393</v>
      </c>
      <c r="M35" s="257"/>
      <c r="N35" s="257"/>
      <c r="O35" s="257"/>
      <c r="P35" s="257"/>
      <c r="Q35" s="256"/>
      <c r="R35" s="256"/>
      <c r="S35" s="256"/>
      <c r="T35" s="321" t="s">
        <v>152</v>
      </c>
      <c r="U35" s="321"/>
      <c r="V35" s="321"/>
      <c r="W35" s="321"/>
      <c r="X35" s="321"/>
      <c r="Y35" s="321"/>
      <c r="Z35" s="322" t="s">
        <v>157</v>
      </c>
      <c r="AA35" s="322">
        <f>ROUND(SUM(AA36:AA36),-3)</f>
        <v>474000</v>
      </c>
      <c r="AB35" s="323" t="s">
        <v>146</v>
      </c>
      <c r="AC35" s="2"/>
    </row>
    <row r="36" spans="1:29" s="11" customFormat="1" ht="21" customHeight="1">
      <c r="A36" s="43"/>
      <c r="B36" s="44"/>
      <c r="C36" s="44"/>
      <c r="D36" s="150"/>
      <c r="E36" s="106"/>
      <c r="F36" s="106"/>
      <c r="G36" s="106"/>
      <c r="H36" s="106"/>
      <c r="I36" s="106"/>
      <c r="J36" s="106"/>
      <c r="K36" s="68"/>
      <c r="L36" s="257"/>
      <c r="M36" s="257"/>
      <c r="N36" s="257"/>
      <c r="O36" s="257"/>
      <c r="P36" s="256">
        <f>P33</f>
        <v>58440000</v>
      </c>
      <c r="Q36" s="303" t="s">
        <v>146</v>
      </c>
      <c r="R36" s="302" t="s">
        <v>158</v>
      </c>
      <c r="S36" s="354">
        <v>8.0999999999999996E-3</v>
      </c>
      <c r="T36" s="302"/>
      <c r="U36" s="304"/>
      <c r="V36" s="305"/>
      <c r="W36" s="305"/>
      <c r="X36" s="303" t="s">
        <v>156</v>
      </c>
      <c r="Y36" s="256" t="s">
        <v>356</v>
      </c>
      <c r="Z36" s="258"/>
      <c r="AA36" s="258">
        <f>ROUNDUP(P36*S36,-3)</f>
        <v>474000</v>
      </c>
      <c r="AB36" s="272" t="s">
        <v>146</v>
      </c>
      <c r="AC36" s="2"/>
    </row>
    <row r="37" spans="1:29" s="11" customFormat="1" ht="21" customHeight="1">
      <c r="A37" s="43"/>
      <c r="B37" s="44"/>
      <c r="C37" s="44"/>
      <c r="D37" s="150"/>
      <c r="E37" s="106"/>
      <c r="F37" s="106"/>
      <c r="G37" s="106"/>
      <c r="H37" s="106"/>
      <c r="I37" s="106"/>
      <c r="J37" s="106"/>
      <c r="K37" s="68"/>
      <c r="L37" s="257"/>
      <c r="M37" s="257"/>
      <c r="N37" s="257"/>
      <c r="O37" s="257"/>
      <c r="P37" s="257"/>
      <c r="Q37" s="256"/>
      <c r="R37" s="256"/>
      <c r="S37" s="256"/>
      <c r="T37" s="256"/>
      <c r="U37" s="256"/>
      <c r="V37" s="256"/>
      <c r="W37" s="256"/>
      <c r="X37" s="256"/>
      <c r="Y37" s="256"/>
      <c r="Z37" s="258"/>
      <c r="AA37" s="258"/>
      <c r="AB37" s="272"/>
      <c r="AC37" s="2"/>
    </row>
    <row r="38" spans="1:29" s="11" customFormat="1" ht="21" customHeight="1">
      <c r="A38" s="43"/>
      <c r="B38" s="44"/>
      <c r="C38" s="34" t="s">
        <v>64</v>
      </c>
      <c r="D38" s="152">
        <v>120</v>
      </c>
      <c r="E38" s="110">
        <f>AA38/1000</f>
        <v>90</v>
      </c>
      <c r="F38" s="111">
        <f>SUMIF($Y$39:$Y$40,"보조",$AA$39:$AA$40)/1000</f>
        <v>0</v>
      </c>
      <c r="G38" s="111">
        <f>SUMIF($Y$39:$Y$40,"지후",$AA$39:$AA$40)/1000</f>
        <v>0</v>
      </c>
      <c r="H38" s="111">
        <f>SUMIF($Y$39:$Y$40,"후원",$AA$39:$AA$40)/1000</f>
        <v>90</v>
      </c>
      <c r="I38" s="111">
        <f>SUMIF($Y$39:$Y$40,"잡수",$AA$39:$AA$40)/1000</f>
        <v>0</v>
      </c>
      <c r="J38" s="110">
        <f>E38-D38</f>
        <v>-30</v>
      </c>
      <c r="K38" s="118">
        <f>IF(D38=0,0,J38/D38)</f>
        <v>-0.25</v>
      </c>
      <c r="L38" s="95" t="s">
        <v>65</v>
      </c>
      <c r="M38" s="162"/>
      <c r="N38" s="91"/>
      <c r="O38" s="91"/>
      <c r="P38" s="91"/>
      <c r="Q38" s="87"/>
      <c r="R38" s="87"/>
      <c r="S38" s="87"/>
      <c r="T38" s="163" t="s">
        <v>83</v>
      </c>
      <c r="U38" s="163"/>
      <c r="V38" s="163"/>
      <c r="W38" s="163"/>
      <c r="X38" s="163"/>
      <c r="Y38" s="163"/>
      <c r="Z38" s="165"/>
      <c r="AA38" s="165">
        <f>SUM(AA39:AA39)</f>
        <v>90000</v>
      </c>
      <c r="AB38" s="164" t="s">
        <v>25</v>
      </c>
      <c r="AC38" s="19"/>
    </row>
    <row r="39" spans="1:29" s="11" customFormat="1" ht="21" customHeight="1">
      <c r="A39" s="43"/>
      <c r="B39" s="44"/>
      <c r="C39" s="44" t="s">
        <v>86</v>
      </c>
      <c r="D39" s="150"/>
      <c r="E39" s="106"/>
      <c r="F39" s="106"/>
      <c r="G39" s="106"/>
      <c r="H39" s="106"/>
      <c r="I39" s="106"/>
      <c r="J39" s="106"/>
      <c r="K39" s="68"/>
      <c r="L39" s="336" t="s">
        <v>395</v>
      </c>
      <c r="M39" s="336"/>
      <c r="N39" s="335"/>
      <c r="O39" s="335"/>
      <c r="P39" s="335">
        <v>30000</v>
      </c>
      <c r="Q39" s="335" t="s">
        <v>159</v>
      </c>
      <c r="R39" s="355" t="s">
        <v>160</v>
      </c>
      <c r="S39" s="335">
        <v>3</v>
      </c>
      <c r="T39" s="335" t="s">
        <v>161</v>
      </c>
      <c r="U39" s="335"/>
      <c r="V39" s="335"/>
      <c r="W39" s="335"/>
      <c r="X39" s="335" t="s">
        <v>162</v>
      </c>
      <c r="Y39" s="408" t="s">
        <v>386</v>
      </c>
      <c r="Z39" s="131"/>
      <c r="AA39" s="131">
        <f>P39*S39</f>
        <v>90000</v>
      </c>
      <c r="AB39" s="132" t="s">
        <v>159</v>
      </c>
      <c r="AC39" s="2"/>
    </row>
    <row r="40" spans="1:29" s="11" customFormat="1" ht="21" customHeight="1">
      <c r="A40" s="43"/>
      <c r="B40" s="57"/>
      <c r="C40" s="57"/>
      <c r="D40" s="151"/>
      <c r="E40" s="108"/>
      <c r="F40" s="108"/>
      <c r="G40" s="108"/>
      <c r="H40" s="108"/>
      <c r="I40" s="108"/>
      <c r="J40" s="108"/>
      <c r="K40" s="82"/>
      <c r="L40" s="263"/>
      <c r="M40" s="263"/>
      <c r="N40" s="263"/>
      <c r="O40" s="263"/>
      <c r="P40" s="358"/>
      <c r="Q40" s="359"/>
      <c r="R40" s="359"/>
      <c r="S40" s="359"/>
      <c r="T40" s="358"/>
      <c r="U40" s="359"/>
      <c r="V40" s="359"/>
      <c r="W40" s="359"/>
      <c r="X40" s="358"/>
      <c r="Y40" s="359"/>
      <c r="Z40" s="359"/>
      <c r="AA40" s="358"/>
      <c r="AB40" s="360"/>
      <c r="AC40" s="2"/>
    </row>
    <row r="41" spans="1:29" s="11" customFormat="1" ht="21" customHeight="1">
      <c r="A41" s="43"/>
      <c r="B41" s="44" t="s">
        <v>85</v>
      </c>
      <c r="C41" s="44" t="s">
        <v>5</v>
      </c>
      <c r="D41" s="106">
        <f t="shared" ref="D41:I41" si="3">SUM(D42,D45,D47)</f>
        <v>500</v>
      </c>
      <c r="E41" s="106">
        <f t="shared" si="3"/>
        <v>500</v>
      </c>
      <c r="F41" s="106">
        <f t="shared" si="3"/>
        <v>0</v>
      </c>
      <c r="G41" s="106">
        <f t="shared" si="3"/>
        <v>500</v>
      </c>
      <c r="H41" s="106">
        <f t="shared" si="3"/>
        <v>0</v>
      </c>
      <c r="I41" s="106">
        <f t="shared" si="3"/>
        <v>0</v>
      </c>
      <c r="J41" s="106">
        <f>E41-D41</f>
        <v>0</v>
      </c>
      <c r="K41" s="68">
        <f>IF(D41=0,0,J41/D41)</f>
        <v>0</v>
      </c>
      <c r="L41" s="168" t="s">
        <v>89</v>
      </c>
      <c r="M41" s="30"/>
      <c r="N41" s="30"/>
      <c r="O41" s="30"/>
      <c r="P41" s="31"/>
      <c r="Q41" s="31"/>
      <c r="R41" s="31"/>
      <c r="S41" s="31"/>
      <c r="T41" s="171"/>
      <c r="U41" s="171"/>
      <c r="V41" s="171"/>
      <c r="W41" s="171"/>
      <c r="X41" s="171"/>
      <c r="Y41" s="171"/>
      <c r="Z41" s="92"/>
      <c r="AA41" s="92">
        <f>SUM(AA42,AA45,AA47)</f>
        <v>500000</v>
      </c>
      <c r="AB41" s="93" t="s">
        <v>25</v>
      </c>
      <c r="AC41" s="5"/>
    </row>
    <row r="42" spans="1:29" s="11" customFormat="1" ht="21" customHeight="1">
      <c r="A42" s="43"/>
      <c r="B42" s="44" t="s">
        <v>88</v>
      </c>
      <c r="C42" s="34" t="s">
        <v>10</v>
      </c>
      <c r="D42" s="152">
        <v>100</v>
      </c>
      <c r="E42" s="110">
        <f>AA42/1000</f>
        <v>100</v>
      </c>
      <c r="F42" s="111">
        <f>SUMIF($Y$43:$Y$44,"보조",$AA$43:$AA$44)/1000</f>
        <v>0</v>
      </c>
      <c r="G42" s="111">
        <f>SUMIF($Y$43:$Y$44,"지후",$AA$43:$AA$44)/1000</f>
        <v>100</v>
      </c>
      <c r="H42" s="111">
        <f>SUMIF($Y$43:$Y$44,"후원",$AA$43:$AA$44)/1000</f>
        <v>0</v>
      </c>
      <c r="I42" s="111">
        <f>SUMIF($Y$43:$Y$44,"잡수",$AA$43:$AA$44)/1000</f>
        <v>0</v>
      </c>
      <c r="J42" s="110">
        <f>E42-D42</f>
        <v>0</v>
      </c>
      <c r="K42" s="118">
        <f>IF(D42=0,0,J42/D42)</f>
        <v>0</v>
      </c>
      <c r="L42" s="95" t="s">
        <v>36</v>
      </c>
      <c r="M42" s="141"/>
      <c r="N42" s="156"/>
      <c r="O42" s="156"/>
      <c r="P42" s="156"/>
      <c r="Q42" s="86"/>
      <c r="R42" s="86"/>
      <c r="S42" s="86"/>
      <c r="T42" s="86"/>
      <c r="U42" s="86"/>
      <c r="V42" s="163" t="s">
        <v>91</v>
      </c>
      <c r="W42" s="163"/>
      <c r="X42" s="163"/>
      <c r="Y42" s="163"/>
      <c r="Z42" s="165"/>
      <c r="AA42" s="165">
        <f>AA43</f>
        <v>100000</v>
      </c>
      <c r="AB42" s="164" t="s">
        <v>25</v>
      </c>
    </row>
    <row r="43" spans="1:29" s="11" customFormat="1" ht="21" customHeight="1">
      <c r="A43" s="43"/>
      <c r="B43" s="44"/>
      <c r="C43" s="44"/>
      <c r="D43" s="150"/>
      <c r="E43" s="106"/>
      <c r="F43" s="106"/>
      <c r="G43" s="106"/>
      <c r="H43" s="106"/>
      <c r="I43" s="106"/>
      <c r="J43" s="106"/>
      <c r="K43" s="68"/>
      <c r="L43" s="401" t="s">
        <v>396</v>
      </c>
      <c r="M43" s="336"/>
      <c r="N43" s="336"/>
      <c r="O43" s="336"/>
      <c r="P43" s="335"/>
      <c r="Q43" s="270"/>
      <c r="R43" s="270"/>
      <c r="S43" s="335"/>
      <c r="T43" s="336"/>
      <c r="U43" s="337" t="s">
        <v>440</v>
      </c>
      <c r="V43" s="335"/>
      <c r="W43" s="335"/>
      <c r="X43" s="335"/>
      <c r="Y43" s="408" t="s">
        <v>468</v>
      </c>
      <c r="Z43" s="335"/>
      <c r="AA43" s="380">
        <v>100000</v>
      </c>
      <c r="AB43" s="132" t="s">
        <v>163</v>
      </c>
      <c r="AC43" s="2">
        <v>0</v>
      </c>
    </row>
    <row r="44" spans="1:29" s="11" customFormat="1" ht="21" customHeight="1">
      <c r="A44" s="43"/>
      <c r="B44" s="44"/>
      <c r="C44" s="57"/>
      <c r="D44" s="151"/>
      <c r="E44" s="108"/>
      <c r="F44" s="108"/>
      <c r="G44" s="108"/>
      <c r="H44" s="108"/>
      <c r="I44" s="108"/>
      <c r="J44" s="108"/>
      <c r="K44" s="82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121"/>
      <c r="AC44" s="1"/>
    </row>
    <row r="45" spans="1:29" s="11" customFormat="1" ht="21" customHeight="1">
      <c r="A45" s="43"/>
      <c r="B45" s="44"/>
      <c r="C45" s="44" t="s">
        <v>11</v>
      </c>
      <c r="D45" s="150">
        <v>0</v>
      </c>
      <c r="E45" s="110">
        <f>AA45/1000</f>
        <v>0</v>
      </c>
      <c r="F45" s="111">
        <f>SUMIF($Y$46:$Y$46,"보조",$AA$46:$AA$46)/1000</f>
        <v>0</v>
      </c>
      <c r="G45" s="111">
        <f>SUMIF($Y$46:$Y$46,"지후",$AA$46:$AA$46)/1000</f>
        <v>0</v>
      </c>
      <c r="H45" s="111">
        <f>SUMIF($Y$46:$Y$46,"후원",$AA$46:$AA$46)/1000</f>
        <v>0</v>
      </c>
      <c r="I45" s="111">
        <f>SUMIF($Y$46:$Y$46,"잡수",$AA$46:$AA$46)/1000</f>
        <v>0</v>
      </c>
      <c r="J45" s="106">
        <f>E45-D45</f>
        <v>0</v>
      </c>
      <c r="K45" s="68">
        <f>IF(D45=0,0,J45/D45)</f>
        <v>0</v>
      </c>
      <c r="L45" s="95" t="s">
        <v>90</v>
      </c>
      <c r="M45" s="162"/>
      <c r="N45" s="30"/>
      <c r="O45" s="30"/>
      <c r="P45" s="30"/>
      <c r="Q45" s="31"/>
      <c r="R45" s="31"/>
      <c r="S45" s="31"/>
      <c r="T45" s="31"/>
      <c r="U45" s="31"/>
      <c r="V45" s="163" t="s">
        <v>91</v>
      </c>
      <c r="W45" s="163"/>
      <c r="X45" s="163"/>
      <c r="Y45" s="163"/>
      <c r="Z45" s="165"/>
      <c r="AA45" s="165">
        <f>AA46</f>
        <v>0</v>
      </c>
      <c r="AB45" s="164" t="s">
        <v>25</v>
      </c>
      <c r="AC45" s="1"/>
    </row>
    <row r="46" spans="1:29" s="11" customFormat="1" ht="21" customHeight="1">
      <c r="A46" s="43"/>
      <c r="B46" s="44"/>
      <c r="C46" s="57"/>
      <c r="D46" s="151"/>
      <c r="E46" s="108"/>
      <c r="F46" s="108"/>
      <c r="G46" s="108"/>
      <c r="H46" s="108"/>
      <c r="I46" s="108"/>
      <c r="J46" s="108"/>
      <c r="K46" s="82"/>
      <c r="L46" s="145"/>
      <c r="M46" s="79"/>
      <c r="N46" s="79"/>
      <c r="O46" s="79"/>
      <c r="P46" s="78"/>
      <c r="Q46" s="83"/>
      <c r="R46" s="83"/>
      <c r="S46" s="78"/>
      <c r="T46" s="79"/>
      <c r="U46" s="78"/>
      <c r="V46" s="78"/>
      <c r="W46" s="78"/>
      <c r="X46" s="78"/>
      <c r="Y46" s="78"/>
      <c r="Z46" s="78"/>
      <c r="AA46" s="78"/>
      <c r="AB46" s="71" t="s">
        <v>333</v>
      </c>
      <c r="AC46" s="1"/>
    </row>
    <row r="47" spans="1:29" s="11" customFormat="1" ht="21" customHeight="1">
      <c r="A47" s="43"/>
      <c r="B47" s="44"/>
      <c r="C47" s="44" t="s">
        <v>66</v>
      </c>
      <c r="D47" s="150">
        <v>400</v>
      </c>
      <c r="E47" s="110">
        <f>AA47/1000</f>
        <v>400</v>
      </c>
      <c r="F47" s="111">
        <f>SUMIF($Y$48:$Y$50,"보조",$AA$48:$AA$50)/1000</f>
        <v>0</v>
      </c>
      <c r="G47" s="111">
        <f>SUMIF($Y$48:$Y$50,"지후",$AA$48:$AA$50)/1000</f>
        <v>400</v>
      </c>
      <c r="H47" s="111">
        <f>SUMIF($Y$48:$Y$50,"후원",$AA$48:$AA$50)/1000</f>
        <v>0</v>
      </c>
      <c r="I47" s="111">
        <f>SUMIF($Y$48:$Y$50,"잡수",$AA$48:$AA$50)/1000</f>
        <v>0</v>
      </c>
      <c r="J47" s="106">
        <f>E47-D47</f>
        <v>0</v>
      </c>
      <c r="K47" s="68">
        <f>IF(D47=0,0,J47/D47)</f>
        <v>0</v>
      </c>
      <c r="L47" s="113" t="s">
        <v>37</v>
      </c>
      <c r="M47" s="30"/>
      <c r="N47" s="30"/>
      <c r="O47" s="30"/>
      <c r="P47" s="30"/>
      <c r="Q47" s="31"/>
      <c r="R47" s="31"/>
      <c r="S47" s="31"/>
      <c r="T47" s="31"/>
      <c r="U47" s="31"/>
      <c r="V47" s="163" t="s">
        <v>91</v>
      </c>
      <c r="W47" s="163"/>
      <c r="X47" s="163"/>
      <c r="Y47" s="163"/>
      <c r="Z47" s="165"/>
      <c r="AA47" s="165">
        <f>SUM(AA48:AA49)</f>
        <v>400000</v>
      </c>
      <c r="AB47" s="164" t="s">
        <v>25</v>
      </c>
      <c r="AC47" s="1"/>
    </row>
    <row r="48" spans="1:29" s="14" customFormat="1" ht="21" customHeight="1">
      <c r="A48" s="43"/>
      <c r="B48" s="44"/>
      <c r="C48" s="44"/>
      <c r="D48" s="150"/>
      <c r="E48" s="106"/>
      <c r="F48" s="106"/>
      <c r="G48" s="106"/>
      <c r="H48" s="106"/>
      <c r="I48" s="106"/>
      <c r="J48" s="106"/>
      <c r="K48" s="68"/>
      <c r="L48" s="257" t="s">
        <v>137</v>
      </c>
      <c r="M48" s="257"/>
      <c r="N48" s="257"/>
      <c r="O48" s="257"/>
      <c r="P48" s="256"/>
      <c r="Q48" s="306"/>
      <c r="R48" s="306"/>
      <c r="S48" s="256"/>
      <c r="T48" s="257"/>
      <c r="U48" s="337" t="s">
        <v>440</v>
      </c>
      <c r="V48" s="256"/>
      <c r="W48" s="256"/>
      <c r="X48" s="256"/>
      <c r="Y48" s="408" t="s">
        <v>468</v>
      </c>
      <c r="Z48" s="379"/>
      <c r="AA48" s="379">
        <v>200000</v>
      </c>
      <c r="AB48" s="132" t="s">
        <v>55</v>
      </c>
      <c r="AC48" s="4">
        <v>0</v>
      </c>
    </row>
    <row r="49" spans="1:31" s="14" customFormat="1" ht="21" customHeight="1">
      <c r="A49" s="43"/>
      <c r="B49" s="44"/>
      <c r="C49" s="44"/>
      <c r="D49" s="150"/>
      <c r="E49" s="106"/>
      <c r="F49" s="106"/>
      <c r="G49" s="106"/>
      <c r="H49" s="106"/>
      <c r="I49" s="106"/>
      <c r="J49" s="106"/>
      <c r="K49" s="68"/>
      <c r="L49" s="409" t="s">
        <v>331</v>
      </c>
      <c r="M49" s="336"/>
      <c r="N49" s="337" t="s">
        <v>440</v>
      </c>
      <c r="O49" s="336"/>
      <c r="P49" s="335">
        <v>50000</v>
      </c>
      <c r="Q49" s="335" t="s">
        <v>163</v>
      </c>
      <c r="R49" s="336" t="s">
        <v>164</v>
      </c>
      <c r="S49" s="335">
        <v>3</v>
      </c>
      <c r="T49" s="335" t="s">
        <v>165</v>
      </c>
      <c r="U49" s="336" t="s">
        <v>164</v>
      </c>
      <c r="V49" s="271">
        <v>4</v>
      </c>
      <c r="W49" s="399" t="s">
        <v>247</v>
      </c>
      <c r="X49" s="265" t="s">
        <v>167</v>
      </c>
      <c r="Y49" s="400" t="s">
        <v>468</v>
      </c>
      <c r="Z49" s="336"/>
      <c r="AA49" s="335">
        <v>200000</v>
      </c>
      <c r="AB49" s="132" t="s">
        <v>163</v>
      </c>
      <c r="AC49" s="4">
        <v>0</v>
      </c>
    </row>
    <row r="50" spans="1:31" s="14" customFormat="1" ht="21" customHeight="1">
      <c r="A50" s="43"/>
      <c r="B50" s="44"/>
      <c r="C50" s="44"/>
      <c r="D50" s="150"/>
      <c r="E50" s="106"/>
      <c r="F50" s="106"/>
      <c r="G50" s="106"/>
      <c r="H50" s="106"/>
      <c r="I50" s="106"/>
      <c r="J50" s="106"/>
      <c r="K50" s="68"/>
      <c r="L50" s="336"/>
      <c r="M50" s="336"/>
      <c r="N50" s="336"/>
      <c r="O50" s="336"/>
      <c r="P50" s="335"/>
      <c r="Q50" s="270"/>
      <c r="R50" s="270"/>
      <c r="S50" s="335"/>
      <c r="T50" s="336"/>
      <c r="U50" s="335"/>
      <c r="V50" s="335"/>
      <c r="W50" s="335"/>
      <c r="X50" s="335"/>
      <c r="Y50" s="335"/>
      <c r="Z50" s="335"/>
      <c r="AA50" s="335"/>
      <c r="AB50" s="132"/>
      <c r="AC50" s="4"/>
    </row>
    <row r="51" spans="1:31" s="11" customFormat="1" ht="21" customHeight="1">
      <c r="A51" s="43"/>
      <c r="B51" s="34" t="s">
        <v>12</v>
      </c>
      <c r="C51" s="159" t="s">
        <v>5</v>
      </c>
      <c r="D51" s="160">
        <f>SUM(D52,D55,D62,D65,D69,D73,D76)</f>
        <v>15794</v>
      </c>
      <c r="E51" s="160">
        <f>SUM(E52,E55,E62,E65,E69,E73,E76)</f>
        <v>23874</v>
      </c>
      <c r="F51" s="160">
        <f t="shared" ref="F51:I51" si="4">SUM(F52,F55,F62,F69,F65,F73,F76)</f>
        <v>4200</v>
      </c>
      <c r="G51" s="160">
        <f t="shared" si="4"/>
        <v>2400</v>
      </c>
      <c r="H51" s="160">
        <f t="shared" si="4"/>
        <v>17274</v>
      </c>
      <c r="I51" s="160">
        <f t="shared" si="4"/>
        <v>0</v>
      </c>
      <c r="J51" s="160">
        <f>E51-D51</f>
        <v>8080</v>
      </c>
      <c r="K51" s="161">
        <f>IF(D51=0,0,J51/D51)</f>
        <v>0.51158667848550077</v>
      </c>
      <c r="L51" s="162" t="s">
        <v>92</v>
      </c>
      <c r="M51" s="162"/>
      <c r="N51" s="162"/>
      <c r="O51" s="162"/>
      <c r="P51" s="163"/>
      <c r="Q51" s="173"/>
      <c r="R51" s="163"/>
      <c r="S51" s="564"/>
      <c r="T51" s="565"/>
      <c r="U51" s="163"/>
      <c r="V51" s="163"/>
      <c r="W51" s="163"/>
      <c r="X51" s="163"/>
      <c r="Y51" s="163"/>
      <c r="Z51" s="163"/>
      <c r="AA51" s="163">
        <f>SUM(AA52,AA55,AA62,AA65,AA69,AA73,AA76)</f>
        <v>23874000</v>
      </c>
      <c r="AB51" s="164" t="s">
        <v>25</v>
      </c>
      <c r="AC51" s="1"/>
    </row>
    <row r="52" spans="1:31" s="11" customFormat="1" ht="21" customHeight="1">
      <c r="A52" s="43"/>
      <c r="B52" s="44"/>
      <c r="C52" s="44" t="s">
        <v>67</v>
      </c>
      <c r="D52" s="150">
        <v>100</v>
      </c>
      <c r="E52" s="110">
        <f>AA52/1000</f>
        <v>100</v>
      </c>
      <c r="F52" s="111">
        <f>SUMIF($Y$53:$Y$54,"보조",$AA$53:$AA$54)/1000</f>
        <v>0</v>
      </c>
      <c r="G52" s="111">
        <f>SUMIF($Y$53:$Y$54,"지후",$AA$53:$AA$54)/1000</f>
        <v>100</v>
      </c>
      <c r="H52" s="111">
        <f>SUMIF($Y$53:$Y$54,"후원",$AA$53:$AA$54)/1000</f>
        <v>0</v>
      </c>
      <c r="I52" s="111">
        <f>SUMIF($Y$53:$Y$54,"잡수",$AA$53:$AA$54)/1000</f>
        <v>0</v>
      </c>
      <c r="J52" s="106">
        <f>E52-D52</f>
        <v>0</v>
      </c>
      <c r="K52" s="68">
        <f>IF(D52=0,0,J52/D52)</f>
        <v>0</v>
      </c>
      <c r="L52" s="113" t="s">
        <v>39</v>
      </c>
      <c r="M52" s="30"/>
      <c r="N52" s="30"/>
      <c r="O52" s="30"/>
      <c r="P52" s="30"/>
      <c r="Q52" s="31"/>
      <c r="R52" s="31"/>
      <c r="S52" s="31"/>
      <c r="T52" s="31"/>
      <c r="U52" s="31"/>
      <c r="V52" s="325" t="s">
        <v>91</v>
      </c>
      <c r="W52" s="325"/>
      <c r="X52" s="325"/>
      <c r="Y52" s="325"/>
      <c r="Z52" s="165"/>
      <c r="AA52" s="165">
        <f>SUM(AA53:AA53)</f>
        <v>100000</v>
      </c>
      <c r="AB52" s="164" t="s">
        <v>25</v>
      </c>
      <c r="AC52" s="18"/>
      <c r="AD52" s="17"/>
      <c r="AE52" s="17"/>
    </row>
    <row r="53" spans="1:31" s="11" customFormat="1" ht="21" customHeight="1">
      <c r="A53" s="43"/>
      <c r="B53" s="44"/>
      <c r="C53" s="44"/>
      <c r="D53" s="150"/>
      <c r="E53" s="106"/>
      <c r="F53" s="106"/>
      <c r="G53" s="106"/>
      <c r="H53" s="106"/>
      <c r="I53" s="106"/>
      <c r="J53" s="106"/>
      <c r="K53" s="68"/>
      <c r="L53" s="409" t="s">
        <v>353</v>
      </c>
      <c r="M53" s="336"/>
      <c r="N53" s="337" t="s">
        <v>440</v>
      </c>
      <c r="O53" s="336"/>
      <c r="P53" s="335">
        <v>50000</v>
      </c>
      <c r="Q53" s="335" t="s">
        <v>163</v>
      </c>
      <c r="R53" s="355" t="s">
        <v>164</v>
      </c>
      <c r="S53" s="335">
        <v>2</v>
      </c>
      <c r="T53" s="335" t="s">
        <v>165</v>
      </c>
      <c r="U53" s="355" t="s">
        <v>164</v>
      </c>
      <c r="V53" s="335">
        <v>12</v>
      </c>
      <c r="W53" s="335" t="s">
        <v>29</v>
      </c>
      <c r="X53" s="335" t="s">
        <v>167</v>
      </c>
      <c r="Y53" s="408" t="s">
        <v>468</v>
      </c>
      <c r="Z53" s="131"/>
      <c r="AA53" s="131">
        <v>100000</v>
      </c>
      <c r="AB53" s="132" t="s">
        <v>25</v>
      </c>
      <c r="AC53" s="2">
        <v>0</v>
      </c>
    </row>
    <row r="54" spans="1:31" s="11" customFormat="1" ht="21" customHeight="1">
      <c r="A54" s="43"/>
      <c r="B54" s="44"/>
      <c r="C54" s="44"/>
      <c r="D54" s="150"/>
      <c r="E54" s="106"/>
      <c r="F54" s="106"/>
      <c r="G54" s="106"/>
      <c r="H54" s="106"/>
      <c r="I54" s="106"/>
      <c r="J54" s="106"/>
      <c r="K54" s="68"/>
      <c r="L54" s="170"/>
      <c r="M54" s="48"/>
      <c r="N54" s="48"/>
      <c r="O54" s="48"/>
      <c r="P54" s="49"/>
      <c r="Q54" s="53"/>
      <c r="R54" s="53"/>
      <c r="S54" s="49"/>
      <c r="T54" s="53"/>
      <c r="U54" s="49"/>
      <c r="V54" s="49"/>
      <c r="W54" s="169"/>
      <c r="X54" s="49"/>
      <c r="Y54" s="169"/>
      <c r="Z54" s="49"/>
      <c r="AA54" s="49"/>
      <c r="AB54" s="55" t="s">
        <v>59</v>
      </c>
      <c r="AC54" s="2"/>
    </row>
    <row r="55" spans="1:31" s="11" customFormat="1" ht="21" customHeight="1">
      <c r="A55" s="43"/>
      <c r="B55" s="44"/>
      <c r="C55" s="34" t="s">
        <v>40</v>
      </c>
      <c r="D55" s="152">
        <v>1598</v>
      </c>
      <c r="E55" s="110">
        <f>AA55/1000</f>
        <v>1598</v>
      </c>
      <c r="F55" s="111">
        <f>SUMIF($Y$56:$Y$58,"보조",$AA$56:$AA$58)/1000</f>
        <v>0</v>
      </c>
      <c r="G55" s="111">
        <f>SUMIF($Y$56:$Y$58,"지후",$AA$56:$AA$58)/1000</f>
        <v>0</v>
      </c>
      <c r="H55" s="111">
        <f>SUMIF($Y$56:$Y$58,"후원",$AA$56:$AA$58)/1000</f>
        <v>1598</v>
      </c>
      <c r="I55" s="111">
        <f>SUMIF($Y$56:$Y$58,"잡수",$AA$56:$AA$58)/1000</f>
        <v>0</v>
      </c>
      <c r="J55" s="110">
        <f>E55-D55</f>
        <v>0</v>
      </c>
      <c r="K55" s="118">
        <f>IF(D55=0,0,J55/D55)</f>
        <v>0</v>
      </c>
      <c r="L55" s="273" t="s">
        <v>41</v>
      </c>
      <c r="M55" s="274"/>
      <c r="N55" s="274"/>
      <c r="O55" s="274"/>
      <c r="P55" s="274"/>
      <c r="Q55" s="275"/>
      <c r="R55" s="275"/>
      <c r="S55" s="275"/>
      <c r="T55" s="275"/>
      <c r="U55" s="275"/>
      <c r="V55" s="276" t="s">
        <v>28</v>
      </c>
      <c r="W55" s="276"/>
      <c r="X55" s="276"/>
      <c r="Y55" s="276"/>
      <c r="Z55" s="277"/>
      <c r="AA55" s="277">
        <f>SUM(AA56:AA58)</f>
        <v>1598000</v>
      </c>
      <c r="AB55" s="164" t="s">
        <v>25</v>
      </c>
      <c r="AC55" s="1"/>
    </row>
    <row r="56" spans="1:31" s="11" customFormat="1" ht="21" customHeight="1">
      <c r="A56" s="43"/>
      <c r="B56" s="44"/>
      <c r="C56" s="44" t="s">
        <v>96</v>
      </c>
      <c r="D56" s="150"/>
      <c r="E56" s="106"/>
      <c r="F56" s="106"/>
      <c r="G56" s="106"/>
      <c r="H56" s="106"/>
      <c r="I56" s="106"/>
      <c r="J56" s="106"/>
      <c r="K56" s="68"/>
      <c r="L56" s="278" t="s">
        <v>168</v>
      </c>
      <c r="M56" s="336"/>
      <c r="N56" s="336"/>
      <c r="O56" s="336"/>
      <c r="P56" s="335"/>
      <c r="Q56" s="270"/>
      <c r="R56" s="335"/>
      <c r="S56" s="279">
        <v>50000</v>
      </c>
      <c r="T56" s="280" t="s">
        <v>55</v>
      </c>
      <c r="U56" s="280" t="s">
        <v>26</v>
      </c>
      <c r="V56" s="279">
        <v>12</v>
      </c>
      <c r="W56" s="281" t="s">
        <v>29</v>
      </c>
      <c r="X56" s="279" t="s">
        <v>27</v>
      </c>
      <c r="Y56" s="266" t="s">
        <v>439</v>
      </c>
      <c r="Z56" s="266"/>
      <c r="AA56" s="379">
        <f>S56*V56</f>
        <v>600000</v>
      </c>
      <c r="AB56" s="361" t="s">
        <v>25</v>
      </c>
      <c r="AC56" s="1"/>
    </row>
    <row r="57" spans="1:31" s="11" customFormat="1" ht="21" customHeight="1">
      <c r="A57" s="43"/>
      <c r="B57" s="44"/>
      <c r="C57" s="44"/>
      <c r="D57" s="150"/>
      <c r="E57" s="106"/>
      <c r="F57" s="106"/>
      <c r="G57" s="106"/>
      <c r="H57" s="106"/>
      <c r="I57" s="106"/>
      <c r="J57" s="106"/>
      <c r="K57" s="68"/>
      <c r="L57" s="409" t="s">
        <v>375</v>
      </c>
      <c r="M57" s="409"/>
      <c r="N57" s="409"/>
      <c r="O57" s="409"/>
      <c r="P57" s="408"/>
      <c r="Q57" s="270"/>
      <c r="R57" s="270"/>
      <c r="S57" s="279"/>
      <c r="T57" s="280"/>
      <c r="U57" s="280"/>
      <c r="V57" s="279"/>
      <c r="W57" s="281"/>
      <c r="X57" s="279"/>
      <c r="Y57" s="408" t="s">
        <v>386</v>
      </c>
      <c r="Z57" s="408"/>
      <c r="AA57" s="408">
        <v>200000</v>
      </c>
      <c r="AB57" s="132" t="s">
        <v>320</v>
      </c>
      <c r="AC57" s="18"/>
    </row>
    <row r="58" spans="1:31" s="11" customFormat="1" ht="21" customHeight="1">
      <c r="A58" s="43"/>
      <c r="B58" s="44"/>
      <c r="C58" s="44"/>
      <c r="D58" s="150"/>
      <c r="E58" s="106"/>
      <c r="F58" s="106"/>
      <c r="G58" s="106"/>
      <c r="H58" s="106"/>
      <c r="I58" s="106"/>
      <c r="J58" s="106"/>
      <c r="K58" s="68"/>
      <c r="L58" s="409" t="s">
        <v>376</v>
      </c>
      <c r="M58" s="336"/>
      <c r="N58" s="336"/>
      <c r="O58" s="336"/>
      <c r="P58" s="335"/>
      <c r="Q58" s="270"/>
      <c r="R58" s="335"/>
      <c r="S58" s="335"/>
      <c r="T58" s="336"/>
      <c r="U58" s="335"/>
      <c r="V58" s="335"/>
      <c r="W58" s="335"/>
      <c r="X58" s="335"/>
      <c r="Y58" s="335" t="s">
        <v>100</v>
      </c>
      <c r="Z58" s="335"/>
      <c r="AA58" s="335">
        <f>SUM(AA59:AA61)</f>
        <v>798000</v>
      </c>
      <c r="AB58" s="132" t="s">
        <v>159</v>
      </c>
      <c r="AC58" s="1"/>
    </row>
    <row r="59" spans="1:31" s="11" customFormat="1" ht="21" customHeight="1">
      <c r="A59" s="43"/>
      <c r="B59" s="44"/>
      <c r="C59" s="44"/>
      <c r="D59" s="150"/>
      <c r="E59" s="106"/>
      <c r="F59" s="106"/>
      <c r="G59" s="106"/>
      <c r="H59" s="106"/>
      <c r="I59" s="106"/>
      <c r="J59" s="106"/>
      <c r="K59" s="68"/>
      <c r="L59" s="338" t="s">
        <v>149</v>
      </c>
      <c r="M59" s="338"/>
      <c r="N59" s="338"/>
      <c r="O59" s="338"/>
      <c r="P59" s="339">
        <v>44000</v>
      </c>
      <c r="Q59" s="340" t="s">
        <v>143</v>
      </c>
      <c r="R59" s="340" t="s">
        <v>26</v>
      </c>
      <c r="S59" s="339">
        <v>12</v>
      </c>
      <c r="T59" s="338" t="s">
        <v>29</v>
      </c>
      <c r="U59" s="339" t="s">
        <v>27</v>
      </c>
      <c r="V59" s="339"/>
      <c r="W59" s="339"/>
      <c r="X59" s="339"/>
      <c r="Y59" s="339"/>
      <c r="Z59" s="339"/>
      <c r="AA59" s="337">
        <f>P59*S59</f>
        <v>528000</v>
      </c>
      <c r="AB59" s="341" t="s">
        <v>143</v>
      </c>
      <c r="AC59" s="1"/>
    </row>
    <row r="60" spans="1:31" s="11" customFormat="1" ht="21" customHeight="1">
      <c r="A60" s="43"/>
      <c r="B60" s="44"/>
      <c r="C60" s="44"/>
      <c r="D60" s="150"/>
      <c r="E60" s="106"/>
      <c r="F60" s="106"/>
      <c r="G60" s="106"/>
      <c r="H60" s="106"/>
      <c r="I60" s="106"/>
      <c r="J60" s="106"/>
      <c r="K60" s="68"/>
      <c r="L60" s="338" t="s">
        <v>150</v>
      </c>
      <c r="M60" s="338"/>
      <c r="N60" s="338"/>
      <c r="O60" s="338"/>
      <c r="P60" s="339">
        <v>20000</v>
      </c>
      <c r="Q60" s="340" t="s">
        <v>143</v>
      </c>
      <c r="R60" s="340" t="s">
        <v>26</v>
      </c>
      <c r="S60" s="339">
        <v>12</v>
      </c>
      <c r="T60" s="338" t="s">
        <v>29</v>
      </c>
      <c r="U60" s="339" t="s">
        <v>27</v>
      </c>
      <c r="V60" s="339"/>
      <c r="W60" s="339"/>
      <c r="X60" s="339"/>
      <c r="Y60" s="339"/>
      <c r="Z60" s="339"/>
      <c r="AA60" s="337">
        <f>P60*S60</f>
        <v>240000</v>
      </c>
      <c r="AB60" s="341" t="s">
        <v>143</v>
      </c>
      <c r="AC60" s="1"/>
    </row>
    <row r="61" spans="1:31" s="11" customFormat="1" ht="21" customHeight="1">
      <c r="A61" s="43"/>
      <c r="B61" s="44"/>
      <c r="C61" s="57"/>
      <c r="D61" s="151"/>
      <c r="E61" s="108"/>
      <c r="F61" s="108"/>
      <c r="G61" s="108"/>
      <c r="H61" s="108"/>
      <c r="I61" s="108"/>
      <c r="J61" s="108"/>
      <c r="K61" s="82"/>
      <c r="L61" s="342" t="s">
        <v>151</v>
      </c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3">
        <v>30000</v>
      </c>
      <c r="AB61" s="344" t="s">
        <v>143</v>
      </c>
      <c r="AC61" s="1"/>
    </row>
    <row r="62" spans="1:31" s="11" customFormat="1" ht="21" customHeight="1">
      <c r="A62" s="43"/>
      <c r="B62" s="44"/>
      <c r="C62" s="44" t="s">
        <v>38</v>
      </c>
      <c r="D62" s="150">
        <v>600</v>
      </c>
      <c r="E62" s="110">
        <f>AA62/1000</f>
        <v>600</v>
      </c>
      <c r="F62" s="111">
        <f>SUMIF($Y$63:$Y$64,"보조",$AA$63:$AA$64)/1000</f>
        <v>0</v>
      </c>
      <c r="G62" s="111">
        <f>SUMIF($Y$63:$Y$64,"지후",$AA$63:$AA$64)/1000</f>
        <v>0</v>
      </c>
      <c r="H62" s="111">
        <f>SUMIF($Y$63:$Y$64,"후원",$AA$63:$AA$64)/1000</f>
        <v>600</v>
      </c>
      <c r="I62" s="111">
        <f>SUMIF($Y$63:$Y$64,"잡수",$AA$63:$AA$64)/1000</f>
        <v>0</v>
      </c>
      <c r="J62" s="106">
        <f>E62-D62</f>
        <v>0</v>
      </c>
      <c r="K62" s="68">
        <f>IF(D62=0,0,J62/D62)</f>
        <v>0</v>
      </c>
      <c r="L62" s="307" t="s">
        <v>42</v>
      </c>
      <c r="M62" s="308"/>
      <c r="N62" s="308"/>
      <c r="O62" s="308"/>
      <c r="P62" s="308"/>
      <c r="Q62" s="309"/>
      <c r="R62" s="309"/>
      <c r="S62" s="309"/>
      <c r="T62" s="309"/>
      <c r="U62" s="309"/>
      <c r="V62" s="310" t="s">
        <v>138</v>
      </c>
      <c r="W62" s="310"/>
      <c r="X62" s="310"/>
      <c r="Y62" s="310"/>
      <c r="Z62" s="311"/>
      <c r="AA62" s="311">
        <f>ROUND(SUM(AA63:AA63),-3)</f>
        <v>600000</v>
      </c>
      <c r="AB62" s="312" t="s">
        <v>25</v>
      </c>
      <c r="AC62" s="1"/>
    </row>
    <row r="63" spans="1:31" s="11" customFormat="1" ht="21" customHeight="1">
      <c r="A63" s="43"/>
      <c r="B63" s="44"/>
      <c r="C63" s="44"/>
      <c r="D63" s="150"/>
      <c r="E63" s="106"/>
      <c r="F63" s="106"/>
      <c r="G63" s="106"/>
      <c r="H63" s="106"/>
      <c r="I63" s="106"/>
      <c r="J63" s="106"/>
      <c r="K63" s="68"/>
      <c r="L63" s="313" t="s">
        <v>323</v>
      </c>
      <c r="M63" s="257"/>
      <c r="N63" s="257"/>
      <c r="O63" s="257"/>
      <c r="P63" s="256">
        <v>50000</v>
      </c>
      <c r="Q63" s="315" t="s">
        <v>25</v>
      </c>
      <c r="R63" s="315" t="s">
        <v>26</v>
      </c>
      <c r="S63" s="314">
        <v>12</v>
      </c>
      <c r="T63" s="316" t="s">
        <v>29</v>
      </c>
      <c r="U63" s="314" t="s">
        <v>27</v>
      </c>
      <c r="V63" s="256"/>
      <c r="W63" s="256"/>
      <c r="X63" s="256"/>
      <c r="Y63" s="256" t="s">
        <v>330</v>
      </c>
      <c r="Z63" s="256"/>
      <c r="AA63" s="256">
        <f>P63*S63</f>
        <v>600000</v>
      </c>
      <c r="AB63" s="272" t="s">
        <v>25</v>
      </c>
      <c r="AC63" s="1"/>
    </row>
    <row r="64" spans="1:31" s="14" customFormat="1" ht="21" customHeight="1">
      <c r="A64" s="43"/>
      <c r="B64" s="44"/>
      <c r="C64" s="44"/>
      <c r="D64" s="150"/>
      <c r="E64" s="106"/>
      <c r="F64" s="106"/>
      <c r="G64" s="106"/>
      <c r="H64" s="106"/>
      <c r="I64" s="106"/>
      <c r="J64" s="106"/>
      <c r="K64" s="68"/>
      <c r="L64" s="117"/>
      <c r="M64" s="48"/>
      <c r="N64" s="48"/>
      <c r="O64" s="48"/>
      <c r="P64" s="49"/>
      <c r="Q64" s="53"/>
      <c r="R64" s="53"/>
      <c r="S64" s="49"/>
      <c r="T64" s="48"/>
      <c r="U64" s="49"/>
      <c r="V64" s="49"/>
      <c r="W64" s="49"/>
      <c r="X64" s="49"/>
      <c r="Y64" s="136"/>
      <c r="Z64" s="49"/>
      <c r="AA64" s="49"/>
      <c r="AB64" s="55"/>
      <c r="AC64" s="4"/>
    </row>
    <row r="65" spans="1:29" ht="21" customHeight="1">
      <c r="A65" s="43"/>
      <c r="B65" s="44"/>
      <c r="C65" s="34" t="s">
        <v>15</v>
      </c>
      <c r="D65" s="152">
        <v>3176</v>
      </c>
      <c r="E65" s="110">
        <f>AA65/1000</f>
        <v>3176</v>
      </c>
      <c r="F65" s="111">
        <f>SUMIF($Y$66:$Y$68,"보조",$AA$66:$AA$68)/1000</f>
        <v>0</v>
      </c>
      <c r="G65" s="111">
        <f>SUMIF($Y$66:$Y$68,"지후",$AA$66:$AA$68)/1000</f>
        <v>0</v>
      </c>
      <c r="H65" s="111">
        <f>SUMIF($Y$66:$Y$68,"후원",$AA$66:$AA$68)/1000</f>
        <v>3176</v>
      </c>
      <c r="I65" s="111">
        <f>SUMIF($Y$66:$Y$68,"잡수",$AA$66:$AA$68)/1000</f>
        <v>0</v>
      </c>
      <c r="J65" s="174">
        <f>E65-D65</f>
        <v>0</v>
      </c>
      <c r="K65" s="118">
        <f>IF(D65=0,0,J65/D65)</f>
        <v>0</v>
      </c>
      <c r="L65" s="317" t="s">
        <v>43</v>
      </c>
      <c r="M65" s="318"/>
      <c r="N65" s="318"/>
      <c r="O65" s="318"/>
      <c r="P65" s="318"/>
      <c r="Q65" s="319"/>
      <c r="R65" s="319"/>
      <c r="S65" s="319"/>
      <c r="T65" s="319"/>
      <c r="U65" s="319"/>
      <c r="V65" s="310" t="s">
        <v>138</v>
      </c>
      <c r="W65" s="310"/>
      <c r="X65" s="310"/>
      <c r="Y65" s="310"/>
      <c r="Z65" s="311"/>
      <c r="AA65" s="311">
        <f>SUM(AA66,AA67)</f>
        <v>3176000</v>
      </c>
      <c r="AB65" s="312" t="s">
        <v>25</v>
      </c>
    </row>
    <row r="66" spans="1:29" s="11" customFormat="1" ht="21" customHeight="1">
      <c r="A66" s="43"/>
      <c r="B66" s="44"/>
      <c r="C66" s="44"/>
      <c r="D66" s="150"/>
      <c r="E66" s="106"/>
      <c r="F66" s="106"/>
      <c r="G66" s="106"/>
      <c r="H66" s="106"/>
      <c r="I66" s="106"/>
      <c r="J66" s="106"/>
      <c r="K66" s="68"/>
      <c r="L66" s="345" t="s">
        <v>324</v>
      </c>
      <c r="M66" s="257"/>
      <c r="N66" s="257"/>
      <c r="O66" s="257"/>
      <c r="P66" s="256">
        <v>50000</v>
      </c>
      <c r="Q66" s="306" t="s">
        <v>55</v>
      </c>
      <c r="R66" s="306" t="s">
        <v>26</v>
      </c>
      <c r="S66" s="256">
        <v>12</v>
      </c>
      <c r="T66" s="257" t="s">
        <v>0</v>
      </c>
      <c r="U66" s="256" t="s">
        <v>27</v>
      </c>
      <c r="V66" s="256"/>
      <c r="W66" s="256"/>
      <c r="X66" s="256"/>
      <c r="Y66" s="256" t="s">
        <v>383</v>
      </c>
      <c r="Z66" s="256"/>
      <c r="AA66" s="256">
        <v>2000000</v>
      </c>
      <c r="AB66" s="272" t="s">
        <v>25</v>
      </c>
      <c r="AC66" s="1"/>
    </row>
    <row r="67" spans="1:29" s="11" customFormat="1" ht="21" customHeight="1">
      <c r="A67" s="43"/>
      <c r="B67" s="44"/>
      <c r="C67" s="44"/>
      <c r="D67" s="150"/>
      <c r="E67" s="106"/>
      <c r="F67" s="106"/>
      <c r="G67" s="106"/>
      <c r="H67" s="106"/>
      <c r="I67" s="106"/>
      <c r="J67" s="106"/>
      <c r="K67" s="68"/>
      <c r="L67" s="566" t="s">
        <v>427</v>
      </c>
      <c r="M67" s="566"/>
      <c r="N67" s="566"/>
      <c r="O67" s="566"/>
      <c r="P67" s="566"/>
      <c r="Q67" s="257"/>
      <c r="R67" s="256"/>
      <c r="S67" s="257"/>
      <c r="T67" s="306"/>
      <c r="U67" s="256"/>
      <c r="V67" s="256"/>
      <c r="W67" s="256"/>
      <c r="X67" s="257"/>
      <c r="Y67" s="257" t="s">
        <v>439</v>
      </c>
      <c r="Z67" s="256"/>
      <c r="AA67" s="256">
        <v>1176000</v>
      </c>
      <c r="AB67" s="272" t="s">
        <v>320</v>
      </c>
      <c r="AC67" s="1"/>
    </row>
    <row r="68" spans="1:29" s="11" customFormat="1" ht="21" customHeight="1">
      <c r="A68" s="43"/>
      <c r="B68" s="44"/>
      <c r="C68" s="44"/>
      <c r="D68" s="150"/>
      <c r="E68" s="106"/>
      <c r="F68" s="106"/>
      <c r="G68" s="106"/>
      <c r="H68" s="106"/>
      <c r="I68" s="106"/>
      <c r="J68" s="106"/>
      <c r="K68" s="68"/>
      <c r="L68" s="123"/>
      <c r="M68" s="124"/>
      <c r="N68" s="124"/>
      <c r="O68" s="124"/>
      <c r="P68" s="124"/>
      <c r="Q68" s="124"/>
      <c r="R68" s="124"/>
      <c r="S68" s="124"/>
      <c r="T68" s="124"/>
      <c r="U68" s="124"/>
      <c r="V68" s="73"/>
      <c r="W68" s="73"/>
      <c r="X68" s="73"/>
      <c r="Y68" s="73"/>
      <c r="Z68" s="73"/>
      <c r="AA68" s="49"/>
      <c r="AB68" s="55"/>
      <c r="AC68" s="1"/>
    </row>
    <row r="69" spans="1:29" s="11" customFormat="1" ht="21" customHeight="1">
      <c r="A69" s="43"/>
      <c r="B69" s="44"/>
      <c r="C69" s="34" t="s">
        <v>44</v>
      </c>
      <c r="D69" s="152">
        <v>0</v>
      </c>
      <c r="E69" s="110">
        <f>ROUND(AA69/1000,0)</f>
        <v>0</v>
      </c>
      <c r="F69" s="111">
        <f>SUMIF($Y$70:$Y$72,"보조",$AA$70:$AA$72)/1000</f>
        <v>0</v>
      </c>
      <c r="G69" s="111">
        <f>SUMIF($Y$70:$Y$72,"지후",$AA$70:$AA$72)/1000</f>
        <v>0</v>
      </c>
      <c r="H69" s="111">
        <f>SUMIF($Y$74:$Y$75,"후원",$AA$74:$AA$75)/1000</f>
        <v>0</v>
      </c>
      <c r="I69" s="111">
        <f>SUMIF($Y$70:$Y$72,"잡수",$AA$70:$AA$72)/1000</f>
        <v>0</v>
      </c>
      <c r="J69" s="110">
        <f>E69-D69</f>
        <v>0</v>
      </c>
      <c r="K69" s="118">
        <f>IF(D69=0,0,J69/D69)</f>
        <v>0</v>
      </c>
      <c r="L69" s="95" t="s">
        <v>45</v>
      </c>
      <c r="M69" s="172"/>
      <c r="N69" s="172"/>
      <c r="O69" s="172"/>
      <c r="P69" s="172"/>
      <c r="Q69" s="171"/>
      <c r="R69" s="171"/>
      <c r="S69" s="171"/>
      <c r="T69" s="171"/>
      <c r="U69" s="171"/>
      <c r="V69" s="458" t="s">
        <v>91</v>
      </c>
      <c r="W69" s="458"/>
      <c r="X69" s="458"/>
      <c r="Y69" s="458"/>
      <c r="Z69" s="165"/>
      <c r="AA69" s="165">
        <f>SUM(AA70:AA71)</f>
        <v>0</v>
      </c>
      <c r="AB69" s="164" t="s">
        <v>25</v>
      </c>
      <c r="AC69" s="1"/>
    </row>
    <row r="70" spans="1:29" s="11" customFormat="1" ht="21" customHeight="1">
      <c r="A70" s="43"/>
      <c r="B70" s="44"/>
      <c r="C70" s="44"/>
      <c r="D70" s="107"/>
      <c r="E70" s="106"/>
      <c r="F70" s="106"/>
      <c r="G70" s="106"/>
      <c r="H70" s="106"/>
      <c r="I70" s="106"/>
      <c r="J70" s="106"/>
      <c r="K70" s="68"/>
      <c r="L70" s="261" t="s">
        <v>169</v>
      </c>
      <c r="M70" s="409"/>
      <c r="N70" s="409"/>
      <c r="O70" s="409"/>
      <c r="P70" s="408">
        <v>0</v>
      </c>
      <c r="Q70" s="270" t="s">
        <v>55</v>
      </c>
      <c r="R70" s="270" t="s">
        <v>26</v>
      </c>
      <c r="S70" s="408">
        <v>12</v>
      </c>
      <c r="T70" s="409" t="s">
        <v>0</v>
      </c>
      <c r="U70" s="408" t="s">
        <v>27</v>
      </c>
      <c r="V70" s="408"/>
      <c r="W70" s="408"/>
      <c r="X70" s="408"/>
      <c r="Y70" s="408" t="s">
        <v>330</v>
      </c>
      <c r="Z70" s="408"/>
      <c r="AA70" s="408">
        <f>P70*S70</f>
        <v>0</v>
      </c>
      <c r="AB70" s="132" t="s">
        <v>25</v>
      </c>
      <c r="AC70" s="1"/>
    </row>
    <row r="71" spans="1:29" s="11" customFormat="1" ht="21" customHeight="1">
      <c r="A71" s="43"/>
      <c r="B71" s="44"/>
      <c r="C71" s="44"/>
      <c r="D71" s="107"/>
      <c r="E71" s="106"/>
      <c r="F71" s="106"/>
      <c r="G71" s="106"/>
      <c r="H71" s="106"/>
      <c r="I71" s="106"/>
      <c r="J71" s="106"/>
      <c r="K71" s="68"/>
      <c r="L71" s="261" t="s">
        <v>170</v>
      </c>
      <c r="M71" s="409"/>
      <c r="N71" s="409"/>
      <c r="O71" s="409"/>
      <c r="P71" s="408">
        <v>0</v>
      </c>
      <c r="Q71" s="270" t="s">
        <v>55</v>
      </c>
      <c r="R71" s="270" t="s">
        <v>26</v>
      </c>
      <c r="S71" s="408">
        <v>12</v>
      </c>
      <c r="T71" s="409" t="s">
        <v>0</v>
      </c>
      <c r="U71" s="408" t="s">
        <v>27</v>
      </c>
      <c r="V71" s="408"/>
      <c r="W71" s="408"/>
      <c r="X71" s="408"/>
      <c r="Y71" s="408" t="s">
        <v>100</v>
      </c>
      <c r="Z71" s="408"/>
      <c r="AA71" s="408">
        <f>P71*S71</f>
        <v>0</v>
      </c>
      <c r="AB71" s="132" t="s">
        <v>25</v>
      </c>
      <c r="AC71" s="1"/>
    </row>
    <row r="72" spans="1:29" s="11" customFormat="1" ht="21" customHeight="1">
      <c r="A72" s="43"/>
      <c r="B72" s="44"/>
      <c r="C72" s="44"/>
      <c r="D72" s="150"/>
      <c r="E72" s="106"/>
      <c r="F72" s="106"/>
      <c r="G72" s="106"/>
      <c r="H72" s="106"/>
      <c r="I72" s="106"/>
      <c r="J72" s="106"/>
      <c r="K72" s="68"/>
      <c r="L72" s="69"/>
      <c r="M72" s="459"/>
      <c r="N72" s="459"/>
      <c r="O72" s="459"/>
      <c r="P72" s="459"/>
      <c r="Q72" s="459"/>
      <c r="R72" s="459"/>
      <c r="S72" s="459"/>
      <c r="T72" s="459"/>
      <c r="U72" s="459"/>
      <c r="V72" s="84"/>
      <c r="W72" s="84"/>
      <c r="X72" s="84"/>
      <c r="Y72" s="84"/>
      <c r="Z72" s="84"/>
      <c r="AA72" s="211"/>
      <c r="AB72" s="71"/>
      <c r="AC72" s="1"/>
    </row>
    <row r="73" spans="1:29" s="11" customFormat="1" ht="21" hidden="1" customHeight="1">
      <c r="A73" s="43"/>
      <c r="B73" s="44"/>
      <c r="C73" s="34" t="s">
        <v>277</v>
      </c>
      <c r="D73" s="152">
        <v>0</v>
      </c>
      <c r="E73" s="110">
        <f>ROUND(AA73/1000,0)</f>
        <v>0</v>
      </c>
      <c r="F73" s="111">
        <f>SUMIF($Y$74:$Y$75,"보조",$AA$74:$AA$75)/1000</f>
        <v>0</v>
      </c>
      <c r="G73" s="111">
        <f>SUMIF($Y$74:$Y$75,"후원",$AA$74:$AA$75)/1000</f>
        <v>0</v>
      </c>
      <c r="H73" s="111">
        <f>SUMIF($Y$74:$Y$75,"입소",$AA$74:$AA$75)/1000</f>
        <v>0</v>
      </c>
      <c r="I73" s="111">
        <f>SUMIF($Y$74:$Y$75,"잡수",$AA$74:$AA$75)/1000</f>
        <v>0</v>
      </c>
      <c r="J73" s="110">
        <f>E73-D73</f>
        <v>0</v>
      </c>
      <c r="K73" s="118">
        <f>IF(D73=0,0,J73/D73)</f>
        <v>0</v>
      </c>
      <c r="L73" s="95" t="s">
        <v>278</v>
      </c>
      <c r="M73" s="91"/>
      <c r="N73" s="91"/>
      <c r="O73" s="91"/>
      <c r="P73" s="91"/>
      <c r="Q73" s="87"/>
      <c r="R73" s="87"/>
      <c r="S73" s="87"/>
      <c r="T73" s="87"/>
      <c r="U73" s="87"/>
      <c r="V73" s="163" t="s">
        <v>91</v>
      </c>
      <c r="W73" s="163"/>
      <c r="X73" s="163"/>
      <c r="Y73" s="163"/>
      <c r="Z73" s="165"/>
      <c r="AA73" s="165">
        <f>SUM(AA74:AA74)</f>
        <v>0</v>
      </c>
      <c r="AB73" s="164" t="s">
        <v>25</v>
      </c>
      <c r="AC73" s="1"/>
    </row>
    <row r="74" spans="1:29" s="11" customFormat="1" ht="21" hidden="1" customHeight="1">
      <c r="A74" s="43"/>
      <c r="B74" s="44"/>
      <c r="C74" s="44"/>
      <c r="D74" s="107"/>
      <c r="E74" s="106"/>
      <c r="F74" s="106"/>
      <c r="G74" s="106"/>
      <c r="H74" s="106"/>
      <c r="I74" s="106"/>
      <c r="J74" s="106"/>
      <c r="K74" s="68"/>
      <c r="L74" s="409" t="s">
        <v>279</v>
      </c>
      <c r="M74" s="336"/>
      <c r="N74" s="336"/>
      <c r="O74" s="336"/>
      <c r="P74" s="335">
        <v>0</v>
      </c>
      <c r="Q74" s="270" t="s">
        <v>163</v>
      </c>
      <c r="R74" s="270" t="s">
        <v>26</v>
      </c>
      <c r="S74" s="335">
        <v>12</v>
      </c>
      <c r="T74" s="336" t="s">
        <v>166</v>
      </c>
      <c r="U74" s="335" t="s">
        <v>27</v>
      </c>
      <c r="V74" s="335"/>
      <c r="W74" s="335"/>
      <c r="X74" s="335"/>
      <c r="Y74" s="408" t="s">
        <v>330</v>
      </c>
      <c r="Z74" s="335"/>
      <c r="AA74" s="335">
        <f>P74*S74</f>
        <v>0</v>
      </c>
      <c r="AB74" s="132" t="s">
        <v>25</v>
      </c>
      <c r="AC74" s="1"/>
    </row>
    <row r="75" spans="1:29" s="11" customFormat="1" ht="21" hidden="1" customHeight="1">
      <c r="A75" s="43"/>
      <c r="B75" s="44"/>
      <c r="C75" s="57"/>
      <c r="D75" s="125"/>
      <c r="E75" s="108"/>
      <c r="F75" s="108"/>
      <c r="G75" s="108"/>
      <c r="H75" s="108"/>
      <c r="I75" s="108"/>
      <c r="J75" s="108"/>
      <c r="K75" s="82"/>
      <c r="L75" s="263"/>
      <c r="M75" s="263"/>
      <c r="N75" s="263"/>
      <c r="O75" s="263"/>
      <c r="P75" s="358"/>
      <c r="Q75" s="362"/>
      <c r="R75" s="358"/>
      <c r="S75" s="562"/>
      <c r="T75" s="563"/>
      <c r="U75" s="358"/>
      <c r="V75" s="358"/>
      <c r="W75" s="358"/>
      <c r="X75" s="358"/>
      <c r="Y75" s="358"/>
      <c r="Z75" s="358"/>
      <c r="AA75" s="358"/>
      <c r="AB75" s="363"/>
      <c r="AC75" s="1"/>
    </row>
    <row r="76" spans="1:29" s="11" customFormat="1" ht="21" customHeight="1">
      <c r="A76" s="43"/>
      <c r="B76" s="44"/>
      <c r="C76" s="34" t="s">
        <v>68</v>
      </c>
      <c r="D76" s="126">
        <v>10320</v>
      </c>
      <c r="E76" s="110">
        <f>AA76/1000</f>
        <v>18400</v>
      </c>
      <c r="F76" s="111">
        <f>SUMIF($Y$77:$Y$84,"보조",$AA$77:$AA$84)/1000</f>
        <v>4200</v>
      </c>
      <c r="G76" s="111">
        <f>SUMIF($Y$77:$Y$84,"지후",$AA$77:$AA$84)/1000</f>
        <v>2300</v>
      </c>
      <c r="H76" s="111">
        <f>SUMIF($Y$77:$Y$84,"후원",$AA$77:$AA$84)/1000</f>
        <v>11900</v>
      </c>
      <c r="I76" s="111">
        <f>SUMIF($Y$77:$Y$84,"잡수",$AA$77:$AA$84)/1000</f>
        <v>0</v>
      </c>
      <c r="J76" s="110">
        <f>E76-D76</f>
        <v>8080</v>
      </c>
      <c r="K76" s="118">
        <f>IF(D76=0,0,J76/D76)</f>
        <v>0.78294573643410847</v>
      </c>
      <c r="L76" s="113" t="s">
        <v>69</v>
      </c>
      <c r="M76" s="91"/>
      <c r="N76" s="91"/>
      <c r="O76" s="91"/>
      <c r="P76" s="91"/>
      <c r="Q76" s="87"/>
      <c r="R76" s="87"/>
      <c r="S76" s="87"/>
      <c r="T76" s="87"/>
      <c r="U76" s="87"/>
      <c r="V76" s="163" t="s">
        <v>91</v>
      </c>
      <c r="W76" s="163"/>
      <c r="X76" s="163"/>
      <c r="Y76" s="163"/>
      <c r="Z76" s="165"/>
      <c r="AA76" s="165">
        <f>SUM(AA77:AA83)</f>
        <v>18400000</v>
      </c>
      <c r="AB76" s="164" t="s">
        <v>25</v>
      </c>
      <c r="AC76" s="1"/>
    </row>
    <row r="77" spans="1:29" s="11" customFormat="1" ht="20.25" customHeight="1">
      <c r="A77" s="43"/>
      <c r="B77" s="44"/>
      <c r="C77" s="44"/>
      <c r="D77" s="127"/>
      <c r="E77" s="106"/>
      <c r="F77" s="106"/>
      <c r="G77" s="106"/>
      <c r="H77" s="106"/>
      <c r="I77" s="106"/>
      <c r="J77" s="106"/>
      <c r="K77" s="68"/>
      <c r="L77" s="269" t="s">
        <v>403</v>
      </c>
      <c r="M77" s="269"/>
      <c r="N77" s="269"/>
      <c r="O77" s="269"/>
      <c r="P77" s="256">
        <v>100000</v>
      </c>
      <c r="Q77" s="256" t="s">
        <v>404</v>
      </c>
      <c r="R77" s="302" t="s">
        <v>405</v>
      </c>
      <c r="S77" s="256">
        <v>2</v>
      </c>
      <c r="T77" s="256" t="s">
        <v>406</v>
      </c>
      <c r="U77" s="302"/>
      <c r="V77" s="256"/>
      <c r="W77" s="256"/>
      <c r="X77" s="256" t="s">
        <v>407</v>
      </c>
      <c r="Y77" s="256" t="s">
        <v>408</v>
      </c>
      <c r="Z77" s="258"/>
      <c r="AA77" s="131">
        <f>P77*S77</f>
        <v>200000</v>
      </c>
      <c r="AB77" s="272" t="s">
        <v>404</v>
      </c>
      <c r="AC77" s="2"/>
    </row>
    <row r="78" spans="1:29" s="11" customFormat="1" ht="20.25" customHeight="1">
      <c r="A78" s="43"/>
      <c r="B78" s="44"/>
      <c r="C78" s="44"/>
      <c r="D78" s="127"/>
      <c r="E78" s="106"/>
      <c r="F78" s="106"/>
      <c r="G78" s="106"/>
      <c r="H78" s="106"/>
      <c r="I78" s="106"/>
      <c r="J78" s="106"/>
      <c r="K78" s="68"/>
      <c r="L78" s="269" t="s">
        <v>409</v>
      </c>
      <c r="M78" s="269"/>
      <c r="N78" s="269"/>
      <c r="O78" s="269"/>
      <c r="P78" s="256"/>
      <c r="Q78" s="256"/>
      <c r="R78" s="302"/>
      <c r="S78" s="256"/>
      <c r="T78" s="256"/>
      <c r="U78" s="302"/>
      <c r="V78" s="256"/>
      <c r="W78" s="256"/>
      <c r="X78" s="256"/>
      <c r="Y78" s="256" t="s">
        <v>438</v>
      </c>
      <c r="Z78" s="258"/>
      <c r="AA78" s="131">
        <v>2200000</v>
      </c>
      <c r="AB78" s="272" t="s">
        <v>404</v>
      </c>
      <c r="AC78" s="2"/>
    </row>
    <row r="79" spans="1:29" s="11" customFormat="1" ht="20.25" customHeight="1">
      <c r="A79" s="43"/>
      <c r="B79" s="44"/>
      <c r="C79" s="44"/>
      <c r="D79" s="127"/>
      <c r="E79" s="106"/>
      <c r="F79" s="106"/>
      <c r="G79" s="106"/>
      <c r="H79" s="106"/>
      <c r="I79" s="106"/>
      <c r="J79" s="106"/>
      <c r="K79" s="68"/>
      <c r="L79" s="269" t="s">
        <v>410</v>
      </c>
      <c r="M79" s="269"/>
      <c r="N79" s="269"/>
      <c r="O79" s="269"/>
      <c r="P79" s="256"/>
      <c r="Q79" s="256"/>
      <c r="R79" s="302"/>
      <c r="S79" s="256"/>
      <c r="T79" s="256"/>
      <c r="U79" s="337" t="s">
        <v>440</v>
      </c>
      <c r="V79" s="256"/>
      <c r="W79" s="256"/>
      <c r="X79" s="256"/>
      <c r="Y79" s="256" t="s">
        <v>468</v>
      </c>
      <c r="Z79" s="258"/>
      <c r="AA79" s="131">
        <v>2300000</v>
      </c>
      <c r="AB79" s="272" t="s">
        <v>404</v>
      </c>
      <c r="AC79" s="2"/>
    </row>
    <row r="80" spans="1:29" s="11" customFormat="1" ht="20.25" customHeight="1">
      <c r="A80" s="43"/>
      <c r="B80" s="44"/>
      <c r="C80" s="44"/>
      <c r="D80" s="127"/>
      <c r="E80" s="106"/>
      <c r="F80" s="106"/>
      <c r="G80" s="106"/>
      <c r="H80" s="106"/>
      <c r="I80" s="106"/>
      <c r="J80" s="106"/>
      <c r="K80" s="68"/>
      <c r="L80" s="269" t="s">
        <v>411</v>
      </c>
      <c r="M80" s="269"/>
      <c r="N80" s="269"/>
      <c r="O80" s="269"/>
      <c r="P80" s="256"/>
      <c r="Q80" s="256"/>
      <c r="R80" s="302"/>
      <c r="S80" s="256"/>
      <c r="T80" s="256"/>
      <c r="U80" s="302"/>
      <c r="V80" s="256"/>
      <c r="W80" s="256"/>
      <c r="X80" s="256"/>
      <c r="Y80" s="256" t="s">
        <v>408</v>
      </c>
      <c r="Z80" s="258"/>
      <c r="AA80" s="131">
        <v>3000000</v>
      </c>
      <c r="AB80" s="272" t="s">
        <v>404</v>
      </c>
      <c r="AC80" s="2"/>
    </row>
    <row r="81" spans="1:29" s="11" customFormat="1" ht="20.25" customHeight="1">
      <c r="A81" s="43"/>
      <c r="B81" s="44"/>
      <c r="C81" s="44"/>
      <c r="D81" s="127"/>
      <c r="E81" s="106"/>
      <c r="F81" s="106"/>
      <c r="G81" s="106"/>
      <c r="H81" s="106"/>
      <c r="I81" s="106"/>
      <c r="J81" s="106"/>
      <c r="K81" s="68"/>
      <c r="L81" s="409" t="s">
        <v>412</v>
      </c>
      <c r="M81" s="409"/>
      <c r="N81" s="409"/>
      <c r="O81" s="409"/>
      <c r="P81" s="408"/>
      <c r="Q81" s="270"/>
      <c r="R81" s="270"/>
      <c r="S81" s="279"/>
      <c r="T81" s="280"/>
      <c r="U81" s="280"/>
      <c r="V81" s="279"/>
      <c r="W81" s="281"/>
      <c r="X81" s="279"/>
      <c r="Y81" s="408" t="s">
        <v>408</v>
      </c>
      <c r="Z81" s="408"/>
      <c r="AA81" s="408">
        <v>6000000</v>
      </c>
      <c r="AB81" s="132" t="s">
        <v>404</v>
      </c>
      <c r="AC81" s="2"/>
    </row>
    <row r="82" spans="1:29" s="11" customFormat="1" ht="20.25" customHeight="1">
      <c r="A82" s="43"/>
      <c r="B82" s="44"/>
      <c r="C82" s="44"/>
      <c r="D82" s="127"/>
      <c r="E82" s="106"/>
      <c r="F82" s="106"/>
      <c r="G82" s="106"/>
      <c r="H82" s="106"/>
      <c r="I82" s="106"/>
      <c r="J82" s="106"/>
      <c r="K82" s="68"/>
      <c r="L82" s="409" t="s">
        <v>470</v>
      </c>
      <c r="M82" s="409"/>
      <c r="N82" s="409"/>
      <c r="O82" s="409"/>
      <c r="P82" s="408"/>
      <c r="Q82" s="270"/>
      <c r="R82" s="270"/>
      <c r="S82" s="279"/>
      <c r="T82" s="280"/>
      <c r="U82" s="280"/>
      <c r="V82" s="279"/>
      <c r="W82" s="281"/>
      <c r="X82" s="279"/>
      <c r="Y82" s="408" t="s">
        <v>408</v>
      </c>
      <c r="Z82" s="408"/>
      <c r="AA82" s="408">
        <v>2700000</v>
      </c>
      <c r="AB82" s="132" t="s">
        <v>404</v>
      </c>
      <c r="AC82" s="2"/>
    </row>
    <row r="83" spans="1:29" s="11" customFormat="1" ht="20.25" customHeight="1">
      <c r="A83" s="43"/>
      <c r="B83" s="44"/>
      <c r="C83" s="44"/>
      <c r="D83" s="127"/>
      <c r="E83" s="106"/>
      <c r="F83" s="106"/>
      <c r="G83" s="106"/>
      <c r="H83" s="106"/>
      <c r="I83" s="106"/>
      <c r="J83" s="106"/>
      <c r="K83" s="68"/>
      <c r="L83" s="409" t="s">
        <v>413</v>
      </c>
      <c r="M83" s="409"/>
      <c r="N83" s="409"/>
      <c r="O83" s="409"/>
      <c r="P83" s="408"/>
      <c r="Q83" s="270"/>
      <c r="R83" s="270"/>
      <c r="S83" s="279"/>
      <c r="T83" s="280"/>
      <c r="U83" s="280"/>
      <c r="V83" s="279"/>
      <c r="W83" s="281"/>
      <c r="X83" s="279"/>
      <c r="Y83" s="408" t="s">
        <v>438</v>
      </c>
      <c r="Z83" s="408"/>
      <c r="AA83" s="408">
        <v>2000000</v>
      </c>
      <c r="AB83" s="132" t="s">
        <v>404</v>
      </c>
      <c r="AC83" s="2"/>
    </row>
    <row r="84" spans="1:29" s="11" customFormat="1" ht="21" customHeight="1">
      <c r="A84" s="43"/>
      <c r="B84" s="44"/>
      <c r="C84" s="45"/>
      <c r="D84" s="150"/>
      <c r="E84" s="106"/>
      <c r="F84" s="106"/>
      <c r="G84" s="106"/>
      <c r="H84" s="106"/>
      <c r="I84" s="106"/>
      <c r="J84" s="106"/>
      <c r="K84" s="82"/>
      <c r="L84" s="145"/>
      <c r="M84" s="79"/>
      <c r="N84" s="79"/>
      <c r="O84" s="79"/>
      <c r="P84" s="78"/>
      <c r="Q84" s="79"/>
      <c r="R84" s="78"/>
      <c r="S84" s="128"/>
      <c r="T84" s="128"/>
      <c r="U84" s="78"/>
      <c r="V84" s="78"/>
      <c r="W84" s="78"/>
      <c r="X84" s="78"/>
      <c r="Y84" s="78"/>
      <c r="Z84" s="78"/>
      <c r="AA84" s="78"/>
      <c r="AB84" s="71"/>
      <c r="AC84" s="2"/>
    </row>
    <row r="85" spans="1:29" s="11" customFormat="1" ht="21" customHeight="1">
      <c r="A85" s="109" t="s">
        <v>46</v>
      </c>
      <c r="B85" s="555" t="s">
        <v>20</v>
      </c>
      <c r="C85" s="555"/>
      <c r="D85" s="177">
        <f>D86</f>
        <v>2226</v>
      </c>
      <c r="E85" s="177">
        <f>E86</f>
        <v>2226</v>
      </c>
      <c r="F85" s="177">
        <f t="shared" ref="F85:I85" si="5">F86</f>
        <v>0</v>
      </c>
      <c r="G85" s="177">
        <f t="shared" si="5"/>
        <v>2226</v>
      </c>
      <c r="H85" s="177">
        <f t="shared" si="5"/>
        <v>0</v>
      </c>
      <c r="I85" s="177">
        <f t="shared" si="5"/>
        <v>0</v>
      </c>
      <c r="J85" s="177">
        <f>E85-D85</f>
        <v>0</v>
      </c>
      <c r="K85" s="157">
        <f>IF(D85=0,0,J85/D85)</f>
        <v>0</v>
      </c>
      <c r="L85" s="168" t="s">
        <v>93</v>
      </c>
      <c r="M85" s="30"/>
      <c r="N85" s="30"/>
      <c r="O85" s="30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>
        <f>AA86</f>
        <v>2226000</v>
      </c>
      <c r="AB85" s="32" t="s">
        <v>25</v>
      </c>
      <c r="AC85" s="2"/>
    </row>
    <row r="86" spans="1:29" s="11" customFormat="1" ht="21" customHeight="1">
      <c r="A86" s="176" t="s">
        <v>99</v>
      </c>
      <c r="B86" s="44" t="s">
        <v>17</v>
      </c>
      <c r="C86" s="44" t="s">
        <v>94</v>
      </c>
      <c r="D86" s="106">
        <f t="shared" ref="D86:I86" si="6">SUM(D87,D90,D93)</f>
        <v>2226</v>
      </c>
      <c r="E86" s="106">
        <f t="shared" si="6"/>
        <v>2226</v>
      </c>
      <c r="F86" s="106">
        <f t="shared" si="6"/>
        <v>0</v>
      </c>
      <c r="G86" s="106">
        <f t="shared" si="6"/>
        <v>2226</v>
      </c>
      <c r="H86" s="106">
        <f t="shared" si="6"/>
        <v>0</v>
      </c>
      <c r="I86" s="106">
        <f t="shared" si="6"/>
        <v>0</v>
      </c>
      <c r="J86" s="106">
        <f>E86-D86</f>
        <v>0</v>
      </c>
      <c r="K86" s="68">
        <f>IF(D86=0,0,J86/D86)</f>
        <v>0</v>
      </c>
      <c r="L86" s="172" t="s">
        <v>95</v>
      </c>
      <c r="M86" s="91"/>
      <c r="N86" s="91"/>
      <c r="O86" s="91"/>
      <c r="P86" s="91"/>
      <c r="Q86" s="87"/>
      <c r="R86" s="87"/>
      <c r="S86" s="87"/>
      <c r="T86" s="87"/>
      <c r="U86" s="87"/>
      <c r="V86" s="87"/>
      <c r="W86" s="87"/>
      <c r="X86" s="87"/>
      <c r="Y86" s="87"/>
      <c r="Z86" s="92"/>
      <c r="AA86" s="92">
        <f>SUM(AA87,AA90,AA93)</f>
        <v>2226000</v>
      </c>
      <c r="AB86" s="93" t="s">
        <v>25</v>
      </c>
      <c r="AC86" s="1"/>
    </row>
    <row r="87" spans="1:29" s="11" customFormat="1" ht="21" customHeight="1">
      <c r="A87" s="43"/>
      <c r="B87" s="44"/>
      <c r="C87" s="34" t="s">
        <v>95</v>
      </c>
      <c r="D87" s="174">
        <v>0</v>
      </c>
      <c r="E87" s="174">
        <f>ROUND(AA87/1000,0)</f>
        <v>0</v>
      </c>
      <c r="F87" s="111">
        <f>SUMIF($Y$88:$Y$89,"보조",$AA$88:$AA$89)/1000</f>
        <v>0</v>
      </c>
      <c r="G87" s="111">
        <f>SUMIF($Y$88:$Y$89,"지후",$AA$88:$AA$89)/1000</f>
        <v>0</v>
      </c>
      <c r="H87" s="111">
        <f>SUMIF($Y$88:$Y$89,"후원",$AA$88:$AA$89)/1000</f>
        <v>0</v>
      </c>
      <c r="I87" s="111">
        <f>SUMIF($Y$88:$Y$89,"잡수",$AA$88:$AA$89)/1000</f>
        <v>0</v>
      </c>
      <c r="J87" s="174">
        <f>E87-D87</f>
        <v>0</v>
      </c>
      <c r="K87" s="175">
        <f>IF(D87=0,0,J87/D87)</f>
        <v>0</v>
      </c>
      <c r="L87" s="95" t="s">
        <v>47</v>
      </c>
      <c r="M87" s="172"/>
      <c r="N87" s="172"/>
      <c r="O87" s="172"/>
      <c r="P87" s="172"/>
      <c r="Q87" s="171"/>
      <c r="R87" s="171"/>
      <c r="S87" s="171"/>
      <c r="T87" s="171"/>
      <c r="U87" s="171"/>
      <c r="V87" s="163" t="s">
        <v>91</v>
      </c>
      <c r="W87" s="163"/>
      <c r="X87" s="163"/>
      <c r="Y87" s="163"/>
      <c r="Z87" s="165"/>
      <c r="AA87" s="165">
        <f>SUM(AA88:AA88)</f>
        <v>0</v>
      </c>
      <c r="AB87" s="164" t="s">
        <v>25</v>
      </c>
      <c r="AC87" s="1"/>
    </row>
    <row r="88" spans="1:29" s="11" customFormat="1" ht="21" customHeight="1">
      <c r="A88" s="43"/>
      <c r="B88" s="44"/>
      <c r="C88" s="44"/>
      <c r="D88" s="107"/>
      <c r="E88" s="106"/>
      <c r="F88" s="106"/>
      <c r="G88" s="106"/>
      <c r="H88" s="106"/>
      <c r="I88" s="106"/>
      <c r="J88" s="106"/>
      <c r="K88" s="68"/>
      <c r="L88" s="257" t="s">
        <v>355</v>
      </c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 t="s">
        <v>468</v>
      </c>
      <c r="Z88" s="257"/>
      <c r="AA88" s="256">
        <v>0</v>
      </c>
      <c r="AB88" s="272" t="s">
        <v>349</v>
      </c>
      <c r="AC88" s="2"/>
    </row>
    <row r="89" spans="1:29" s="11" customFormat="1" ht="21" customHeight="1">
      <c r="A89" s="43"/>
      <c r="B89" s="44"/>
      <c r="C89" s="44"/>
      <c r="D89" s="150"/>
      <c r="E89" s="106"/>
      <c r="F89" s="106"/>
      <c r="G89" s="106"/>
      <c r="H89" s="106"/>
      <c r="I89" s="106"/>
      <c r="J89" s="106"/>
      <c r="K89" s="68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29"/>
      <c r="AB89" s="121"/>
      <c r="AC89" s="2"/>
    </row>
    <row r="90" spans="1:29" s="11" customFormat="1" ht="21" customHeight="1">
      <c r="A90" s="43"/>
      <c r="B90" s="44"/>
      <c r="C90" s="34" t="s">
        <v>18</v>
      </c>
      <c r="D90" s="152">
        <v>1000</v>
      </c>
      <c r="E90" s="174">
        <f>ROUND(AA90/1000,0)</f>
        <v>1000</v>
      </c>
      <c r="F90" s="111">
        <f>SUMIF($Y$91:$Y$92,"보조",$AA$91:$AA$92)/1000</f>
        <v>0</v>
      </c>
      <c r="G90" s="111">
        <f>SUMIF($Y$91:$Y$92,"지후",$AA$91:$AA$92)/1000</f>
        <v>1000</v>
      </c>
      <c r="H90" s="111">
        <f>SUMIF($Y$91:$Y$92,"후원",$AA$91:$AA$92)/1000</f>
        <v>0</v>
      </c>
      <c r="I90" s="111">
        <f>SUMIF($Y$91:$Y$92,"잡수",$AA$91:$AA$92)/1000</f>
        <v>0</v>
      </c>
      <c r="J90" s="110">
        <f>E90-D90</f>
        <v>0</v>
      </c>
      <c r="K90" s="118">
        <f>IF(D90=0,0,J90/D90)</f>
        <v>0</v>
      </c>
      <c r="L90" s="95" t="s">
        <v>48</v>
      </c>
      <c r="M90" s="91"/>
      <c r="N90" s="91"/>
      <c r="O90" s="91"/>
      <c r="P90" s="91"/>
      <c r="Q90" s="87"/>
      <c r="R90" s="87"/>
      <c r="S90" s="87"/>
      <c r="T90" s="87"/>
      <c r="U90" s="87"/>
      <c r="V90" s="163" t="s">
        <v>91</v>
      </c>
      <c r="W90" s="163"/>
      <c r="X90" s="163"/>
      <c r="Y90" s="163"/>
      <c r="Z90" s="165"/>
      <c r="AA90" s="165">
        <f>SUM(AA91:AA91)</f>
        <v>1000000</v>
      </c>
      <c r="AB90" s="164" t="s">
        <v>25</v>
      </c>
      <c r="AC90" s="1"/>
    </row>
    <row r="91" spans="1:29" s="11" customFormat="1" ht="21" customHeight="1">
      <c r="A91" s="43"/>
      <c r="B91" s="44"/>
      <c r="C91" s="44"/>
      <c r="D91" s="107"/>
      <c r="E91" s="106"/>
      <c r="F91" s="106"/>
      <c r="G91" s="106"/>
      <c r="H91" s="106"/>
      <c r="I91" s="106"/>
      <c r="J91" s="106"/>
      <c r="K91" s="68"/>
      <c r="L91" s="409" t="s">
        <v>414</v>
      </c>
      <c r="M91" s="394"/>
      <c r="N91" s="394"/>
      <c r="O91" s="394"/>
      <c r="P91" s="393"/>
      <c r="Q91" s="270"/>
      <c r="R91" s="270"/>
      <c r="S91" s="393"/>
      <c r="T91" s="394"/>
      <c r="U91" s="337" t="s">
        <v>440</v>
      </c>
      <c r="V91" s="337"/>
      <c r="W91" s="393"/>
      <c r="X91" s="393"/>
      <c r="Y91" s="408" t="s">
        <v>468</v>
      </c>
      <c r="Z91" s="393"/>
      <c r="AA91" s="393">
        <v>1000000</v>
      </c>
      <c r="AB91" s="132" t="s">
        <v>25</v>
      </c>
      <c r="AC91" s="2">
        <v>0</v>
      </c>
    </row>
    <row r="92" spans="1:29" s="11" customFormat="1" ht="21" customHeight="1">
      <c r="A92" s="43"/>
      <c r="B92" s="44"/>
      <c r="C92" s="44"/>
      <c r="D92" s="107"/>
      <c r="E92" s="106"/>
      <c r="F92" s="106"/>
      <c r="G92" s="106"/>
      <c r="H92" s="106"/>
      <c r="I92" s="106"/>
      <c r="J92" s="106"/>
      <c r="K92" s="68"/>
      <c r="L92" s="147"/>
      <c r="M92" s="48"/>
      <c r="N92" s="48"/>
      <c r="O92" s="48"/>
      <c r="P92" s="49"/>
      <c r="Q92" s="114"/>
      <c r="R92" s="53"/>
      <c r="S92" s="66"/>
      <c r="T92" s="66"/>
      <c r="U92" s="49"/>
      <c r="V92" s="49"/>
      <c r="W92" s="49"/>
      <c r="X92" s="49"/>
      <c r="Y92" s="49"/>
      <c r="Z92" s="49"/>
      <c r="AA92" s="49"/>
      <c r="AB92" s="55"/>
      <c r="AC92" s="2"/>
    </row>
    <row r="93" spans="1:29" s="11" customFormat="1" ht="21" customHeight="1">
      <c r="A93" s="43"/>
      <c r="B93" s="44"/>
      <c r="C93" s="34" t="s">
        <v>49</v>
      </c>
      <c r="D93" s="152">
        <v>1226</v>
      </c>
      <c r="E93" s="174">
        <f>ROUND(AA93/1000,0)</f>
        <v>1226</v>
      </c>
      <c r="F93" s="111">
        <f>SUMIF($Y$94:$Y$95,"보조",$AA$94:$AA$95)/1000</f>
        <v>0</v>
      </c>
      <c r="G93" s="111">
        <f>SUMIF($Y$94:$Y$95,"지후",$AA$94:$AA$95)/1000</f>
        <v>1226</v>
      </c>
      <c r="H93" s="111">
        <f>SUMIF($Y$94:$Y$95,"후원",$AA$94:$AA$95)/1000</f>
        <v>0</v>
      </c>
      <c r="I93" s="111">
        <f>SUMIF($Y$94:$Y$95,"잡수",$AA$94:$AA$95)/1000</f>
        <v>0</v>
      </c>
      <c r="J93" s="110">
        <f>E93-D93</f>
        <v>0</v>
      </c>
      <c r="K93" s="118">
        <f>IF(D93=0,0,J93/D93)</f>
        <v>0</v>
      </c>
      <c r="L93" s="95" t="s">
        <v>50</v>
      </c>
      <c r="M93" s="91"/>
      <c r="N93" s="91"/>
      <c r="O93" s="91"/>
      <c r="P93" s="91"/>
      <c r="Q93" s="87"/>
      <c r="R93" s="87"/>
      <c r="S93" s="87"/>
      <c r="T93" s="87"/>
      <c r="U93" s="87"/>
      <c r="V93" s="163" t="s">
        <v>91</v>
      </c>
      <c r="W93" s="163"/>
      <c r="X93" s="163"/>
      <c r="Y93" s="163"/>
      <c r="Z93" s="165"/>
      <c r="AA93" s="165">
        <f>SUM(AA94:AA94)</f>
        <v>1226000</v>
      </c>
      <c r="AB93" s="164" t="s">
        <v>25</v>
      </c>
      <c r="AC93" s="1"/>
    </row>
    <row r="94" spans="1:29" s="1" customFormat="1" ht="21" customHeight="1">
      <c r="A94" s="43"/>
      <c r="B94" s="44"/>
      <c r="C94" s="44" t="s">
        <v>101</v>
      </c>
      <c r="D94" s="150"/>
      <c r="E94" s="106"/>
      <c r="F94" s="106"/>
      <c r="G94" s="106"/>
      <c r="H94" s="106"/>
      <c r="I94" s="106"/>
      <c r="J94" s="106"/>
      <c r="K94" s="68"/>
      <c r="L94" s="409" t="s">
        <v>377</v>
      </c>
      <c r="M94" s="336"/>
      <c r="N94" s="336"/>
      <c r="O94" s="336"/>
      <c r="P94" s="335"/>
      <c r="Q94" s="270"/>
      <c r="R94" s="270"/>
      <c r="S94" s="335"/>
      <c r="T94" s="336"/>
      <c r="U94" s="337" t="s">
        <v>440</v>
      </c>
      <c r="V94" s="335"/>
      <c r="W94" s="335"/>
      <c r="X94" s="335"/>
      <c r="Y94" s="408" t="s">
        <v>468</v>
      </c>
      <c r="Z94" s="335"/>
      <c r="AA94" s="408">
        <v>1226000</v>
      </c>
      <c r="AB94" s="132" t="s">
        <v>25</v>
      </c>
      <c r="AC94" s="2">
        <v>0</v>
      </c>
    </row>
    <row r="95" spans="1:29" s="1" customFormat="1" ht="21" customHeight="1">
      <c r="A95" s="43"/>
      <c r="B95" s="44"/>
      <c r="C95" s="44"/>
      <c r="D95" s="150"/>
      <c r="E95" s="106"/>
      <c r="F95" s="106"/>
      <c r="G95" s="106"/>
      <c r="H95" s="106"/>
      <c r="I95" s="106"/>
      <c r="J95" s="106"/>
      <c r="K95" s="68"/>
      <c r="L95" s="147"/>
      <c r="M95" s="48"/>
      <c r="N95" s="48"/>
      <c r="O95" s="48"/>
      <c r="P95" s="49"/>
      <c r="Q95" s="53"/>
      <c r="R95" s="53"/>
      <c r="S95" s="49"/>
      <c r="T95" s="48"/>
      <c r="U95" s="49"/>
      <c r="V95" s="49"/>
      <c r="W95" s="49"/>
      <c r="X95" s="49"/>
      <c r="Y95" s="122"/>
      <c r="Z95" s="49"/>
      <c r="AA95" s="49"/>
      <c r="AB95" s="55"/>
      <c r="AC95" s="2"/>
    </row>
    <row r="96" spans="1:29" s="11" customFormat="1" ht="21" hidden="1" customHeight="1">
      <c r="A96" s="178" t="s">
        <v>19</v>
      </c>
      <c r="B96" s="553" t="s">
        <v>20</v>
      </c>
      <c r="C96" s="554"/>
      <c r="D96" s="179">
        <f>SUM(D97)</f>
        <v>0</v>
      </c>
      <c r="E96" s="179">
        <f t="shared" ref="E96:K96" si="7">SUM(E97)</f>
        <v>0</v>
      </c>
      <c r="F96" s="179">
        <f t="shared" si="7"/>
        <v>0</v>
      </c>
      <c r="G96" s="179">
        <f t="shared" si="7"/>
        <v>0</v>
      </c>
      <c r="H96" s="179">
        <f t="shared" si="7"/>
        <v>0</v>
      </c>
      <c r="I96" s="179">
        <f t="shared" si="7"/>
        <v>0</v>
      </c>
      <c r="J96" s="179">
        <f t="shared" si="7"/>
        <v>0</v>
      </c>
      <c r="K96" s="179">
        <f t="shared" si="7"/>
        <v>0</v>
      </c>
      <c r="L96" s="172" t="s">
        <v>97</v>
      </c>
      <c r="M96" s="91"/>
      <c r="N96" s="91"/>
      <c r="O96" s="91"/>
      <c r="P96" s="91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>
        <f>SUM(AA97)</f>
        <v>0</v>
      </c>
      <c r="AB96" s="93" t="s">
        <v>25</v>
      </c>
      <c r="AC96" s="13"/>
    </row>
    <row r="97" spans="1:29" s="11" customFormat="1" ht="21" hidden="1" customHeight="1">
      <c r="A97" s="44"/>
      <c r="B97" s="34" t="s">
        <v>280</v>
      </c>
      <c r="C97" s="34" t="s">
        <v>98</v>
      </c>
      <c r="D97" s="110">
        <f>SUM(D98,D102)</f>
        <v>0</v>
      </c>
      <c r="E97" s="110">
        <f t="shared" ref="E97:K97" si="8">SUM(E98,E102)</f>
        <v>0</v>
      </c>
      <c r="F97" s="110">
        <f t="shared" si="8"/>
        <v>0</v>
      </c>
      <c r="G97" s="110">
        <f t="shared" si="8"/>
        <v>0</v>
      </c>
      <c r="H97" s="110">
        <f t="shared" si="8"/>
        <v>0</v>
      </c>
      <c r="I97" s="110">
        <f t="shared" si="8"/>
        <v>0</v>
      </c>
      <c r="J97" s="110">
        <f t="shared" si="8"/>
        <v>0</v>
      </c>
      <c r="K97" s="110">
        <f t="shared" si="8"/>
        <v>0</v>
      </c>
      <c r="L97" s="91"/>
      <c r="M97" s="91"/>
      <c r="N97" s="91"/>
      <c r="O97" s="91"/>
      <c r="P97" s="91"/>
      <c r="Q97" s="87"/>
      <c r="R97" s="87"/>
      <c r="S97" s="87"/>
      <c r="T97" s="87"/>
      <c r="U97" s="87"/>
      <c r="V97" s="87" t="s">
        <v>28</v>
      </c>
      <c r="W97" s="87"/>
      <c r="X97" s="87"/>
      <c r="Y97" s="87"/>
      <c r="Z97" s="92"/>
      <c r="AA97" s="92">
        <f>SUM(AA98,AA102)</f>
        <v>0</v>
      </c>
      <c r="AB97" s="93" t="s">
        <v>25</v>
      </c>
      <c r="AC97" s="1"/>
    </row>
    <row r="98" spans="1:29" s="11" customFormat="1" ht="21" hidden="1" customHeight="1">
      <c r="A98" s="44"/>
      <c r="B98" s="44" t="s">
        <v>281</v>
      </c>
      <c r="C98" s="34" t="s">
        <v>282</v>
      </c>
      <c r="D98" s="152">
        <v>0</v>
      </c>
      <c r="E98" s="110">
        <f>AA98/1000</f>
        <v>0</v>
      </c>
      <c r="F98" s="111">
        <f>SUMIF($Y$99:$Y$101,"보조",$AA$99:$AA$101)/1000</f>
        <v>0</v>
      </c>
      <c r="G98" s="111">
        <f>SUMIF($Y$99:$Y$101,"후원",$AA$99:$AA$101)/1000</f>
        <v>0</v>
      </c>
      <c r="H98" s="111">
        <f>SUMIF($Y$99:$Y$101,"입소",$AA$99:$AA$101)/1000</f>
        <v>0</v>
      </c>
      <c r="I98" s="111">
        <f>SUMIF($Y$99:$Y$101,"잡수",$AA$99:$AA$101)/1000</f>
        <v>0</v>
      </c>
      <c r="J98" s="110">
        <f>E98-D98</f>
        <v>0</v>
      </c>
      <c r="K98" s="118">
        <f>IF(D98=0,0,J98/D98)</f>
        <v>0</v>
      </c>
      <c r="L98" s="95" t="s">
        <v>327</v>
      </c>
      <c r="M98" s="172"/>
      <c r="N98" s="172"/>
      <c r="O98" s="172"/>
      <c r="P98" s="172"/>
      <c r="Q98" s="171"/>
      <c r="R98" s="171"/>
      <c r="S98" s="171"/>
      <c r="T98" s="171"/>
      <c r="U98" s="171"/>
      <c r="V98" s="163" t="s">
        <v>91</v>
      </c>
      <c r="W98" s="163"/>
      <c r="X98" s="163"/>
      <c r="Y98" s="163"/>
      <c r="Z98" s="165"/>
      <c r="AA98" s="165">
        <f>SUM(AA99:AA100)</f>
        <v>0</v>
      </c>
      <c r="AB98" s="164" t="s">
        <v>25</v>
      </c>
      <c r="AC98" s="1"/>
    </row>
    <row r="99" spans="1:29" s="11" customFormat="1" ht="21" hidden="1" customHeight="1">
      <c r="A99" s="44"/>
      <c r="B99" s="44"/>
      <c r="C99" s="44"/>
      <c r="D99" s="107"/>
      <c r="E99" s="106"/>
      <c r="F99" s="106"/>
      <c r="G99" s="106"/>
      <c r="H99" s="106"/>
      <c r="I99" s="106"/>
      <c r="J99" s="106"/>
      <c r="K99" s="68"/>
      <c r="L99" s="409" t="s">
        <v>326</v>
      </c>
      <c r="M99" s="336"/>
      <c r="N99" s="335"/>
      <c r="O99" s="335"/>
      <c r="P99" s="335">
        <v>0</v>
      </c>
      <c r="Q99" s="335" t="s">
        <v>163</v>
      </c>
      <c r="R99" s="270" t="s">
        <v>164</v>
      </c>
      <c r="S99" s="335">
        <v>12</v>
      </c>
      <c r="T99" s="335" t="s">
        <v>166</v>
      </c>
      <c r="U99" s="270" t="s">
        <v>164</v>
      </c>
      <c r="V99" s="335">
        <v>23</v>
      </c>
      <c r="W99" s="335" t="s">
        <v>165</v>
      </c>
      <c r="X99" s="265" t="s">
        <v>167</v>
      </c>
      <c r="Y99" s="408" t="s">
        <v>330</v>
      </c>
      <c r="Z99" s="131"/>
      <c r="AA99" s="131">
        <f>ROUNDUP(P99*S99*V99,-3)</f>
        <v>0</v>
      </c>
      <c r="AB99" s="132" t="s">
        <v>25</v>
      </c>
      <c r="AC99" s="2"/>
    </row>
    <row r="100" spans="1:29" s="11" customFormat="1" ht="21" hidden="1" customHeight="1">
      <c r="A100" s="44"/>
      <c r="B100" s="44"/>
      <c r="C100" s="44"/>
      <c r="D100" s="107"/>
      <c r="E100" s="106"/>
      <c r="F100" s="106"/>
      <c r="G100" s="106"/>
      <c r="H100" s="106"/>
      <c r="I100" s="106"/>
      <c r="J100" s="106"/>
      <c r="K100" s="68"/>
      <c r="L100" s="409" t="s">
        <v>328</v>
      </c>
      <c r="M100" s="336"/>
      <c r="N100" s="336"/>
      <c r="O100" s="336"/>
      <c r="P100" s="335"/>
      <c r="Q100" s="335"/>
      <c r="R100" s="270"/>
      <c r="S100" s="335"/>
      <c r="T100" s="335"/>
      <c r="U100" s="270"/>
      <c r="V100" s="335"/>
      <c r="W100" s="335"/>
      <c r="X100" s="265"/>
      <c r="Y100" s="408" t="s">
        <v>330</v>
      </c>
      <c r="Z100" s="131"/>
      <c r="AA100" s="131">
        <v>0</v>
      </c>
      <c r="AB100" s="132" t="s">
        <v>25</v>
      </c>
      <c r="AC100" s="2"/>
    </row>
    <row r="101" spans="1:29" s="11" customFormat="1" ht="21" hidden="1" customHeight="1">
      <c r="A101" s="44"/>
      <c r="B101" s="44"/>
      <c r="C101" s="57"/>
      <c r="D101" s="151"/>
      <c r="E101" s="108"/>
      <c r="F101" s="108"/>
      <c r="G101" s="108"/>
      <c r="H101" s="108"/>
      <c r="I101" s="108"/>
      <c r="J101" s="108"/>
      <c r="K101" s="82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29"/>
      <c r="AB101" s="121"/>
      <c r="AC101" s="2"/>
    </row>
    <row r="102" spans="1:29" s="11" customFormat="1" ht="21" hidden="1" customHeight="1">
      <c r="A102" s="44"/>
      <c r="B102" s="44"/>
      <c r="C102" s="34" t="s">
        <v>325</v>
      </c>
      <c r="D102" s="150">
        <v>0</v>
      </c>
      <c r="E102" s="106">
        <f>ROUND(AA102/1000,0)</f>
        <v>0</v>
      </c>
      <c r="F102" s="111">
        <f>SUMIF($Y$103:$Y$105,"보조",$AA$103:$AA$105)/1000</f>
        <v>0</v>
      </c>
      <c r="G102" s="111">
        <f>SUMIF($Y$103:$Y$105,"후원",$AA$103:$AA$105)/1000</f>
        <v>0</v>
      </c>
      <c r="H102" s="111">
        <f>SUMIF($Y$103:$Y$105,"입소",$AA$103:$AA$105)/1000</f>
        <v>0</v>
      </c>
      <c r="I102" s="111">
        <f>SUMIF($Y$103:$Y$105,"잡수",$AA$103:$AA$105)/1000</f>
        <v>0</v>
      </c>
      <c r="J102" s="106">
        <f>E102-D102</f>
        <v>0</v>
      </c>
      <c r="K102" s="68">
        <f>IF(D102=0,0,J102/D102)</f>
        <v>0</v>
      </c>
      <c r="L102" s="95" t="s">
        <v>327</v>
      </c>
      <c r="M102" s="91"/>
      <c r="N102" s="91"/>
      <c r="O102" s="91"/>
      <c r="P102" s="91"/>
      <c r="Q102" s="87"/>
      <c r="R102" s="87"/>
      <c r="S102" s="87"/>
      <c r="T102" s="87"/>
      <c r="U102" s="87"/>
      <c r="V102" s="163" t="s">
        <v>91</v>
      </c>
      <c r="W102" s="163"/>
      <c r="X102" s="163"/>
      <c r="Y102" s="163"/>
      <c r="Z102" s="165"/>
      <c r="AA102" s="165">
        <f>SUM(AA103:AA105)</f>
        <v>0</v>
      </c>
      <c r="AB102" s="164" t="s">
        <v>25</v>
      </c>
      <c r="AC102" s="1"/>
    </row>
    <row r="103" spans="1:29" s="11" customFormat="1" ht="21" hidden="1" customHeight="1">
      <c r="A103" s="44"/>
      <c r="B103" s="44"/>
      <c r="C103" s="44"/>
      <c r="D103" s="150"/>
      <c r="E103" s="106"/>
      <c r="F103" s="106"/>
      <c r="G103" s="106"/>
      <c r="H103" s="106"/>
      <c r="I103" s="106"/>
      <c r="J103" s="106"/>
      <c r="K103" s="68"/>
      <c r="L103" s="409" t="s">
        <v>326</v>
      </c>
      <c r="M103" s="336"/>
      <c r="N103" s="336"/>
      <c r="O103" s="336"/>
      <c r="P103" s="335"/>
      <c r="Q103" s="270"/>
      <c r="R103" s="270"/>
      <c r="S103" s="335"/>
      <c r="T103" s="335"/>
      <c r="U103" s="335"/>
      <c r="V103" s="335"/>
      <c r="W103" s="335"/>
      <c r="X103" s="335"/>
      <c r="Y103" s="408" t="s">
        <v>330</v>
      </c>
      <c r="Z103" s="335"/>
      <c r="AA103" s="335">
        <v>0</v>
      </c>
      <c r="AB103" s="132" t="s">
        <v>159</v>
      </c>
      <c r="AC103" s="2"/>
    </row>
    <row r="104" spans="1:29" s="11" customFormat="1" ht="21" hidden="1" customHeight="1">
      <c r="A104" s="44"/>
      <c r="B104" s="44"/>
      <c r="C104" s="44"/>
      <c r="D104" s="150"/>
      <c r="E104" s="106"/>
      <c r="F104" s="106"/>
      <c r="G104" s="106"/>
      <c r="H104" s="106"/>
      <c r="I104" s="106"/>
      <c r="J104" s="106"/>
      <c r="K104" s="68"/>
      <c r="L104" s="409" t="s">
        <v>328</v>
      </c>
      <c r="M104" s="336"/>
      <c r="N104" s="336"/>
      <c r="O104" s="336"/>
      <c r="P104" s="335"/>
      <c r="Q104" s="270"/>
      <c r="R104" s="270"/>
      <c r="S104" s="335"/>
      <c r="T104" s="335"/>
      <c r="U104" s="335"/>
      <c r="V104" s="335"/>
      <c r="W104" s="335"/>
      <c r="X104" s="335"/>
      <c r="Y104" s="408" t="s">
        <v>330</v>
      </c>
      <c r="Z104" s="335"/>
      <c r="AA104" s="335">
        <v>0</v>
      </c>
      <c r="AB104" s="132" t="s">
        <v>159</v>
      </c>
      <c r="AC104" s="2"/>
    </row>
    <row r="105" spans="1:29" s="11" customFormat="1" ht="21" hidden="1" customHeight="1">
      <c r="A105" s="44"/>
      <c r="B105" s="44"/>
      <c r="C105" s="44"/>
      <c r="D105" s="150"/>
      <c r="E105" s="106"/>
      <c r="F105" s="106"/>
      <c r="G105" s="106"/>
      <c r="H105" s="106"/>
      <c r="I105" s="106"/>
      <c r="J105" s="106"/>
      <c r="K105" s="68"/>
      <c r="L105" s="382"/>
      <c r="M105" s="382"/>
      <c r="N105" s="382"/>
      <c r="O105" s="382"/>
      <c r="P105" s="337"/>
      <c r="Q105" s="384"/>
      <c r="R105" s="260"/>
      <c r="S105" s="398"/>
      <c r="T105" s="337"/>
      <c r="U105" s="337"/>
      <c r="V105" s="337"/>
      <c r="W105" s="337"/>
      <c r="X105" s="337"/>
      <c r="Y105" s="337"/>
      <c r="Z105" s="337"/>
      <c r="AA105" s="337"/>
      <c r="AB105" s="383"/>
      <c r="AC105" s="1"/>
    </row>
    <row r="106" spans="1:29" s="11" customFormat="1" ht="21" customHeight="1">
      <c r="A106" s="109" t="s">
        <v>283</v>
      </c>
      <c r="B106" s="549" t="s">
        <v>20</v>
      </c>
      <c r="C106" s="550"/>
      <c r="D106" s="438">
        <f>D107+D119</f>
        <v>282924</v>
      </c>
      <c r="E106" s="438">
        <f>SUM(E107,E119)</f>
        <v>168171</v>
      </c>
      <c r="F106" s="438">
        <f t="shared" ref="F106:I106" si="9">SUM(F107,F119)</f>
        <v>40000</v>
      </c>
      <c r="G106" s="438">
        <f t="shared" si="9"/>
        <v>123232</v>
      </c>
      <c r="H106" s="438">
        <f t="shared" si="9"/>
        <v>4939</v>
      </c>
      <c r="I106" s="438">
        <f t="shared" si="9"/>
        <v>0</v>
      </c>
      <c r="J106" s="439">
        <f>E106-D106</f>
        <v>-114753</v>
      </c>
      <c r="K106" s="291">
        <f>IF(D106=0,0,J106/D106)</f>
        <v>-0.40559655596555966</v>
      </c>
      <c r="L106" s="440" t="s">
        <v>329</v>
      </c>
      <c r="M106" s="440"/>
      <c r="N106" s="440"/>
      <c r="O106" s="440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>
        <f>SUM(AA107,AA119)</f>
        <v>168171000</v>
      </c>
      <c r="AB106" s="441" t="s">
        <v>25</v>
      </c>
      <c r="AC106" s="1"/>
    </row>
    <row r="107" spans="1:29" s="11" customFormat="1" ht="21" customHeight="1">
      <c r="A107" s="176"/>
      <c r="B107" s="44" t="s">
        <v>283</v>
      </c>
      <c r="C107" s="57" t="s">
        <v>310</v>
      </c>
      <c r="D107" s="151">
        <f>SUM(D108,D110,D112,D114,D117)</f>
        <v>26778</v>
      </c>
      <c r="E107" s="108">
        <f>AA107/1000</f>
        <v>128171</v>
      </c>
      <c r="F107" s="427">
        <f>SUM(F108,F110,F112,F114,F117)</f>
        <v>0</v>
      </c>
      <c r="G107" s="427">
        <f t="shared" ref="G107:I107" si="10">SUM(G108,G110,G112,G114,G117)</f>
        <v>123232</v>
      </c>
      <c r="H107" s="427">
        <f t="shared" si="10"/>
        <v>4939</v>
      </c>
      <c r="I107" s="427">
        <f t="shared" si="10"/>
        <v>0</v>
      </c>
      <c r="J107" s="108">
        <f>E107-D107</f>
        <v>101393</v>
      </c>
      <c r="K107" s="82">
        <f>IF(D107=0,0,J107/D107)</f>
        <v>3.7864291582642466</v>
      </c>
      <c r="L107" s="437" t="s">
        <v>314</v>
      </c>
      <c r="M107" s="113"/>
      <c r="N107" s="113"/>
      <c r="O107" s="113"/>
      <c r="P107" s="113"/>
      <c r="Q107" s="97"/>
      <c r="R107" s="97"/>
      <c r="S107" s="97"/>
      <c r="T107" s="97"/>
      <c r="U107" s="97"/>
      <c r="V107" s="97"/>
      <c r="W107" s="97"/>
      <c r="X107" s="97"/>
      <c r="Y107" s="97"/>
      <c r="Z107" s="115"/>
      <c r="AA107" s="115">
        <f>SUM(AA108,AA110,AA112,AA114,AA117)</f>
        <v>128171000</v>
      </c>
      <c r="AB107" s="116" t="s">
        <v>25</v>
      </c>
      <c r="AC107" s="1"/>
    </row>
    <row r="108" spans="1:29" s="11" customFormat="1" ht="21" customHeight="1">
      <c r="A108" s="176"/>
      <c r="B108" s="44" t="s">
        <v>312</v>
      </c>
      <c r="C108" s="44" t="s">
        <v>285</v>
      </c>
      <c r="D108" s="110">
        <v>778</v>
      </c>
      <c r="E108" s="110">
        <f>ROUND(AA108/1000,0)</f>
        <v>0</v>
      </c>
      <c r="F108" s="111">
        <f>SUMIF($Y$109:$Y$109,"보조",$AA$109:$AA$109)/1000</f>
        <v>0</v>
      </c>
      <c r="G108" s="111">
        <f>SUMIF($Y$109:$Y$109,"지후",$AA$109:$AA$109)/1000</f>
        <v>0</v>
      </c>
      <c r="H108" s="111">
        <f>SUMIF($Y$109:$Y$109,"후원",$AA$109:$AA$109)/1000</f>
        <v>0</v>
      </c>
      <c r="I108" s="111">
        <f>SUMIF($Y$109:$Y$109,"잡수",$AA$109:$AA$109)/1000</f>
        <v>0</v>
      </c>
      <c r="J108" s="110">
        <f>E108-D108</f>
        <v>-778</v>
      </c>
      <c r="K108" s="118">
        <f>IF(D108=0,0,J108/D108)</f>
        <v>-1</v>
      </c>
      <c r="L108" s="424" t="s">
        <v>315</v>
      </c>
      <c r="M108" s="168"/>
      <c r="N108" s="168"/>
      <c r="O108" s="168"/>
      <c r="P108" s="168"/>
      <c r="Q108" s="148"/>
      <c r="R108" s="148"/>
      <c r="S108" s="148"/>
      <c r="T108" s="148"/>
      <c r="U108" s="148"/>
      <c r="V108" s="406" t="s">
        <v>286</v>
      </c>
      <c r="W108" s="97"/>
      <c r="X108" s="97"/>
      <c r="Y108" s="97"/>
      <c r="Z108" s="115"/>
      <c r="AA108" s="115">
        <f>AA109</f>
        <v>0</v>
      </c>
      <c r="AB108" s="116" t="s">
        <v>320</v>
      </c>
      <c r="AC108" s="1"/>
    </row>
    <row r="109" spans="1:29" ht="21" customHeight="1">
      <c r="A109" s="43"/>
      <c r="B109" s="44"/>
      <c r="C109" s="57" t="s">
        <v>313</v>
      </c>
      <c r="D109" s="108"/>
      <c r="E109" s="108"/>
      <c r="F109" s="108"/>
      <c r="G109" s="108"/>
      <c r="H109" s="108"/>
      <c r="I109" s="108"/>
      <c r="J109" s="108"/>
      <c r="K109" s="82"/>
      <c r="L109" s="405"/>
      <c r="M109" s="405"/>
      <c r="N109" s="405"/>
      <c r="O109" s="405"/>
      <c r="P109" s="404"/>
      <c r="Q109" s="404"/>
      <c r="R109" s="404"/>
      <c r="S109" s="404"/>
      <c r="T109" s="404"/>
      <c r="U109" s="404"/>
      <c r="V109" s="404"/>
      <c r="W109" s="404"/>
      <c r="X109" s="404"/>
      <c r="Y109" s="410" t="s">
        <v>330</v>
      </c>
      <c r="Z109" s="404"/>
      <c r="AA109" s="70">
        <v>0</v>
      </c>
      <c r="AB109" s="363" t="s">
        <v>25</v>
      </c>
    </row>
    <row r="110" spans="1:29" ht="21" customHeight="1">
      <c r="A110" s="43"/>
      <c r="B110" s="44"/>
      <c r="C110" s="34" t="s">
        <v>287</v>
      </c>
      <c r="D110" s="110">
        <v>10000</v>
      </c>
      <c r="E110" s="110">
        <f>ROUND(AA110/1000,0)</f>
        <v>30000</v>
      </c>
      <c r="F110" s="110">
        <f>SUMIF($Y$111:$Y$111,"보조",$AA$111:$AA$111)/1000</f>
        <v>0</v>
      </c>
      <c r="G110" s="110">
        <f>SUMIF($Y$111:$Y$111,"지후",$AA$111:$AA$111)/1000</f>
        <v>30000</v>
      </c>
      <c r="H110" s="110">
        <f>SUMIF($Y$111:$Y$111,"후원",$AA$111:$AA$111)/1000</f>
        <v>0</v>
      </c>
      <c r="I110" s="110">
        <f>SUMIF($Y$111:$Y$111,"잡수",$AA$111:$AA$111)/1000</f>
        <v>0</v>
      </c>
      <c r="J110" s="110">
        <f>E110-D110</f>
        <v>20000</v>
      </c>
      <c r="K110" s="118">
        <f>IF(D110=0,0,J110/D110)</f>
        <v>2</v>
      </c>
      <c r="L110" s="424" t="s">
        <v>316</v>
      </c>
      <c r="M110" s="172"/>
      <c r="N110" s="172"/>
      <c r="O110" s="172"/>
      <c r="P110" s="172"/>
      <c r="Q110" s="171"/>
      <c r="R110" s="171"/>
      <c r="S110" s="171"/>
      <c r="T110" s="171"/>
      <c r="U110" s="171"/>
      <c r="V110" s="406" t="s">
        <v>286</v>
      </c>
      <c r="W110" s="406"/>
      <c r="X110" s="406"/>
      <c r="Y110" s="406"/>
      <c r="Z110" s="165"/>
      <c r="AA110" s="165">
        <f>AA111</f>
        <v>30000000</v>
      </c>
      <c r="AB110" s="164" t="s">
        <v>25</v>
      </c>
    </row>
    <row r="111" spans="1:29" ht="21" customHeight="1">
      <c r="A111" s="43"/>
      <c r="B111" s="44"/>
      <c r="C111" s="57" t="s">
        <v>313</v>
      </c>
      <c r="D111" s="108"/>
      <c r="E111" s="108"/>
      <c r="F111" s="108"/>
      <c r="G111" s="108"/>
      <c r="H111" s="108"/>
      <c r="I111" s="108"/>
      <c r="J111" s="108"/>
      <c r="K111" s="82"/>
      <c r="L111" s="405"/>
      <c r="M111" s="405"/>
      <c r="N111" s="405"/>
      <c r="O111" s="405"/>
      <c r="P111" s="404"/>
      <c r="Q111" s="404"/>
      <c r="R111" s="404"/>
      <c r="S111" s="404"/>
      <c r="T111" s="404"/>
      <c r="U111" s="337" t="s">
        <v>440</v>
      </c>
      <c r="V111" s="404"/>
      <c r="W111" s="404"/>
      <c r="X111" s="404"/>
      <c r="Y111" s="489" t="s">
        <v>468</v>
      </c>
      <c r="Z111" s="404"/>
      <c r="AA111" s="70">
        <v>30000000</v>
      </c>
      <c r="AB111" s="363" t="s">
        <v>163</v>
      </c>
      <c r="AC111" s="4">
        <v>0</v>
      </c>
    </row>
    <row r="112" spans="1:29" ht="21" customHeight="1">
      <c r="A112" s="43"/>
      <c r="B112" s="44"/>
      <c r="C112" s="34" t="s">
        <v>288</v>
      </c>
      <c r="D112" s="110">
        <v>0</v>
      </c>
      <c r="E112" s="110">
        <f>ROUND(AA112/1000,0)</f>
        <v>0</v>
      </c>
      <c r="F112" s="110">
        <f>SUMIF(Y113:Y113,"보조",AA113:AA113)/1000</f>
        <v>0</v>
      </c>
      <c r="G112" s="110">
        <f>SUMIF(Y113:Y113,"지후",AA113:AA113)/1000</f>
        <v>0</v>
      </c>
      <c r="H112" s="110">
        <f>SUMIF(Y113:Y113,"후원",AA113:AA113)/1000</f>
        <v>0</v>
      </c>
      <c r="I112" s="110">
        <f>SUMIF(Y113:Y113,"잡수",AA113:AA113)/1000</f>
        <v>0</v>
      </c>
      <c r="J112" s="110">
        <f>E112-D112</f>
        <v>0</v>
      </c>
      <c r="K112" s="118">
        <f>IF(D112=0,0,J112/D112)</f>
        <v>0</v>
      </c>
      <c r="L112" s="424" t="s">
        <v>317</v>
      </c>
      <c r="M112" s="172"/>
      <c r="N112" s="172"/>
      <c r="O112" s="172"/>
      <c r="P112" s="172"/>
      <c r="Q112" s="171"/>
      <c r="R112" s="171"/>
      <c r="S112" s="171"/>
      <c r="T112" s="171"/>
      <c r="U112" s="171"/>
      <c r="V112" s="406" t="s">
        <v>286</v>
      </c>
      <c r="W112" s="406"/>
      <c r="X112" s="406"/>
      <c r="Y112" s="406"/>
      <c r="Z112" s="165"/>
      <c r="AA112" s="165">
        <f>AA113</f>
        <v>0</v>
      </c>
      <c r="AB112" s="164" t="s">
        <v>25</v>
      </c>
    </row>
    <row r="113" spans="1:29" ht="21" customHeight="1">
      <c r="A113" s="43"/>
      <c r="B113" s="44"/>
      <c r="C113" s="57" t="s">
        <v>313</v>
      </c>
      <c r="D113" s="108"/>
      <c r="E113" s="108"/>
      <c r="F113" s="108"/>
      <c r="G113" s="108"/>
      <c r="H113" s="108"/>
      <c r="I113" s="108"/>
      <c r="J113" s="108"/>
      <c r="K113" s="82"/>
      <c r="L113" s="405"/>
      <c r="M113" s="405"/>
      <c r="N113" s="405"/>
      <c r="O113" s="405"/>
      <c r="P113" s="404"/>
      <c r="Q113" s="404"/>
      <c r="R113" s="404"/>
      <c r="S113" s="404"/>
      <c r="T113" s="404"/>
      <c r="U113" s="404"/>
      <c r="V113" s="404"/>
      <c r="W113" s="404"/>
      <c r="X113" s="404"/>
      <c r="Y113" s="410" t="s">
        <v>321</v>
      </c>
      <c r="Z113" s="404"/>
      <c r="AA113" s="70">
        <v>0</v>
      </c>
      <c r="AB113" s="363" t="s">
        <v>25</v>
      </c>
    </row>
    <row r="114" spans="1:29" ht="21" customHeight="1">
      <c r="A114" s="43"/>
      <c r="B114" s="44"/>
      <c r="C114" s="34" t="s">
        <v>309</v>
      </c>
      <c r="D114" s="110">
        <v>0</v>
      </c>
      <c r="E114" s="110">
        <f>ROUND(AA114/1000,0)</f>
        <v>5189</v>
      </c>
      <c r="F114" s="110">
        <f>SUMIF($Y$115:$Y$116,"보조",$AA$115:$AA$116)/1000</f>
        <v>0</v>
      </c>
      <c r="G114" s="110">
        <f>SUMIF($Y$115:$Y$116,"지후",$AA$115:$AA$116)/1000</f>
        <v>250</v>
      </c>
      <c r="H114" s="110">
        <f>SUMIF(Y115:Y116,"후원",AA115:AA116)/1000</f>
        <v>4939</v>
      </c>
      <c r="I114" s="110">
        <f>SUMIF($Y$115:$Y$116,"잡수",$AA$115:$AA$116)/1000</f>
        <v>0</v>
      </c>
      <c r="J114" s="110">
        <f>E114-D114</f>
        <v>5189</v>
      </c>
      <c r="K114" s="118">
        <f>IF(D114=0,0,J114/D114)</f>
        <v>0</v>
      </c>
      <c r="L114" s="424" t="s">
        <v>318</v>
      </c>
      <c r="M114" s="172"/>
      <c r="N114" s="172"/>
      <c r="O114" s="172"/>
      <c r="P114" s="172"/>
      <c r="Q114" s="171"/>
      <c r="R114" s="171"/>
      <c r="S114" s="171"/>
      <c r="T114" s="171"/>
      <c r="U114" s="171"/>
      <c r="V114" s="458" t="s">
        <v>91</v>
      </c>
      <c r="W114" s="458"/>
      <c r="X114" s="458"/>
      <c r="Y114" s="458"/>
      <c r="Z114" s="165"/>
      <c r="AA114" s="165">
        <f>SUM(AA115:AA116)</f>
        <v>5189000</v>
      </c>
      <c r="AB114" s="164" t="s">
        <v>25</v>
      </c>
    </row>
    <row r="115" spans="1:29" ht="21" customHeight="1">
      <c r="A115" s="43"/>
      <c r="B115" s="44"/>
      <c r="C115" s="44" t="s">
        <v>460</v>
      </c>
      <c r="D115" s="106"/>
      <c r="E115" s="106"/>
      <c r="F115" s="106"/>
      <c r="G115" s="106"/>
      <c r="H115" s="106"/>
      <c r="I115" s="106"/>
      <c r="J115" s="106"/>
      <c r="K115" s="68"/>
      <c r="L115" s="69" t="s">
        <v>456</v>
      </c>
      <c r="M115" s="168"/>
      <c r="N115" s="168"/>
      <c r="O115" s="168"/>
      <c r="P115" s="168"/>
      <c r="Q115" s="148"/>
      <c r="R115" s="148"/>
      <c r="S115" s="148"/>
      <c r="T115" s="148"/>
      <c r="U115" s="148"/>
      <c r="V115" s="501" t="s">
        <v>458</v>
      </c>
      <c r="W115" s="86"/>
      <c r="X115" s="86"/>
      <c r="Y115" s="86" t="s">
        <v>439</v>
      </c>
      <c r="Z115" s="499"/>
      <c r="AA115" s="499">
        <v>4939000</v>
      </c>
      <c r="AB115" s="500" t="s">
        <v>457</v>
      </c>
    </row>
    <row r="116" spans="1:29" ht="21" customHeight="1">
      <c r="A116" s="43"/>
      <c r="B116" s="44"/>
      <c r="C116" s="57"/>
      <c r="D116" s="108"/>
      <c r="E116" s="108"/>
      <c r="F116" s="108"/>
      <c r="G116" s="108"/>
      <c r="H116" s="108"/>
      <c r="I116" s="108"/>
      <c r="J116" s="108"/>
      <c r="K116" s="82"/>
      <c r="L116" s="69" t="s">
        <v>455</v>
      </c>
      <c r="M116" s="324"/>
      <c r="N116" s="324"/>
      <c r="O116" s="324"/>
      <c r="P116" s="324"/>
      <c r="Q116" s="324"/>
      <c r="R116" s="324"/>
      <c r="S116" s="324"/>
      <c r="T116" s="324"/>
      <c r="U116" s="324"/>
      <c r="V116" s="502" t="s">
        <v>459</v>
      </c>
      <c r="W116" s="324"/>
      <c r="X116" s="324"/>
      <c r="Y116" s="324" t="s">
        <v>468</v>
      </c>
      <c r="Z116" s="324"/>
      <c r="AA116" s="211">
        <v>250000</v>
      </c>
      <c r="AB116" s="71" t="s">
        <v>55</v>
      </c>
      <c r="AC116" s="4">
        <v>0</v>
      </c>
    </row>
    <row r="117" spans="1:29" ht="21" customHeight="1">
      <c r="A117" s="43"/>
      <c r="B117" s="44"/>
      <c r="C117" s="34" t="s">
        <v>379</v>
      </c>
      <c r="D117" s="110">
        <v>16000</v>
      </c>
      <c r="E117" s="110">
        <f>ROUND(AA117/1000,0)</f>
        <v>92982</v>
      </c>
      <c r="F117" s="110">
        <f>SUMIF($Y$118:$Y$118,"보조",$AA$118:$AA$118)/1000</f>
        <v>0</v>
      </c>
      <c r="G117" s="110">
        <f>SUMIF($Y$118:$Y$118,"지후",$AA$118:$AA$118)/1000</f>
        <v>92982</v>
      </c>
      <c r="H117" s="110">
        <f>SUMIF($Y$118:$Y$118,"후원",$AA$118:$AA$118)/1000</f>
        <v>0</v>
      </c>
      <c r="I117" s="110">
        <f>SUMIF($Y$118:$Y$118,"잡수",$AA$118:$AA$118)/1000</f>
        <v>0</v>
      </c>
      <c r="J117" s="110">
        <f>E117-D117</f>
        <v>76982</v>
      </c>
      <c r="K117" s="118">
        <f>IF(D117=0,0,J117/D117)</f>
        <v>4.811375</v>
      </c>
      <c r="L117" s="424" t="s">
        <v>382</v>
      </c>
      <c r="M117" s="172"/>
      <c r="N117" s="172"/>
      <c r="O117" s="172"/>
      <c r="P117" s="172"/>
      <c r="Q117" s="171"/>
      <c r="R117" s="171"/>
      <c r="S117" s="171"/>
      <c r="T117" s="171"/>
      <c r="U117" s="171"/>
      <c r="V117" s="406" t="s">
        <v>286</v>
      </c>
      <c r="W117" s="406"/>
      <c r="X117" s="406"/>
      <c r="Y117" s="406"/>
      <c r="Z117" s="165"/>
      <c r="AA117" s="165">
        <f>AA118</f>
        <v>92982000</v>
      </c>
      <c r="AB117" s="164" t="s">
        <v>25</v>
      </c>
    </row>
    <row r="118" spans="1:29" ht="21" customHeight="1">
      <c r="A118" s="43"/>
      <c r="B118" s="57"/>
      <c r="C118" s="57" t="s">
        <v>381</v>
      </c>
      <c r="D118" s="108"/>
      <c r="E118" s="108"/>
      <c r="F118" s="108"/>
      <c r="G118" s="108"/>
      <c r="H118" s="108"/>
      <c r="I118" s="108"/>
      <c r="J118" s="108"/>
      <c r="K118" s="82"/>
      <c r="L118" s="324"/>
      <c r="M118" s="324"/>
      <c r="N118" s="324"/>
      <c r="O118" s="324"/>
      <c r="P118" s="324"/>
      <c r="Q118" s="324"/>
      <c r="R118" s="324"/>
      <c r="S118" s="324"/>
      <c r="T118" s="324"/>
      <c r="U118" s="337" t="s">
        <v>440</v>
      </c>
      <c r="V118" s="324"/>
      <c r="W118" s="324"/>
      <c r="X118" s="324"/>
      <c r="Y118" s="324" t="s">
        <v>468</v>
      </c>
      <c r="Z118" s="324"/>
      <c r="AA118" s="211">
        <v>92982000</v>
      </c>
      <c r="AB118" s="71" t="s">
        <v>320</v>
      </c>
      <c r="AC118" s="4">
        <v>0</v>
      </c>
    </row>
    <row r="119" spans="1:29" ht="21" customHeight="1">
      <c r="A119" s="43"/>
      <c r="B119" s="44" t="s">
        <v>284</v>
      </c>
      <c r="C119" s="159" t="s">
        <v>310</v>
      </c>
      <c r="D119" s="430">
        <f>SUM(D120,D123,D125,D127)</f>
        <v>256146</v>
      </c>
      <c r="E119" s="160">
        <f>AA119/1000</f>
        <v>40000</v>
      </c>
      <c r="F119" s="160">
        <f t="shared" ref="F119:I119" si="11">SUM(F120,F123,F125,F127)</f>
        <v>40000</v>
      </c>
      <c r="G119" s="160">
        <f t="shared" si="11"/>
        <v>0</v>
      </c>
      <c r="H119" s="160">
        <f t="shared" si="11"/>
        <v>0</v>
      </c>
      <c r="I119" s="160">
        <f t="shared" si="11"/>
        <v>0</v>
      </c>
      <c r="J119" s="160">
        <f>E119-D119</f>
        <v>-216146</v>
      </c>
      <c r="K119" s="161">
        <f>IF(D119=0,0,J119/D119)</f>
        <v>-0.84383906053578817</v>
      </c>
      <c r="L119" s="424" t="s">
        <v>311</v>
      </c>
      <c r="M119" s="431"/>
      <c r="N119" s="431"/>
      <c r="O119" s="431"/>
      <c r="P119" s="385"/>
      <c r="Q119" s="385"/>
      <c r="R119" s="385"/>
      <c r="S119" s="385"/>
      <c r="T119" s="385"/>
      <c r="U119" s="385"/>
      <c r="V119" s="385"/>
      <c r="W119" s="385"/>
      <c r="X119" s="385"/>
      <c r="Y119" s="385"/>
      <c r="Z119" s="385"/>
      <c r="AA119" s="165">
        <f>SUM(AA120,AA123,AA125,AA127)</f>
        <v>40000000</v>
      </c>
      <c r="AB119" s="442" t="s">
        <v>334</v>
      </c>
    </row>
    <row r="120" spans="1:29" ht="21" customHeight="1">
      <c r="A120" s="43"/>
      <c r="B120" s="44"/>
      <c r="C120" s="44" t="s">
        <v>285</v>
      </c>
      <c r="D120" s="150">
        <v>73036</v>
      </c>
      <c r="E120" s="106">
        <f>ROUND(AA120/1000,0)</f>
        <v>15500</v>
      </c>
      <c r="F120" s="106">
        <f>SUMIF($Y$121:$Y$122,"보조",$AA$121:$AA$122)/1000</f>
        <v>15500</v>
      </c>
      <c r="G120" s="106">
        <f>SUMIF($Y$121:$Y$122,"지후",$AA$121:$AA$122)/1000</f>
        <v>0</v>
      </c>
      <c r="H120" s="106">
        <f>SUMIF($Y$121:$Y$122,"후원",$AA$121:$AA$122)/1000</f>
        <v>0</v>
      </c>
      <c r="I120" s="106">
        <f>SUMIF($Y$121:$Y$122,"잡수",$AA$121:$AA$122)/1000</f>
        <v>0</v>
      </c>
      <c r="J120" s="106">
        <f>E120-D120</f>
        <v>-57536</v>
      </c>
      <c r="K120" s="68">
        <f>IF(D120=0,0,J120/D120)</f>
        <v>-0.78777589134125636</v>
      </c>
      <c r="L120" s="424" t="s">
        <v>306</v>
      </c>
      <c r="M120" s="409"/>
      <c r="N120" s="409"/>
      <c r="O120" s="409"/>
      <c r="P120" s="408"/>
      <c r="Q120" s="408"/>
      <c r="R120" s="408"/>
      <c r="S120" s="408"/>
      <c r="T120" s="408"/>
      <c r="U120" s="408"/>
      <c r="V120" s="406" t="s">
        <v>286</v>
      </c>
      <c r="W120" s="406"/>
      <c r="X120" s="406"/>
      <c r="Y120" s="406"/>
      <c r="Z120" s="165"/>
      <c r="AA120" s="165">
        <f>SUM(AA121:AA122)</f>
        <v>15500000</v>
      </c>
      <c r="AB120" s="164" t="s">
        <v>25</v>
      </c>
    </row>
    <row r="121" spans="1:29" ht="21" customHeight="1">
      <c r="A121" s="43"/>
      <c r="B121" s="44"/>
      <c r="C121" s="44" t="s">
        <v>284</v>
      </c>
      <c r="D121" s="150"/>
      <c r="E121" s="106"/>
      <c r="F121" s="106"/>
      <c r="G121" s="106"/>
      <c r="H121" s="106"/>
      <c r="I121" s="106"/>
      <c r="J121" s="106"/>
      <c r="K121" s="68"/>
      <c r="L121" s="483"/>
      <c r="M121" s="409"/>
      <c r="N121" s="409"/>
      <c r="O121" s="409"/>
      <c r="P121" s="408"/>
      <c r="Q121" s="408"/>
      <c r="R121" s="408"/>
      <c r="S121" s="408"/>
      <c r="T121" s="408"/>
      <c r="U121" s="408"/>
      <c r="V121" s="148"/>
      <c r="W121" s="148"/>
      <c r="X121" s="148"/>
      <c r="Y121" s="268" t="s">
        <v>439</v>
      </c>
      <c r="Z121" s="66"/>
      <c r="AA121" s="66">
        <v>0</v>
      </c>
      <c r="AB121" s="55" t="s">
        <v>421</v>
      </c>
    </row>
    <row r="122" spans="1:29" ht="21" customHeight="1">
      <c r="A122" s="43"/>
      <c r="B122" s="44"/>
      <c r="C122" s="57"/>
      <c r="D122" s="151"/>
      <c r="E122" s="108"/>
      <c r="F122" s="108"/>
      <c r="G122" s="108"/>
      <c r="H122" s="108"/>
      <c r="I122" s="108"/>
      <c r="J122" s="108"/>
      <c r="K122" s="82"/>
      <c r="L122" s="484"/>
      <c r="M122" s="464"/>
      <c r="N122" s="464"/>
      <c r="O122" s="464"/>
      <c r="P122" s="463"/>
      <c r="Q122" s="463"/>
      <c r="R122" s="463"/>
      <c r="S122" s="463"/>
      <c r="T122" s="494" t="s">
        <v>441</v>
      </c>
      <c r="U122" s="489"/>
      <c r="V122" s="463"/>
      <c r="W122" s="463"/>
      <c r="X122" s="463"/>
      <c r="Y122" s="489" t="s">
        <v>438</v>
      </c>
      <c r="Z122" s="463"/>
      <c r="AA122" s="70">
        <v>15500000</v>
      </c>
      <c r="AB122" s="363" t="s">
        <v>320</v>
      </c>
      <c r="AC122" s="4">
        <v>0</v>
      </c>
    </row>
    <row r="123" spans="1:29" ht="21" customHeight="1">
      <c r="A123" s="43"/>
      <c r="B123" s="44"/>
      <c r="C123" s="34" t="s">
        <v>287</v>
      </c>
      <c r="D123" s="152">
        <v>20000</v>
      </c>
      <c r="E123" s="110">
        <f>ROUND(AA123/1000,0)</f>
        <v>0</v>
      </c>
      <c r="F123" s="110">
        <f>SUMIF($Y$124:$Y$124,"보조",$AA$124:$AA$124)/1000</f>
        <v>0</v>
      </c>
      <c r="G123" s="110">
        <f>SUMIF($Y$124:$Y$124,"지후",$AA$124:$AA$124)/1000</f>
        <v>0</v>
      </c>
      <c r="H123" s="110">
        <f>SUMIF($Y$124:$Y$124,"후원",$AA$124:$AA$124)/1000</f>
        <v>0</v>
      </c>
      <c r="I123" s="110">
        <f>SUMIF($Y$124:$Y$124,"잡수",$AA$124:$AA$124)/1000</f>
        <v>0</v>
      </c>
      <c r="J123" s="110">
        <f>E123-D123</f>
        <v>-20000</v>
      </c>
      <c r="K123" s="118">
        <f>IF(D123=0,0,J123/D123)</f>
        <v>-1</v>
      </c>
      <c r="L123" s="424" t="s">
        <v>307</v>
      </c>
      <c r="M123" s="278"/>
      <c r="N123" s="278"/>
      <c r="O123" s="278"/>
      <c r="P123" s="266"/>
      <c r="Q123" s="266"/>
      <c r="R123" s="266"/>
      <c r="S123" s="266"/>
      <c r="T123" s="266"/>
      <c r="U123" s="266"/>
      <c r="V123" s="406" t="s">
        <v>286</v>
      </c>
      <c r="W123" s="406"/>
      <c r="X123" s="406"/>
      <c r="Y123" s="406"/>
      <c r="Z123" s="165"/>
      <c r="AA123" s="165">
        <f>AA124</f>
        <v>0</v>
      </c>
      <c r="AB123" s="164" t="s">
        <v>25</v>
      </c>
    </row>
    <row r="124" spans="1:29" ht="21" customHeight="1">
      <c r="A124" s="43"/>
      <c r="B124" s="44"/>
      <c r="C124" s="57" t="s">
        <v>284</v>
      </c>
      <c r="D124" s="151"/>
      <c r="E124" s="108"/>
      <c r="F124" s="108"/>
      <c r="G124" s="108"/>
      <c r="H124" s="108"/>
      <c r="I124" s="108"/>
      <c r="J124" s="108"/>
      <c r="K124" s="82"/>
      <c r="L124" s="405"/>
      <c r="M124" s="405"/>
      <c r="N124" s="405"/>
      <c r="O124" s="405"/>
      <c r="P124" s="404"/>
      <c r="Q124" s="404"/>
      <c r="R124" s="404"/>
      <c r="S124" s="404"/>
      <c r="T124" s="404"/>
      <c r="U124" s="404"/>
      <c r="V124" s="404"/>
      <c r="W124" s="404"/>
      <c r="X124" s="404"/>
      <c r="Y124" s="489" t="s">
        <v>439</v>
      </c>
      <c r="Z124" s="404"/>
      <c r="AA124" s="70">
        <v>0</v>
      </c>
      <c r="AB124" s="363" t="s">
        <v>320</v>
      </c>
    </row>
    <row r="125" spans="1:29" ht="21" customHeight="1">
      <c r="A125" s="43"/>
      <c r="B125" s="44"/>
      <c r="C125" s="44" t="s">
        <v>288</v>
      </c>
      <c r="D125" s="150">
        <v>30000</v>
      </c>
      <c r="E125" s="110">
        <f>ROUND(AA125/1000,0)</f>
        <v>20000</v>
      </c>
      <c r="F125" s="106">
        <f>SUMIF($Y$126:$Y$126,"보조",$AA$126:$AA$126)/1000</f>
        <v>20000</v>
      </c>
      <c r="G125" s="106">
        <f>SUMIF($Y$126:$Y$126,"지후",$AA$126:$AA$126)/1000</f>
        <v>0</v>
      </c>
      <c r="H125" s="106">
        <f>SUMIF($Y$126:$Y$126,"후원",$AA$126:$AA$126)/1000</f>
        <v>0</v>
      </c>
      <c r="I125" s="106">
        <f>SUMIF($Y$126:$Y$126,"잡수",$AA$126:$AA$126)/1000</f>
        <v>0</v>
      </c>
      <c r="J125" s="106">
        <f>E125-D125</f>
        <v>-10000</v>
      </c>
      <c r="K125" s="68">
        <f>IF(D125=0,0,J125/D125)</f>
        <v>-0.33333333333333331</v>
      </c>
      <c r="L125" s="424" t="s">
        <v>308</v>
      </c>
      <c r="M125" s="409"/>
      <c r="N125" s="409"/>
      <c r="O125" s="409"/>
      <c r="P125" s="408"/>
      <c r="Q125" s="408"/>
      <c r="R125" s="408"/>
      <c r="S125" s="408"/>
      <c r="T125" s="408"/>
      <c r="U125" s="408"/>
      <c r="V125" s="406" t="s">
        <v>286</v>
      </c>
      <c r="W125" s="406"/>
      <c r="X125" s="406"/>
      <c r="Y125" s="406"/>
      <c r="Z125" s="165"/>
      <c r="AA125" s="165">
        <f>AA126</f>
        <v>20000000</v>
      </c>
      <c r="AB125" s="164" t="s">
        <v>25</v>
      </c>
    </row>
    <row r="126" spans="1:29" ht="21" customHeight="1">
      <c r="A126" s="43"/>
      <c r="B126" s="44"/>
      <c r="C126" s="57" t="s">
        <v>284</v>
      </c>
      <c r="D126" s="150"/>
      <c r="E126" s="106"/>
      <c r="F126" s="106"/>
      <c r="G126" s="106"/>
      <c r="H126" s="106"/>
      <c r="I126" s="106"/>
      <c r="J126" s="106"/>
      <c r="K126" s="68"/>
      <c r="L126" s="411"/>
      <c r="M126" s="409"/>
      <c r="N126" s="409"/>
      <c r="O126" s="409"/>
      <c r="P126" s="408"/>
      <c r="Q126" s="408"/>
      <c r="R126" s="408"/>
      <c r="S126" s="408"/>
      <c r="T126" s="494" t="s">
        <v>441</v>
      </c>
      <c r="U126" s="408"/>
      <c r="V126" s="404"/>
      <c r="W126" s="404"/>
      <c r="X126" s="404"/>
      <c r="Y126" s="489" t="s">
        <v>438</v>
      </c>
      <c r="Z126" s="404"/>
      <c r="AA126" s="70">
        <v>20000000</v>
      </c>
      <c r="AB126" s="363" t="s">
        <v>320</v>
      </c>
      <c r="AC126" s="4">
        <v>0</v>
      </c>
    </row>
    <row r="127" spans="1:29" ht="21" customHeight="1">
      <c r="A127" s="43"/>
      <c r="B127" s="44"/>
      <c r="C127" s="34" t="s">
        <v>379</v>
      </c>
      <c r="D127" s="152">
        <v>133110</v>
      </c>
      <c r="E127" s="110">
        <f>ROUND(AA127/1000,0)</f>
        <v>4500</v>
      </c>
      <c r="F127" s="110">
        <f>SUMIF($Y$128:$Y$129,"보조",$AA$128:$AA$129)/1000</f>
        <v>4500</v>
      </c>
      <c r="G127" s="110">
        <f>SUMIF($Y$128:$Y$129,"지후",$AA$128:$AA$129)/1000</f>
        <v>0</v>
      </c>
      <c r="H127" s="110">
        <f>SUMIF($Y$128:$Y$129,"후원",$AA$128:$AA$129)/1000</f>
        <v>0</v>
      </c>
      <c r="I127" s="110">
        <f>SUMIF($Y$128:$Y$129,"잡수",$AA$128:$AA$129)/1000</f>
        <v>0</v>
      </c>
      <c r="J127" s="110">
        <f>E127-D127</f>
        <v>-128610</v>
      </c>
      <c r="K127" s="118">
        <f>IF(D127=0,0,J127/D127)</f>
        <v>-0.96619337390128468</v>
      </c>
      <c r="L127" s="424" t="s">
        <v>380</v>
      </c>
      <c r="M127" s="172"/>
      <c r="N127" s="172"/>
      <c r="O127" s="172"/>
      <c r="P127" s="172"/>
      <c r="Q127" s="171"/>
      <c r="R127" s="171"/>
      <c r="S127" s="171"/>
      <c r="T127" s="171"/>
      <c r="U127" s="171"/>
      <c r="V127" s="406" t="s">
        <v>286</v>
      </c>
      <c r="W127" s="406"/>
      <c r="X127" s="406"/>
      <c r="Y127" s="406"/>
      <c r="Z127" s="165"/>
      <c r="AA127" s="165">
        <f>SUM(AA128:AA129)</f>
        <v>4500000</v>
      </c>
      <c r="AB127" s="164" t="s">
        <v>25</v>
      </c>
    </row>
    <row r="128" spans="1:29" ht="21" customHeight="1">
      <c r="A128" s="43"/>
      <c r="B128" s="44"/>
      <c r="C128" s="44" t="s">
        <v>428</v>
      </c>
      <c r="D128" s="150"/>
      <c r="E128" s="106"/>
      <c r="F128" s="106"/>
      <c r="G128" s="106"/>
      <c r="H128" s="106"/>
      <c r="I128" s="106"/>
      <c r="J128" s="106"/>
      <c r="K128" s="68"/>
      <c r="L128" s="483"/>
      <c r="M128" s="168"/>
      <c r="N128" s="168"/>
      <c r="O128" s="168"/>
      <c r="P128" s="168"/>
      <c r="Q128" s="148"/>
      <c r="R128" s="148"/>
      <c r="S128" s="148"/>
      <c r="T128" s="148"/>
      <c r="U128" s="148"/>
      <c r="V128" s="148"/>
      <c r="W128" s="148"/>
      <c r="X128" s="148"/>
      <c r="Y128" s="269" t="s">
        <v>321</v>
      </c>
      <c r="Z128" s="269"/>
      <c r="AA128" s="268">
        <v>0</v>
      </c>
      <c r="AB128" s="55" t="s">
        <v>55</v>
      </c>
    </row>
    <row r="129" spans="1:31" s="14" customFormat="1" ht="21" customHeight="1">
      <c r="A129" s="43"/>
      <c r="B129" s="57"/>
      <c r="C129" s="57"/>
      <c r="D129" s="150"/>
      <c r="E129" s="106"/>
      <c r="F129" s="106"/>
      <c r="G129" s="106"/>
      <c r="H129" s="106"/>
      <c r="I129" s="106"/>
      <c r="J129" s="106"/>
      <c r="K129" s="68"/>
      <c r="L129" s="48"/>
      <c r="M129" s="48"/>
      <c r="N129" s="48"/>
      <c r="O129" s="48"/>
      <c r="P129" s="48"/>
      <c r="Q129" s="48"/>
      <c r="R129" s="48"/>
      <c r="S129" s="48"/>
      <c r="T129" s="494" t="s">
        <v>441</v>
      </c>
      <c r="U129" s="48"/>
      <c r="V129" s="48"/>
      <c r="W129" s="48"/>
      <c r="X129" s="48"/>
      <c r="Y129" s="269" t="s">
        <v>438</v>
      </c>
      <c r="Z129" s="48"/>
      <c r="AA129" s="49">
        <v>4500000</v>
      </c>
      <c r="AB129" s="55" t="s">
        <v>320</v>
      </c>
      <c r="AC129" s="4">
        <v>0</v>
      </c>
      <c r="AE129" s="485"/>
    </row>
    <row r="130" spans="1:31" s="14" customFormat="1" ht="21" hidden="1" customHeight="1">
      <c r="A130" s="33" t="s">
        <v>291</v>
      </c>
      <c r="B130" s="551" t="s">
        <v>20</v>
      </c>
      <c r="C130" s="552"/>
      <c r="D130" s="160">
        <f>D131</f>
        <v>0</v>
      </c>
      <c r="E130" s="160">
        <f>E131</f>
        <v>0</v>
      </c>
      <c r="F130" s="160">
        <f t="shared" ref="F130:I130" si="12">F131</f>
        <v>0</v>
      </c>
      <c r="G130" s="160">
        <f t="shared" si="12"/>
        <v>0</v>
      </c>
      <c r="H130" s="160">
        <f t="shared" si="12"/>
        <v>0</v>
      </c>
      <c r="I130" s="160">
        <f t="shared" si="12"/>
        <v>0</v>
      </c>
      <c r="J130" s="160">
        <f>E130-D130</f>
        <v>0</v>
      </c>
      <c r="K130" s="161">
        <f>IF(D130=0,0,J130/D130)</f>
        <v>0</v>
      </c>
      <c r="L130" s="407" t="s">
        <v>304</v>
      </c>
      <c r="M130" s="407"/>
      <c r="N130" s="407"/>
      <c r="O130" s="407"/>
      <c r="P130" s="406"/>
      <c r="Q130" s="406"/>
      <c r="R130" s="406"/>
      <c r="S130" s="406"/>
      <c r="T130" s="406"/>
      <c r="U130" s="406"/>
      <c r="V130" s="406"/>
      <c r="W130" s="406"/>
      <c r="X130" s="406"/>
      <c r="Y130" s="406"/>
      <c r="Z130" s="406"/>
      <c r="AA130" s="406">
        <f>SUM(AA131)</f>
        <v>0</v>
      </c>
      <c r="AB130" s="164" t="s">
        <v>25</v>
      </c>
      <c r="AC130" s="4"/>
    </row>
    <row r="131" spans="1:31" s="14" customFormat="1" ht="21" hidden="1" customHeight="1">
      <c r="A131" s="43" t="s">
        <v>292</v>
      </c>
      <c r="B131" s="44" t="s">
        <v>291</v>
      </c>
      <c r="C131" s="44" t="s">
        <v>291</v>
      </c>
      <c r="D131" s="150">
        <v>0</v>
      </c>
      <c r="E131" s="106">
        <f>AA131/1000</f>
        <v>0</v>
      </c>
      <c r="F131" s="111">
        <f>SUMIF(Y132:Y132,"보조",AA132:AA132)/1000</f>
        <v>0</v>
      </c>
      <c r="G131" s="111">
        <f>SUMIF(Y132:Y132,"후원",AA132:AA132)/1000</f>
        <v>0</v>
      </c>
      <c r="H131" s="111">
        <f>SUMIF(Y132:Y133,"입소",AA132:AA133)/1000</f>
        <v>0</v>
      </c>
      <c r="I131" s="111">
        <f>SUMIF(Y132:Y132,"잡수",AA132:AA132)/1000</f>
        <v>0</v>
      </c>
      <c r="J131" s="106">
        <f>E131-D131</f>
        <v>0</v>
      </c>
      <c r="K131" s="68">
        <f>IF(D131=0,0,J131/D131)</f>
        <v>0</v>
      </c>
      <c r="L131" s="113" t="s">
        <v>305</v>
      </c>
      <c r="M131" s="168"/>
      <c r="N131" s="168"/>
      <c r="O131" s="168"/>
      <c r="P131" s="168"/>
      <c r="Q131" s="148"/>
      <c r="R131" s="148"/>
      <c r="S131" s="148"/>
      <c r="T131" s="148"/>
      <c r="U131" s="148"/>
      <c r="V131" s="406" t="s">
        <v>286</v>
      </c>
      <c r="W131" s="97"/>
      <c r="X131" s="97"/>
      <c r="Y131" s="97"/>
      <c r="Z131" s="115"/>
      <c r="AA131" s="115">
        <v>0</v>
      </c>
      <c r="AB131" s="116" t="s">
        <v>25</v>
      </c>
      <c r="AC131" s="4"/>
    </row>
    <row r="132" spans="1:31" s="14" customFormat="1" ht="21" hidden="1" customHeight="1">
      <c r="A132" s="56"/>
      <c r="B132" s="57" t="s">
        <v>292</v>
      </c>
      <c r="C132" s="57" t="s">
        <v>292</v>
      </c>
      <c r="D132" s="151"/>
      <c r="E132" s="108"/>
      <c r="F132" s="108"/>
      <c r="G132" s="108"/>
      <c r="H132" s="108"/>
      <c r="I132" s="108"/>
      <c r="J132" s="108"/>
      <c r="K132" s="82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425" t="s">
        <v>320</v>
      </c>
      <c r="AC132" s="4"/>
    </row>
    <row r="133" spans="1:31" s="14" customFormat="1" ht="21" hidden="1" customHeight="1">
      <c r="A133" s="33" t="s">
        <v>293</v>
      </c>
      <c r="B133" s="551" t="s">
        <v>20</v>
      </c>
      <c r="C133" s="552"/>
      <c r="D133" s="160">
        <f>D134</f>
        <v>0</v>
      </c>
      <c r="E133" s="160">
        <f>E134</f>
        <v>0</v>
      </c>
      <c r="F133" s="160">
        <f t="shared" ref="F133:I133" si="13">F134</f>
        <v>0</v>
      </c>
      <c r="G133" s="160">
        <f t="shared" si="13"/>
        <v>0</v>
      </c>
      <c r="H133" s="160">
        <f t="shared" si="13"/>
        <v>0</v>
      </c>
      <c r="I133" s="160">
        <f t="shared" si="13"/>
        <v>0</v>
      </c>
      <c r="J133" s="160">
        <f>E133-D133</f>
        <v>0</v>
      </c>
      <c r="K133" s="161">
        <f>IF(D133=0,0,J133/D133)</f>
        <v>0</v>
      </c>
      <c r="L133" s="407" t="s">
        <v>293</v>
      </c>
      <c r="M133" s="407"/>
      <c r="N133" s="407"/>
      <c r="O133" s="407"/>
      <c r="P133" s="406"/>
      <c r="Q133" s="406"/>
      <c r="R133" s="406"/>
      <c r="S133" s="406"/>
      <c r="T133" s="406"/>
      <c r="U133" s="406"/>
      <c r="V133" s="406"/>
      <c r="W133" s="406"/>
      <c r="X133" s="406"/>
      <c r="Y133" s="406"/>
      <c r="Z133" s="406"/>
      <c r="AA133" s="406">
        <f>SUM(AA134)</f>
        <v>0</v>
      </c>
      <c r="AB133" s="164" t="s">
        <v>25</v>
      </c>
      <c r="AC133" s="4"/>
    </row>
    <row r="134" spans="1:31" s="14" customFormat="1" ht="21" hidden="1" customHeight="1">
      <c r="A134" s="43"/>
      <c r="B134" s="44" t="s">
        <v>294</v>
      </c>
      <c r="C134" s="34" t="s">
        <v>296</v>
      </c>
      <c r="D134" s="152">
        <v>0</v>
      </c>
      <c r="E134" s="110">
        <f>AA134/1000</f>
        <v>0</v>
      </c>
      <c r="F134" s="111">
        <f>SUMIF(Y135:Y135,"보조",AA135:AA135)/1000</f>
        <v>0</v>
      </c>
      <c r="G134" s="111">
        <f>SUMIF(Y135:Y135,"후원",AA135:AA135)/1000</f>
        <v>0</v>
      </c>
      <c r="H134" s="111">
        <f>SUMIF(Y135:Y136,"입소",AA135:AA136)/1000</f>
        <v>0</v>
      </c>
      <c r="I134" s="111">
        <f>SUMIF(Y135:Y135,"잡수",AA135:AA135)/1000</f>
        <v>0</v>
      </c>
      <c r="J134" s="110">
        <f>E134-D134</f>
        <v>0</v>
      </c>
      <c r="K134" s="118">
        <f>IF(D134=0,0,J134/D134)</f>
        <v>0</v>
      </c>
      <c r="L134" s="407" t="s">
        <v>302</v>
      </c>
      <c r="M134" s="172"/>
      <c r="N134" s="172"/>
      <c r="O134" s="172"/>
      <c r="P134" s="172"/>
      <c r="Q134" s="171"/>
      <c r="R134" s="171"/>
      <c r="S134" s="171"/>
      <c r="T134" s="171"/>
      <c r="U134" s="171"/>
      <c r="V134" s="406" t="s">
        <v>286</v>
      </c>
      <c r="W134" s="406"/>
      <c r="X134" s="406"/>
      <c r="Y134" s="406"/>
      <c r="Z134" s="165"/>
      <c r="AA134" s="165">
        <f>AA135</f>
        <v>0</v>
      </c>
      <c r="AB134" s="164" t="s">
        <v>25</v>
      </c>
      <c r="AC134" s="4"/>
    </row>
    <row r="135" spans="1:31" s="14" customFormat="1" ht="21" hidden="1" customHeight="1">
      <c r="A135" s="43"/>
      <c r="B135" s="44" t="s">
        <v>295</v>
      </c>
      <c r="C135" s="57" t="s">
        <v>295</v>
      </c>
      <c r="D135" s="151"/>
      <c r="E135" s="108"/>
      <c r="F135" s="427"/>
      <c r="G135" s="427"/>
      <c r="H135" s="427"/>
      <c r="I135" s="427"/>
      <c r="J135" s="108"/>
      <c r="K135" s="82"/>
      <c r="L135" s="113"/>
      <c r="M135" s="113"/>
      <c r="N135" s="113"/>
      <c r="O135" s="113"/>
      <c r="P135" s="113"/>
      <c r="Q135" s="97"/>
      <c r="R135" s="97"/>
      <c r="S135" s="97"/>
      <c r="T135" s="97"/>
      <c r="U135" s="97"/>
      <c r="V135" s="97"/>
      <c r="W135" s="97"/>
      <c r="X135" s="97"/>
      <c r="Y135" s="97"/>
      <c r="Z135" s="115"/>
      <c r="AA135" s="115"/>
      <c r="AB135" s="116" t="s">
        <v>320</v>
      </c>
      <c r="AC135" s="4"/>
    </row>
    <row r="136" spans="1:31" s="14" customFormat="1" ht="21" hidden="1" customHeight="1">
      <c r="A136" s="43"/>
      <c r="B136" s="44"/>
      <c r="C136" s="44" t="s">
        <v>254</v>
      </c>
      <c r="D136" s="150"/>
      <c r="E136" s="106"/>
      <c r="F136" s="426">
        <f>SUMIF(Y137:Y137,"보조",AA137:AA137)/1000</f>
        <v>0</v>
      </c>
      <c r="G136" s="426">
        <f>SUMIF(Y137:Y137,"후원",AA137:AA137)/1000</f>
        <v>0</v>
      </c>
      <c r="H136" s="426">
        <f>SUMIF(Y137:Y138,"입소",AA137:AA138)/1000</f>
        <v>0</v>
      </c>
      <c r="I136" s="426">
        <f>SUMIF(Y137:Y137,"잡수",AA137:AA137)/1000</f>
        <v>0</v>
      </c>
      <c r="J136" s="106">
        <f>E136-D136</f>
        <v>0</v>
      </c>
      <c r="K136" s="68">
        <f>IF(D136=0,0,J136/D136)</f>
        <v>0</v>
      </c>
      <c r="L136" s="407" t="s">
        <v>303</v>
      </c>
      <c r="M136" s="172"/>
      <c r="N136" s="172"/>
      <c r="O136" s="172"/>
      <c r="P136" s="172"/>
      <c r="Q136" s="171"/>
      <c r="R136" s="171"/>
      <c r="S136" s="171"/>
      <c r="T136" s="171"/>
      <c r="U136" s="171"/>
      <c r="V136" s="406" t="s">
        <v>286</v>
      </c>
      <c r="W136" s="406"/>
      <c r="X136" s="406"/>
      <c r="Y136" s="406"/>
      <c r="Z136" s="165"/>
      <c r="AA136" s="165">
        <f>AA137</f>
        <v>0</v>
      </c>
      <c r="AB136" s="164" t="s">
        <v>25</v>
      </c>
      <c r="AC136" s="4"/>
    </row>
    <row r="137" spans="1:31" s="14" customFormat="1" ht="21" hidden="1" customHeight="1">
      <c r="A137" s="56"/>
      <c r="B137" s="57"/>
      <c r="C137" s="57" t="s">
        <v>297</v>
      </c>
      <c r="D137" s="151"/>
      <c r="E137" s="108"/>
      <c r="F137" s="108"/>
      <c r="G137" s="108"/>
      <c r="H137" s="108"/>
      <c r="I137" s="108"/>
      <c r="J137" s="108"/>
      <c r="K137" s="82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425" t="s">
        <v>320</v>
      </c>
      <c r="AC137" s="4"/>
    </row>
    <row r="138" spans="1:31" s="11" customFormat="1" ht="21" customHeight="1">
      <c r="A138" s="33" t="s">
        <v>289</v>
      </c>
      <c r="B138" s="549" t="s">
        <v>20</v>
      </c>
      <c r="C138" s="550"/>
      <c r="D138" s="438">
        <f>D139</f>
        <v>11675</v>
      </c>
      <c r="E138" s="438">
        <f>E139</f>
        <v>0</v>
      </c>
      <c r="F138" s="438">
        <f t="shared" ref="F138:I138" si="14">F139</f>
        <v>0</v>
      </c>
      <c r="G138" s="438">
        <f t="shared" si="14"/>
        <v>0</v>
      </c>
      <c r="H138" s="438">
        <f t="shared" si="14"/>
        <v>0</v>
      </c>
      <c r="I138" s="438">
        <f t="shared" si="14"/>
        <v>0</v>
      </c>
      <c r="J138" s="439">
        <f>E138-D138</f>
        <v>-11675</v>
      </c>
      <c r="K138" s="291">
        <f>IF(D138=0,0,J138/D138)</f>
        <v>-1</v>
      </c>
      <c r="L138" s="440" t="s">
        <v>336</v>
      </c>
      <c r="M138" s="440"/>
      <c r="N138" s="440"/>
      <c r="O138" s="440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>
        <f>SUM(AA139)</f>
        <v>0</v>
      </c>
      <c r="AB138" s="441" t="s">
        <v>25</v>
      </c>
      <c r="AC138" s="1"/>
    </row>
    <row r="139" spans="1:31" s="11" customFormat="1" ht="21" customHeight="1">
      <c r="A139" s="43"/>
      <c r="B139" s="44" t="s">
        <v>289</v>
      </c>
      <c r="C139" s="44" t="s">
        <v>289</v>
      </c>
      <c r="D139" s="150">
        <v>11675</v>
      </c>
      <c r="E139" s="106">
        <f>AA139/1000</f>
        <v>0</v>
      </c>
      <c r="F139" s="111">
        <f>SUMIF(Y140:Y140,"보조",AA140:AA140)/1000</f>
        <v>0</v>
      </c>
      <c r="G139" s="111">
        <f>SUMIF(Y140:Y140,"지후",AA140:AA140)/1000</f>
        <v>0</v>
      </c>
      <c r="H139" s="111">
        <f>SUMIF(Y140:Y141,"후원",AA140:AA141)/1000</f>
        <v>0</v>
      </c>
      <c r="I139" s="111">
        <f>SUMIF(Y140:Y140,"잡수",AA140:AA140)/1000</f>
        <v>0</v>
      </c>
      <c r="J139" s="106">
        <f>E139-D139</f>
        <v>-11675</v>
      </c>
      <c r="K139" s="68">
        <f>IF(D139=0,0,J139/D139)</f>
        <v>-1</v>
      </c>
      <c r="L139" s="113" t="s">
        <v>290</v>
      </c>
      <c r="M139" s="168"/>
      <c r="N139" s="168"/>
      <c r="O139" s="168"/>
      <c r="P139" s="168"/>
      <c r="Q139" s="148"/>
      <c r="R139" s="148"/>
      <c r="S139" s="148"/>
      <c r="T139" s="148"/>
      <c r="U139" s="148"/>
      <c r="V139" s="406" t="s">
        <v>286</v>
      </c>
      <c r="W139" s="97"/>
      <c r="X139" s="97"/>
      <c r="Y139" s="97"/>
      <c r="Z139" s="115"/>
      <c r="AA139" s="115">
        <f>AA140</f>
        <v>0</v>
      </c>
      <c r="AB139" s="116" t="s">
        <v>25</v>
      </c>
      <c r="AC139" s="1"/>
    </row>
    <row r="140" spans="1:31" s="1" customFormat="1" ht="21" customHeight="1">
      <c r="A140" s="56"/>
      <c r="B140" s="57"/>
      <c r="C140" s="57"/>
      <c r="D140" s="151"/>
      <c r="E140" s="108"/>
      <c r="F140" s="108"/>
      <c r="G140" s="108"/>
      <c r="H140" s="108"/>
      <c r="I140" s="108"/>
      <c r="J140" s="108"/>
      <c r="K140" s="82"/>
      <c r="L140" s="324" t="s">
        <v>355</v>
      </c>
      <c r="M140" s="324"/>
      <c r="N140" s="324"/>
      <c r="O140" s="324"/>
      <c r="P140" s="324"/>
      <c r="Q140" s="324"/>
      <c r="R140" s="324"/>
      <c r="S140" s="324"/>
      <c r="T140" s="324"/>
      <c r="U140" s="324"/>
      <c r="V140" s="141"/>
      <c r="W140" s="141"/>
      <c r="X140" s="141"/>
      <c r="Y140" s="141" t="s">
        <v>425</v>
      </c>
      <c r="Z140" s="141"/>
      <c r="AA140" s="443">
        <v>0</v>
      </c>
      <c r="AB140" s="444" t="s">
        <v>334</v>
      </c>
    </row>
    <row r="141" spans="1:31" s="11" customFormat="1" ht="21" customHeight="1">
      <c r="A141" s="43" t="s">
        <v>21</v>
      </c>
      <c r="B141" s="549" t="s">
        <v>20</v>
      </c>
      <c r="C141" s="550"/>
      <c r="D141" s="438">
        <f>SUM(D142)</f>
        <v>75</v>
      </c>
      <c r="E141" s="438">
        <f>SUM(E142)</f>
        <v>50</v>
      </c>
      <c r="F141" s="438">
        <f t="shared" ref="F141:I141" si="15">SUM(F142)</f>
        <v>20</v>
      </c>
      <c r="G141" s="438">
        <f t="shared" si="15"/>
        <v>10</v>
      </c>
      <c r="H141" s="438">
        <f t="shared" si="15"/>
        <v>20</v>
      </c>
      <c r="I141" s="438">
        <f t="shared" si="15"/>
        <v>0</v>
      </c>
      <c r="J141" s="439">
        <f>E141-D141</f>
        <v>-25</v>
      </c>
      <c r="K141" s="291">
        <f>IF(D141=0,0,J141/D141)</f>
        <v>-0.33333333333333331</v>
      </c>
      <c r="L141" s="440" t="s">
        <v>337</v>
      </c>
      <c r="M141" s="440"/>
      <c r="N141" s="440"/>
      <c r="O141" s="440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1">
        <f>AA142</f>
        <v>50000</v>
      </c>
      <c r="AB141" s="441" t="s">
        <v>25</v>
      </c>
      <c r="AC141" s="1"/>
    </row>
    <row r="142" spans="1:31" s="11" customFormat="1" ht="21" customHeight="1">
      <c r="A142" s="43" t="s">
        <v>298</v>
      </c>
      <c r="B142" s="44" t="s">
        <v>21</v>
      </c>
      <c r="C142" s="34" t="s">
        <v>21</v>
      </c>
      <c r="D142" s="110">
        <v>75</v>
      </c>
      <c r="E142" s="110">
        <f>SUM(F142:I142)</f>
        <v>50</v>
      </c>
      <c r="F142" s="111">
        <f>SUMIF($Y$143:$Y$146,"보조",$AA$143:$AA$146)/1000</f>
        <v>20</v>
      </c>
      <c r="G142" s="111">
        <f>SUMIF($Y$143:$Y$146,"지후",$AA$143:$AA$146)/1000</f>
        <v>10</v>
      </c>
      <c r="H142" s="111">
        <f>SUMIF($Y$143:$Y$146,"후원",$AA$143:$AA$146)/1000</f>
        <v>20</v>
      </c>
      <c r="I142" s="111">
        <f>SUMIF($Y$143:$Y$146,"잡수",$AA$143:$AA$146)/1000</f>
        <v>0</v>
      </c>
      <c r="J142" s="110">
        <f>E142-D142</f>
        <v>-25</v>
      </c>
      <c r="K142" s="118">
        <f>IF(D142=0,0,J142/D142)</f>
        <v>-0.33333333333333331</v>
      </c>
      <c r="L142" s="407" t="s">
        <v>51</v>
      </c>
      <c r="M142" s="172"/>
      <c r="N142" s="172"/>
      <c r="O142" s="172"/>
      <c r="P142" s="172"/>
      <c r="Q142" s="171"/>
      <c r="R142" s="171"/>
      <c r="S142" s="171"/>
      <c r="T142" s="171"/>
      <c r="U142" s="171"/>
      <c r="V142" s="406" t="s">
        <v>91</v>
      </c>
      <c r="W142" s="406"/>
      <c r="X142" s="406"/>
      <c r="Y142" s="406"/>
      <c r="Z142" s="165"/>
      <c r="AA142" s="165">
        <f>SUM(AA143:AA146)</f>
        <v>50000</v>
      </c>
      <c r="AB142" s="164" t="s">
        <v>25</v>
      </c>
      <c r="AC142" s="1"/>
    </row>
    <row r="143" spans="1:31" s="11" customFormat="1" ht="21" customHeight="1">
      <c r="A143" s="43" t="s">
        <v>142</v>
      </c>
      <c r="B143" s="44" t="s">
        <v>298</v>
      </c>
      <c r="C143" s="44"/>
      <c r="D143" s="150"/>
      <c r="E143" s="106"/>
      <c r="F143" s="426"/>
      <c r="G143" s="426"/>
      <c r="H143" s="426"/>
      <c r="I143" s="426"/>
      <c r="J143" s="106"/>
      <c r="K143" s="68"/>
      <c r="L143" s="65" t="s">
        <v>273</v>
      </c>
      <c r="M143" s="269"/>
      <c r="N143" s="268"/>
      <c r="O143" s="268"/>
      <c r="P143" s="268"/>
      <c r="Q143" s="268"/>
      <c r="R143" s="268"/>
      <c r="S143" s="268"/>
      <c r="T143" s="52"/>
      <c r="U143" s="52"/>
      <c r="V143" s="52"/>
      <c r="W143" s="268"/>
      <c r="X143" s="268"/>
      <c r="Y143" s="268" t="s">
        <v>397</v>
      </c>
      <c r="Z143" s="66"/>
      <c r="AA143" s="66">
        <v>20000</v>
      </c>
      <c r="AB143" s="55" t="s">
        <v>55</v>
      </c>
      <c r="AC143" s="1">
        <v>0</v>
      </c>
    </row>
    <row r="144" spans="1:31" s="11" customFormat="1" ht="21" customHeight="1">
      <c r="A144" s="43"/>
      <c r="B144" s="44" t="s">
        <v>338</v>
      </c>
      <c r="C144" s="44"/>
      <c r="D144" s="150"/>
      <c r="E144" s="106"/>
      <c r="F144" s="426"/>
      <c r="G144" s="426"/>
      <c r="H144" s="426"/>
      <c r="I144" s="426"/>
      <c r="J144" s="106"/>
      <c r="K144" s="68"/>
      <c r="L144" s="65" t="s">
        <v>452</v>
      </c>
      <c r="M144" s="269"/>
      <c r="N144" s="268"/>
      <c r="O144" s="268"/>
      <c r="P144" s="268"/>
      <c r="Q144" s="268"/>
      <c r="R144" s="268"/>
      <c r="S144" s="268"/>
      <c r="T144" s="52"/>
      <c r="U144" s="52"/>
      <c r="V144" s="52"/>
      <c r="W144" s="268"/>
      <c r="X144" s="268"/>
      <c r="Y144" s="268" t="s">
        <v>468</v>
      </c>
      <c r="Z144" s="66"/>
      <c r="AA144" s="66">
        <v>10000</v>
      </c>
      <c r="AB144" s="55" t="s">
        <v>55</v>
      </c>
      <c r="AC144" s="1">
        <v>0</v>
      </c>
    </row>
    <row r="145" spans="1:29" s="11" customFormat="1" ht="21" customHeight="1">
      <c r="A145" s="43"/>
      <c r="B145" s="44"/>
      <c r="C145" s="44"/>
      <c r="D145" s="150"/>
      <c r="E145" s="106"/>
      <c r="F145" s="426"/>
      <c r="G145" s="426"/>
      <c r="H145" s="426"/>
      <c r="I145" s="426"/>
      <c r="J145" s="106"/>
      <c r="K145" s="68"/>
      <c r="L145" s="65" t="s">
        <v>442</v>
      </c>
      <c r="M145" s="269"/>
      <c r="N145" s="268"/>
      <c r="O145" s="268"/>
      <c r="P145" s="268"/>
      <c r="Q145" s="268"/>
      <c r="R145" s="268"/>
      <c r="S145" s="268"/>
      <c r="T145" s="52"/>
      <c r="U145" s="52"/>
      <c r="V145" s="52"/>
      <c r="W145" s="268"/>
      <c r="X145" s="268"/>
      <c r="Y145" s="268" t="s">
        <v>438</v>
      </c>
      <c r="Z145" s="66"/>
      <c r="AA145" s="66">
        <v>20000</v>
      </c>
      <c r="AB145" s="55" t="s">
        <v>55</v>
      </c>
      <c r="AC145" s="1">
        <v>0</v>
      </c>
    </row>
    <row r="146" spans="1:29" s="11" customFormat="1" ht="21" customHeight="1">
      <c r="A146" s="43"/>
      <c r="B146" s="44"/>
      <c r="C146" s="57"/>
      <c r="D146" s="151"/>
      <c r="E146" s="108"/>
      <c r="F146" s="108"/>
      <c r="G146" s="108"/>
      <c r="H146" s="108"/>
      <c r="I146" s="108"/>
      <c r="J146" s="108"/>
      <c r="K146" s="82"/>
      <c r="L146" s="428"/>
      <c r="M146" s="405"/>
      <c r="N146" s="405"/>
      <c r="O146" s="405"/>
      <c r="P146" s="405"/>
      <c r="Q146" s="404"/>
      <c r="R146" s="404"/>
      <c r="S146" s="404"/>
      <c r="T146" s="404"/>
      <c r="U146" s="404"/>
      <c r="V146" s="404"/>
      <c r="W146" s="404"/>
      <c r="X146" s="404"/>
      <c r="Y146" s="433"/>
      <c r="Z146" s="364"/>
      <c r="AA146" s="70"/>
      <c r="AB146" s="363"/>
      <c r="AC146" s="2"/>
    </row>
    <row r="147" spans="1:29" s="11" customFormat="1" ht="21" customHeight="1">
      <c r="A147" s="43"/>
      <c r="B147" s="44"/>
      <c r="C147" s="44" t="s">
        <v>299</v>
      </c>
      <c r="D147" s="150">
        <v>0</v>
      </c>
      <c r="E147" s="110">
        <f>SUM(F147:I147)</f>
        <v>0</v>
      </c>
      <c r="F147" s="111">
        <f>SUMIF(Y148:Y148,"보조",AA148:AA148)/1000</f>
        <v>0</v>
      </c>
      <c r="G147" s="111">
        <f>SUMIF(Y148:Y148,"지후",AA148:AA148)/1000</f>
        <v>0</v>
      </c>
      <c r="H147" s="111">
        <f>SUMIF(Y148:Y149,"후원",AA148:AA149)/1000</f>
        <v>0</v>
      </c>
      <c r="I147" s="111">
        <f>SUMIF(Y148:Y148,"잡수",AA148:AA148)/1000</f>
        <v>0</v>
      </c>
      <c r="J147" s="106">
        <f>E147-D147</f>
        <v>0</v>
      </c>
      <c r="K147" s="68">
        <f>IF(D147=0,0,J147/D147)</f>
        <v>0</v>
      </c>
      <c r="L147" s="407" t="s">
        <v>300</v>
      </c>
      <c r="M147" s="172"/>
      <c r="N147" s="172"/>
      <c r="O147" s="172"/>
      <c r="P147" s="172"/>
      <c r="Q147" s="171"/>
      <c r="R147" s="171"/>
      <c r="S147" s="171"/>
      <c r="T147" s="171"/>
      <c r="U147" s="171"/>
      <c r="V147" s="406" t="s">
        <v>91</v>
      </c>
      <c r="W147" s="406"/>
      <c r="X147" s="406"/>
      <c r="Y147" s="406"/>
      <c r="Z147" s="165"/>
      <c r="AA147" s="165">
        <f>SUM(AA148:AA149)</f>
        <v>0</v>
      </c>
      <c r="AB147" s="164" t="s">
        <v>25</v>
      </c>
      <c r="AC147" s="2"/>
    </row>
    <row r="148" spans="1:29" s="1" customFormat="1" ht="21" customHeight="1" thickBot="1">
      <c r="A148" s="133"/>
      <c r="B148" s="100"/>
      <c r="C148" s="100"/>
      <c r="D148" s="155"/>
      <c r="E148" s="134"/>
      <c r="F148" s="134"/>
      <c r="G148" s="134"/>
      <c r="H148" s="134"/>
      <c r="I148" s="134"/>
      <c r="J148" s="134"/>
      <c r="K148" s="135"/>
      <c r="L148" s="429" t="s">
        <v>301</v>
      </c>
      <c r="M148" s="365"/>
      <c r="N148" s="365"/>
      <c r="O148" s="365"/>
      <c r="P148" s="366"/>
      <c r="Q148" s="366"/>
      <c r="R148" s="366"/>
      <c r="S148" s="366"/>
      <c r="T148" s="366"/>
      <c r="U148" s="366"/>
      <c r="V148" s="366"/>
      <c r="W148" s="366"/>
      <c r="X148" s="366"/>
      <c r="Y148" s="366"/>
      <c r="Z148" s="366"/>
      <c r="AA148" s="366"/>
      <c r="AB148" s="367"/>
    </row>
    <row r="150" spans="1:29" ht="21" customHeight="1">
      <c r="E150" s="267"/>
      <c r="F150" s="267"/>
    </row>
    <row r="151" spans="1:29" ht="21" customHeight="1">
      <c r="E151" s="267"/>
      <c r="F151" s="267"/>
    </row>
    <row r="152" spans="1:29" ht="21" customHeight="1">
      <c r="F152" s="267"/>
    </row>
    <row r="153" spans="1:29" ht="21" customHeight="1">
      <c r="E153" s="267"/>
      <c r="F153" s="267"/>
    </row>
    <row r="154" spans="1:29" ht="21" customHeight="1">
      <c r="E154" s="267"/>
      <c r="F154" s="267"/>
    </row>
    <row r="155" spans="1:29" ht="21" customHeight="1">
      <c r="E155" s="267"/>
      <c r="F155" s="267"/>
    </row>
  </sheetData>
  <mergeCells count="19">
    <mergeCell ref="A1:D1"/>
    <mergeCell ref="L2:AB3"/>
    <mergeCell ref="S75:T75"/>
    <mergeCell ref="S51:T51"/>
    <mergeCell ref="L67:P67"/>
    <mergeCell ref="B5:C5"/>
    <mergeCell ref="A4:C4"/>
    <mergeCell ref="J2:K2"/>
    <mergeCell ref="A2:C2"/>
    <mergeCell ref="D2:D3"/>
    <mergeCell ref="E2:I2"/>
    <mergeCell ref="L14:M14"/>
    <mergeCell ref="B141:C141"/>
    <mergeCell ref="B130:C130"/>
    <mergeCell ref="B106:C106"/>
    <mergeCell ref="B96:C96"/>
    <mergeCell ref="B85:C85"/>
    <mergeCell ref="B138:C138"/>
    <mergeCell ref="B133:C133"/>
  </mergeCells>
  <phoneticPr fontId="11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&amp;C&amp;P/&amp;N&amp;R사회복지법인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50" zoomScaleNormal="150" workbookViewId="0">
      <pane xSplit="5" ySplit="1" topLeftCell="F2" activePane="bottomRight" state="frozen"/>
      <selection pane="topRight" activeCell="H1" sqref="H1"/>
      <selection pane="bottomLeft" activeCell="A3" sqref="A3"/>
      <selection pane="bottomRight" activeCell="B2" sqref="B2"/>
    </sheetView>
  </sheetViews>
  <sheetFormatPr defaultRowHeight="16.5"/>
  <cols>
    <col min="1" max="1" width="1.44140625" style="450" customWidth="1"/>
    <col min="2" max="2" width="4.6640625" style="450" bestFit="1" customWidth="1"/>
    <col min="3" max="3" width="11.5546875" style="450" hidden="1" customWidth="1"/>
    <col min="4" max="4" width="7.44140625" style="450" customWidth="1"/>
    <col min="5" max="5" width="11.88671875" style="450" customWidth="1"/>
    <col min="6" max="6" width="11.5546875" style="450" bestFit="1" customWidth="1"/>
    <col min="7" max="7" width="13.77734375" style="450" bestFit="1" customWidth="1"/>
    <col min="8" max="8" width="12.6640625" style="450" bestFit="1" customWidth="1"/>
    <col min="9" max="9" width="11.6640625" style="450" customWidth="1"/>
    <col min="10" max="10" width="11.5546875" style="450" customWidth="1"/>
    <col min="11" max="11" width="10.77734375" style="450" customWidth="1"/>
    <col min="12" max="12" width="11.77734375" style="450" customWidth="1"/>
    <col min="13" max="13" width="11.5546875" style="450" bestFit="1" customWidth="1"/>
    <col min="14" max="14" width="12.6640625" style="450" customWidth="1"/>
    <col min="15" max="15" width="13" style="450" customWidth="1"/>
    <col min="16" max="16384" width="8.88671875" style="450"/>
  </cols>
  <sheetData>
    <row r="1" spans="1:15">
      <c r="B1" s="576" t="s">
        <v>477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</row>
    <row r="2" spans="1:15" ht="34.5" customHeight="1">
      <c r="A2" s="487"/>
      <c r="B2" s="451" t="s">
        <v>367</v>
      </c>
      <c r="C2" s="452" t="s">
        <v>366</v>
      </c>
      <c r="D2" s="452" t="s">
        <v>365</v>
      </c>
      <c r="E2" s="452" t="s">
        <v>364</v>
      </c>
      <c r="F2" s="452" t="s">
        <v>363</v>
      </c>
      <c r="G2" s="453" t="s">
        <v>362</v>
      </c>
      <c r="H2" s="452" t="s">
        <v>361</v>
      </c>
      <c r="I2" s="454" t="s">
        <v>360</v>
      </c>
      <c r="J2" s="454" t="s">
        <v>422</v>
      </c>
      <c r="K2" s="454" t="s">
        <v>423</v>
      </c>
      <c r="L2" s="454" t="s">
        <v>426</v>
      </c>
      <c r="M2" s="454" t="s">
        <v>374</v>
      </c>
      <c r="N2" s="453" t="s">
        <v>359</v>
      </c>
      <c r="O2" s="452" t="s">
        <v>358</v>
      </c>
    </row>
    <row r="3" spans="1:15" ht="24.75" customHeight="1">
      <c r="B3" s="455">
        <v>2</v>
      </c>
      <c r="C3" s="462"/>
      <c r="D3" s="456" t="s">
        <v>398</v>
      </c>
      <c r="E3" s="457">
        <v>43435</v>
      </c>
      <c r="F3" s="448">
        <v>2000000</v>
      </c>
      <c r="G3" s="448">
        <f t="shared" ref="G3:G5" si="0">F3*12</f>
        <v>24000000</v>
      </c>
      <c r="H3" s="448">
        <f>167000*12</f>
        <v>2004000</v>
      </c>
      <c r="I3" s="448">
        <f t="shared" ref="I3:I4" si="1">G3*9%/2</f>
        <v>1080000</v>
      </c>
      <c r="J3" s="448">
        <f t="shared" ref="J3" si="2">ROUNDUP(G3*6.67%/2,-3)</f>
        <v>801000</v>
      </c>
      <c r="K3" s="448">
        <f t="shared" ref="K3:K5" si="3">ROUNDUP(J3*10.25%,-1)</f>
        <v>82110</v>
      </c>
      <c r="L3" s="448">
        <f t="shared" ref="L3:L5" si="4">ROUNDUP(G3*1.05%,-3)</f>
        <v>252000</v>
      </c>
      <c r="M3" s="448">
        <f t="shared" ref="M3:M4" si="5">ROUNDUP(G3*0.81%,-3)</f>
        <v>195000</v>
      </c>
      <c r="N3" s="449">
        <f t="shared" ref="N3:N5" si="6">SUM(H3:M3)</f>
        <v>4414110</v>
      </c>
      <c r="O3" s="448">
        <f t="shared" ref="O3:O5" si="7">SUM(G3,N3)</f>
        <v>28414110</v>
      </c>
    </row>
    <row r="4" spans="1:15" ht="24.95" customHeight="1">
      <c r="B4" s="455">
        <v>3</v>
      </c>
      <c r="C4" s="462"/>
      <c r="D4" s="456" t="s">
        <v>399</v>
      </c>
      <c r="E4" s="457">
        <v>43525</v>
      </c>
      <c r="F4" s="448">
        <v>2000000</v>
      </c>
      <c r="G4" s="448">
        <f>F4*12</f>
        <v>24000000</v>
      </c>
      <c r="H4" s="448">
        <f>167000*12</f>
        <v>2004000</v>
      </c>
      <c r="I4" s="448">
        <f t="shared" si="1"/>
        <v>1080000</v>
      </c>
      <c r="J4" s="448">
        <f>ROUND(G4*6.67%/2,-3)</f>
        <v>800000</v>
      </c>
      <c r="K4" s="448">
        <f t="shared" si="3"/>
        <v>82000</v>
      </c>
      <c r="L4" s="448">
        <f t="shared" si="4"/>
        <v>252000</v>
      </c>
      <c r="M4" s="448">
        <f t="shared" si="5"/>
        <v>195000</v>
      </c>
      <c r="N4" s="449">
        <f t="shared" si="6"/>
        <v>4413000</v>
      </c>
      <c r="O4" s="448">
        <f t="shared" si="7"/>
        <v>28413000</v>
      </c>
    </row>
    <row r="5" spans="1:15" ht="24.95" customHeight="1">
      <c r="B5" s="455">
        <v>4</v>
      </c>
      <c r="C5" s="456"/>
      <c r="D5" s="456" t="s">
        <v>400</v>
      </c>
      <c r="E5" s="457">
        <v>42736</v>
      </c>
      <c r="F5" s="448">
        <v>870000</v>
      </c>
      <c r="G5" s="448">
        <f t="shared" si="0"/>
        <v>10440000</v>
      </c>
      <c r="H5" s="448">
        <f t="shared" ref="H5" si="8">ROUNDUP(G5/12,-3)</f>
        <v>870000</v>
      </c>
      <c r="I5" s="448">
        <v>0</v>
      </c>
      <c r="J5" s="448">
        <f>ROUND(G5*6.67%/2,-3)</f>
        <v>348000</v>
      </c>
      <c r="K5" s="448">
        <f t="shared" si="3"/>
        <v>35670</v>
      </c>
      <c r="L5" s="448">
        <f t="shared" si="4"/>
        <v>110000</v>
      </c>
      <c r="M5" s="448">
        <f>ROUNDDOWN(G5*0.81%,-3)</f>
        <v>84000</v>
      </c>
      <c r="N5" s="449">
        <f t="shared" si="6"/>
        <v>1447670</v>
      </c>
      <c r="O5" s="448">
        <f t="shared" si="7"/>
        <v>11887670</v>
      </c>
    </row>
    <row r="6" spans="1:15" ht="24.95" customHeight="1">
      <c r="B6" s="455"/>
      <c r="C6" s="456"/>
      <c r="D6" s="456" t="s">
        <v>401</v>
      </c>
      <c r="E6" s="457"/>
      <c r="F6" s="448">
        <f t="shared" ref="F6:M6" si="9">SUM(F3:F5)</f>
        <v>4870000</v>
      </c>
      <c r="G6" s="448">
        <f t="shared" si="9"/>
        <v>58440000</v>
      </c>
      <c r="H6" s="448">
        <f t="shared" si="9"/>
        <v>4878000</v>
      </c>
      <c r="I6" s="448">
        <f t="shared" si="9"/>
        <v>2160000</v>
      </c>
      <c r="J6" s="448">
        <f t="shared" si="9"/>
        <v>1949000</v>
      </c>
      <c r="K6" s="448">
        <f t="shared" si="9"/>
        <v>199780</v>
      </c>
      <c r="L6" s="448">
        <f t="shared" si="9"/>
        <v>614000</v>
      </c>
      <c r="M6" s="448">
        <f t="shared" si="9"/>
        <v>474000</v>
      </c>
      <c r="N6" s="448">
        <f t="shared" ref="N6:O6" si="10">SUM(N3:N5)</f>
        <v>10274780</v>
      </c>
      <c r="O6" s="448">
        <f t="shared" si="10"/>
        <v>68714780</v>
      </c>
    </row>
    <row r="27" hidden="1"/>
  </sheetData>
  <mergeCells count="1">
    <mergeCell ref="B1:O1"/>
  </mergeCells>
  <phoneticPr fontId="11" type="noConversion"/>
  <printOptions horizontalCentered="1" verticalCentered="1"/>
  <pageMargins left="0.31496062992125984" right="0.31496062992125984" top="0.15748031496062992" bottom="0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H5" sqref="H5"/>
    </sheetView>
  </sheetViews>
  <sheetFormatPr defaultRowHeight="13.5"/>
  <cols>
    <col min="1" max="1" width="3" customWidth="1"/>
    <col min="2" max="2" width="12.21875" bestFit="1" customWidth="1"/>
    <col min="3" max="3" width="13.77734375" bestFit="1" customWidth="1"/>
    <col min="4" max="4" width="13.88671875" bestFit="1" customWidth="1"/>
    <col min="5" max="5" width="10.5546875" bestFit="1" customWidth="1"/>
    <col min="6" max="6" width="13.77734375" bestFit="1" customWidth="1"/>
    <col min="8" max="8" width="13.77734375" bestFit="1" customWidth="1"/>
    <col min="9" max="9" width="12.6640625" bestFit="1" customWidth="1"/>
  </cols>
  <sheetData>
    <row r="1" spans="2:9" ht="14.25" thickBot="1"/>
    <row r="2" spans="2:9" ht="15" thickBot="1">
      <c r="B2" s="465" t="s">
        <v>415</v>
      </c>
      <c r="C2" s="466" t="s">
        <v>416</v>
      </c>
      <c r="D2" s="467" t="s">
        <v>115</v>
      </c>
      <c r="E2" s="468" t="s">
        <v>417</v>
      </c>
      <c r="F2" s="465" t="s">
        <v>418</v>
      </c>
      <c r="G2" s="469"/>
      <c r="H2" s="469"/>
      <c r="I2" s="469"/>
    </row>
    <row r="3" spans="2:9" ht="24.95" customHeight="1">
      <c r="B3" s="470" t="s">
        <v>449</v>
      </c>
      <c r="C3" s="503">
        <v>41080000</v>
      </c>
      <c r="D3" s="471">
        <v>4200000</v>
      </c>
      <c r="E3" s="472">
        <v>20000</v>
      </c>
      <c r="F3" s="473">
        <f>SUM(C3:E3)</f>
        <v>45300000</v>
      </c>
      <c r="G3" s="469"/>
      <c r="H3" s="474">
        <v>45300000</v>
      </c>
      <c r="I3" s="475">
        <f>F3-H3</f>
        <v>0</v>
      </c>
    </row>
    <row r="4" spans="2:9" ht="24.95" customHeight="1">
      <c r="B4" s="495" t="s">
        <v>469</v>
      </c>
      <c r="C4" s="504">
        <v>189246000</v>
      </c>
      <c r="D4" s="496">
        <v>2430000</v>
      </c>
      <c r="E4" s="497">
        <v>10000</v>
      </c>
      <c r="F4" s="498">
        <f>SUM(C4:E4)</f>
        <v>191686000</v>
      </c>
      <c r="G4" s="469"/>
      <c r="H4" s="474">
        <v>191686000</v>
      </c>
      <c r="I4" s="475">
        <f>F4-H4</f>
        <v>0</v>
      </c>
    </row>
    <row r="5" spans="2:9" ht="24.95" customHeight="1" thickBot="1">
      <c r="B5" s="476" t="s">
        <v>206</v>
      </c>
      <c r="C5" s="505">
        <v>19200000</v>
      </c>
      <c r="D5" s="506">
        <v>8500000</v>
      </c>
      <c r="E5" s="507">
        <v>20000</v>
      </c>
      <c r="F5" s="508">
        <f>SUM(C5:E5)</f>
        <v>27720000</v>
      </c>
      <c r="G5" s="469"/>
      <c r="H5" s="474">
        <v>27720000</v>
      </c>
      <c r="I5" s="475">
        <f>F5-H5</f>
        <v>0</v>
      </c>
    </row>
    <row r="6" spans="2:9" ht="24.95" customHeight="1" thickBot="1">
      <c r="B6" s="486" t="s">
        <v>419</v>
      </c>
      <c r="C6" s="477">
        <f>SUM(C3:C5)</f>
        <v>249526000</v>
      </c>
      <c r="D6" s="478">
        <f>SUM(D3:D5)</f>
        <v>15130000</v>
      </c>
      <c r="E6" s="479">
        <f>SUM(E3:E5)</f>
        <v>50000</v>
      </c>
      <c r="F6" s="480">
        <f>SUM(F3:F5)</f>
        <v>264706000</v>
      </c>
      <c r="G6" s="481"/>
      <c r="H6" s="482">
        <f>SUM(H3:H5)</f>
        <v>264706000</v>
      </c>
      <c r="I6" s="469"/>
    </row>
    <row r="7" spans="2:9" ht="24.95" customHeight="1"/>
    <row r="8" spans="2:9" ht="24.95" customHeight="1"/>
    <row r="9" spans="2:9" ht="21.75" customHeight="1"/>
    <row r="10" spans="2:9" ht="21.75" customHeight="1">
      <c r="C10" s="460"/>
      <c r="D10" s="460"/>
      <c r="E10" s="460"/>
      <c r="F10" s="460"/>
      <c r="H10" s="460"/>
      <c r="I10" s="461"/>
    </row>
    <row r="11" spans="2:9" ht="21.75" customHeight="1">
      <c r="C11" s="460"/>
      <c r="D11" s="460"/>
      <c r="E11" s="460"/>
      <c r="F11" s="460"/>
      <c r="H11" s="460"/>
      <c r="I11" s="461"/>
    </row>
    <row r="12" spans="2:9" ht="21.75" customHeight="1">
      <c r="C12" s="460"/>
      <c r="D12" s="460"/>
      <c r="E12" s="460"/>
      <c r="F12" s="460"/>
      <c r="H12" s="460"/>
      <c r="I12" s="461"/>
    </row>
    <row r="13" spans="2:9" ht="21.75" customHeight="1">
      <c r="C13" s="460"/>
      <c r="D13" s="460"/>
      <c r="E13" s="460"/>
      <c r="F13" s="460"/>
      <c r="H13" s="460"/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세입세출총괄표</vt:lpstr>
      <vt:lpstr>세입</vt:lpstr>
      <vt:lpstr>세출</vt:lpstr>
      <vt:lpstr>인건비</vt:lpstr>
      <vt:lpstr>재원</vt:lpstr>
      <vt:lpstr>세입!Print_Area</vt:lpstr>
      <vt:lpstr>세입!Print_Titles</vt:lpstr>
      <vt:lpstr>세출!Print_Titles</vt:lpstr>
      <vt:lpstr>인건비!Print_Titles</vt:lpstr>
      <vt:lpstr>세출!기본급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바다의별 원장</cp:lastModifiedBy>
  <cp:revision>65</cp:revision>
  <cp:lastPrinted>2020-12-03T05:44:08Z</cp:lastPrinted>
  <dcterms:created xsi:type="dcterms:W3CDTF">2003-12-18T04:11:57Z</dcterms:created>
  <dcterms:modified xsi:type="dcterms:W3CDTF">2021-05-07T04:54:49Z</dcterms:modified>
</cp:coreProperties>
</file>