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0" i="5"/>
  <c r="K120"/>
  <c r="I120"/>
  <c r="F120"/>
  <c r="AD120"/>
  <c r="AD77"/>
  <c r="X97" i="29"/>
  <c r="AD16" i="5" l="1"/>
  <c r="J16" i="18" l="1"/>
  <c r="X52" i="29"/>
  <c r="F127" i="5" l="1"/>
  <c r="D108"/>
  <c r="AD115"/>
  <c r="L115"/>
  <c r="K115"/>
  <c r="J115"/>
  <c r="I115"/>
  <c r="H115"/>
  <c r="G115"/>
  <c r="F115"/>
  <c r="E115"/>
  <c r="M115" s="1"/>
  <c r="N115" s="1"/>
  <c r="L7"/>
  <c r="F7"/>
  <c r="I7"/>
  <c r="X73" i="29"/>
  <c r="X40"/>
  <c r="I25" i="18" l="1"/>
  <c r="AD76" i="5" l="1"/>
  <c r="AD70"/>
  <c r="K45" l="1"/>
  <c r="L141"/>
  <c r="K141"/>
  <c r="F141"/>
  <c r="I141"/>
  <c r="AD141"/>
  <c r="E61" i="29"/>
  <c r="X51"/>
  <c r="X39"/>
  <c r="X38" s="1"/>
  <c r="X35"/>
  <c r="K42" i="5" l="1"/>
  <c r="K103"/>
  <c r="K99"/>
  <c r="K94"/>
  <c r="K87"/>
  <c r="K73"/>
  <c r="L69"/>
  <c r="K69"/>
  <c r="F69"/>
  <c r="K65"/>
  <c r="K62"/>
  <c r="K55"/>
  <c r="AD45"/>
  <c r="N146"/>
  <c r="M146"/>
  <c r="L146"/>
  <c r="K146"/>
  <c r="J146"/>
  <c r="I146"/>
  <c r="H146"/>
  <c r="G146"/>
  <c r="F146"/>
  <c r="J141"/>
  <c r="H141"/>
  <c r="G141"/>
  <c r="L138"/>
  <c r="K138"/>
  <c r="J138"/>
  <c r="I138"/>
  <c r="H138"/>
  <c r="G138"/>
  <c r="F138"/>
  <c r="N135"/>
  <c r="M135"/>
  <c r="L135"/>
  <c r="K135"/>
  <c r="J135"/>
  <c r="I135"/>
  <c r="H135"/>
  <c r="G135"/>
  <c r="F135"/>
  <c r="N133"/>
  <c r="L133"/>
  <c r="K133"/>
  <c r="J133"/>
  <c r="I133"/>
  <c r="H133"/>
  <c r="G133"/>
  <c r="F133"/>
  <c r="L130"/>
  <c r="K130"/>
  <c r="I130"/>
  <c r="F130"/>
  <c r="N130"/>
  <c r="J130"/>
  <c r="H130"/>
  <c r="G130"/>
  <c r="E130"/>
  <c r="M130" s="1"/>
  <c r="J16"/>
  <c r="H16"/>
  <c r="G16"/>
  <c r="F16"/>
  <c r="L13"/>
  <c r="K13"/>
  <c r="J13"/>
  <c r="I13"/>
  <c r="H13"/>
  <c r="G13"/>
  <c r="F13"/>
  <c r="L10"/>
  <c r="K10"/>
  <c r="J10"/>
  <c r="I10"/>
  <c r="F10"/>
  <c r="H10"/>
  <c r="G10"/>
  <c r="J7"/>
  <c r="AD135"/>
  <c r="AD133"/>
  <c r="AD138"/>
  <c r="D119"/>
  <c r="L127"/>
  <c r="K127"/>
  <c r="J127"/>
  <c r="I127"/>
  <c r="H127"/>
  <c r="G127"/>
  <c r="L125"/>
  <c r="K125"/>
  <c r="J125"/>
  <c r="I125"/>
  <c r="H125"/>
  <c r="G125"/>
  <c r="F125"/>
  <c r="L123"/>
  <c r="K123"/>
  <c r="J123"/>
  <c r="I123"/>
  <c r="H123"/>
  <c r="G123"/>
  <c r="F123"/>
  <c r="J120"/>
  <c r="H120"/>
  <c r="G120"/>
  <c r="L117"/>
  <c r="K117"/>
  <c r="J117"/>
  <c r="I117"/>
  <c r="H117"/>
  <c r="G117"/>
  <c r="F117"/>
  <c r="L113"/>
  <c r="K113"/>
  <c r="J113"/>
  <c r="I113"/>
  <c r="H113"/>
  <c r="G113"/>
  <c r="F113"/>
  <c r="L111"/>
  <c r="K111"/>
  <c r="J111"/>
  <c r="I111"/>
  <c r="H111"/>
  <c r="G111"/>
  <c r="F111"/>
  <c r="L109"/>
  <c r="K109"/>
  <c r="J109"/>
  <c r="I109"/>
  <c r="F109"/>
  <c r="H109"/>
  <c r="G109"/>
  <c r="AD127"/>
  <c r="E127" s="1"/>
  <c r="M127" s="1"/>
  <c r="N127" s="1"/>
  <c r="AD125"/>
  <c r="E125" s="1"/>
  <c r="M125" s="1"/>
  <c r="N125" s="1"/>
  <c r="AD123"/>
  <c r="E123" s="1"/>
  <c r="M123" s="1"/>
  <c r="N123" s="1"/>
  <c r="E120"/>
  <c r="M120" s="1"/>
  <c r="N120" s="1"/>
  <c r="AD117"/>
  <c r="E117" s="1"/>
  <c r="M117" s="1"/>
  <c r="N117" s="1"/>
  <c r="AD113"/>
  <c r="AD111"/>
  <c r="E111" s="1"/>
  <c r="M111" s="1"/>
  <c r="N111" s="1"/>
  <c r="AD109"/>
  <c r="E109" s="1"/>
  <c r="M109" s="1"/>
  <c r="N109" s="1"/>
  <c r="AD71"/>
  <c r="AD66"/>
  <c r="AD65" s="1"/>
  <c r="K7"/>
  <c r="K108" l="1"/>
  <c r="G108"/>
  <c r="L108"/>
  <c r="F108"/>
  <c r="J108"/>
  <c r="H108"/>
  <c r="I108"/>
  <c r="E113"/>
  <c r="M113" s="1"/>
  <c r="N113" s="1"/>
  <c r="AD108"/>
  <c r="AD7"/>
  <c r="S27" s="1"/>
  <c r="AD27" s="1"/>
  <c r="G119"/>
  <c r="K119"/>
  <c r="H119"/>
  <c r="L119"/>
  <c r="I119"/>
  <c r="F119"/>
  <c r="J119"/>
  <c r="J107" l="1"/>
  <c r="S17"/>
  <c r="K107"/>
  <c r="F107"/>
  <c r="G107"/>
  <c r="H107"/>
  <c r="L107"/>
  <c r="I107"/>
  <c r="D51"/>
  <c r="AD146"/>
  <c r="L132"/>
  <c r="K132"/>
  <c r="J132"/>
  <c r="I132"/>
  <c r="H132"/>
  <c r="G132"/>
  <c r="F132"/>
  <c r="E133"/>
  <c r="AD132"/>
  <c r="D132"/>
  <c r="N132" s="1"/>
  <c r="L137"/>
  <c r="K137"/>
  <c r="J137"/>
  <c r="I137"/>
  <c r="H137"/>
  <c r="G137"/>
  <c r="F137"/>
  <c r="E138"/>
  <c r="M138" s="1"/>
  <c r="N138" s="1"/>
  <c r="AD137"/>
  <c r="D137"/>
  <c r="D98"/>
  <c r="D97" s="1"/>
  <c r="I69"/>
  <c r="J69"/>
  <c r="H69"/>
  <c r="X66" i="29"/>
  <c r="X62"/>
  <c r="E32"/>
  <c r="X20"/>
  <c r="X19" s="1"/>
  <c r="X23"/>
  <c r="X22" s="1"/>
  <c r="X26"/>
  <c r="X25" s="1"/>
  <c r="X6"/>
  <c r="X8"/>
  <c r="X10"/>
  <c r="F62" l="1"/>
  <c r="G62" s="1"/>
  <c r="H62" s="1"/>
  <c r="L16" i="5"/>
  <c r="S23"/>
  <c r="I16"/>
  <c r="K16"/>
  <c r="F66" i="29"/>
  <c r="E132" i="5"/>
  <c r="M132" s="1"/>
  <c r="M133"/>
  <c r="D107"/>
  <c r="E137"/>
  <c r="M137" s="1"/>
  <c r="N137" s="1"/>
  <c r="AD69"/>
  <c r="E69" s="1"/>
  <c r="M69" s="1"/>
  <c r="N69" s="1"/>
  <c r="G66" i="29" l="1"/>
  <c r="H66" s="1"/>
  <c r="X84"/>
  <c r="I27" i="18" l="1"/>
  <c r="I23"/>
  <c r="I16"/>
  <c r="I12"/>
  <c r="I8"/>
  <c r="D22"/>
  <c r="D20"/>
  <c r="D18"/>
  <c r="D15"/>
  <c r="D10"/>
  <c r="D8"/>
  <c r="D7" l="1"/>
  <c r="I7"/>
  <c r="L103" i="5" l="1"/>
  <c r="J103"/>
  <c r="I103"/>
  <c r="H103"/>
  <c r="G103"/>
  <c r="F103"/>
  <c r="J99"/>
  <c r="G99"/>
  <c r="L94"/>
  <c r="J94"/>
  <c r="H94"/>
  <c r="G94"/>
  <c r="L90"/>
  <c r="J90"/>
  <c r="H90"/>
  <c r="G90"/>
  <c r="F90"/>
  <c r="L87"/>
  <c r="J87"/>
  <c r="I87"/>
  <c r="H87"/>
  <c r="G87"/>
  <c r="F87"/>
  <c r="L76"/>
  <c r="J76"/>
  <c r="H76"/>
  <c r="G76"/>
  <c r="L73"/>
  <c r="J73"/>
  <c r="H73"/>
  <c r="L65"/>
  <c r="J65"/>
  <c r="I65"/>
  <c r="H65"/>
  <c r="G65"/>
  <c r="L62"/>
  <c r="J62"/>
  <c r="H62"/>
  <c r="G62"/>
  <c r="L55"/>
  <c r="J55"/>
  <c r="H55"/>
  <c r="G55"/>
  <c r="J52"/>
  <c r="H52"/>
  <c r="G52"/>
  <c r="F52"/>
  <c r="L47"/>
  <c r="J47"/>
  <c r="I47"/>
  <c r="H47"/>
  <c r="G47"/>
  <c r="F47"/>
  <c r="L45"/>
  <c r="J45"/>
  <c r="I45"/>
  <c r="H45"/>
  <c r="G45"/>
  <c r="F45"/>
  <c r="L42"/>
  <c r="J42"/>
  <c r="I42"/>
  <c r="H42"/>
  <c r="G42"/>
  <c r="F42"/>
  <c r="J38"/>
  <c r="H38"/>
  <c r="F38"/>
  <c r="L20"/>
  <c r="J20"/>
  <c r="H20"/>
  <c r="H7"/>
  <c r="G7"/>
  <c r="J51" l="1"/>
  <c r="H51"/>
  <c r="K98"/>
  <c r="K97" s="1"/>
  <c r="J98"/>
  <c r="J97" s="1"/>
  <c r="G98"/>
  <c r="G97" s="1"/>
  <c r="E22" i="18"/>
  <c r="AD49" i="5"/>
  <c r="K47" s="1"/>
  <c r="AD100" l="1"/>
  <c r="I99" s="1"/>
  <c r="I98" s="1"/>
  <c r="I97" s="1"/>
  <c r="F76" l="1"/>
  <c r="K76"/>
  <c r="F13" i="18"/>
  <c r="AD90" i="5" l="1"/>
  <c r="X29" i="29"/>
  <c r="I90" i="5" l="1"/>
  <c r="K90"/>
  <c r="X13" i="29" l="1"/>
  <c r="X12" s="1"/>
  <c r="X5" s="1"/>
  <c r="H14"/>
  <c r="X14"/>
  <c r="F14" s="1"/>
  <c r="G14" s="1"/>
  <c r="H16"/>
  <c r="X16"/>
  <c r="F16" s="1"/>
  <c r="G16" s="1"/>
  <c r="E19"/>
  <c r="E22"/>
  <c r="E25"/>
  <c r="E28"/>
  <c r="X28"/>
  <c r="F29"/>
  <c r="F28" s="1"/>
  <c r="X34"/>
  <c r="X33" s="1"/>
  <c r="X32" s="1"/>
  <c r="E37"/>
  <c r="E44"/>
  <c r="H44" s="1"/>
  <c r="H45"/>
  <c r="X45"/>
  <c r="X44" s="1"/>
  <c r="E47"/>
  <c r="H47" s="1"/>
  <c r="X47"/>
  <c r="F48"/>
  <c r="F47" s="1"/>
  <c r="H48"/>
  <c r="E51"/>
  <c r="E50" s="1"/>
  <c r="X50"/>
  <c r="X69"/>
  <c r="E72"/>
  <c r="F73"/>
  <c r="E79"/>
  <c r="H79" s="1"/>
  <c r="H80"/>
  <c r="X80"/>
  <c r="X79" s="1"/>
  <c r="E83"/>
  <c r="H83" s="1"/>
  <c r="H84"/>
  <c r="X87"/>
  <c r="X83" s="1"/>
  <c r="E88"/>
  <c r="X89"/>
  <c r="X88" s="1"/>
  <c r="E94"/>
  <c r="F69" l="1"/>
  <c r="F61" s="1"/>
  <c r="X61"/>
  <c r="G69"/>
  <c r="H69" s="1"/>
  <c r="E60"/>
  <c r="X95"/>
  <c r="X94" s="1"/>
  <c r="X82" s="1"/>
  <c r="F89"/>
  <c r="G89" s="1"/>
  <c r="H89" s="1"/>
  <c r="F23"/>
  <c r="G23" s="1"/>
  <c r="H23" s="1"/>
  <c r="F52"/>
  <c r="G52" s="1"/>
  <c r="H52" s="1"/>
  <c r="G28"/>
  <c r="H28" s="1"/>
  <c r="E43"/>
  <c r="H43" s="1"/>
  <c r="G47"/>
  <c r="F20"/>
  <c r="E31"/>
  <c r="G48"/>
  <c r="F80"/>
  <c r="G80" s="1"/>
  <c r="F26"/>
  <c r="X43"/>
  <c r="G29"/>
  <c r="H29" s="1"/>
  <c r="E18"/>
  <c r="F5"/>
  <c r="F38"/>
  <c r="X37"/>
  <c r="F33"/>
  <c r="F32" s="1"/>
  <c r="G73"/>
  <c r="H73" s="1"/>
  <c r="F72"/>
  <c r="F84"/>
  <c r="X72"/>
  <c r="F45"/>
  <c r="E82"/>
  <c r="X60" l="1"/>
  <c r="G72"/>
  <c r="H72" s="1"/>
  <c r="E4"/>
  <c r="F51"/>
  <c r="F88"/>
  <c r="G88" s="1"/>
  <c r="H88" s="1"/>
  <c r="F79"/>
  <c r="G79" s="1"/>
  <c r="F95"/>
  <c r="G95" s="1"/>
  <c r="H95" s="1"/>
  <c r="G26"/>
  <c r="H26" s="1"/>
  <c r="G84"/>
  <c r="F83"/>
  <c r="G20"/>
  <c r="H20" s="1"/>
  <c r="G38"/>
  <c r="H38" s="1"/>
  <c r="F37"/>
  <c r="G37" s="1"/>
  <c r="H37" s="1"/>
  <c r="G45"/>
  <c r="F44"/>
  <c r="G33"/>
  <c r="H33" s="1"/>
  <c r="G5"/>
  <c r="X31"/>
  <c r="F60" l="1"/>
  <c r="G60" s="1"/>
  <c r="H60" s="1"/>
  <c r="G51"/>
  <c r="H51" s="1"/>
  <c r="F50"/>
  <c r="F94"/>
  <c r="G94" s="1"/>
  <c r="H94" s="1"/>
  <c r="H5"/>
  <c r="G32"/>
  <c r="H32" s="1"/>
  <c r="F31"/>
  <c r="G31" s="1"/>
  <c r="H31" s="1"/>
  <c r="G83"/>
  <c r="G61"/>
  <c r="H61" s="1"/>
  <c r="F43"/>
  <c r="G43" s="1"/>
  <c r="G44"/>
  <c r="F19" l="1"/>
  <c r="G19" s="1"/>
  <c r="H19" s="1"/>
  <c r="F82"/>
  <c r="G82" s="1"/>
  <c r="H82" s="1"/>
  <c r="F22" l="1"/>
  <c r="G22" s="1"/>
  <c r="H22" s="1"/>
  <c r="X18"/>
  <c r="F25"/>
  <c r="G25" s="1"/>
  <c r="H25" s="1"/>
  <c r="F18" l="1"/>
  <c r="G18" l="1"/>
  <c r="AD56" i="5"/>
  <c r="H18" i="29" l="1"/>
  <c r="I76" i="5" l="1"/>
  <c r="F55" l="1"/>
  <c r="J27" i="18" l="1"/>
  <c r="J25"/>
  <c r="J23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74" i="5" l="1"/>
  <c r="I73" s="1"/>
  <c r="F99" l="1"/>
  <c r="F98" s="1"/>
  <c r="F97" s="1"/>
  <c r="D140" l="1"/>
  <c r="D129"/>
  <c r="D86"/>
  <c r="D85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G69" i="5"/>
  <c r="G38"/>
  <c r="F73" l="1"/>
  <c r="G73"/>
  <c r="G51" s="1"/>
  <c r="F7" i="18"/>
  <c r="AD73" i="5"/>
  <c r="D41"/>
  <c r="AD23" l="1"/>
  <c r="F140"/>
  <c r="G140"/>
  <c r="H140"/>
  <c r="I140"/>
  <c r="J140"/>
  <c r="K140"/>
  <c r="L140"/>
  <c r="AD140"/>
  <c r="F129"/>
  <c r="G129"/>
  <c r="H129"/>
  <c r="I129"/>
  <c r="J129"/>
  <c r="K129"/>
  <c r="L129"/>
  <c r="AD103"/>
  <c r="L99"/>
  <c r="L98" s="1"/>
  <c r="L97" s="1"/>
  <c r="I94"/>
  <c r="I86" s="1"/>
  <c r="I85" s="1"/>
  <c r="G86"/>
  <c r="G85" s="1"/>
  <c r="H86"/>
  <c r="H85" s="1"/>
  <c r="J86"/>
  <c r="J85" s="1"/>
  <c r="K86"/>
  <c r="K85" s="1"/>
  <c r="L86"/>
  <c r="L85" s="1"/>
  <c r="AD87"/>
  <c r="E87" s="1"/>
  <c r="M87" s="1"/>
  <c r="N87" s="1"/>
  <c r="AD63"/>
  <c r="AD53"/>
  <c r="I52" s="1"/>
  <c r="J6"/>
  <c r="G41"/>
  <c r="H41"/>
  <c r="I41"/>
  <c r="J41"/>
  <c r="L41"/>
  <c r="AD42"/>
  <c r="K52" l="1"/>
  <c r="K51" s="1"/>
  <c r="L52"/>
  <c r="L51" s="1"/>
  <c r="AD22"/>
  <c r="F62"/>
  <c r="I62"/>
  <c r="F94"/>
  <c r="F86" s="1"/>
  <c r="F85" s="1"/>
  <c r="AD52"/>
  <c r="AD94"/>
  <c r="AD86" s="1"/>
  <c r="AD62"/>
  <c r="AD26"/>
  <c r="E141"/>
  <c r="M141" s="1"/>
  <c r="N141" s="1"/>
  <c r="J5"/>
  <c r="J4" s="1"/>
  <c r="S30" l="1"/>
  <c r="G20"/>
  <c r="S33"/>
  <c r="AD33" s="1"/>
  <c r="AD30" l="1"/>
  <c r="K20" s="1"/>
  <c r="AD32"/>
  <c r="S36"/>
  <c r="AD36" s="1"/>
  <c r="AD29" l="1"/>
  <c r="I20"/>
  <c r="F20"/>
  <c r="E7"/>
  <c r="AD35" l="1"/>
  <c r="M7"/>
  <c r="AD14"/>
  <c r="AD13" s="1"/>
  <c r="AD20" l="1"/>
  <c r="E20" s="1"/>
  <c r="M20" s="1"/>
  <c r="N20" s="1"/>
  <c r="F6" l="1"/>
  <c r="F41" l="1"/>
  <c r="AD39"/>
  <c r="I38" s="1"/>
  <c r="AD11"/>
  <c r="AD59"/>
  <c r="AD60"/>
  <c r="K38" l="1"/>
  <c r="L38"/>
  <c r="L6" s="1"/>
  <c r="H99"/>
  <c r="H98" s="1"/>
  <c r="H97" s="1"/>
  <c r="F65"/>
  <c r="AD10"/>
  <c r="E65"/>
  <c r="M65" s="1"/>
  <c r="N65" s="1"/>
  <c r="H6"/>
  <c r="H5" s="1"/>
  <c r="AD47"/>
  <c r="AD99"/>
  <c r="E16"/>
  <c r="M16" s="1"/>
  <c r="N16" s="1"/>
  <c r="I6"/>
  <c r="E90"/>
  <c r="M90" s="1"/>
  <c r="N90" s="1"/>
  <c r="AD38"/>
  <c r="E38" s="1"/>
  <c r="E13"/>
  <c r="N7"/>
  <c r="E94"/>
  <c r="AD58"/>
  <c r="I55" s="1"/>
  <c r="I51" s="1"/>
  <c r="E42"/>
  <c r="E52"/>
  <c r="E103"/>
  <c r="M103" s="1"/>
  <c r="N103" s="1"/>
  <c r="F51" l="1"/>
  <c r="F5" s="1"/>
  <c r="F4" s="1"/>
  <c r="H4"/>
  <c r="E99"/>
  <c r="E98" s="1"/>
  <c r="E97" s="1"/>
  <c r="AD98"/>
  <c r="AD97" s="1"/>
  <c r="AD41"/>
  <c r="K41"/>
  <c r="E47"/>
  <c r="M47" s="1"/>
  <c r="N47" s="1"/>
  <c r="AD55"/>
  <c r="AD51" s="1"/>
  <c r="I5"/>
  <c r="I4" s="1"/>
  <c r="L5"/>
  <c r="L4" s="1"/>
  <c r="M38"/>
  <c r="N38" s="1"/>
  <c r="G6"/>
  <c r="G5" s="1"/>
  <c r="G4" s="1"/>
  <c r="AD6"/>
  <c r="M52"/>
  <c r="N52" s="1"/>
  <c r="M94"/>
  <c r="N94" s="1"/>
  <c r="E86"/>
  <c r="E85" s="1"/>
  <c r="AD85"/>
  <c r="E76"/>
  <c r="M76" s="1"/>
  <c r="N76" s="1"/>
  <c r="E73"/>
  <c r="K6"/>
  <c r="M42"/>
  <c r="N42" s="1"/>
  <c r="E62"/>
  <c r="M62" s="1"/>
  <c r="N62" s="1"/>
  <c r="D6"/>
  <c r="D5" s="1"/>
  <c r="D4" s="1"/>
  <c r="E10"/>
  <c r="E45"/>
  <c r="M45" s="1"/>
  <c r="N45" s="1"/>
  <c r="M73" l="1"/>
  <c r="N73" s="1"/>
  <c r="M99"/>
  <c r="M98" s="1"/>
  <c r="M97" s="1"/>
  <c r="N99"/>
  <c r="N98" s="1"/>
  <c r="N97" s="1"/>
  <c r="K5"/>
  <c r="K4" s="1"/>
  <c r="E6"/>
  <c r="M10"/>
  <c r="N10" s="1"/>
  <c r="AD5"/>
  <c r="AD129"/>
  <c r="M85"/>
  <c r="N85" s="1"/>
  <c r="M86"/>
  <c r="N86" s="1"/>
  <c r="E41"/>
  <c r="M41" s="1"/>
  <c r="N41" s="1"/>
  <c r="M13"/>
  <c r="N13" s="1"/>
  <c r="E55"/>
  <c r="E51" s="1"/>
  <c r="E140"/>
  <c r="M140" s="1"/>
  <c r="N140" s="1"/>
  <c r="AD119" l="1"/>
  <c r="E129"/>
  <c r="M129" s="1"/>
  <c r="N129" s="1"/>
  <c r="M55"/>
  <c r="N55" s="1"/>
  <c r="M51"/>
  <c r="N51" s="1"/>
  <c r="M6"/>
  <c r="N6" s="1"/>
  <c r="AD107" l="1"/>
  <c r="AD4" s="1"/>
  <c r="E119"/>
  <c r="M119" s="1"/>
  <c r="N119" s="1"/>
  <c r="E108"/>
  <c r="E5"/>
  <c r="E107" l="1"/>
  <c r="M107" s="1"/>
  <c r="N107" s="1"/>
  <c r="M108"/>
  <c r="N108" s="1"/>
  <c r="M5"/>
  <c r="N5" s="1"/>
  <c r="X4" i="29"/>
  <c r="E4" i="5" l="1"/>
  <c r="M4" s="1"/>
  <c r="N4" s="1"/>
  <c r="G50" i="29"/>
  <c r="F4"/>
  <c r="G4" l="1"/>
  <c r="H4" s="1"/>
  <c r="H50"/>
</calcChain>
</file>

<file path=xl/sharedStrings.xml><?xml version="1.0" encoding="utf-8"?>
<sst xmlns="http://schemas.openxmlformats.org/spreadsheetml/2006/main" count="935" uniqueCount="459">
  <si>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</si>
  <si>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</si>
  <si>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</si>
  <si>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</si>
  <si>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</si>
  <si>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</si>
  <si>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</si>
  <si>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</si>
  <si>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</si>
  <si>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</si>
  <si>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</si>
  <si>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</si>
  <si>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</si>
  <si>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</si>
  <si>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</si>
  <si>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</si>
  <si>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</si>
  <si>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</si>
  <si>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</si>
  <si>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</si>
  <si>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</si>
  <si>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</si>
  <si>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</si>
  <si>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</si>
  <si>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</si>
  <si>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</si>
  <si>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</si>
  <si>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</si>
  <si>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</si>
  <si>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</si>
  <si>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</si>
  <si>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</si>
  <si>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</si>
  <si>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</si>
  <si>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</si>
  <si>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</si>
  <si>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</si>
  <si>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</si>
  <si>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</si>
  <si>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</si>
  <si>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</si>
  <si>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</si>
  <si>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</si>
  <si>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</si>
  <si>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</si>
  <si>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</si>
  <si>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</si>
  <si>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</si>
  <si>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</si>
  <si>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</si>
  <si>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</si>
  <si>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</si>
  <si>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</si>
  <si>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</si>
  <si>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</si>
  <si>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</si>
  <si>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</si>
  <si>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후원금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</si>
  <si>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</si>
  <si>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</si>
  <si>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원</t>
    <phoneticPr fontId="9" type="noConversion"/>
  </si>
  <si>
    <t>총  계 :</t>
    <phoneticPr fontId="9" type="noConversion"/>
  </si>
  <si>
    <t>소계 :</t>
    <phoneticPr fontId="9" type="noConversion"/>
  </si>
  <si>
    <t>원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</si>
  <si>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</si>
  <si>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</si>
  <si>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</si>
  <si>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</si>
  <si>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</si>
  <si>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기타운영비</t>
    <phoneticPr fontId="9" type="noConversion"/>
  </si>
  <si>
    <t>※ 직원 교육훈련비</t>
    <phoneticPr fontId="9" type="noConversion"/>
  </si>
  <si>
    <t>일</t>
    <phoneticPr fontId="9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</si>
  <si>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</si>
  <si>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</si>
  <si>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</si>
  <si>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</si>
  <si>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</si>
  <si>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</si>
  <si>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</si>
  <si>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</si>
  <si>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</si>
  <si>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이    월    금</t>
    <phoneticPr fontId="28" type="noConversion"/>
  </si>
  <si>
    <t>전년도   이월금</t>
    <phoneticPr fontId="28" type="noConversion"/>
  </si>
  <si>
    <t>잡    수    입</t>
    <phoneticPr fontId="28" type="noConversion"/>
  </si>
  <si>
    <t>잡      수      입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</si>
  <si>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</si>
  <si>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</si>
  <si>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</si>
  <si>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9" type="noConversion"/>
  </si>
  <si>
    <t>보조금
(4종)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</si>
  <si>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</si>
  <si>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</si>
  <si>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</si>
  <si>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</si>
  <si>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</si>
  <si>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</si>
  <si>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</si>
  <si>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</si>
  <si>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</si>
  <si>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</si>
  <si>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운영비</t>
    <phoneticPr fontId="9" type="noConversion"/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</si>
  <si>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</si>
  <si>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</si>
  <si>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</si>
  <si>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</si>
  <si>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</si>
  <si>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</si>
  <si>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조성비</t>
    <phoneticPr fontId="9" type="noConversion"/>
  </si>
  <si>
    <t>후원</t>
    <phoneticPr fontId="9" type="noConversion"/>
  </si>
  <si>
    <t>보조금
(7종/재활)</t>
    <phoneticPr fontId="9" type="noConversion"/>
  </si>
  <si>
    <t>유지비</t>
    <phoneticPr fontId="9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</si>
  <si>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</si>
  <si>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</si>
  <si>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</si>
  <si>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</si>
  <si>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</si>
  <si>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</si>
  <si>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</si>
  <si>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</si>
  <si>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</si>
  <si>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9" type="noConversion"/>
  </si>
  <si>
    <t>기 타</t>
    <phoneticPr fontId="9" type="noConversion"/>
  </si>
  <si>
    <t>(후원)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</si>
  <si>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</si>
  <si>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</si>
  <si>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</si>
  <si>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</si>
  <si>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</si>
  <si>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</si>
  <si>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</si>
  <si>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</si>
  <si>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</si>
  <si>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</si>
  <si>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</si>
  <si>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</si>
  <si>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</si>
  <si>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소  계</t>
    <phoneticPr fontId="9" type="noConversion"/>
  </si>
  <si>
    <t>※ 잡 수 입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</si>
  <si>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</si>
  <si>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</si>
  <si>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</si>
  <si>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</si>
  <si>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</si>
  <si>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</si>
  <si>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</si>
  <si>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</si>
  <si>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</si>
  <si>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>1. 회의관련 다과비등</t>
    <phoneticPr fontId="9" type="noConversion"/>
  </si>
  <si>
    <t>소계: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</si>
  <si>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</si>
  <si>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</si>
  <si>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</si>
  <si>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>기타</t>
    <phoneticPr fontId="9" type="noConversion"/>
  </si>
  <si>
    <t>원</t>
    <phoneticPr fontId="9" type="noConversion"/>
  </si>
  <si>
    <t>월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</si>
  <si>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</si>
  <si>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</si>
  <si>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</si>
  <si>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</si>
  <si>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 xml:space="preserve"> ① CMS 이용료</t>
    <phoneticPr fontId="9" type="noConversion"/>
  </si>
  <si>
    <t xml:space="preserve"> ② CMS 이체수수료</t>
    <phoneticPr fontId="9" type="noConversion"/>
  </si>
  <si>
    <t xml:space="preserve"> ③ 보증보험료</t>
    <phoneticPr fontId="9" type="noConversion"/>
  </si>
  <si>
    <t>합    계 :</t>
    <phoneticPr fontId="9" type="noConversion"/>
  </si>
  <si>
    <t>합    계 :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</si>
  <si>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</si>
  <si>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</si>
  <si>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</si>
  <si>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</si>
  <si>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×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</si>
  <si>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</si>
  <si>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</si>
  <si>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</si>
  <si>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</si>
  <si>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</si>
  <si>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</si>
  <si>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</si>
  <si>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</si>
  <si>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</si>
  <si>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1. 사무용품비(문구류 )</t>
    <phoneticPr fontId="9" type="noConversion"/>
  </si>
  <si>
    <t>1.차량유류대(운영비)</t>
    <phoneticPr fontId="9" type="noConversion"/>
  </si>
  <si>
    <t>2.차량 점검 및 정비비 등</t>
    <phoneticPr fontId="9" type="noConversion"/>
  </si>
  <si>
    <t>소계</t>
    <phoneticPr fontId="9" type="noConversion"/>
  </si>
  <si>
    <t>기타잡수입</t>
    <phoneticPr fontId="9" type="noConversion"/>
  </si>
  <si>
    <t>수     입</t>
    <phoneticPr fontId="9" type="noConversion"/>
  </si>
  <si>
    <t xml:space="preserve"> &lt;기타예금이자 수입&gt;</t>
    <phoneticPr fontId="9" type="noConversion"/>
  </si>
  <si>
    <t>기타예금이자</t>
    <phoneticPr fontId="9" type="noConversion"/>
  </si>
  <si>
    <t>불용품매각대</t>
    <phoneticPr fontId="9" type="noConversion"/>
  </si>
  <si>
    <t>이월사업비</t>
    <phoneticPr fontId="9" type="noConversion"/>
  </si>
  <si>
    <t>(후원금)</t>
    <phoneticPr fontId="9" type="noConversion"/>
  </si>
  <si>
    <t>전년도이월금</t>
    <phoneticPr fontId="9" type="noConversion"/>
  </si>
  <si>
    <t>잡수입이월금</t>
  </si>
  <si>
    <t>전입금이월금</t>
    <phoneticPr fontId="9" type="noConversion"/>
  </si>
  <si>
    <t>원</t>
    <phoneticPr fontId="9" type="noConversion"/>
  </si>
  <si>
    <t>소계 :</t>
    <phoneticPr fontId="9" type="noConversion"/>
  </si>
  <si>
    <t xml:space="preserve"> &lt;전년도 이월금&gt;</t>
    <phoneticPr fontId="9" type="noConversion"/>
  </si>
  <si>
    <t>계</t>
    <phoneticPr fontId="9" type="noConversion"/>
  </si>
  <si>
    <t>전년도</t>
    <phoneticPr fontId="9" type="noConversion"/>
  </si>
  <si>
    <t>총  계 :</t>
    <phoneticPr fontId="9" type="noConversion"/>
  </si>
  <si>
    <t>※이 월 금</t>
    <phoneticPr fontId="9" type="noConversion"/>
  </si>
  <si>
    <t>소  계</t>
    <phoneticPr fontId="9" type="noConversion"/>
  </si>
  <si>
    <t>원</t>
    <phoneticPr fontId="9" type="noConversion"/>
  </si>
  <si>
    <t>=</t>
    <phoneticPr fontId="9" type="noConversion"/>
  </si>
  <si>
    <t>월</t>
    <phoneticPr fontId="9" type="noConversion"/>
  </si>
  <si>
    <t>×</t>
    <phoneticPr fontId="9" type="noConversion"/>
  </si>
  <si>
    <t>소계 :</t>
    <phoneticPr fontId="9" type="noConversion"/>
  </si>
  <si>
    <t>계</t>
    <phoneticPr fontId="9" type="noConversion"/>
  </si>
  <si>
    <t>전입금</t>
    <phoneticPr fontId="9" type="noConversion"/>
  </si>
  <si>
    <t xml:space="preserve">  *기타 차입금</t>
    <phoneticPr fontId="9" type="noConversion"/>
  </si>
  <si>
    <t>기타 차입금</t>
    <phoneticPr fontId="9" type="noConversion"/>
  </si>
  <si>
    <t>차입금</t>
    <phoneticPr fontId="9" type="noConversion"/>
  </si>
  <si>
    <t xml:space="preserve"> &lt;기타 차입금&gt;</t>
    <phoneticPr fontId="9" type="noConversion"/>
  </si>
  <si>
    <t>기 타</t>
    <phoneticPr fontId="9" type="noConversion"/>
  </si>
  <si>
    <t xml:space="preserve">  *금융기관 차입금</t>
    <phoneticPr fontId="9" type="noConversion"/>
  </si>
  <si>
    <t xml:space="preserve"> &lt;금융기관 차입금&gt;</t>
    <phoneticPr fontId="9" type="noConversion"/>
  </si>
  <si>
    <t>금융기관</t>
    <phoneticPr fontId="9" type="noConversion"/>
  </si>
  <si>
    <t>기관</t>
    <phoneticPr fontId="9" type="noConversion"/>
  </si>
  <si>
    <t>금융</t>
    <phoneticPr fontId="9" type="noConversion"/>
  </si>
  <si>
    <t>※ 차 입 금</t>
    <phoneticPr fontId="9" type="noConversion"/>
  </si>
  <si>
    <t xml:space="preserve">  *후원금 수입</t>
    <phoneticPr fontId="9" type="noConversion"/>
  </si>
  <si>
    <t>&lt;비지정후원금&gt;</t>
    <phoneticPr fontId="9" type="noConversion"/>
  </si>
  <si>
    <t>비지정후원금</t>
    <phoneticPr fontId="9" type="noConversion"/>
  </si>
  <si>
    <t>후원금</t>
    <phoneticPr fontId="9" type="noConversion"/>
  </si>
  <si>
    <t xml:space="preserve"> &lt;비지정 후원금 합계&gt;</t>
    <phoneticPr fontId="9" type="noConversion"/>
  </si>
  <si>
    <t>비지정</t>
    <phoneticPr fontId="9" type="noConversion"/>
  </si>
  <si>
    <t>&lt;지정후원금&gt;</t>
    <phoneticPr fontId="9" type="noConversion"/>
  </si>
  <si>
    <t>지정 후원금</t>
    <phoneticPr fontId="9" type="noConversion"/>
  </si>
  <si>
    <t xml:space="preserve"> &lt;지정 후원금 합계&gt;</t>
    <phoneticPr fontId="9" type="noConversion"/>
  </si>
  <si>
    <t>지 정</t>
    <phoneticPr fontId="9" type="noConversion"/>
  </si>
  <si>
    <t>수 입</t>
    <phoneticPr fontId="9" type="noConversion"/>
  </si>
  <si>
    <t>총  계 :</t>
    <phoneticPr fontId="9" type="noConversion"/>
  </si>
  <si>
    <t>※후원금수입</t>
    <phoneticPr fontId="9" type="noConversion"/>
  </si>
  <si>
    <t>소  계</t>
    <phoneticPr fontId="9" type="noConversion"/>
  </si>
  <si>
    <t>기타 보조금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</si>
  <si>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</si>
  <si>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</si>
  <si>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</si>
  <si>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계: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</si>
  <si>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</si>
  <si>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</si>
  <si>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시군구</t>
    <phoneticPr fontId="9" type="noConversion"/>
  </si>
  <si>
    <t xml:space="preserve"> &lt;시도 보조금 합계&gt;</t>
    <phoneticPr fontId="9" type="noConversion"/>
  </si>
  <si>
    <t>시 도</t>
    <phoneticPr fontId="9" type="noConversion"/>
  </si>
  <si>
    <t xml:space="preserve"> &lt;국고 보조금 합계&gt;</t>
    <phoneticPr fontId="9" type="noConversion"/>
  </si>
  <si>
    <t>국 고</t>
    <phoneticPr fontId="9" type="noConversion"/>
  </si>
  <si>
    <t>수 입</t>
    <phoneticPr fontId="9" type="noConversion"/>
  </si>
  <si>
    <t>수  입</t>
    <phoneticPr fontId="9" type="noConversion"/>
  </si>
  <si>
    <t>※ 보조금수입 합계</t>
    <phoneticPr fontId="9" type="noConversion"/>
  </si>
  <si>
    <t>합  계 :</t>
    <phoneticPr fontId="9" type="noConversion"/>
  </si>
  <si>
    <t>※ 과년도 수입</t>
    <phoneticPr fontId="9" type="noConversion"/>
  </si>
  <si>
    <t>과년도</t>
    <phoneticPr fontId="9" type="noConversion"/>
  </si>
  <si>
    <t>합  계 :</t>
    <phoneticPr fontId="9" type="noConversion"/>
  </si>
  <si>
    <t>※ 사업수입</t>
    <phoneticPr fontId="9" type="noConversion"/>
  </si>
  <si>
    <t>사 업</t>
    <phoneticPr fontId="9" type="noConversion"/>
  </si>
  <si>
    <t>※ 총 계</t>
    <phoneticPr fontId="9" type="noConversion"/>
  </si>
  <si>
    <t>금액
(B-A)</t>
    <phoneticPr fontId="9" type="noConversion"/>
  </si>
  <si>
    <t>세목</t>
    <phoneticPr fontId="9" type="noConversion"/>
  </si>
  <si>
    <t>목</t>
    <phoneticPr fontId="9" type="noConversion"/>
  </si>
  <si>
    <t>산               출                기               초</t>
    <phoneticPr fontId="9" type="noConversion"/>
  </si>
  <si>
    <t>과            목</t>
    <phoneticPr fontId="9" type="noConversion"/>
  </si>
  <si>
    <t>기타 보조금</t>
    <phoneticPr fontId="28" type="noConversion"/>
  </si>
  <si>
    <t>원</t>
    <phoneticPr fontId="9" type="noConversion"/>
  </si>
  <si>
    <t>=</t>
    <phoneticPr fontId="9" type="noConversion"/>
  </si>
  <si>
    <t>원</t>
    <phoneticPr fontId="9" type="noConversion"/>
  </si>
  <si>
    <t>회</t>
    <phoneticPr fontId="9" type="noConversion"/>
  </si>
  <si>
    <t>재산</t>
    <phoneticPr fontId="9" type="noConversion"/>
  </si>
  <si>
    <t>수입</t>
    <phoneticPr fontId="9" type="noConversion"/>
  </si>
  <si>
    <t>기본</t>
    <phoneticPr fontId="9" type="noConversion"/>
  </si>
  <si>
    <t>임대료</t>
    <phoneticPr fontId="9" type="noConversion"/>
  </si>
  <si>
    <t>임대료수입</t>
    <phoneticPr fontId="9" type="noConversion"/>
  </si>
  <si>
    <t>배당 및</t>
    <phoneticPr fontId="9" type="noConversion"/>
  </si>
  <si>
    <t>이자</t>
    <phoneticPr fontId="9" type="noConversion"/>
  </si>
  <si>
    <t>이자수입</t>
    <phoneticPr fontId="9" type="noConversion"/>
  </si>
  <si>
    <t xml:space="preserve">배당 및 </t>
    <phoneticPr fontId="9" type="noConversion"/>
  </si>
  <si>
    <t>재산매각</t>
    <phoneticPr fontId="9" type="noConversion"/>
  </si>
  <si>
    <t>기타</t>
    <phoneticPr fontId="9" type="noConversion"/>
  </si>
  <si>
    <t>※ 배당 및 이자수입</t>
    <phoneticPr fontId="9" type="noConversion"/>
  </si>
  <si>
    <t>※ 재산매각수입</t>
    <phoneticPr fontId="9" type="noConversion"/>
  </si>
  <si>
    <t>※ 기타수입</t>
    <phoneticPr fontId="9" type="noConversion"/>
  </si>
  <si>
    <t xml:space="preserve">* </t>
    <phoneticPr fontId="9" type="noConversion"/>
  </si>
  <si>
    <t>※ 재산수입 합계</t>
    <phoneticPr fontId="9" type="noConversion"/>
  </si>
  <si>
    <t>국고</t>
    <phoneticPr fontId="9" type="noConversion"/>
  </si>
  <si>
    <t>보조금</t>
    <phoneticPr fontId="9" type="noConversion"/>
  </si>
  <si>
    <t>시도</t>
    <phoneticPr fontId="9" type="noConversion"/>
  </si>
  <si>
    <t>시군구</t>
    <phoneticPr fontId="9" type="noConversion"/>
  </si>
  <si>
    <t>다른회계로</t>
    <phoneticPr fontId="9" type="noConversion"/>
  </si>
  <si>
    <t>부터의</t>
    <phoneticPr fontId="9" type="noConversion"/>
  </si>
  <si>
    <t>전입금</t>
    <phoneticPr fontId="9" type="noConversion"/>
  </si>
  <si>
    <t>다른회계</t>
    <phoneticPr fontId="9" type="noConversion"/>
  </si>
  <si>
    <t>로 부터의</t>
    <phoneticPr fontId="9" type="noConversion"/>
  </si>
  <si>
    <t xml:space="preserve"> &lt;다른회계로 부터의 전입금이월금&gt;</t>
    <phoneticPr fontId="9" type="noConversion"/>
  </si>
  <si>
    <t xml:space="preserve"> * 다른회계로 부터의 전입금이월액</t>
    <phoneticPr fontId="9" type="noConversion"/>
  </si>
  <si>
    <t xml:space="preserve"> * 예금이자(다른회계로 부터의 전입금)</t>
    <phoneticPr fontId="9" type="noConversion"/>
  </si>
  <si>
    <t xml:space="preserve"> * 예금이자(후원금)</t>
    <phoneticPr fontId="9" type="noConversion"/>
  </si>
  <si>
    <t xml:space="preserve"> * 예금이자(전입금)</t>
    <phoneticPr fontId="9" type="noConversion"/>
  </si>
  <si>
    <t xml:space="preserve"> * 예금이자(잡수입)</t>
    <phoneticPr fontId="9" type="noConversion"/>
  </si>
  <si>
    <t xml:space="preserve"> &lt;???이월금&gt;</t>
    <phoneticPr fontId="9" type="noConversion"/>
  </si>
  <si>
    <t>제수당</t>
    <phoneticPr fontId="9" type="noConversion"/>
  </si>
  <si>
    <t>일용잡급</t>
    <phoneticPr fontId="9" type="noConversion"/>
  </si>
  <si>
    <t>연 료 비</t>
    <phoneticPr fontId="9" type="noConversion"/>
  </si>
  <si>
    <t>※ 연료비</t>
    <phoneticPr fontId="9" type="noConversion"/>
  </si>
  <si>
    <t>1.난방연료비</t>
    <phoneticPr fontId="9" type="noConversion"/>
  </si>
  <si>
    <t>일반</t>
    <phoneticPr fontId="9" type="noConversion"/>
  </si>
  <si>
    <t>사업비</t>
    <phoneticPr fontId="9" type="noConversion"/>
  </si>
  <si>
    <t>○○사업비</t>
    <phoneticPr fontId="9" type="noConversion"/>
  </si>
  <si>
    <t>전출금</t>
    <phoneticPr fontId="9" type="noConversion"/>
  </si>
  <si>
    <t>전출금</t>
    <phoneticPr fontId="9" type="noConversion"/>
  </si>
  <si>
    <t>바다의별</t>
    <phoneticPr fontId="9" type="noConversion"/>
  </si>
  <si>
    <t>소계:</t>
    <phoneticPr fontId="9" type="noConversion"/>
  </si>
  <si>
    <t>하늘의별</t>
    <phoneticPr fontId="9" type="noConversion"/>
  </si>
  <si>
    <t>직업재활</t>
    <phoneticPr fontId="9" type="noConversion"/>
  </si>
  <si>
    <t>잡지출</t>
    <phoneticPr fontId="9" type="noConversion"/>
  </si>
  <si>
    <t>※ 잡지출</t>
    <phoneticPr fontId="9" type="noConversion"/>
  </si>
  <si>
    <t>과년도</t>
    <phoneticPr fontId="9" type="noConversion"/>
  </si>
  <si>
    <t>지출</t>
    <phoneticPr fontId="9" type="noConversion"/>
  </si>
  <si>
    <t>상환금</t>
    <phoneticPr fontId="9" type="noConversion"/>
  </si>
  <si>
    <t>부채</t>
    <phoneticPr fontId="9" type="noConversion"/>
  </si>
  <si>
    <t>상환금</t>
    <phoneticPr fontId="9" type="noConversion"/>
  </si>
  <si>
    <t>원금</t>
    <phoneticPr fontId="9" type="noConversion"/>
  </si>
  <si>
    <t>지급금</t>
    <phoneticPr fontId="9" type="noConversion"/>
  </si>
  <si>
    <t>및</t>
    <phoneticPr fontId="9" type="noConversion"/>
  </si>
  <si>
    <t>반환금</t>
    <phoneticPr fontId="9" type="noConversion"/>
  </si>
  <si>
    <t>※ 반환금</t>
    <phoneticPr fontId="9" type="noConversion"/>
  </si>
  <si>
    <t>1.</t>
    <phoneticPr fontId="9" type="noConversion"/>
  </si>
  <si>
    <t>※ 원금상환금</t>
    <phoneticPr fontId="9" type="noConversion"/>
  </si>
  <si>
    <t>※ 이자지급금</t>
    <phoneticPr fontId="9" type="noConversion"/>
  </si>
  <si>
    <t>과년도지출</t>
    <phoneticPr fontId="9" type="noConversion"/>
  </si>
  <si>
    <t>※ 과년도지출</t>
    <phoneticPr fontId="9" type="noConversion"/>
  </si>
  <si>
    <t>※ 바다의별 전출금</t>
    <phoneticPr fontId="9" type="noConversion"/>
  </si>
  <si>
    <t>※ 하늘의별 전출금</t>
    <phoneticPr fontId="9" type="noConversion"/>
  </si>
  <si>
    <t>※ 직업재활센터 전출금</t>
    <phoneticPr fontId="9" type="noConversion"/>
  </si>
  <si>
    <t>○○시설</t>
    <phoneticPr fontId="9" type="noConversion"/>
  </si>
  <si>
    <t>계</t>
    <phoneticPr fontId="9" type="noConversion"/>
  </si>
  <si>
    <t>※ 시설전출금</t>
    <phoneticPr fontId="9" type="noConversion"/>
  </si>
  <si>
    <t>(후원금)</t>
    <phoneticPr fontId="9" type="noConversion"/>
  </si>
  <si>
    <t>전출금(후)</t>
    <phoneticPr fontId="9" type="noConversion"/>
  </si>
  <si>
    <t>※ 시설전출금(후원금)</t>
    <phoneticPr fontId="9" type="noConversion"/>
  </si>
  <si>
    <t>※ 바다의별 전출금(후원금)</t>
    <phoneticPr fontId="9" type="noConversion"/>
  </si>
  <si>
    <t>※ 하늘의별 전출금(후원금)</t>
    <phoneticPr fontId="9" type="noConversion"/>
  </si>
  <si>
    <t>※ 직업재활센터 전출금(후원금)</t>
    <phoneticPr fontId="9" type="noConversion"/>
  </si>
  <si>
    <t>※ ○○ 전출금(후원금)</t>
    <phoneticPr fontId="9" type="noConversion"/>
  </si>
  <si>
    <t>※ 급여</t>
    <phoneticPr fontId="9" type="noConversion"/>
  </si>
  <si>
    <t>원</t>
    <phoneticPr fontId="9" type="noConversion"/>
  </si>
  <si>
    <t>후원</t>
    <phoneticPr fontId="9" type="noConversion"/>
  </si>
  <si>
    <t>보조금</t>
    <phoneticPr fontId="9" type="noConversion"/>
  </si>
  <si>
    <t>* 전화료(인터넷 등 포함)</t>
    <phoneticPr fontId="9" type="noConversion"/>
  </si>
  <si>
    <t>* 면허세, 등록세, 재산세 등</t>
    <phoneticPr fontId="9" type="noConversion"/>
  </si>
  <si>
    <t>* .보험료 및 세금</t>
    <phoneticPr fontId="9" type="noConversion"/>
  </si>
  <si>
    <t>○○사업비</t>
    <phoneticPr fontId="9" type="noConversion"/>
  </si>
  <si>
    <t>1.○○사업비</t>
    <phoneticPr fontId="9" type="noConversion"/>
  </si>
  <si>
    <t>※ ○○사업비</t>
    <phoneticPr fontId="9" type="noConversion"/>
  </si>
  <si>
    <t>2.○○사업비</t>
    <phoneticPr fontId="9" type="noConversion"/>
  </si>
  <si>
    <t>전출금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</si>
  <si>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</si>
  <si>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</si>
  <si>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</si>
  <si>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>전입</t>
    <phoneticPr fontId="9" type="noConversion"/>
  </si>
  <si>
    <t>2. 이사회 참석수당</t>
    <phoneticPr fontId="9" type="noConversion"/>
  </si>
  <si>
    <t>※ 일용잡급</t>
    <phoneticPr fontId="9" type="noConversion"/>
  </si>
  <si>
    <t>다른회계
전입금</t>
    <phoneticPr fontId="9" type="noConversion"/>
  </si>
  <si>
    <t>원</t>
    <phoneticPr fontId="9" type="noConversion"/>
  </si>
  <si>
    <t>원</t>
    <phoneticPr fontId="9" type="noConversion"/>
  </si>
  <si>
    <t>전입</t>
    <phoneticPr fontId="9" type="noConversion"/>
  </si>
  <si>
    <t xml:space="preserve">  *의료비 지정후원금</t>
    <phoneticPr fontId="9" type="noConversion"/>
  </si>
  <si>
    <t xml:space="preserve">  * 기타잡수입</t>
    <phoneticPr fontId="9" type="noConversion"/>
  </si>
  <si>
    <t>잡지출</t>
    <phoneticPr fontId="9" type="noConversion"/>
  </si>
  <si>
    <t>예비비</t>
    <phoneticPr fontId="9" type="noConversion"/>
  </si>
  <si>
    <t>기타</t>
    <phoneticPr fontId="9" type="noConversion"/>
  </si>
  <si>
    <t>재산수입</t>
    <phoneticPr fontId="28" type="noConversion"/>
  </si>
  <si>
    <t>기본재산수입</t>
    <phoneticPr fontId="28" type="noConversion"/>
  </si>
  <si>
    <t>다른회계 전입금</t>
    <phoneticPr fontId="28" type="noConversion"/>
  </si>
  <si>
    <t>전   출   금</t>
    <phoneticPr fontId="28" type="noConversion"/>
  </si>
  <si>
    <t>전출금(후원금)</t>
    <phoneticPr fontId="28" type="noConversion"/>
  </si>
  <si>
    <t>전출금</t>
    <phoneticPr fontId="28" type="noConversion"/>
  </si>
  <si>
    <t>잡   지   출</t>
    <phoneticPr fontId="28" type="noConversion"/>
  </si>
  <si>
    <t>예   비   비</t>
    <phoneticPr fontId="28" type="noConversion"/>
  </si>
  <si>
    <t>예      비      비</t>
    <phoneticPr fontId="28" type="noConversion"/>
  </si>
  <si>
    <t xml:space="preserve"> * </t>
    <phoneticPr fontId="9" type="noConversion"/>
  </si>
  <si>
    <t>원</t>
    <phoneticPr fontId="9" type="noConversion"/>
  </si>
  <si>
    <t>※다른회계로 부터의 전입금</t>
    <phoneticPr fontId="9" type="noConversion"/>
  </si>
  <si>
    <t xml:space="preserve"> &lt;다른회계로 부터의 전입금&gt;</t>
    <phoneticPr fontId="9" type="noConversion"/>
  </si>
  <si>
    <t xml:space="preserve"> &lt;다른회계로 부터의 전입금&gt; - 마리아의 아들 수도회(운영주체)로 부터의 전입금</t>
    <phoneticPr fontId="9" type="noConversion"/>
  </si>
  <si>
    <t xml:space="preserve"> *법인 상근직원 인건비 지원금</t>
    <phoneticPr fontId="9" type="noConversion"/>
  </si>
  <si>
    <t>전입</t>
    <phoneticPr fontId="9" type="noConversion"/>
  </si>
  <si>
    <t xml:space="preserve"> * 직원 출장여비</t>
    <phoneticPr fontId="9" type="noConversion"/>
  </si>
  <si>
    <t>원</t>
    <phoneticPr fontId="9" type="noConversion"/>
  </si>
  <si>
    <t xml:space="preserve">* </t>
    <phoneticPr fontId="9" type="noConversion"/>
  </si>
  <si>
    <t>후원</t>
    <phoneticPr fontId="9" type="noConversion"/>
  </si>
  <si>
    <t xml:space="preserve"> *산하시설전출금</t>
    <phoneticPr fontId="9" type="noConversion"/>
  </si>
  <si>
    <t xml:space="preserve"> *법인 상근직원 퇴직적립금 지원금</t>
    <phoneticPr fontId="9" type="noConversion"/>
  </si>
  <si>
    <t xml:space="preserve">  *후원금 수입(모금함)</t>
    <phoneticPr fontId="9" type="noConversion"/>
  </si>
  <si>
    <t>???이월금</t>
    <phoneticPr fontId="9" type="noConversion"/>
  </si>
  <si>
    <t xml:space="preserve"> * 지정후원금이월액(의료)</t>
    <phoneticPr fontId="9" type="noConversion"/>
  </si>
  <si>
    <t xml:space="preserve"> * 비지정후원금이월액</t>
    <phoneticPr fontId="9" type="noConversion"/>
  </si>
  <si>
    <t xml:space="preserve"> * 비지정후원금이월액(모금함)</t>
    <phoneticPr fontId="9" type="noConversion"/>
  </si>
  <si>
    <t>원</t>
    <phoneticPr fontId="9" type="noConversion"/>
  </si>
  <si>
    <t>2. 공인인증서, 퇴직연금 수수료 등 기타 수수료</t>
    <phoneticPr fontId="9" type="noConversion"/>
  </si>
  <si>
    <t>3. CMS수수료,보증보험료,이용료</t>
    <phoneticPr fontId="9" type="noConversion"/>
  </si>
  <si>
    <t>* 비품 수선비 등</t>
    <phoneticPr fontId="9" type="noConversion"/>
  </si>
  <si>
    <t>* 산하시설 의료비 지원금(지정후원금)</t>
    <phoneticPr fontId="9" type="noConversion"/>
  </si>
  <si>
    <t>(단위:천원)</t>
    <phoneticPr fontId="28" type="noConversion"/>
  </si>
  <si>
    <t>몬띠요양원</t>
    <phoneticPr fontId="9" type="noConversion"/>
  </si>
  <si>
    <t>※ 몬띠요양원 전출금</t>
    <phoneticPr fontId="9" type="noConversion"/>
  </si>
  <si>
    <t>전입</t>
    <phoneticPr fontId="9" type="noConversion"/>
  </si>
  <si>
    <t>전출금(후)</t>
    <phoneticPr fontId="9" type="noConversion"/>
  </si>
  <si>
    <t>※ 몬띠요양원 전출금(후원금)</t>
    <phoneticPr fontId="9" type="noConversion"/>
  </si>
  <si>
    <t>후원</t>
    <phoneticPr fontId="9" type="noConversion"/>
  </si>
  <si>
    <t xml:space="preserve">  *기타 후원금 수입</t>
    <phoneticPr fontId="9" type="noConversion"/>
  </si>
  <si>
    <t>원</t>
    <phoneticPr fontId="9" type="noConversion"/>
  </si>
  <si>
    <t>전입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</si>
  <si>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</si>
  <si>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</si>
  <si>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</si>
  <si>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 xml:space="preserve"> * 기본급</t>
    <phoneticPr fontId="9" type="noConversion"/>
  </si>
  <si>
    <t>=</t>
    <phoneticPr fontId="9" type="noConversion"/>
  </si>
  <si>
    <t>1.국민연금부담금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</si>
  <si>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</si>
  <si>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</si>
  <si>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</si>
  <si>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</si>
  <si>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계
(A)</t>
    <phoneticPr fontId="9" type="noConversion"/>
  </si>
  <si>
    <t>원</t>
    <phoneticPr fontId="9" type="noConversion"/>
  </si>
  <si>
    <t xml:space="preserve"> *회의비</t>
    <phoneticPr fontId="9" type="noConversion"/>
  </si>
  <si>
    <t xml:space="preserve"> *잡지출</t>
    <phoneticPr fontId="9" type="noConversion"/>
  </si>
  <si>
    <t>* 직원축일·생일축하 상품권 구입비</t>
    <phoneticPr fontId="9" type="noConversion"/>
  </si>
  <si>
    <t>* 유관기관경조사비 등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</si>
  <si>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</si>
  <si>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</si>
  <si>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</si>
  <si>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>2019년
3차추경예산
(B)
(단위:천원)</t>
    <phoneticPr fontId="9" type="noConversion"/>
  </si>
  <si>
    <t>2020년 본예산 예산액(A)         (단위:천원)</t>
    <phoneticPr fontId="9" type="noConversion"/>
  </si>
  <si>
    <t>2019년
3차추경예산
(B)
(단위:천원)</t>
    <phoneticPr fontId="9" type="noConversion"/>
  </si>
  <si>
    <t>2020년
본예산
(A)
(단위:천원)</t>
    <phoneticPr fontId="9" type="noConversion"/>
  </si>
  <si>
    <t>□ 2020년도 본예산 세 입 · 세 출 총  괄  표</t>
    <phoneticPr fontId="28" type="noConversion"/>
  </si>
  <si>
    <t>&lt;2020년도 본예산 예산 세출내역&gt;</t>
    <phoneticPr fontId="9" type="noConversion"/>
  </si>
  <si>
    <t>&lt;2020년도 본예산 예산 세입내역&gt;</t>
    <phoneticPr fontId="9" type="noConversion"/>
  </si>
  <si>
    <t>2019년
3차추경예산</t>
    <phoneticPr fontId="28" type="noConversion"/>
  </si>
  <si>
    <t xml:space="preserve"> *기관운영비</t>
    <phoneticPr fontId="9" type="noConversion"/>
  </si>
  <si>
    <t>2020년
본예산</t>
    <phoneticPr fontId="28" type="noConversion"/>
  </si>
  <si>
    <t xml:space="preserve"> * 예금이자(잡수입)</t>
    <phoneticPr fontId="9" type="noConversion"/>
  </si>
  <si>
    <t xml:space="preserve"> * 예금이자(후원금)</t>
    <phoneticPr fontId="9" type="noConversion"/>
  </si>
  <si>
    <t xml:space="preserve">  * 일자리 안정자금</t>
    <phoneticPr fontId="9" type="noConversion"/>
  </si>
  <si>
    <t xml:space="preserve">  * 2019년 장애인 고용장려금</t>
    <phoneticPr fontId="9" type="noConversion"/>
  </si>
  <si>
    <t>1.외부교육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</si>
  <si>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</si>
  <si>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</si>
  <si>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</si>
  <si>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</si>
  <si>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후원</t>
    <phoneticPr fontId="9" type="noConversion"/>
  </si>
  <si>
    <t>2. 산하시설 보조금 정산검증비용 - 회계사</t>
    <phoneticPr fontId="9" type="noConversion"/>
  </si>
  <si>
    <t xml:space="preserve">3. 기본재산평가수수료 </t>
    <phoneticPr fontId="9" type="noConversion"/>
  </si>
  <si>
    <t>4. 임원/자산/분사무소 등기수수료</t>
    <phoneticPr fontId="9" type="noConversion"/>
  </si>
  <si>
    <t>5. 법인산하시설 외부감사 수수료</t>
    <phoneticPr fontId="9" type="noConversion"/>
  </si>
  <si>
    <t>6. 세무조정 세무사 지급수수료</t>
    <phoneticPr fontId="9" type="noConversion"/>
  </si>
  <si>
    <t>7. 노무사 법인산하시설 자문수수료 등</t>
    <phoneticPr fontId="9" type="noConversion"/>
  </si>
  <si>
    <t>1.기타 비품구입비</t>
    <phoneticPr fontId="9" type="noConversion"/>
  </si>
  <si>
    <t>원</t>
    <phoneticPr fontId="9" type="noConversion"/>
  </si>
  <si>
    <t>전입</t>
    <phoneticPr fontId="9" type="noConversion"/>
  </si>
  <si>
    <t>원</t>
    <phoneticPr fontId="9" type="noConversion"/>
  </si>
  <si>
    <t>잡수</t>
    <phoneticPr fontId="9" type="noConversion"/>
  </si>
</sst>
</file>

<file path=xl/styles.xml><?xml version="1.0" encoding="utf-8"?>
<styleSheet xmlns="http://schemas.openxmlformats.org/spreadsheetml/2006/main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.000%"/>
    <numFmt numFmtId="184" formatCode="#,##0_ ;[Red]\-#,##0\ "/>
    <numFmt numFmtId="185" formatCode="#,##0&quot;월&quot;;&quot;△&quot;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8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</cellStyleXfs>
  <cellXfs count="527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2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7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6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0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5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5" xfId="0" applyNumberFormat="1" applyFont="1" applyFill="1" applyBorder="1" applyAlignment="1">
      <alignment vertical="center"/>
    </xf>
    <xf numFmtId="38" fontId="15" fillId="0" borderId="37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2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0" fontId="6" fillId="0" borderId="0" xfId="6">
      <alignment vertical="center"/>
    </xf>
    <xf numFmtId="0" fontId="27" fillId="0" borderId="0" xfId="6" applyFont="1">
      <alignment vertical="center"/>
    </xf>
    <xf numFmtId="0" fontId="29" fillId="0" borderId="0" xfId="6" applyFont="1" applyAlignment="1">
      <alignment horizontal="right"/>
    </xf>
    <xf numFmtId="0" fontId="6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40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0" fontId="6" fillId="0" borderId="3" xfId="6" applyBorder="1" applyAlignment="1">
      <alignment horizontal="center"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left" vertical="center"/>
    </xf>
    <xf numFmtId="41" fontId="15" fillId="0" borderId="0" xfId="2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6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4" fillId="0" borderId="20" xfId="6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9" fontId="15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4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84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0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0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35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6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vertical="center"/>
    </xf>
    <xf numFmtId="0" fontId="43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3" fillId="0" borderId="36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3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6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8" xfId="3" applyNumberFormat="1" applyFont="1" applyFill="1" applyBorder="1" applyAlignment="1">
      <alignment vertical="center"/>
    </xf>
    <xf numFmtId="41" fontId="45" fillId="0" borderId="11" xfId="7" applyFont="1" applyBorder="1" applyAlignment="1">
      <alignment vertical="center"/>
    </xf>
    <xf numFmtId="182" fontId="45" fillId="0" borderId="35" xfId="7" applyNumberFormat="1" applyFont="1" applyBorder="1" applyAlignment="1">
      <alignment vertical="center"/>
    </xf>
    <xf numFmtId="182" fontId="45" fillId="0" borderId="12" xfId="7" applyNumberFormat="1" applyFont="1" applyBorder="1" applyAlignment="1">
      <alignment vertical="center"/>
    </xf>
    <xf numFmtId="0" fontId="46" fillId="0" borderId="11" xfId="6" applyFont="1" applyBorder="1" applyAlignment="1">
      <alignment horizontal="center" vertical="center"/>
    </xf>
    <xf numFmtId="41" fontId="47" fillId="0" borderId="11" xfId="7" applyFont="1" applyBorder="1" applyAlignment="1">
      <alignment vertical="center"/>
    </xf>
    <xf numFmtId="182" fontId="47" fillId="0" borderId="35" xfId="7" applyNumberFormat="1" applyFont="1" applyBorder="1" applyAlignment="1">
      <alignment vertical="center"/>
    </xf>
    <xf numFmtId="0" fontId="46" fillId="0" borderId="20" xfId="6" applyFont="1" applyBorder="1" applyAlignment="1">
      <alignment horizontal="center" vertical="center"/>
    </xf>
    <xf numFmtId="41" fontId="47" fillId="0" borderId="20" xfId="7" applyFont="1" applyBorder="1">
      <alignment vertical="center"/>
    </xf>
    <xf numFmtId="182" fontId="47" fillId="0" borderId="40" xfId="7" applyNumberFormat="1" applyFont="1" applyBorder="1">
      <alignment vertical="center"/>
    </xf>
    <xf numFmtId="182" fontId="47" fillId="0" borderId="12" xfId="7" applyNumberFormat="1" applyFont="1" applyBorder="1" applyAlignment="1">
      <alignment vertical="center"/>
    </xf>
    <xf numFmtId="182" fontId="47" fillId="0" borderId="18" xfId="7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52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horizontal="center" vertical="center"/>
    </xf>
    <xf numFmtId="9" fontId="15" fillId="0" borderId="52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5" fillId="0" borderId="30" xfId="2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5" fillId="0" borderId="41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" fillId="0" borderId="20" xfId="6" applyFont="1" applyBorder="1" applyAlignment="1">
      <alignment horizontal="center" vertical="center"/>
    </xf>
    <xf numFmtId="0" fontId="6" fillId="0" borderId="50" xfId="6" applyBorder="1" applyAlignment="1">
      <alignment vertical="center"/>
    </xf>
    <xf numFmtId="0" fontId="6" fillId="0" borderId="30" xfId="6" applyBorder="1" applyAlignment="1">
      <alignment vertical="center"/>
    </xf>
    <xf numFmtId="0" fontId="6" fillId="0" borderId="25" xfId="6" applyBorder="1" applyAlignment="1">
      <alignment vertical="center"/>
    </xf>
    <xf numFmtId="0" fontId="6" fillId="0" borderId="0" xfId="6" applyBorder="1" applyAlignment="1">
      <alignment vertical="center"/>
    </xf>
    <xf numFmtId="0" fontId="6" fillId="0" borderId="45" xfId="6" applyBorder="1" applyAlignment="1">
      <alignment vertical="center"/>
    </xf>
    <xf numFmtId="0" fontId="6" fillId="0" borderId="13" xfId="6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8" fontId="20" fillId="0" borderId="27" xfId="3" applyNumberFormat="1" applyFont="1" applyFill="1" applyBorder="1" applyAlignment="1">
      <alignment vertical="center"/>
    </xf>
    <xf numFmtId="177" fontId="20" fillId="0" borderId="27" xfId="3" applyNumberFormat="1" applyFont="1" applyFill="1" applyBorder="1" applyAlignment="1">
      <alignment vertical="center"/>
    </xf>
    <xf numFmtId="9" fontId="20" fillId="0" borderId="27" xfId="3" applyNumberFormat="1" applyFont="1" applyFill="1" applyBorder="1" applyAlignment="1">
      <alignment horizontal="center" vertical="center"/>
    </xf>
    <xf numFmtId="178" fontId="20" fillId="0" borderId="20" xfId="3" applyNumberFormat="1" applyFont="1" applyFill="1" applyBorder="1" applyAlignment="1">
      <alignment vertical="center"/>
    </xf>
    <xf numFmtId="177" fontId="20" fillId="0" borderId="20" xfId="3" applyNumberFormat="1" applyFont="1" applyFill="1" applyBorder="1" applyAlignment="1">
      <alignment vertical="center"/>
    </xf>
    <xf numFmtId="9" fontId="20" fillId="0" borderId="20" xfId="3" applyNumberFormat="1" applyFont="1" applyFill="1" applyBorder="1" applyAlignment="1">
      <alignment horizontal="center" vertical="center"/>
    </xf>
    <xf numFmtId="0" fontId="18" fillId="0" borderId="40" xfId="3" applyFont="1" applyFill="1" applyBorder="1" applyAlignment="1">
      <alignment vertical="center"/>
    </xf>
    <xf numFmtId="0" fontId="20" fillId="0" borderId="52" xfId="3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horizontal="right" vertical="center"/>
    </xf>
    <xf numFmtId="176" fontId="18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26" fillId="0" borderId="14" xfId="3" quotePrefix="1" applyFont="1" applyFill="1" applyBorder="1" applyAlignment="1">
      <alignment vertical="center"/>
    </xf>
    <xf numFmtId="0" fontId="26" fillId="0" borderId="29" xfId="3" quotePrefix="1" applyFont="1" applyFill="1" applyBorder="1" applyAlignment="1">
      <alignment vertical="center"/>
    </xf>
    <xf numFmtId="38" fontId="15" fillId="0" borderId="40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0" fontId="48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185" fontId="24" fillId="0" borderId="0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vertical="center"/>
    </xf>
    <xf numFmtId="41" fontId="32" fillId="0" borderId="20" xfId="0" applyNumberFormat="1" applyFont="1" applyFill="1" applyBorder="1" applyAlignment="1">
      <alignment vertical="center"/>
    </xf>
    <xf numFmtId="38" fontId="32" fillId="0" borderId="20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vertical="center"/>
    </xf>
    <xf numFmtId="176" fontId="32" fillId="0" borderId="19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41" fontId="15" fillId="0" borderId="52" xfId="2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6" fillId="0" borderId="35" xfId="3" applyFont="1" applyFill="1" applyBorder="1" applyAlignment="1">
      <alignment horizontal="left" vertical="center"/>
    </xf>
    <xf numFmtId="41" fontId="15" fillId="0" borderId="14" xfId="2" applyFont="1" applyFill="1" applyBorder="1" applyAlignment="1">
      <alignment vertical="center"/>
    </xf>
    <xf numFmtId="0" fontId="2" fillId="0" borderId="20" xfId="6" applyFont="1" applyBorder="1" applyAlignment="1">
      <alignment horizontal="center" vertical="center"/>
    </xf>
    <xf numFmtId="176" fontId="17" fillId="0" borderId="52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horizontal="left" vertical="center" wrapText="1"/>
    </xf>
    <xf numFmtId="41" fontId="32" fillId="0" borderId="20" xfId="0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26" fillId="0" borderId="35" xfId="3" applyFont="1" applyFill="1" applyBorder="1" applyAlignment="1">
      <alignment vertical="center"/>
    </xf>
    <xf numFmtId="0" fontId="30" fillId="0" borderId="4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 vertical="center"/>
    </xf>
    <xf numFmtId="0" fontId="30" fillId="0" borderId="10" xfId="6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5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0" fontId="30" fillId="0" borderId="47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 wrapText="1"/>
    </xf>
    <xf numFmtId="0" fontId="30" fillId="0" borderId="47" xfId="6" applyFont="1" applyBorder="1" applyAlignment="1">
      <alignment horizontal="center" vertical="center" wrapText="1"/>
    </xf>
    <xf numFmtId="0" fontId="30" fillId="0" borderId="40" xfId="6" applyFont="1" applyBorder="1" applyAlignment="1">
      <alignment horizontal="center" vertical="center"/>
    </xf>
    <xf numFmtId="0" fontId="30" fillId="0" borderId="48" xfId="6" applyFont="1" applyBorder="1" applyAlignment="1">
      <alignment horizontal="center" vertical="center"/>
    </xf>
    <xf numFmtId="0" fontId="30" fillId="0" borderId="18" xfId="6" applyFont="1" applyBorder="1" applyAlignment="1">
      <alignment horizontal="center" vertical="center"/>
    </xf>
    <xf numFmtId="0" fontId="30" fillId="0" borderId="49" xfId="6" applyFont="1" applyBorder="1" applyAlignment="1">
      <alignment horizontal="center" vertical="center"/>
    </xf>
    <xf numFmtId="0" fontId="6" fillId="0" borderId="2" xfId="6" applyBorder="1" applyAlignment="1">
      <alignment horizontal="center" vertical="center"/>
    </xf>
    <xf numFmtId="0" fontId="6" fillId="0" borderId="17" xfId="6" applyBorder="1" applyAlignment="1">
      <alignment horizontal="center" vertical="center"/>
    </xf>
    <xf numFmtId="0" fontId="6" fillId="0" borderId="32" xfId="6" applyBorder="1" applyAlignment="1">
      <alignment horizontal="center" vertical="center"/>
    </xf>
    <xf numFmtId="0" fontId="6" fillId="0" borderId="6" xfId="6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44" fillId="0" borderId="17" xfId="6" applyFont="1" applyBorder="1" applyAlignment="1">
      <alignment horizontal="center" vertical="center"/>
    </xf>
    <xf numFmtId="0" fontId="44" fillId="0" borderId="11" xfId="6" applyFont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8" fillId="0" borderId="54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5" fillId="0" borderId="52" xfId="3" applyNumberFormat="1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32" fillId="0" borderId="40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5" fillId="0" borderId="39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I27" sqref="I27"/>
    </sheetView>
  </sheetViews>
  <sheetFormatPr defaultRowHeight="16.5"/>
  <cols>
    <col min="1" max="1" width="1.44140625" style="181" customWidth="1"/>
    <col min="2" max="2" width="11.5546875" style="181" bestFit="1" customWidth="1"/>
    <col min="3" max="3" width="13.33203125" style="181" bestFit="1" customWidth="1"/>
    <col min="4" max="5" width="18" style="181" bestFit="1" customWidth="1"/>
    <col min="6" max="6" width="16" style="181" bestFit="1" customWidth="1"/>
    <col min="7" max="7" width="9.6640625" style="181" bestFit="1" customWidth="1"/>
    <col min="8" max="8" width="13.33203125" style="181" bestFit="1" customWidth="1"/>
    <col min="9" max="10" width="18" style="181" bestFit="1" customWidth="1"/>
    <col min="11" max="11" width="16" style="181" bestFit="1" customWidth="1"/>
    <col min="12" max="16384" width="8.88671875" style="181"/>
  </cols>
  <sheetData>
    <row r="1" spans="2:11" ht="9.9499999999999993" customHeight="1"/>
    <row r="2" spans="2:11" ht="26.25">
      <c r="B2" s="182" t="s">
        <v>432</v>
      </c>
      <c r="K2" s="183" t="s">
        <v>399</v>
      </c>
    </row>
    <row r="3" spans="2:11" ht="9.9499999999999993" customHeight="1" thickBot="1"/>
    <row r="4" spans="2:11" ht="30" customHeight="1">
      <c r="B4" s="463" t="s">
        <v>111</v>
      </c>
      <c r="C4" s="464"/>
      <c r="D4" s="464"/>
      <c r="E4" s="464"/>
      <c r="F4" s="465"/>
      <c r="G4" s="463" t="s">
        <v>112</v>
      </c>
      <c r="H4" s="464"/>
      <c r="I4" s="464"/>
      <c r="J4" s="464"/>
      <c r="K4" s="466"/>
    </row>
    <row r="5" spans="2:11" ht="16.5" customHeight="1">
      <c r="B5" s="467" t="s">
        <v>113</v>
      </c>
      <c r="C5" s="468"/>
      <c r="D5" s="471" t="s">
        <v>435</v>
      </c>
      <c r="E5" s="471" t="s">
        <v>437</v>
      </c>
      <c r="F5" s="473" t="s">
        <v>114</v>
      </c>
      <c r="G5" s="467" t="s">
        <v>113</v>
      </c>
      <c r="H5" s="468"/>
      <c r="I5" s="471" t="s">
        <v>435</v>
      </c>
      <c r="J5" s="471" t="s">
        <v>437</v>
      </c>
      <c r="K5" s="475" t="s">
        <v>114</v>
      </c>
    </row>
    <row r="6" spans="2:11" ht="22.5" customHeight="1" thickBot="1">
      <c r="B6" s="469"/>
      <c r="C6" s="470"/>
      <c r="D6" s="472"/>
      <c r="E6" s="472"/>
      <c r="F6" s="474"/>
      <c r="G6" s="469"/>
      <c r="H6" s="470"/>
      <c r="I6" s="472"/>
      <c r="J6" s="472"/>
      <c r="K6" s="476"/>
    </row>
    <row r="7" spans="2:11" ht="24.95" customHeight="1" thickTop="1">
      <c r="B7" s="483" t="s">
        <v>115</v>
      </c>
      <c r="C7" s="484"/>
      <c r="D7" s="370">
        <f>SUM(D8:D23)/2</f>
        <v>382351</v>
      </c>
      <c r="E7" s="370">
        <f>SUM(E8:E23)/2</f>
        <v>315813</v>
      </c>
      <c r="F7" s="371">
        <f>SUM(F8:F23)/2</f>
        <v>-66538</v>
      </c>
      <c r="G7" s="483" t="s">
        <v>115</v>
      </c>
      <c r="H7" s="484"/>
      <c r="I7" s="370">
        <f>SUM(I8:I28)/2</f>
        <v>382351</v>
      </c>
      <c r="J7" s="370">
        <f>SUM(J8:J28)/2</f>
        <v>315813</v>
      </c>
      <c r="K7" s="372">
        <f>SUM(K8:K28)/2</f>
        <v>-66538</v>
      </c>
    </row>
    <row r="8" spans="2:11" ht="24.95" customHeight="1">
      <c r="B8" s="481" t="s">
        <v>367</v>
      </c>
      <c r="C8" s="373" t="s">
        <v>181</v>
      </c>
      <c r="D8" s="374">
        <f>D9</f>
        <v>0</v>
      </c>
      <c r="E8" s="374">
        <f>E9</f>
        <v>0</v>
      </c>
      <c r="F8" s="375">
        <f>F9</f>
        <v>0</v>
      </c>
      <c r="G8" s="477" t="s">
        <v>116</v>
      </c>
      <c r="H8" s="373" t="s">
        <v>181</v>
      </c>
      <c r="I8" s="374">
        <f>SUM(I9:I11)</f>
        <v>150409</v>
      </c>
      <c r="J8" s="374">
        <f>SUM(J9:J11)</f>
        <v>120329</v>
      </c>
      <c r="K8" s="379">
        <f>SUM(K9:K11)</f>
        <v>-30080</v>
      </c>
    </row>
    <row r="9" spans="2:11" ht="24.95" customHeight="1">
      <c r="B9" s="478"/>
      <c r="C9" s="455" t="s">
        <v>368</v>
      </c>
      <c r="D9" s="185">
        <v>0</v>
      </c>
      <c r="E9" s="185">
        <v>0</v>
      </c>
      <c r="F9" s="186">
        <f>E9-D9</f>
        <v>0</v>
      </c>
      <c r="G9" s="479"/>
      <c r="H9" s="184" t="s">
        <v>117</v>
      </c>
      <c r="I9" s="185">
        <v>127700</v>
      </c>
      <c r="J9" s="185">
        <v>97531</v>
      </c>
      <c r="K9" s="187">
        <f>J9-I9</f>
        <v>-30169</v>
      </c>
    </row>
    <row r="10" spans="2:11" ht="24.95" customHeight="1">
      <c r="B10" s="477" t="s">
        <v>118</v>
      </c>
      <c r="C10" s="376" t="s">
        <v>181</v>
      </c>
      <c r="D10" s="377">
        <f>SUM(D11:D14)</f>
        <v>0</v>
      </c>
      <c r="E10" s="377">
        <f>SUM(E11:E14)</f>
        <v>0</v>
      </c>
      <c r="F10" s="378">
        <f>SUM(F11:F14)</f>
        <v>0</v>
      </c>
      <c r="G10" s="479"/>
      <c r="H10" s="184" t="s">
        <v>119</v>
      </c>
      <c r="I10" s="185">
        <v>2011</v>
      </c>
      <c r="J10" s="185">
        <v>2100</v>
      </c>
      <c r="K10" s="187">
        <f>J10-I10</f>
        <v>89</v>
      </c>
    </row>
    <row r="11" spans="2:11" ht="24.95" customHeight="1">
      <c r="B11" s="479"/>
      <c r="C11" s="257" t="s">
        <v>141</v>
      </c>
      <c r="D11" s="185">
        <v>0</v>
      </c>
      <c r="E11" s="185">
        <v>0</v>
      </c>
      <c r="F11" s="186">
        <f t="shared" ref="F11:F23" si="0">E11-D11</f>
        <v>0</v>
      </c>
      <c r="G11" s="478"/>
      <c r="H11" s="184" t="s">
        <v>72</v>
      </c>
      <c r="I11" s="185">
        <v>20698</v>
      </c>
      <c r="J11" s="185">
        <v>20698</v>
      </c>
      <c r="K11" s="187">
        <f>J11-I11</f>
        <v>0</v>
      </c>
    </row>
    <row r="12" spans="2:11" ht="24.95" customHeight="1">
      <c r="B12" s="479"/>
      <c r="C12" s="257" t="s">
        <v>142</v>
      </c>
      <c r="D12" s="185">
        <v>0</v>
      </c>
      <c r="E12" s="185">
        <v>0</v>
      </c>
      <c r="F12" s="186">
        <f t="shared" si="0"/>
        <v>0</v>
      </c>
      <c r="G12" s="477" t="s">
        <v>73</v>
      </c>
      <c r="H12" s="376" t="s">
        <v>181</v>
      </c>
      <c r="I12" s="377">
        <f>SUM(I13:I15)</f>
        <v>3807</v>
      </c>
      <c r="J12" s="377">
        <f>SUM(J13:J15)</f>
        <v>2226</v>
      </c>
      <c r="K12" s="380">
        <f>SUM(K13:K15)</f>
        <v>-1581</v>
      </c>
    </row>
    <row r="13" spans="2:11" ht="24.95" customHeight="1">
      <c r="B13" s="479"/>
      <c r="C13" s="257" t="s">
        <v>143</v>
      </c>
      <c r="D13" s="185">
        <v>0</v>
      </c>
      <c r="E13" s="185">
        <v>0</v>
      </c>
      <c r="F13" s="186">
        <f>E13-D13</f>
        <v>0</v>
      </c>
      <c r="G13" s="479"/>
      <c r="H13" s="184" t="s">
        <v>74</v>
      </c>
      <c r="I13" s="185">
        <v>0</v>
      </c>
      <c r="J13" s="185">
        <v>0</v>
      </c>
      <c r="K13" s="187">
        <f>J13-I13</f>
        <v>0</v>
      </c>
    </row>
    <row r="14" spans="2:11" ht="24.95" customHeight="1">
      <c r="B14" s="478"/>
      <c r="C14" s="397" t="s">
        <v>259</v>
      </c>
      <c r="D14" s="185">
        <v>0</v>
      </c>
      <c r="E14" s="185">
        <v>0</v>
      </c>
      <c r="F14" s="186">
        <f t="shared" si="0"/>
        <v>0</v>
      </c>
      <c r="G14" s="479"/>
      <c r="H14" s="184" t="s">
        <v>77</v>
      </c>
      <c r="I14" s="185">
        <v>2581</v>
      </c>
      <c r="J14" s="185">
        <v>1000</v>
      </c>
      <c r="K14" s="187">
        <f>J14-I14</f>
        <v>-1581</v>
      </c>
    </row>
    <row r="15" spans="2:11" ht="24.95" customHeight="1">
      <c r="B15" s="477" t="s">
        <v>75</v>
      </c>
      <c r="C15" s="376" t="s">
        <v>181</v>
      </c>
      <c r="D15" s="377">
        <f>SUM(D16:D17)</f>
        <v>21720</v>
      </c>
      <c r="E15" s="377">
        <f>SUM(E16:E17)</f>
        <v>21720</v>
      </c>
      <c r="F15" s="378">
        <f>SUM(F16:F17)</f>
        <v>0</v>
      </c>
      <c r="G15" s="478"/>
      <c r="H15" s="184" t="s">
        <v>79</v>
      </c>
      <c r="I15" s="185">
        <v>1226</v>
      </c>
      <c r="J15" s="185">
        <v>1226</v>
      </c>
      <c r="K15" s="187">
        <f>J15-I15</f>
        <v>0</v>
      </c>
    </row>
    <row r="16" spans="2:11" ht="24.95" customHeight="1">
      <c r="B16" s="479"/>
      <c r="C16" s="184" t="s">
        <v>76</v>
      </c>
      <c r="D16" s="185">
        <v>120</v>
      </c>
      <c r="E16" s="185">
        <v>120</v>
      </c>
      <c r="F16" s="186">
        <f t="shared" si="0"/>
        <v>0</v>
      </c>
      <c r="G16" s="481" t="s">
        <v>370</v>
      </c>
      <c r="H16" s="376" t="s">
        <v>181</v>
      </c>
      <c r="I16" s="377">
        <f>SUM(I17:I22)</f>
        <v>205610</v>
      </c>
      <c r="J16" s="377">
        <f>SUM(J17:J22)</f>
        <v>193181</v>
      </c>
      <c r="K16" s="380">
        <f>SUM(K17:K22)</f>
        <v>-12429</v>
      </c>
    </row>
    <row r="17" spans="2:11" ht="24.95" customHeight="1">
      <c r="B17" s="478"/>
      <c r="C17" s="184" t="s">
        <v>78</v>
      </c>
      <c r="D17" s="185">
        <v>21600</v>
      </c>
      <c r="E17" s="185">
        <v>21600</v>
      </c>
      <c r="F17" s="186">
        <f t="shared" si="0"/>
        <v>0</v>
      </c>
      <c r="G17" s="479"/>
      <c r="H17" s="455" t="s">
        <v>371</v>
      </c>
      <c r="I17" s="185">
        <v>34150</v>
      </c>
      <c r="J17" s="185">
        <v>14556</v>
      </c>
      <c r="K17" s="187">
        <f t="shared" ref="K17:K22" si="1">J17-I17</f>
        <v>-19594</v>
      </c>
    </row>
    <row r="18" spans="2:11" ht="24.95" customHeight="1">
      <c r="B18" s="477" t="s">
        <v>80</v>
      </c>
      <c r="C18" s="376" t="s">
        <v>181</v>
      </c>
      <c r="D18" s="377">
        <f>D19</f>
        <v>250000</v>
      </c>
      <c r="E18" s="377">
        <f>E19</f>
        <v>215908</v>
      </c>
      <c r="F18" s="378">
        <f>F19</f>
        <v>-34092</v>
      </c>
      <c r="G18" s="479"/>
      <c r="H18" s="455" t="s">
        <v>372</v>
      </c>
      <c r="I18" s="185">
        <v>171460</v>
      </c>
      <c r="J18" s="185">
        <v>178625</v>
      </c>
      <c r="K18" s="187">
        <f t="shared" si="1"/>
        <v>7165</v>
      </c>
    </row>
    <row r="19" spans="2:11" ht="24.95" customHeight="1">
      <c r="B19" s="478"/>
      <c r="C19" s="455" t="s">
        <v>369</v>
      </c>
      <c r="D19" s="185">
        <v>250000</v>
      </c>
      <c r="E19" s="185">
        <v>215908</v>
      </c>
      <c r="F19" s="186">
        <f t="shared" si="0"/>
        <v>-34092</v>
      </c>
      <c r="G19" s="479"/>
      <c r="H19" s="184"/>
      <c r="I19" s="185">
        <v>0</v>
      </c>
      <c r="J19" s="185">
        <v>0</v>
      </c>
      <c r="K19" s="187">
        <f t="shared" si="1"/>
        <v>0</v>
      </c>
    </row>
    <row r="20" spans="2:11" ht="24.95" customHeight="1">
      <c r="B20" s="477" t="s">
        <v>81</v>
      </c>
      <c r="C20" s="376" t="s">
        <v>181</v>
      </c>
      <c r="D20" s="377">
        <f>D21</f>
        <v>54516</v>
      </c>
      <c r="E20" s="377">
        <f>E21</f>
        <v>41550</v>
      </c>
      <c r="F20" s="378">
        <f>F21</f>
        <v>-12966</v>
      </c>
      <c r="G20" s="479"/>
      <c r="H20" s="184"/>
      <c r="I20" s="185">
        <v>0</v>
      </c>
      <c r="J20" s="185">
        <v>0</v>
      </c>
      <c r="K20" s="187">
        <f t="shared" si="1"/>
        <v>0</v>
      </c>
    </row>
    <row r="21" spans="2:11" ht="24.95" customHeight="1">
      <c r="B21" s="478"/>
      <c r="C21" s="184" t="s">
        <v>82</v>
      </c>
      <c r="D21" s="185">
        <v>54516</v>
      </c>
      <c r="E21" s="185">
        <v>41550</v>
      </c>
      <c r="F21" s="186">
        <f t="shared" si="0"/>
        <v>-12966</v>
      </c>
      <c r="G21" s="479"/>
      <c r="H21" s="184"/>
      <c r="I21" s="185">
        <v>0</v>
      </c>
      <c r="J21" s="185">
        <v>0</v>
      </c>
      <c r="K21" s="187">
        <f t="shared" si="1"/>
        <v>0</v>
      </c>
    </row>
    <row r="22" spans="2:11" ht="24.95" customHeight="1">
      <c r="B22" s="477" t="s">
        <v>83</v>
      </c>
      <c r="C22" s="376" t="s">
        <v>181</v>
      </c>
      <c r="D22" s="377">
        <f>D23</f>
        <v>56115</v>
      </c>
      <c r="E22" s="377">
        <f>E23</f>
        <v>36635</v>
      </c>
      <c r="F22" s="378">
        <f>F23</f>
        <v>-19480</v>
      </c>
      <c r="G22" s="478"/>
      <c r="H22" s="184"/>
      <c r="I22" s="185">
        <v>0</v>
      </c>
      <c r="J22" s="185">
        <v>0</v>
      </c>
      <c r="K22" s="187">
        <f t="shared" si="1"/>
        <v>0</v>
      </c>
    </row>
    <row r="23" spans="2:11" ht="24.95" customHeight="1">
      <c r="B23" s="478"/>
      <c r="C23" s="184" t="s">
        <v>84</v>
      </c>
      <c r="D23" s="185">
        <v>56115</v>
      </c>
      <c r="E23" s="185">
        <v>36635</v>
      </c>
      <c r="F23" s="186">
        <f t="shared" si="0"/>
        <v>-19480</v>
      </c>
      <c r="G23" s="481" t="s">
        <v>373</v>
      </c>
      <c r="H23" s="376" t="s">
        <v>181</v>
      </c>
      <c r="I23" s="377">
        <f>I24</f>
        <v>2</v>
      </c>
      <c r="J23" s="377">
        <f>J24</f>
        <v>2</v>
      </c>
      <c r="K23" s="380">
        <f>K24</f>
        <v>0</v>
      </c>
    </row>
    <row r="24" spans="2:11" ht="24.95" customHeight="1">
      <c r="B24" s="398"/>
      <c r="C24" s="399"/>
      <c r="D24" s="399"/>
      <c r="E24" s="399"/>
      <c r="F24" s="399"/>
      <c r="G24" s="482"/>
      <c r="H24" s="455" t="s">
        <v>85</v>
      </c>
      <c r="I24" s="185">
        <v>2</v>
      </c>
      <c r="J24" s="185">
        <v>2</v>
      </c>
      <c r="K24" s="187">
        <f>J24-I24</f>
        <v>0</v>
      </c>
    </row>
    <row r="25" spans="2:11" ht="24.95" customHeight="1">
      <c r="B25" s="400"/>
      <c r="C25" s="401"/>
      <c r="D25" s="401"/>
      <c r="E25" s="401"/>
      <c r="F25" s="401"/>
      <c r="G25" s="481" t="s">
        <v>374</v>
      </c>
      <c r="H25" s="376" t="s">
        <v>181</v>
      </c>
      <c r="I25" s="377">
        <f>I26</f>
        <v>22523</v>
      </c>
      <c r="J25" s="377">
        <f>J26</f>
        <v>75</v>
      </c>
      <c r="K25" s="380">
        <f>K26</f>
        <v>-22448</v>
      </c>
    </row>
    <row r="26" spans="2:11" ht="24.95" customHeight="1">
      <c r="B26" s="400"/>
      <c r="C26" s="401"/>
      <c r="D26" s="401"/>
      <c r="E26" s="401"/>
      <c r="F26" s="401"/>
      <c r="G26" s="478"/>
      <c r="H26" s="455" t="s">
        <v>375</v>
      </c>
      <c r="I26" s="185">
        <v>22523</v>
      </c>
      <c r="J26" s="185">
        <v>75</v>
      </c>
      <c r="K26" s="187">
        <f>J26-I26</f>
        <v>-22448</v>
      </c>
    </row>
    <row r="27" spans="2:11" ht="24.95" customHeight="1">
      <c r="B27" s="400"/>
      <c r="C27" s="401"/>
      <c r="D27" s="401"/>
      <c r="E27" s="401"/>
      <c r="F27" s="401"/>
      <c r="G27" s="477" t="s">
        <v>86</v>
      </c>
      <c r="H27" s="376" t="s">
        <v>181</v>
      </c>
      <c r="I27" s="377">
        <f>I28</f>
        <v>0</v>
      </c>
      <c r="J27" s="377">
        <f>J28</f>
        <v>0</v>
      </c>
      <c r="K27" s="380">
        <f>K28</f>
        <v>0</v>
      </c>
    </row>
    <row r="28" spans="2:11" ht="24.95" customHeight="1" thickBot="1">
      <c r="B28" s="402"/>
      <c r="C28" s="403"/>
      <c r="D28" s="403"/>
      <c r="E28" s="403"/>
      <c r="F28" s="403"/>
      <c r="G28" s="480"/>
      <c r="H28" s="188" t="s">
        <v>87</v>
      </c>
      <c r="I28" s="189">
        <v>0</v>
      </c>
      <c r="J28" s="189">
        <v>0</v>
      </c>
      <c r="K28" s="190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27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77" sqref="E77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85" t="s">
        <v>434</v>
      </c>
      <c r="B1" s="485"/>
      <c r="C1" s="485"/>
      <c r="D1" s="48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86" t="s">
        <v>258</v>
      </c>
      <c r="B2" s="487"/>
      <c r="C2" s="487"/>
      <c r="D2" s="487"/>
      <c r="E2" s="488" t="s">
        <v>430</v>
      </c>
      <c r="F2" s="488" t="s">
        <v>431</v>
      </c>
      <c r="G2" s="493" t="s">
        <v>23</v>
      </c>
      <c r="H2" s="493"/>
      <c r="I2" s="493" t="s">
        <v>257</v>
      </c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7"/>
      <c r="Z2" s="8"/>
    </row>
    <row r="3" spans="1:26" s="3" customFormat="1" ht="32.25" customHeight="1" thickBot="1">
      <c r="A3" s="23" t="s">
        <v>1</v>
      </c>
      <c r="B3" s="24" t="s">
        <v>2</v>
      </c>
      <c r="C3" s="24" t="s">
        <v>256</v>
      </c>
      <c r="D3" s="24" t="s">
        <v>255</v>
      </c>
      <c r="E3" s="489"/>
      <c r="F3" s="489"/>
      <c r="G3" s="143" t="s">
        <v>254</v>
      </c>
      <c r="H3" s="25" t="s">
        <v>4</v>
      </c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8"/>
    </row>
    <row r="4" spans="1:26" s="3" customFormat="1" ht="19.5" customHeight="1">
      <c r="A4" s="490" t="s">
        <v>24</v>
      </c>
      <c r="B4" s="491"/>
      <c r="C4" s="491"/>
      <c r="D4" s="492"/>
      <c r="E4" s="211">
        <f>SUM(E5,E14,E16,E18,E31,E43,E50,E60,E82)</f>
        <v>382351</v>
      </c>
      <c r="F4" s="211">
        <f>SUM(F5,F14,F16,F18,F31,F43,F50,F60,F82)</f>
        <v>315813</v>
      </c>
      <c r="G4" s="266">
        <f>SUM(G5,G14,G16,G18,G31,G43,G50,G60,G82)</f>
        <v>-66538</v>
      </c>
      <c r="H4" s="212">
        <f>IF(E4=0,0,G4/E4)</f>
        <v>-0.17402334504159792</v>
      </c>
      <c r="I4" s="26" t="s">
        <v>253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6">
        <f>SUM(X5,X14,X16,X18,X31,X43,X50,X60,X82)</f>
        <v>315813000</v>
      </c>
      <c r="Y4" s="28" t="s">
        <v>200</v>
      </c>
      <c r="Z4" s="8"/>
    </row>
    <row r="5" spans="1:26" ht="21" customHeight="1">
      <c r="A5" s="33" t="s">
        <v>264</v>
      </c>
      <c r="B5" s="34" t="s">
        <v>266</v>
      </c>
      <c r="C5" s="494" t="s">
        <v>136</v>
      </c>
      <c r="D5" s="495"/>
      <c r="E5" s="423">
        <v>0</v>
      </c>
      <c r="F5" s="423">
        <f>ROUND(X5/1000,0)</f>
        <v>0</v>
      </c>
      <c r="G5" s="424">
        <f>F5-E5</f>
        <v>0</v>
      </c>
      <c r="H5" s="425">
        <f>IF(E5=0,0,G5/E5)</f>
        <v>0</v>
      </c>
      <c r="I5" s="426" t="s">
        <v>279</v>
      </c>
      <c r="J5" s="427"/>
      <c r="K5" s="428"/>
      <c r="L5" s="428"/>
      <c r="M5" s="428"/>
      <c r="N5" s="428"/>
      <c r="O5" s="428"/>
      <c r="P5" s="429"/>
      <c r="Q5" s="429" t="s">
        <v>250</v>
      </c>
      <c r="R5" s="429"/>
      <c r="S5" s="429"/>
      <c r="T5" s="429"/>
      <c r="U5" s="429"/>
      <c r="V5" s="429"/>
      <c r="W5" s="430"/>
      <c r="X5" s="430">
        <f>SUM(X6,X8,X10,X12)</f>
        <v>0</v>
      </c>
      <c r="Y5" s="431" t="s">
        <v>25</v>
      </c>
    </row>
    <row r="6" spans="1:26" ht="21" customHeight="1" thickBot="1">
      <c r="A6" s="43" t="s">
        <v>265</v>
      </c>
      <c r="B6" s="44" t="s">
        <v>264</v>
      </c>
      <c r="C6" s="44" t="s">
        <v>267</v>
      </c>
      <c r="D6" s="45" t="s">
        <v>268</v>
      </c>
      <c r="E6" s="420"/>
      <c r="F6" s="420"/>
      <c r="G6" s="421"/>
      <c r="H6" s="422"/>
      <c r="I6" s="38" t="s">
        <v>275</v>
      </c>
      <c r="J6" s="138"/>
      <c r="K6" s="39"/>
      <c r="L6" s="39"/>
      <c r="M6" s="39"/>
      <c r="N6" s="39"/>
      <c r="O6" s="39"/>
      <c r="P6" s="40"/>
      <c r="Q6" s="40" t="s">
        <v>91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265</v>
      </c>
      <c r="C7" s="57" t="s">
        <v>265</v>
      </c>
      <c r="D7" s="394"/>
      <c r="E7" s="214"/>
      <c r="F7" s="214"/>
      <c r="G7" s="216"/>
      <c r="H7" s="217"/>
      <c r="I7" s="218"/>
      <c r="J7" s="219"/>
      <c r="K7" s="220"/>
      <c r="L7" s="220"/>
      <c r="M7" s="220"/>
      <c r="N7" s="220"/>
      <c r="O7" s="220"/>
      <c r="P7" s="221"/>
      <c r="Q7" s="221"/>
      <c r="R7" s="221"/>
      <c r="S7" s="221"/>
      <c r="T7" s="221"/>
      <c r="U7" s="221"/>
      <c r="V7" s="221"/>
      <c r="W7" s="222"/>
      <c r="X7" s="222"/>
      <c r="Y7" s="247"/>
    </row>
    <row r="8" spans="1:26" ht="21" hidden="1" customHeight="1" thickBot="1">
      <c r="A8" s="43"/>
      <c r="B8" s="44"/>
      <c r="C8" s="34" t="s">
        <v>269</v>
      </c>
      <c r="D8" s="192" t="s">
        <v>272</v>
      </c>
      <c r="E8" s="205"/>
      <c r="F8" s="205"/>
      <c r="G8" s="206"/>
      <c r="H8" s="207"/>
      <c r="I8" s="38" t="s">
        <v>275</v>
      </c>
      <c r="J8" s="138"/>
      <c r="K8" s="39"/>
      <c r="L8" s="39"/>
      <c r="M8" s="39"/>
      <c r="N8" s="39"/>
      <c r="O8" s="39"/>
      <c r="P8" s="40"/>
      <c r="Q8" s="40" t="s">
        <v>91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271</v>
      </c>
      <c r="D9" s="394" t="s">
        <v>271</v>
      </c>
      <c r="E9" s="214"/>
      <c r="F9" s="214"/>
      <c r="G9" s="216"/>
      <c r="H9" s="217"/>
      <c r="I9" s="218"/>
      <c r="J9" s="219"/>
      <c r="K9" s="220"/>
      <c r="L9" s="220"/>
      <c r="M9" s="220"/>
      <c r="N9" s="220"/>
      <c r="O9" s="220"/>
      <c r="P9" s="221"/>
      <c r="Q9" s="221"/>
      <c r="R9" s="221"/>
      <c r="S9" s="221"/>
      <c r="T9" s="221"/>
      <c r="U9" s="221"/>
      <c r="V9" s="221"/>
      <c r="W9" s="222"/>
      <c r="X9" s="222"/>
      <c r="Y9" s="247"/>
    </row>
    <row r="10" spans="1:26" ht="21" hidden="1" customHeight="1" thickBot="1">
      <c r="A10" s="43"/>
      <c r="B10" s="44"/>
      <c r="C10" s="34" t="s">
        <v>273</v>
      </c>
      <c r="D10" s="192" t="s">
        <v>273</v>
      </c>
      <c r="E10" s="205"/>
      <c r="F10" s="205"/>
      <c r="G10" s="206"/>
      <c r="H10" s="207"/>
      <c r="I10" s="38" t="s">
        <v>276</v>
      </c>
      <c r="J10" s="138"/>
      <c r="K10" s="39"/>
      <c r="L10" s="39"/>
      <c r="M10" s="39"/>
      <c r="N10" s="39"/>
      <c r="O10" s="39"/>
      <c r="P10" s="40"/>
      <c r="Q10" s="40" t="s">
        <v>91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265</v>
      </c>
      <c r="D11" s="394" t="s">
        <v>265</v>
      </c>
      <c r="E11" s="214"/>
      <c r="F11" s="214"/>
      <c r="G11" s="216"/>
      <c r="H11" s="217"/>
      <c r="I11" s="218"/>
      <c r="J11" s="219"/>
      <c r="K11" s="220"/>
      <c r="L11" s="220"/>
      <c r="M11" s="220"/>
      <c r="N11" s="220"/>
      <c r="O11" s="220"/>
      <c r="P11" s="221"/>
      <c r="Q11" s="221"/>
      <c r="R11" s="221"/>
      <c r="S11" s="221"/>
      <c r="T11" s="221"/>
      <c r="U11" s="221"/>
      <c r="V11" s="221"/>
      <c r="W11" s="222"/>
      <c r="X11" s="222"/>
      <c r="Y11" s="247"/>
    </row>
    <row r="12" spans="1:26" ht="21" customHeight="1" thickBot="1">
      <c r="A12" s="43"/>
      <c r="B12" s="44"/>
      <c r="C12" s="45" t="s">
        <v>274</v>
      </c>
      <c r="D12" s="45" t="s">
        <v>274</v>
      </c>
      <c r="E12" s="420"/>
      <c r="F12" s="420"/>
      <c r="G12" s="421"/>
      <c r="H12" s="422"/>
      <c r="I12" s="38" t="s">
        <v>277</v>
      </c>
      <c r="J12" s="138"/>
      <c r="K12" s="39"/>
      <c r="L12" s="39"/>
      <c r="M12" s="39"/>
      <c r="N12" s="39"/>
      <c r="O12" s="39"/>
      <c r="P12" s="40"/>
      <c r="Q12" s="40" t="s">
        <v>91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265</v>
      </c>
      <c r="D13" s="45" t="s">
        <v>265</v>
      </c>
      <c r="E13" s="46"/>
      <c r="F13" s="46"/>
      <c r="G13" s="47"/>
      <c r="H13" s="29"/>
      <c r="I13" s="453"/>
      <c r="J13" s="129"/>
      <c r="K13" s="83"/>
      <c r="L13" s="83"/>
      <c r="M13" s="213"/>
      <c r="N13" s="213"/>
      <c r="O13" s="326"/>
      <c r="P13" s="441"/>
      <c r="Q13" s="213"/>
      <c r="R13" s="326"/>
      <c r="S13" s="454"/>
      <c r="T13" s="191"/>
      <c r="U13" s="191"/>
      <c r="V13" s="191"/>
      <c r="W13" s="213"/>
      <c r="X13" s="213">
        <f>M13*P13*S13</f>
        <v>0</v>
      </c>
      <c r="Y13" s="71" t="s">
        <v>192</v>
      </c>
    </row>
    <row r="14" spans="1:26" s="11" customFormat="1" ht="19.5" hidden="1" customHeight="1" thickBot="1">
      <c r="A14" s="33" t="s">
        <v>252</v>
      </c>
      <c r="B14" s="34" t="s">
        <v>252</v>
      </c>
      <c r="C14" s="34" t="s">
        <v>252</v>
      </c>
      <c r="D14" s="34" t="s">
        <v>252</v>
      </c>
      <c r="E14" s="205">
        <v>0</v>
      </c>
      <c r="F14" s="205">
        <f>ROUND(X14/1000,0)</f>
        <v>0</v>
      </c>
      <c r="G14" s="206">
        <f>F14-E14</f>
        <v>0</v>
      </c>
      <c r="H14" s="207">
        <f>IF(E14=0,0,G14/E14)</f>
        <v>0</v>
      </c>
      <c r="I14" s="38" t="s">
        <v>251</v>
      </c>
      <c r="J14" s="138"/>
      <c r="K14" s="39"/>
      <c r="L14" s="39"/>
      <c r="M14" s="39"/>
      <c r="N14" s="39"/>
      <c r="O14" s="39"/>
      <c r="P14" s="40"/>
      <c r="Q14" s="40" t="s">
        <v>250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244</v>
      </c>
      <c r="B15" s="57" t="s">
        <v>244</v>
      </c>
      <c r="C15" s="57" t="s">
        <v>244</v>
      </c>
      <c r="D15" s="57" t="s">
        <v>244</v>
      </c>
      <c r="E15" s="46"/>
      <c r="F15" s="46"/>
      <c r="G15" s="47"/>
      <c r="H15" s="29"/>
      <c r="I15" s="51" t="s">
        <v>278</v>
      </c>
      <c r="J15" s="52"/>
      <c r="K15" s="53"/>
      <c r="L15" s="53"/>
      <c r="M15" s="270"/>
      <c r="N15" s="270"/>
      <c r="O15" s="271"/>
      <c r="P15" s="270"/>
      <c r="Q15" s="270"/>
      <c r="R15" s="271"/>
      <c r="S15" s="54"/>
      <c r="T15" s="388"/>
      <c r="U15" s="388"/>
      <c r="V15" s="388"/>
      <c r="W15" s="270"/>
      <c r="X15" s="270">
        <v>0</v>
      </c>
      <c r="Y15" s="55" t="s">
        <v>192</v>
      </c>
    </row>
    <row r="16" spans="1:26" ht="21" hidden="1" customHeight="1" thickBot="1">
      <c r="A16" s="33" t="s">
        <v>249</v>
      </c>
      <c r="B16" s="34" t="s">
        <v>249</v>
      </c>
      <c r="C16" s="34" t="s">
        <v>249</v>
      </c>
      <c r="D16" s="34" t="s">
        <v>249</v>
      </c>
      <c r="E16" s="205">
        <v>0</v>
      </c>
      <c r="F16" s="205">
        <f>ROUND(X16/1000,0)</f>
        <v>0</v>
      </c>
      <c r="G16" s="206">
        <f>F16-E16</f>
        <v>0</v>
      </c>
      <c r="H16" s="207">
        <f>IF(E16=0,0,G16/E16)</f>
        <v>0</v>
      </c>
      <c r="I16" s="38" t="s">
        <v>248</v>
      </c>
      <c r="J16" s="138"/>
      <c r="K16" s="39"/>
      <c r="L16" s="39"/>
      <c r="M16" s="39"/>
      <c r="N16" s="39"/>
      <c r="O16" s="39"/>
      <c r="P16" s="40"/>
      <c r="Q16" s="40" t="s">
        <v>247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7" ht="21" hidden="1" customHeight="1">
      <c r="A17" s="56" t="s">
        <v>244</v>
      </c>
      <c r="B17" s="57" t="s">
        <v>244</v>
      </c>
      <c r="C17" s="57" t="s">
        <v>244</v>
      </c>
      <c r="D17" s="394" t="s">
        <v>244</v>
      </c>
      <c r="E17" s="214"/>
      <c r="F17" s="215">
        <v>0</v>
      </c>
      <c r="G17" s="216"/>
      <c r="H17" s="217"/>
      <c r="I17" s="218"/>
      <c r="J17" s="219"/>
      <c r="K17" s="220"/>
      <c r="L17" s="220"/>
      <c r="M17" s="220"/>
      <c r="N17" s="220"/>
      <c r="O17" s="220"/>
      <c r="P17" s="221"/>
      <c r="Q17" s="221"/>
      <c r="R17" s="221"/>
      <c r="S17" s="221"/>
      <c r="T17" s="221"/>
      <c r="U17" s="221"/>
      <c r="V17" s="221"/>
      <c r="W17" s="222"/>
      <c r="X17" s="222">
        <v>0</v>
      </c>
      <c r="Y17" s="247" t="s">
        <v>192</v>
      </c>
    </row>
    <row r="18" spans="1:27" s="11" customFormat="1" ht="19.5" hidden="1" customHeight="1">
      <c r="A18" s="33" t="s">
        <v>237</v>
      </c>
      <c r="B18" s="34" t="s">
        <v>237</v>
      </c>
      <c r="C18" s="494" t="s">
        <v>199</v>
      </c>
      <c r="D18" s="495"/>
      <c r="E18" s="230">
        <f>SUM(E19,E22,E25,E28)</f>
        <v>0</v>
      </c>
      <c r="F18" s="230">
        <f>SUM(F19,F22,F25,F28)</f>
        <v>0</v>
      </c>
      <c r="G18" s="231">
        <f>F18-E18</f>
        <v>0</v>
      </c>
      <c r="H18" s="232">
        <f>IF(E18=0,0,G18/E18)</f>
        <v>0</v>
      </c>
      <c r="I18" s="233" t="s">
        <v>246</v>
      </c>
      <c r="J18" s="234"/>
      <c r="K18" s="235"/>
      <c r="L18" s="235"/>
      <c r="M18" s="234"/>
      <c r="N18" s="234"/>
      <c r="O18" s="234"/>
      <c r="P18" s="234"/>
      <c r="Q18" s="234"/>
      <c r="R18" s="236"/>
      <c r="S18" s="236"/>
      <c r="T18" s="236"/>
      <c r="U18" s="236"/>
      <c r="V18" s="236"/>
      <c r="W18" s="236"/>
      <c r="X18" s="237">
        <f>SUM(X19,X22,X25,X28)</f>
        <v>0</v>
      </c>
      <c r="Y18" s="248" t="s">
        <v>25</v>
      </c>
      <c r="Z18" s="6"/>
    </row>
    <row r="19" spans="1:27" s="11" customFormat="1" ht="19.5" hidden="1" customHeight="1">
      <c r="A19" s="43" t="s">
        <v>245</v>
      </c>
      <c r="B19" s="44" t="s">
        <v>244</v>
      </c>
      <c r="C19" s="34" t="s">
        <v>243</v>
      </c>
      <c r="D19" s="389" t="s">
        <v>195</v>
      </c>
      <c r="E19" s="208">
        <f>SUM(E20:E20)</f>
        <v>0</v>
      </c>
      <c r="F19" s="208">
        <f>SUM(F20:F20)</f>
        <v>0</v>
      </c>
      <c r="G19" s="209">
        <f>F19-E19</f>
        <v>0</v>
      </c>
      <c r="H19" s="210">
        <f>IF(E19=0,0,G19/E19)</f>
        <v>0</v>
      </c>
      <c r="I19" s="194" t="s">
        <v>242</v>
      </c>
      <c r="J19" s="195"/>
      <c r="K19" s="196"/>
      <c r="L19" s="196"/>
      <c r="M19" s="196"/>
      <c r="N19" s="196"/>
      <c r="O19" s="196"/>
      <c r="P19" s="197"/>
      <c r="Q19" s="197"/>
      <c r="R19" s="197"/>
      <c r="S19" s="197"/>
      <c r="T19" s="197"/>
      <c r="U19" s="197"/>
      <c r="V19" s="223" t="s">
        <v>193</v>
      </c>
      <c r="W19" s="224"/>
      <c r="X19" s="225">
        <f>X20</f>
        <v>0</v>
      </c>
      <c r="Y19" s="249" t="s">
        <v>192</v>
      </c>
      <c r="Z19" s="6"/>
    </row>
    <row r="20" spans="1:27" s="11" customFormat="1" ht="19.5" hidden="1" customHeight="1">
      <c r="A20" s="43"/>
      <c r="B20" s="44"/>
      <c r="C20" s="44" t="s">
        <v>237</v>
      </c>
      <c r="D20" s="44" t="s">
        <v>280</v>
      </c>
      <c r="E20" s="393">
        <v>0</v>
      </c>
      <c r="F20" s="393">
        <f>ROUND(X20/1000,0)</f>
        <v>0</v>
      </c>
      <c r="G20" s="252">
        <f>F20-E20</f>
        <v>0</v>
      </c>
      <c r="H20" s="253">
        <f>IF(E20=0,0,G20/E20)</f>
        <v>0</v>
      </c>
      <c r="I20" s="139"/>
      <c r="J20" s="271"/>
      <c r="K20" s="270"/>
      <c r="L20" s="270"/>
      <c r="M20" s="270"/>
      <c r="N20" s="388"/>
      <c r="O20" s="198"/>
      <c r="P20" s="270"/>
      <c r="Q20" s="52"/>
      <c r="R20" s="199"/>
      <c r="S20" s="200"/>
      <c r="T20" s="200"/>
      <c r="U20" s="388"/>
      <c r="V20" s="390" t="s">
        <v>236</v>
      </c>
      <c r="W20" s="140"/>
      <c r="X20" s="140">
        <f>X21</f>
        <v>0</v>
      </c>
      <c r="Y20" s="141" t="s">
        <v>192</v>
      </c>
      <c r="Z20" s="6"/>
    </row>
    <row r="21" spans="1:27" s="11" customFormat="1" ht="19.5" hidden="1" customHeight="1">
      <c r="A21" s="58"/>
      <c r="B21" s="44"/>
      <c r="C21" s="44"/>
      <c r="D21" s="57" t="s">
        <v>281</v>
      </c>
      <c r="E21" s="59"/>
      <c r="F21" s="59"/>
      <c r="G21" s="60"/>
      <c r="H21" s="82"/>
      <c r="I21" s="322"/>
      <c r="J21" s="324"/>
      <c r="K21" s="329"/>
      <c r="L21" s="329"/>
      <c r="M21" s="323"/>
      <c r="N21" s="323"/>
      <c r="O21" s="330"/>
      <c r="P21" s="323"/>
      <c r="Q21" s="331"/>
      <c r="R21" s="332"/>
      <c r="S21" s="333"/>
      <c r="T21" s="334"/>
      <c r="U21" s="334"/>
      <c r="V21" s="335"/>
      <c r="W21" s="336"/>
      <c r="X21" s="324"/>
      <c r="Y21" s="325"/>
      <c r="Z21" s="6"/>
    </row>
    <row r="22" spans="1:27" s="11" customFormat="1" ht="19.5" hidden="1" customHeight="1">
      <c r="A22" s="58"/>
      <c r="B22" s="44"/>
      <c r="C22" s="34" t="s">
        <v>241</v>
      </c>
      <c r="D22" s="389" t="s">
        <v>195</v>
      </c>
      <c r="E22" s="208">
        <f>SUM(E23:E24)</f>
        <v>0</v>
      </c>
      <c r="F22" s="208">
        <f>SUM(F23:F24)</f>
        <v>0</v>
      </c>
      <c r="G22" s="209">
        <f>F22-E22</f>
        <v>0</v>
      </c>
      <c r="H22" s="210">
        <f>IF(E22=0,0,G22/E22)</f>
        <v>0</v>
      </c>
      <c r="I22" s="194" t="s">
        <v>240</v>
      </c>
      <c r="J22" s="195"/>
      <c r="K22" s="196"/>
      <c r="L22" s="196"/>
      <c r="M22" s="196"/>
      <c r="N22" s="196"/>
      <c r="O22" s="196"/>
      <c r="P22" s="197"/>
      <c r="Q22" s="197"/>
      <c r="R22" s="197"/>
      <c r="S22" s="197"/>
      <c r="T22" s="197"/>
      <c r="U22" s="197"/>
      <c r="V22" s="223" t="s">
        <v>193</v>
      </c>
      <c r="W22" s="224"/>
      <c r="X22" s="224">
        <f>X23</f>
        <v>0</v>
      </c>
      <c r="Y22" s="249" t="s">
        <v>192</v>
      </c>
      <c r="Z22" s="6"/>
    </row>
    <row r="23" spans="1:27" s="11" customFormat="1" ht="19.5" hidden="1" customHeight="1">
      <c r="A23" s="58"/>
      <c r="B23" s="44"/>
      <c r="C23" s="44" t="s">
        <v>237</v>
      </c>
      <c r="D23" s="34" t="s">
        <v>282</v>
      </c>
      <c r="E23" s="35">
        <v>0</v>
      </c>
      <c r="F23" s="226">
        <f>ROUND(X23/1000,0)</f>
        <v>0</v>
      </c>
      <c r="G23" s="36">
        <f>F23-E23</f>
        <v>0</v>
      </c>
      <c r="H23" s="119">
        <f>IF(E23=0,0,G23/E23)</f>
        <v>0</v>
      </c>
      <c r="I23" s="139"/>
      <c r="J23" s="157"/>
      <c r="K23" s="86"/>
      <c r="L23" s="86"/>
      <c r="M23" s="86"/>
      <c r="N23" s="229"/>
      <c r="O23" s="227"/>
      <c r="P23" s="86"/>
      <c r="Q23" s="228"/>
      <c r="R23" s="392"/>
      <c r="S23" s="391"/>
      <c r="T23" s="391"/>
      <c r="U23" s="229"/>
      <c r="V23" s="390" t="s">
        <v>236</v>
      </c>
      <c r="W23" s="140"/>
      <c r="X23" s="140">
        <f>X24</f>
        <v>0</v>
      </c>
      <c r="Y23" s="141" t="s">
        <v>192</v>
      </c>
      <c r="Z23" s="6"/>
    </row>
    <row r="24" spans="1:27" s="11" customFormat="1" ht="19.5" hidden="1" customHeight="1">
      <c r="A24" s="58"/>
      <c r="B24" s="80"/>
      <c r="C24" s="81"/>
      <c r="D24" s="57" t="s">
        <v>281</v>
      </c>
      <c r="E24" s="59"/>
      <c r="F24" s="59"/>
      <c r="G24" s="60"/>
      <c r="H24" s="82"/>
      <c r="I24" s="326"/>
      <c r="J24" s="213"/>
      <c r="K24" s="83"/>
      <c r="L24" s="83"/>
      <c r="M24" s="213"/>
      <c r="N24" s="213"/>
      <c r="O24" s="326"/>
      <c r="P24" s="213"/>
      <c r="Q24" s="213"/>
      <c r="R24" s="326"/>
      <c r="S24" s="326"/>
      <c r="T24" s="326"/>
      <c r="U24" s="326"/>
      <c r="V24" s="326"/>
      <c r="W24" s="326"/>
      <c r="X24" s="213"/>
      <c r="Y24" s="71"/>
      <c r="Z24" s="6"/>
    </row>
    <row r="25" spans="1:27" s="11" customFormat="1" ht="19.5" hidden="1" customHeight="1">
      <c r="A25" s="43"/>
      <c r="B25" s="44"/>
      <c r="C25" s="44" t="s">
        <v>239</v>
      </c>
      <c r="D25" s="389" t="s">
        <v>195</v>
      </c>
      <c r="E25" s="208">
        <f>SUM(E26:E27)</f>
        <v>0</v>
      </c>
      <c r="F25" s="208">
        <f>SUM(F26:F27)</f>
        <v>0</v>
      </c>
      <c r="G25" s="209">
        <f>F25-E25</f>
        <v>0</v>
      </c>
      <c r="H25" s="210">
        <f>IF(E25=0,0,G25/E25)</f>
        <v>0</v>
      </c>
      <c r="I25" s="194" t="s">
        <v>238</v>
      </c>
      <c r="J25" s="195"/>
      <c r="K25" s="196"/>
      <c r="L25" s="196"/>
      <c r="M25" s="196"/>
      <c r="N25" s="196"/>
      <c r="O25" s="196"/>
      <c r="P25" s="197"/>
      <c r="Q25" s="197"/>
      <c r="R25" s="197"/>
      <c r="S25" s="197"/>
      <c r="T25" s="197"/>
      <c r="U25" s="197"/>
      <c r="V25" s="223" t="s">
        <v>193</v>
      </c>
      <c r="W25" s="224"/>
      <c r="X25" s="225">
        <f>X26</f>
        <v>0</v>
      </c>
      <c r="Y25" s="249" t="s">
        <v>192</v>
      </c>
      <c r="Z25" s="6"/>
    </row>
    <row r="26" spans="1:27" s="11" customFormat="1" ht="19.5" hidden="1" customHeight="1">
      <c r="A26" s="43"/>
      <c r="B26" s="44"/>
      <c r="C26" s="44" t="s">
        <v>237</v>
      </c>
      <c r="D26" s="34" t="s">
        <v>283</v>
      </c>
      <c r="E26" s="226">
        <v>0</v>
      </c>
      <c r="F26" s="226">
        <f>ROUND(X26/1000,0)</f>
        <v>0</v>
      </c>
      <c r="G26" s="254">
        <f>F26-E26</f>
        <v>0</v>
      </c>
      <c r="H26" s="176">
        <f>IF(E26=0,0,G26/E26)</f>
        <v>0</v>
      </c>
      <c r="I26" s="139"/>
      <c r="J26" s="157"/>
      <c r="K26" s="86"/>
      <c r="L26" s="86"/>
      <c r="M26" s="86"/>
      <c r="N26" s="229"/>
      <c r="O26" s="227"/>
      <c r="P26" s="86"/>
      <c r="Q26" s="228"/>
      <c r="R26" s="392"/>
      <c r="S26" s="391"/>
      <c r="T26" s="391"/>
      <c r="U26" s="229"/>
      <c r="V26" s="390" t="s">
        <v>236</v>
      </c>
      <c r="W26" s="140"/>
      <c r="X26" s="140">
        <f>X27</f>
        <v>0</v>
      </c>
      <c r="Y26" s="141" t="s">
        <v>192</v>
      </c>
      <c r="Z26" s="6"/>
    </row>
    <row r="27" spans="1:27" s="11" customFormat="1" ht="19.5" hidden="1" customHeight="1">
      <c r="A27" s="43"/>
      <c r="B27" s="44"/>
      <c r="C27" s="44"/>
      <c r="D27" s="44" t="s">
        <v>281</v>
      </c>
      <c r="E27" s="46"/>
      <c r="F27" s="46"/>
      <c r="G27" s="47"/>
      <c r="H27" s="68"/>
      <c r="I27" s="65"/>
      <c r="J27" s="271"/>
      <c r="K27" s="270"/>
      <c r="L27" s="270"/>
      <c r="M27" s="270"/>
      <c r="N27" s="52"/>
      <c r="O27" s="72"/>
      <c r="P27" s="76"/>
      <c r="Q27" s="72"/>
      <c r="R27" s="72"/>
      <c r="S27" s="75"/>
      <c r="T27" s="74"/>
      <c r="U27" s="388"/>
      <c r="V27" s="270"/>
      <c r="W27" s="66"/>
      <c r="X27" s="66"/>
      <c r="Y27" s="55"/>
      <c r="Z27" s="6"/>
    </row>
    <row r="28" spans="1:27" s="11" customFormat="1" ht="19.5" hidden="1" customHeight="1">
      <c r="A28" s="43"/>
      <c r="B28" s="44"/>
      <c r="C28" s="34" t="s">
        <v>235</v>
      </c>
      <c r="D28" s="389" t="s">
        <v>205</v>
      </c>
      <c r="E28" s="208">
        <f>E29</f>
        <v>0</v>
      </c>
      <c r="F28" s="208">
        <f>F29</f>
        <v>0</v>
      </c>
      <c r="G28" s="209">
        <f>F28-E28</f>
        <v>0</v>
      </c>
      <c r="H28" s="210">
        <f>IF(E28=0,0,G28/E28)</f>
        <v>0</v>
      </c>
      <c r="I28" s="194" t="s">
        <v>234</v>
      </c>
      <c r="J28" s="195"/>
      <c r="K28" s="196"/>
      <c r="L28" s="196"/>
      <c r="M28" s="196"/>
      <c r="N28" s="196"/>
      <c r="O28" s="196"/>
      <c r="P28" s="197"/>
      <c r="Q28" s="197"/>
      <c r="R28" s="197"/>
      <c r="S28" s="197"/>
      <c r="T28" s="197"/>
      <c r="U28" s="197"/>
      <c r="V28" s="223" t="s">
        <v>204</v>
      </c>
      <c r="W28" s="224"/>
      <c r="X28" s="224">
        <f>SUM(X29:X29)</f>
        <v>0</v>
      </c>
      <c r="Y28" s="249" t="s">
        <v>200</v>
      </c>
      <c r="Z28" s="6"/>
    </row>
    <row r="29" spans="1:27" s="11" customFormat="1" ht="19.5" hidden="1" customHeight="1">
      <c r="A29" s="43"/>
      <c r="B29" s="44"/>
      <c r="C29" s="44" t="s">
        <v>233</v>
      </c>
      <c r="D29" s="44" t="s">
        <v>232</v>
      </c>
      <c r="E29" s="46">
        <v>0</v>
      </c>
      <c r="F29" s="46">
        <f>ROUND(X29/1000,0)</f>
        <v>0</v>
      </c>
      <c r="G29" s="254">
        <f>F29-E29</f>
        <v>0</v>
      </c>
      <c r="H29" s="176">
        <f>IF(E29=0,0,G29/E29)</f>
        <v>0</v>
      </c>
      <c r="I29" s="263"/>
      <c r="J29" s="405"/>
      <c r="K29" s="404"/>
      <c r="L29" s="404"/>
      <c r="M29" s="404"/>
      <c r="N29" s="267"/>
      <c r="O29" s="357"/>
      <c r="P29" s="358"/>
      <c r="Q29" s="357"/>
      <c r="R29" s="359"/>
      <c r="S29" s="74"/>
      <c r="T29" s="74"/>
      <c r="U29" s="267" t="s">
        <v>261</v>
      </c>
      <c r="V29" s="404"/>
      <c r="W29" s="132"/>
      <c r="X29" s="132">
        <f>M29*P29</f>
        <v>0</v>
      </c>
      <c r="Y29" s="133" t="s">
        <v>260</v>
      </c>
      <c r="Z29" s="6"/>
    </row>
    <row r="30" spans="1:27" s="11" customFormat="1" ht="19.5" hidden="1" customHeight="1">
      <c r="A30" s="250"/>
      <c r="B30" s="81"/>
      <c r="C30" s="81"/>
      <c r="D30" s="57"/>
      <c r="E30" s="59"/>
      <c r="F30" s="59"/>
      <c r="G30" s="60"/>
      <c r="H30" s="82"/>
      <c r="I30" s="69"/>
      <c r="J30" s="213"/>
      <c r="K30" s="83"/>
      <c r="L30" s="83"/>
      <c r="M30" s="84"/>
      <c r="N30" s="213"/>
      <c r="O30" s="83"/>
      <c r="P30" s="213"/>
      <c r="Q30" s="213"/>
      <c r="R30" s="213"/>
      <c r="S30" s="213"/>
      <c r="T30" s="213"/>
      <c r="U30" s="213"/>
      <c r="V30" s="213"/>
      <c r="W30" s="213"/>
      <c r="X30" s="213"/>
      <c r="Y30" s="71"/>
      <c r="Z30" s="6"/>
    </row>
    <row r="31" spans="1:27" s="11" customFormat="1" ht="19.5" customHeight="1">
      <c r="A31" s="33" t="s">
        <v>221</v>
      </c>
      <c r="B31" s="34" t="s">
        <v>30</v>
      </c>
      <c r="C31" s="494" t="s">
        <v>231</v>
      </c>
      <c r="D31" s="495"/>
      <c r="E31" s="230">
        <f>SUM(E32,E37)</f>
        <v>21720</v>
      </c>
      <c r="F31" s="230">
        <f>SUM(F32,F37)</f>
        <v>21720</v>
      </c>
      <c r="G31" s="231">
        <f>F31-E31</f>
        <v>0</v>
      </c>
      <c r="H31" s="232">
        <f>IF(E31=0,0,G31/E31)</f>
        <v>0</v>
      </c>
      <c r="I31" s="233" t="s">
        <v>230</v>
      </c>
      <c r="J31" s="234"/>
      <c r="K31" s="235"/>
      <c r="L31" s="235"/>
      <c r="M31" s="234"/>
      <c r="N31" s="234"/>
      <c r="O31" s="234"/>
      <c r="P31" s="234"/>
      <c r="Q31" s="234" t="s">
        <v>229</v>
      </c>
      <c r="R31" s="236"/>
      <c r="S31" s="236"/>
      <c r="T31" s="236"/>
      <c r="U31" s="236"/>
      <c r="V31" s="236"/>
      <c r="W31" s="236"/>
      <c r="X31" s="237">
        <f>X32+X37</f>
        <v>21720000</v>
      </c>
      <c r="Y31" s="248" t="s">
        <v>25</v>
      </c>
      <c r="Z31" s="6"/>
    </row>
    <row r="32" spans="1:27" s="11" customFormat="1" ht="19.5" customHeight="1">
      <c r="A32" s="43" t="s">
        <v>228</v>
      </c>
      <c r="B32" s="44" t="s">
        <v>228</v>
      </c>
      <c r="C32" s="34" t="s">
        <v>227</v>
      </c>
      <c r="D32" s="389" t="s">
        <v>205</v>
      </c>
      <c r="E32" s="208">
        <f>E33</f>
        <v>120</v>
      </c>
      <c r="F32" s="208">
        <f>F33</f>
        <v>120</v>
      </c>
      <c r="G32" s="209">
        <f>F32-E32</f>
        <v>0</v>
      </c>
      <c r="H32" s="210">
        <f>IF(E32=0,0,G32/E32)</f>
        <v>0</v>
      </c>
      <c r="I32" s="194" t="s">
        <v>226</v>
      </c>
      <c r="J32" s="195"/>
      <c r="K32" s="196"/>
      <c r="L32" s="196"/>
      <c r="M32" s="196"/>
      <c r="N32" s="196"/>
      <c r="O32" s="196"/>
      <c r="P32" s="197"/>
      <c r="Q32" s="197"/>
      <c r="R32" s="197"/>
      <c r="S32" s="197"/>
      <c r="T32" s="197"/>
      <c r="U32" s="197"/>
      <c r="V32" s="223" t="s">
        <v>204</v>
      </c>
      <c r="W32" s="224"/>
      <c r="X32" s="225">
        <f>SUM(X33)</f>
        <v>120000</v>
      </c>
      <c r="Y32" s="249" t="s">
        <v>200</v>
      </c>
      <c r="Z32" s="270"/>
      <c r="AA32" s="6"/>
    </row>
    <row r="33" spans="1:26" s="11" customFormat="1" ht="19.5" customHeight="1">
      <c r="A33" s="43"/>
      <c r="B33" s="44"/>
      <c r="C33" s="44" t="s">
        <v>221</v>
      </c>
      <c r="D33" s="34" t="s">
        <v>225</v>
      </c>
      <c r="E33" s="35">
        <v>120</v>
      </c>
      <c r="F33" s="46">
        <f>ROUND(X33/1000,0)</f>
        <v>120</v>
      </c>
      <c r="G33" s="254">
        <f>F33-E33</f>
        <v>0</v>
      </c>
      <c r="H33" s="176">
        <f>IF(E33=0,0,G33/E33)</f>
        <v>0</v>
      </c>
      <c r="I33" s="139" t="s">
        <v>224</v>
      </c>
      <c r="J33" s="157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96" t="s">
        <v>204</v>
      </c>
      <c r="W33" s="496"/>
      <c r="X33" s="140">
        <f>SUM(X34:X35)</f>
        <v>120000</v>
      </c>
      <c r="Y33" s="141" t="s">
        <v>200</v>
      </c>
      <c r="Z33" s="6"/>
    </row>
    <row r="34" spans="1:26" s="11" customFormat="1" ht="19.5" customHeight="1">
      <c r="A34" s="43"/>
      <c r="B34" s="44"/>
      <c r="C34" s="44"/>
      <c r="D34" s="44"/>
      <c r="E34" s="46"/>
      <c r="F34" s="46"/>
      <c r="G34" s="47"/>
      <c r="H34" s="29"/>
      <c r="I34" s="442" t="s">
        <v>362</v>
      </c>
      <c r="J34" s="271"/>
      <c r="K34" s="270"/>
      <c r="L34" s="270"/>
      <c r="M34" s="270">
        <v>10000</v>
      </c>
      <c r="N34" s="388" t="s">
        <v>200</v>
      </c>
      <c r="O34" s="72" t="s">
        <v>203</v>
      </c>
      <c r="P34" s="67">
        <v>12</v>
      </c>
      <c r="Q34" s="72" t="s">
        <v>202</v>
      </c>
      <c r="R34" s="77"/>
      <c r="S34" s="74"/>
      <c r="T34" s="74"/>
      <c r="U34" s="388" t="s">
        <v>201</v>
      </c>
      <c r="V34" s="270"/>
      <c r="W34" s="66"/>
      <c r="X34" s="132">
        <f>M34*P34</f>
        <v>120000</v>
      </c>
      <c r="Y34" s="55" t="s">
        <v>200</v>
      </c>
      <c r="Z34" s="6"/>
    </row>
    <row r="35" spans="1:26" s="11" customFormat="1" ht="19.5" customHeight="1">
      <c r="A35" s="43"/>
      <c r="B35" s="44"/>
      <c r="C35" s="44"/>
      <c r="D35" s="44"/>
      <c r="E35" s="46"/>
      <c r="F35" s="46"/>
      <c r="G35" s="47"/>
      <c r="H35" s="29"/>
      <c r="I35" s="442" t="s">
        <v>362</v>
      </c>
      <c r="J35" s="384"/>
      <c r="K35" s="339"/>
      <c r="L35" s="339"/>
      <c r="M35" s="270">
        <v>0</v>
      </c>
      <c r="N35" s="410" t="s">
        <v>60</v>
      </c>
      <c r="O35" s="72" t="s">
        <v>56</v>
      </c>
      <c r="P35" s="67">
        <v>12</v>
      </c>
      <c r="Q35" s="72" t="s">
        <v>0</v>
      </c>
      <c r="R35" s="77"/>
      <c r="S35" s="74"/>
      <c r="T35" s="74"/>
      <c r="U35" s="410" t="s">
        <v>52</v>
      </c>
      <c r="V35" s="270"/>
      <c r="W35" s="66"/>
      <c r="X35" s="132">
        <f>M35*P35</f>
        <v>0</v>
      </c>
      <c r="Y35" s="55" t="s">
        <v>60</v>
      </c>
      <c r="Z35" s="6"/>
    </row>
    <row r="36" spans="1:26" s="11" customFormat="1" ht="19.5" customHeight="1">
      <c r="A36" s="43"/>
      <c r="B36" s="44"/>
      <c r="C36" s="57"/>
      <c r="D36" s="57"/>
      <c r="E36" s="59"/>
      <c r="F36" s="59"/>
      <c r="G36" s="60"/>
      <c r="H36" s="193"/>
      <c r="I36" s="263"/>
      <c r="J36" s="405"/>
      <c r="K36" s="404"/>
      <c r="L36" s="404"/>
      <c r="M36" s="404"/>
      <c r="N36" s="267"/>
      <c r="O36" s="357"/>
      <c r="P36" s="358"/>
      <c r="Q36" s="357"/>
      <c r="R36" s="359"/>
      <c r="S36" s="74"/>
      <c r="T36" s="74"/>
      <c r="U36" s="267"/>
      <c r="V36" s="404"/>
      <c r="W36" s="132"/>
      <c r="X36" s="132"/>
      <c r="Y36" s="133"/>
      <c r="Z36" s="6"/>
    </row>
    <row r="37" spans="1:26" s="11" customFormat="1" ht="19.5" customHeight="1">
      <c r="A37" s="43"/>
      <c r="B37" s="44"/>
      <c r="C37" s="44" t="s">
        <v>223</v>
      </c>
      <c r="D37" s="389" t="s">
        <v>205</v>
      </c>
      <c r="E37" s="208">
        <f>E38</f>
        <v>21600</v>
      </c>
      <c r="F37" s="208">
        <f>F38</f>
        <v>21600</v>
      </c>
      <c r="G37" s="209">
        <f>F37-E37</f>
        <v>0</v>
      </c>
      <c r="H37" s="210">
        <f>IF(E37=0,0,G37/E37)</f>
        <v>0</v>
      </c>
      <c r="I37" s="194" t="s">
        <v>222</v>
      </c>
      <c r="J37" s="195"/>
      <c r="K37" s="196"/>
      <c r="L37" s="196"/>
      <c r="M37" s="196"/>
      <c r="N37" s="196"/>
      <c r="O37" s="196"/>
      <c r="P37" s="197"/>
      <c r="Q37" s="197"/>
      <c r="R37" s="197"/>
      <c r="S37" s="197"/>
      <c r="T37" s="197"/>
      <c r="U37" s="197"/>
      <c r="V37" s="223" t="s">
        <v>204</v>
      </c>
      <c r="W37" s="224"/>
      <c r="X37" s="224">
        <f>X38</f>
        <v>21600000</v>
      </c>
      <c r="Y37" s="249" t="s">
        <v>200</v>
      </c>
      <c r="Z37" s="6"/>
    </row>
    <row r="38" spans="1:26" s="11" customFormat="1" ht="19.5" customHeight="1">
      <c r="A38" s="43"/>
      <c r="B38" s="44"/>
      <c r="C38" s="44" t="s">
        <v>221</v>
      </c>
      <c r="D38" s="44" t="s">
        <v>220</v>
      </c>
      <c r="E38" s="46">
        <v>21600</v>
      </c>
      <c r="F38" s="46">
        <f>ROUND(X38/1000,0)</f>
        <v>21600</v>
      </c>
      <c r="G38" s="254">
        <f>F38-E38</f>
        <v>0</v>
      </c>
      <c r="H38" s="176">
        <f>IF(E38=0,0,G38/E38)</f>
        <v>0</v>
      </c>
      <c r="I38" s="139" t="s">
        <v>219</v>
      </c>
      <c r="J38" s="15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496" t="s">
        <v>193</v>
      </c>
      <c r="W38" s="496"/>
      <c r="X38" s="140">
        <f>ROUNDUP(SUM(X39:X41),-3)</f>
        <v>21600000</v>
      </c>
      <c r="Y38" s="141" t="s">
        <v>192</v>
      </c>
      <c r="Z38" s="6"/>
    </row>
    <row r="39" spans="1:26" s="11" customFormat="1" ht="19.5" customHeight="1">
      <c r="A39" s="43"/>
      <c r="B39" s="44"/>
      <c r="C39" s="44"/>
      <c r="D39" s="44"/>
      <c r="E39" s="46"/>
      <c r="F39" s="46"/>
      <c r="G39" s="252"/>
      <c r="H39" s="253"/>
      <c r="I39" s="65" t="s">
        <v>218</v>
      </c>
      <c r="J39" s="271"/>
      <c r="K39" s="270"/>
      <c r="L39" s="270"/>
      <c r="M39" s="270">
        <v>1200000</v>
      </c>
      <c r="N39" s="410" t="s">
        <v>60</v>
      </c>
      <c r="O39" s="72" t="s">
        <v>56</v>
      </c>
      <c r="P39" s="67">
        <v>12</v>
      </c>
      <c r="Q39" s="72" t="s">
        <v>0</v>
      </c>
      <c r="R39" s="77"/>
      <c r="S39" s="74"/>
      <c r="T39" s="74"/>
      <c r="U39" s="410" t="s">
        <v>52</v>
      </c>
      <c r="V39" s="270"/>
      <c r="W39" s="66"/>
      <c r="X39" s="132">
        <f>M39*P39</f>
        <v>14400000</v>
      </c>
      <c r="Y39" s="55" t="s">
        <v>60</v>
      </c>
      <c r="Z39" s="6"/>
    </row>
    <row r="40" spans="1:26" s="11" customFormat="1" ht="19.5" customHeight="1">
      <c r="A40" s="43"/>
      <c r="B40" s="44"/>
      <c r="C40" s="44"/>
      <c r="D40" s="44"/>
      <c r="E40" s="46"/>
      <c r="F40" s="46"/>
      <c r="G40" s="252"/>
      <c r="H40" s="253"/>
      <c r="I40" s="65" t="s">
        <v>389</v>
      </c>
      <c r="J40" s="271"/>
      <c r="K40" s="270"/>
      <c r="L40" s="270"/>
      <c r="M40" s="270">
        <v>600000</v>
      </c>
      <c r="N40" s="410" t="s">
        <v>55</v>
      </c>
      <c r="O40" s="72" t="s">
        <v>56</v>
      </c>
      <c r="P40" s="67">
        <v>12</v>
      </c>
      <c r="Q40" s="72" t="s">
        <v>0</v>
      </c>
      <c r="R40" s="77"/>
      <c r="S40" s="74"/>
      <c r="T40" s="74"/>
      <c r="U40" s="410" t="s">
        <v>52</v>
      </c>
      <c r="V40" s="270"/>
      <c r="W40" s="66"/>
      <c r="X40" s="132">
        <f>M40*P40</f>
        <v>7200000</v>
      </c>
      <c r="Y40" s="55" t="s">
        <v>55</v>
      </c>
      <c r="Z40" s="6"/>
    </row>
    <row r="41" spans="1:26" s="11" customFormat="1" ht="19.5" customHeight="1">
      <c r="A41" s="43"/>
      <c r="B41" s="44"/>
      <c r="C41" s="44"/>
      <c r="D41" s="44"/>
      <c r="E41" s="46"/>
      <c r="F41" s="46"/>
      <c r="G41" s="252"/>
      <c r="H41" s="253"/>
      <c r="I41" s="65" t="s">
        <v>406</v>
      </c>
      <c r="J41" s="271"/>
      <c r="K41" s="270"/>
      <c r="L41" s="270"/>
      <c r="M41" s="270"/>
      <c r="N41" s="410"/>
      <c r="O41" s="72"/>
      <c r="P41" s="67"/>
      <c r="Q41" s="72"/>
      <c r="R41" s="77"/>
      <c r="S41" s="74"/>
      <c r="T41" s="74"/>
      <c r="U41" s="410"/>
      <c r="V41" s="270"/>
      <c r="W41" s="66"/>
      <c r="X41" s="66">
        <v>0</v>
      </c>
      <c r="Y41" s="55" t="s">
        <v>407</v>
      </c>
      <c r="Z41" s="6"/>
    </row>
    <row r="42" spans="1:26" s="11" customFormat="1" ht="19.5" customHeight="1">
      <c r="A42" s="56"/>
      <c r="B42" s="57"/>
      <c r="C42" s="57"/>
      <c r="D42" s="57"/>
      <c r="E42" s="59"/>
      <c r="F42" s="59"/>
      <c r="G42" s="60"/>
      <c r="H42" s="193"/>
      <c r="I42" s="69"/>
      <c r="J42" s="326"/>
      <c r="K42" s="213"/>
      <c r="L42" s="213"/>
      <c r="M42" s="213"/>
      <c r="N42" s="191"/>
      <c r="O42" s="201"/>
      <c r="P42" s="202"/>
      <c r="Q42" s="201"/>
      <c r="R42" s="203"/>
      <c r="S42" s="204"/>
      <c r="T42" s="204"/>
      <c r="U42" s="191"/>
      <c r="V42" s="213"/>
      <c r="W42" s="70"/>
      <c r="X42" s="70"/>
      <c r="Y42" s="71"/>
      <c r="Z42" s="6"/>
    </row>
    <row r="43" spans="1:26" s="11" customFormat="1" ht="19.5" hidden="1" customHeight="1">
      <c r="A43" s="33" t="s">
        <v>209</v>
      </c>
      <c r="B43" s="34" t="s">
        <v>209</v>
      </c>
      <c r="C43" s="494" t="s">
        <v>199</v>
      </c>
      <c r="D43" s="495"/>
      <c r="E43" s="230">
        <f>E44+E47</f>
        <v>0</v>
      </c>
      <c r="F43" s="230">
        <f>F44+F47</f>
        <v>0</v>
      </c>
      <c r="G43" s="231">
        <f>F43-E43</f>
        <v>0</v>
      </c>
      <c r="H43" s="232">
        <f>IF(E43=0,0,G43/E43)</f>
        <v>0</v>
      </c>
      <c r="I43" s="233" t="s">
        <v>217</v>
      </c>
      <c r="J43" s="234"/>
      <c r="K43" s="235"/>
      <c r="L43" s="235"/>
      <c r="M43" s="234"/>
      <c r="N43" s="234"/>
      <c r="O43" s="234"/>
      <c r="P43" s="234"/>
      <c r="Q43" s="234" t="s">
        <v>197</v>
      </c>
      <c r="R43" s="236"/>
      <c r="S43" s="236"/>
      <c r="T43" s="236"/>
      <c r="U43" s="236"/>
      <c r="V43" s="236"/>
      <c r="W43" s="236"/>
      <c r="X43" s="237">
        <f>X44+X47</f>
        <v>0</v>
      </c>
      <c r="Y43" s="248" t="s">
        <v>25</v>
      </c>
      <c r="Z43" s="6"/>
    </row>
    <row r="44" spans="1:26" s="11" customFormat="1" ht="19.5" hidden="1" customHeight="1">
      <c r="A44" s="43"/>
      <c r="B44" s="44"/>
      <c r="C44" s="34" t="s">
        <v>216</v>
      </c>
      <c r="D44" s="389" t="s">
        <v>195</v>
      </c>
      <c r="E44" s="208">
        <f>E45</f>
        <v>0</v>
      </c>
      <c r="F44" s="208">
        <f>F45</f>
        <v>0</v>
      </c>
      <c r="G44" s="209">
        <f>F44-E44</f>
        <v>0</v>
      </c>
      <c r="H44" s="210">
        <f>IF(E44=0,0,G44/E44)</f>
        <v>0</v>
      </c>
      <c r="I44" s="194" t="s">
        <v>213</v>
      </c>
      <c r="J44" s="195"/>
      <c r="K44" s="196"/>
      <c r="L44" s="196"/>
      <c r="M44" s="196"/>
      <c r="N44" s="196"/>
      <c r="O44" s="196"/>
      <c r="P44" s="197"/>
      <c r="Q44" s="197"/>
      <c r="R44" s="197"/>
      <c r="S44" s="197"/>
      <c r="T44" s="197"/>
      <c r="U44" s="197"/>
      <c r="V44" s="223" t="s">
        <v>193</v>
      </c>
      <c r="W44" s="224"/>
      <c r="X44" s="225">
        <f>X45</f>
        <v>0</v>
      </c>
      <c r="Y44" s="249" t="s">
        <v>192</v>
      </c>
      <c r="Z44" s="6"/>
    </row>
    <row r="45" spans="1:26" s="11" customFormat="1" ht="19.5" hidden="1" customHeight="1">
      <c r="A45" s="43"/>
      <c r="B45" s="44"/>
      <c r="C45" s="44" t="s">
        <v>215</v>
      </c>
      <c r="D45" s="34" t="s">
        <v>214</v>
      </c>
      <c r="E45" s="35">
        <v>0</v>
      </c>
      <c r="F45" s="46">
        <f>ROUND(X45/1000,0)</f>
        <v>0</v>
      </c>
      <c r="G45" s="36">
        <f>F45-E45</f>
        <v>0</v>
      </c>
      <c r="H45" s="37">
        <f>IF(E45=0,0,G45/E45)</f>
        <v>0</v>
      </c>
      <c r="I45" s="139" t="s">
        <v>213</v>
      </c>
      <c r="J45" s="157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496" t="s">
        <v>193</v>
      </c>
      <c r="W45" s="496"/>
      <c r="X45" s="140">
        <f>X46</f>
        <v>0</v>
      </c>
      <c r="Y45" s="141" t="s">
        <v>192</v>
      </c>
      <c r="Z45" s="6"/>
    </row>
    <row r="46" spans="1:26" s="11" customFormat="1" ht="19.5" hidden="1" customHeight="1">
      <c r="A46" s="43"/>
      <c r="B46" s="44"/>
      <c r="C46" s="44" t="s">
        <v>209</v>
      </c>
      <c r="D46" s="44" t="s">
        <v>209</v>
      </c>
      <c r="E46" s="46"/>
      <c r="F46" s="46"/>
      <c r="G46" s="47"/>
      <c r="H46" s="29"/>
      <c r="I46" s="65" t="s">
        <v>212</v>
      </c>
      <c r="J46" s="271"/>
      <c r="K46" s="270"/>
      <c r="L46" s="270"/>
      <c r="M46" s="270"/>
      <c r="N46" s="388"/>
      <c r="O46" s="72"/>
      <c r="P46" s="67"/>
      <c r="Q46" s="72"/>
      <c r="R46" s="77"/>
      <c r="S46" s="74"/>
      <c r="T46" s="74"/>
      <c r="U46" s="388"/>
      <c r="V46" s="270"/>
      <c r="W46" s="66"/>
      <c r="X46" s="66">
        <v>0</v>
      </c>
      <c r="Y46" s="55" t="s">
        <v>192</v>
      </c>
      <c r="Z46" s="6"/>
    </row>
    <row r="47" spans="1:26" s="11" customFormat="1" ht="19.5" hidden="1" customHeight="1">
      <c r="A47" s="43"/>
      <c r="B47" s="44"/>
      <c r="C47" s="34" t="s">
        <v>211</v>
      </c>
      <c r="D47" s="389" t="s">
        <v>195</v>
      </c>
      <c r="E47" s="208">
        <f>E48</f>
        <v>0</v>
      </c>
      <c r="F47" s="208">
        <f>F48</f>
        <v>0</v>
      </c>
      <c r="G47" s="209">
        <f>F47-E47</f>
        <v>0</v>
      </c>
      <c r="H47" s="210">
        <f>IF(E47=0,0,G47/E47)</f>
        <v>0</v>
      </c>
      <c r="I47" s="194" t="s">
        <v>210</v>
      </c>
      <c r="J47" s="195"/>
      <c r="K47" s="196"/>
      <c r="L47" s="196"/>
      <c r="M47" s="196"/>
      <c r="N47" s="196"/>
      <c r="O47" s="196"/>
      <c r="P47" s="197"/>
      <c r="Q47" s="197"/>
      <c r="R47" s="197"/>
      <c r="S47" s="197"/>
      <c r="T47" s="197"/>
      <c r="U47" s="197"/>
      <c r="V47" s="223" t="s">
        <v>193</v>
      </c>
      <c r="W47" s="224"/>
      <c r="X47" s="224">
        <f>X48</f>
        <v>0</v>
      </c>
      <c r="Y47" s="249" t="s">
        <v>192</v>
      </c>
      <c r="Z47" s="6"/>
    </row>
    <row r="48" spans="1:26" s="11" customFormat="1" ht="19.5" hidden="1" customHeight="1">
      <c r="A48" s="43"/>
      <c r="B48" s="44"/>
      <c r="C48" s="44" t="s">
        <v>209</v>
      </c>
      <c r="D48" s="44" t="s">
        <v>208</v>
      </c>
      <c r="E48" s="46">
        <v>0</v>
      </c>
      <c r="F48" s="46">
        <f>ROUND(X48/1000,0)</f>
        <v>0</v>
      </c>
      <c r="G48" s="36">
        <f>F48-E48</f>
        <v>0</v>
      </c>
      <c r="H48" s="37">
        <f>IF(E48=0,0,G48/E48)</f>
        <v>0</v>
      </c>
      <c r="I48" s="65" t="s">
        <v>207</v>
      </c>
      <c r="J48" s="271"/>
      <c r="K48" s="270"/>
      <c r="L48" s="270"/>
      <c r="M48" s="270"/>
      <c r="N48" s="388"/>
      <c r="O48" s="72"/>
      <c r="P48" s="67"/>
      <c r="Q48" s="72"/>
      <c r="R48" s="77"/>
      <c r="S48" s="74"/>
      <c r="T48" s="74"/>
      <c r="U48" s="388"/>
      <c r="V48" s="270"/>
      <c r="W48" s="66"/>
      <c r="X48" s="66">
        <v>0</v>
      </c>
      <c r="Y48" s="55" t="s">
        <v>192</v>
      </c>
      <c r="Z48" s="6"/>
    </row>
    <row r="49" spans="1:26" s="11" customFormat="1" ht="19.5" hidden="1" customHeight="1">
      <c r="A49" s="56"/>
      <c r="B49" s="57"/>
      <c r="C49" s="57"/>
      <c r="D49" s="57"/>
      <c r="E49" s="59"/>
      <c r="F49" s="59"/>
      <c r="G49" s="60"/>
      <c r="H49" s="193"/>
      <c r="I49" s="69"/>
      <c r="J49" s="326"/>
      <c r="K49" s="213"/>
      <c r="L49" s="213"/>
      <c r="M49" s="213"/>
      <c r="N49" s="191"/>
      <c r="O49" s="201"/>
      <c r="P49" s="202"/>
      <c r="Q49" s="201"/>
      <c r="R49" s="203"/>
      <c r="S49" s="204"/>
      <c r="T49" s="204"/>
      <c r="U49" s="191"/>
      <c r="V49" s="213"/>
      <c r="W49" s="70"/>
      <c r="X49" s="70"/>
      <c r="Y49" s="71"/>
      <c r="Z49" s="6"/>
    </row>
    <row r="50" spans="1:26" s="11" customFormat="1" ht="19.5" customHeight="1">
      <c r="A50" s="33" t="s">
        <v>206</v>
      </c>
      <c r="B50" s="34" t="s">
        <v>13</v>
      </c>
      <c r="C50" s="494" t="s">
        <v>199</v>
      </c>
      <c r="D50" s="495"/>
      <c r="E50" s="230">
        <f>SUM(E51)</f>
        <v>250000</v>
      </c>
      <c r="F50" s="230">
        <f>SUM(F51)</f>
        <v>215908</v>
      </c>
      <c r="G50" s="231">
        <f>F50-E50</f>
        <v>-34092</v>
      </c>
      <c r="H50" s="232">
        <f>IF(E50=0,0,G50/E50)</f>
        <v>-0.13636799999999999</v>
      </c>
      <c r="I50" s="233" t="s">
        <v>378</v>
      </c>
      <c r="J50" s="234"/>
      <c r="K50" s="235"/>
      <c r="L50" s="235"/>
      <c r="M50" s="234"/>
      <c r="N50" s="234"/>
      <c r="O50" s="234"/>
      <c r="P50" s="234"/>
      <c r="Q50" s="234" t="s">
        <v>197</v>
      </c>
      <c r="R50" s="236"/>
      <c r="S50" s="236"/>
      <c r="T50" s="236"/>
      <c r="U50" s="236"/>
      <c r="V50" s="236"/>
      <c r="W50" s="236"/>
      <c r="X50" s="237">
        <f>X51</f>
        <v>215908000</v>
      </c>
      <c r="Y50" s="248" t="s">
        <v>25</v>
      </c>
      <c r="Z50" s="6"/>
    </row>
    <row r="51" spans="1:26" s="11" customFormat="1" ht="19.5" customHeight="1">
      <c r="A51" s="43"/>
      <c r="B51" s="44"/>
      <c r="C51" s="34" t="s">
        <v>287</v>
      </c>
      <c r="D51" s="389" t="s">
        <v>195</v>
      </c>
      <c r="E51" s="208">
        <f>E52</f>
        <v>250000</v>
      </c>
      <c r="F51" s="208">
        <f>F52</f>
        <v>215908</v>
      </c>
      <c r="G51" s="209">
        <f>F51-E51</f>
        <v>-34092</v>
      </c>
      <c r="H51" s="210">
        <f>IF(E51=0,0,G51/E51)</f>
        <v>-0.13636799999999999</v>
      </c>
      <c r="I51" s="194" t="s">
        <v>379</v>
      </c>
      <c r="J51" s="195"/>
      <c r="K51" s="196"/>
      <c r="L51" s="196"/>
      <c r="M51" s="196"/>
      <c r="N51" s="196"/>
      <c r="O51" s="196"/>
      <c r="P51" s="197"/>
      <c r="Q51" s="197"/>
      <c r="R51" s="197"/>
      <c r="S51" s="197"/>
      <c r="T51" s="197"/>
      <c r="U51" s="197"/>
      <c r="V51" s="223" t="s">
        <v>193</v>
      </c>
      <c r="W51" s="224"/>
      <c r="X51" s="225">
        <f>SUM(X52:X52)</f>
        <v>215908000</v>
      </c>
      <c r="Y51" s="249" t="s">
        <v>192</v>
      </c>
      <c r="Z51" s="6"/>
    </row>
    <row r="52" spans="1:26" s="11" customFormat="1" ht="19.5" customHeight="1">
      <c r="A52" s="43"/>
      <c r="B52" s="44"/>
      <c r="C52" s="44" t="s">
        <v>288</v>
      </c>
      <c r="D52" s="34" t="s">
        <v>284</v>
      </c>
      <c r="E52" s="35">
        <v>250000</v>
      </c>
      <c r="F52" s="46">
        <f>ROUND(X52/1000,0)</f>
        <v>215908</v>
      </c>
      <c r="G52" s="36">
        <f>F52-E52</f>
        <v>-34092</v>
      </c>
      <c r="H52" s="37">
        <f>IF(E52=0,0,G52/E52)</f>
        <v>-0.13636799999999999</v>
      </c>
      <c r="I52" s="139" t="s">
        <v>380</v>
      </c>
      <c r="J52" s="157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496" t="s">
        <v>193</v>
      </c>
      <c r="W52" s="496"/>
      <c r="X52" s="140">
        <f>SUM(X53:X59)</f>
        <v>215908000</v>
      </c>
      <c r="Y52" s="141" t="s">
        <v>192</v>
      </c>
      <c r="Z52" s="6"/>
    </row>
    <row r="53" spans="1:26" s="11" customFormat="1" ht="19.5" customHeight="1">
      <c r="A53" s="43"/>
      <c r="B53" s="44"/>
      <c r="C53" s="44" t="s">
        <v>286</v>
      </c>
      <c r="D53" s="44" t="s">
        <v>285</v>
      </c>
      <c r="E53" s="46"/>
      <c r="F53" s="46"/>
      <c r="G53" s="47"/>
      <c r="H53" s="29"/>
      <c r="I53" s="65" t="s">
        <v>381</v>
      </c>
      <c r="J53" s="271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388"/>
      <c r="W53" s="388"/>
      <c r="X53" s="66">
        <v>82440000</v>
      </c>
      <c r="Y53" s="55" t="s">
        <v>192</v>
      </c>
      <c r="Z53" s="6"/>
    </row>
    <row r="54" spans="1:26" s="11" customFormat="1" ht="19.5" customHeight="1">
      <c r="A54" s="43"/>
      <c r="B54" s="44"/>
      <c r="C54" s="44"/>
      <c r="D54" s="44" t="s">
        <v>206</v>
      </c>
      <c r="E54" s="46"/>
      <c r="F54" s="46"/>
      <c r="G54" s="47"/>
      <c r="H54" s="29"/>
      <c r="I54" s="65" t="s">
        <v>388</v>
      </c>
      <c r="J54" s="271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410"/>
      <c r="W54" s="410"/>
      <c r="X54" s="66">
        <v>0</v>
      </c>
      <c r="Y54" s="55" t="s">
        <v>384</v>
      </c>
      <c r="Z54" s="6"/>
    </row>
    <row r="55" spans="1:26" s="11" customFormat="1" ht="19.5" customHeight="1">
      <c r="A55" s="43"/>
      <c r="B55" s="44"/>
      <c r="C55" s="44"/>
      <c r="D55" s="44"/>
      <c r="E55" s="46"/>
      <c r="F55" s="46"/>
      <c r="G55" s="47"/>
      <c r="H55" s="29"/>
      <c r="I55" s="65" t="s">
        <v>436</v>
      </c>
      <c r="J55" s="271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410"/>
      <c r="W55" s="410"/>
      <c r="X55" s="66">
        <v>1100000</v>
      </c>
      <c r="Y55" s="55" t="s">
        <v>420</v>
      </c>
      <c r="Z55" s="6"/>
    </row>
    <row r="56" spans="1:26" s="11" customFormat="1" ht="19.5" customHeight="1">
      <c r="A56" s="43"/>
      <c r="B56" s="44"/>
      <c r="C56" s="44"/>
      <c r="D56" s="44"/>
      <c r="E56" s="46"/>
      <c r="F56" s="46"/>
      <c r="G56" s="47"/>
      <c r="H56" s="29"/>
      <c r="I56" s="65" t="s">
        <v>421</v>
      </c>
      <c r="J56" s="271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410"/>
      <c r="W56" s="410"/>
      <c r="X56" s="66">
        <v>1000000</v>
      </c>
      <c r="Y56" s="55" t="s">
        <v>420</v>
      </c>
      <c r="Z56" s="6"/>
    </row>
    <row r="57" spans="1:26" s="11" customFormat="1" ht="19.5" customHeight="1">
      <c r="A57" s="43"/>
      <c r="B57" s="44"/>
      <c r="C57" s="44"/>
      <c r="D57" s="44"/>
      <c r="E57" s="46"/>
      <c r="F57" s="46"/>
      <c r="G57" s="47"/>
      <c r="H57" s="29"/>
      <c r="I57" s="65" t="s">
        <v>387</v>
      </c>
      <c r="J57" s="271"/>
      <c r="K57" s="270"/>
      <c r="L57" s="270"/>
      <c r="M57" s="270"/>
      <c r="N57" s="388"/>
      <c r="O57" s="72"/>
      <c r="P57" s="67"/>
      <c r="Q57" s="72"/>
      <c r="R57" s="77"/>
      <c r="S57" s="74"/>
      <c r="T57" s="74"/>
      <c r="U57" s="388"/>
      <c r="V57" s="270"/>
      <c r="W57" s="66"/>
      <c r="X57" s="66">
        <v>131366000</v>
      </c>
      <c r="Y57" s="55" t="s">
        <v>384</v>
      </c>
      <c r="Z57" s="6"/>
    </row>
    <row r="58" spans="1:26" s="11" customFormat="1" ht="19.5" customHeight="1">
      <c r="A58" s="43"/>
      <c r="B58" s="44"/>
      <c r="C58" s="44"/>
      <c r="D58" s="44"/>
      <c r="E58" s="46"/>
      <c r="F58" s="46"/>
      <c r="G58" s="47"/>
      <c r="H58" s="29"/>
      <c r="I58" s="65" t="s">
        <v>422</v>
      </c>
      <c r="J58" s="271"/>
      <c r="K58" s="270"/>
      <c r="L58" s="270"/>
      <c r="M58" s="270"/>
      <c r="N58" s="410"/>
      <c r="O58" s="72"/>
      <c r="P58" s="67"/>
      <c r="Q58" s="72"/>
      <c r="R58" s="77"/>
      <c r="S58" s="74"/>
      <c r="T58" s="74"/>
      <c r="U58" s="410"/>
      <c r="V58" s="270"/>
      <c r="W58" s="66"/>
      <c r="X58" s="66">
        <v>2000</v>
      </c>
      <c r="Y58" s="55" t="s">
        <v>420</v>
      </c>
      <c r="Z58" s="6"/>
    </row>
    <row r="59" spans="1:26" s="11" customFormat="1" ht="19.5" customHeight="1">
      <c r="A59" s="56"/>
      <c r="B59" s="57"/>
      <c r="C59" s="57"/>
      <c r="D59" s="57"/>
      <c r="E59" s="59"/>
      <c r="F59" s="59"/>
      <c r="G59" s="60"/>
      <c r="H59" s="193"/>
      <c r="I59" s="69"/>
      <c r="J59" s="326"/>
      <c r="K59" s="213"/>
      <c r="L59" s="213"/>
      <c r="M59" s="213"/>
      <c r="N59" s="191"/>
      <c r="O59" s="201"/>
      <c r="P59" s="202"/>
      <c r="Q59" s="201"/>
      <c r="R59" s="203"/>
      <c r="S59" s="204"/>
      <c r="T59" s="204"/>
      <c r="U59" s="191"/>
      <c r="V59" s="213"/>
      <c r="W59" s="70"/>
      <c r="X59" s="70"/>
      <c r="Y59" s="71"/>
      <c r="Z59" s="6"/>
    </row>
    <row r="60" spans="1:26" s="11" customFormat="1" ht="19.5" customHeight="1">
      <c r="A60" s="33" t="s">
        <v>14</v>
      </c>
      <c r="B60" s="34" t="s">
        <v>14</v>
      </c>
      <c r="C60" s="494" t="s">
        <v>199</v>
      </c>
      <c r="D60" s="495"/>
      <c r="E60" s="230">
        <f>SUM(E61,E72,E79)</f>
        <v>54516</v>
      </c>
      <c r="F60" s="230">
        <f>SUM(F61,F72,F79)</f>
        <v>41550</v>
      </c>
      <c r="G60" s="231">
        <f>F60-E60</f>
        <v>-12966</v>
      </c>
      <c r="H60" s="232">
        <f>IF(E60=0,0,G60/E60)</f>
        <v>-0.23783843275368699</v>
      </c>
      <c r="I60" s="233" t="s">
        <v>198</v>
      </c>
      <c r="J60" s="234"/>
      <c r="K60" s="235"/>
      <c r="L60" s="235"/>
      <c r="M60" s="234"/>
      <c r="N60" s="234"/>
      <c r="O60" s="234"/>
      <c r="P60" s="234"/>
      <c r="Q60" s="234" t="s">
        <v>197</v>
      </c>
      <c r="R60" s="236"/>
      <c r="S60" s="236"/>
      <c r="T60" s="236"/>
      <c r="U60" s="236"/>
      <c r="V60" s="236"/>
      <c r="W60" s="236"/>
      <c r="X60" s="237">
        <f>SUM(X61,X72,X79)</f>
        <v>41550000</v>
      </c>
      <c r="Y60" s="248" t="s">
        <v>25</v>
      </c>
      <c r="Z60" s="6"/>
    </row>
    <row r="61" spans="1:26" s="11" customFormat="1" ht="19.5" customHeight="1">
      <c r="A61" s="43"/>
      <c r="B61" s="44"/>
      <c r="C61" s="34" t="s">
        <v>196</v>
      </c>
      <c r="D61" s="389" t="s">
        <v>195</v>
      </c>
      <c r="E61" s="208">
        <f>SUM(E62,E66,E69)</f>
        <v>926</v>
      </c>
      <c r="F61" s="208">
        <f>SUM(F62,F66,F69)</f>
        <v>18935</v>
      </c>
      <c r="G61" s="209">
        <f>F61-E61</f>
        <v>18009</v>
      </c>
      <c r="H61" s="210">
        <f>IF(E61=0,0,G61/E61)</f>
        <v>19.448164146868251</v>
      </c>
      <c r="I61" s="194" t="s">
        <v>194</v>
      </c>
      <c r="J61" s="195"/>
      <c r="K61" s="196"/>
      <c r="L61" s="196"/>
      <c r="M61" s="196"/>
      <c r="N61" s="196"/>
      <c r="O61" s="196"/>
      <c r="P61" s="197"/>
      <c r="Q61" s="197"/>
      <c r="R61" s="197"/>
      <c r="S61" s="197"/>
      <c r="T61" s="197"/>
      <c r="U61" s="197"/>
      <c r="V61" s="223" t="s">
        <v>193</v>
      </c>
      <c r="W61" s="224"/>
      <c r="X61" s="225">
        <f>SUM(X62,X66,X69)</f>
        <v>18935000</v>
      </c>
      <c r="Y61" s="249" t="s">
        <v>192</v>
      </c>
      <c r="Z61" s="6"/>
    </row>
    <row r="62" spans="1:26" s="11" customFormat="1" ht="19.5" customHeight="1">
      <c r="A62" s="43"/>
      <c r="B62" s="44"/>
      <c r="C62" s="44" t="s">
        <v>124</v>
      </c>
      <c r="D62" s="34" t="s">
        <v>191</v>
      </c>
      <c r="E62" s="35">
        <v>1</v>
      </c>
      <c r="F62" s="35">
        <f>ROUND(X62/1000,0)</f>
        <v>7010</v>
      </c>
      <c r="G62" s="36">
        <f>F62-E62</f>
        <v>7009</v>
      </c>
      <c r="H62" s="37">
        <f>IF(E62=0,0,G62/E62)</f>
        <v>7009</v>
      </c>
      <c r="I62" s="139" t="s">
        <v>289</v>
      </c>
      <c r="J62" s="157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411" t="s">
        <v>62</v>
      </c>
      <c r="W62" s="411"/>
      <c r="X62" s="140">
        <f>ROUNDUP(SUM(W63:X64),-3)</f>
        <v>7010000</v>
      </c>
      <c r="Y62" s="141" t="s">
        <v>55</v>
      </c>
      <c r="Z62" s="6"/>
    </row>
    <row r="63" spans="1:26" s="11" customFormat="1" ht="19.5" customHeight="1">
      <c r="A63" s="43"/>
      <c r="B63" s="44"/>
      <c r="C63" s="44"/>
      <c r="D63" s="44"/>
      <c r="E63" s="46"/>
      <c r="F63" s="46"/>
      <c r="G63" s="47"/>
      <c r="H63" s="29"/>
      <c r="I63" s="263" t="s">
        <v>290</v>
      </c>
      <c r="J63" s="271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410"/>
      <c r="W63" s="410"/>
      <c r="X63" s="66">
        <v>7000000</v>
      </c>
      <c r="Y63" s="55" t="s">
        <v>55</v>
      </c>
      <c r="Z63" s="6"/>
    </row>
    <row r="64" spans="1:26" s="11" customFormat="1" ht="19.5" customHeight="1">
      <c r="A64" s="43"/>
      <c r="B64" s="44"/>
      <c r="C64" s="44"/>
      <c r="D64" s="44"/>
      <c r="E64" s="46"/>
      <c r="F64" s="46"/>
      <c r="G64" s="47"/>
      <c r="H64" s="29"/>
      <c r="I64" s="263" t="s">
        <v>291</v>
      </c>
      <c r="J64" s="271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410"/>
      <c r="W64" s="410"/>
      <c r="X64" s="66">
        <v>10000</v>
      </c>
      <c r="Y64" s="55" t="s">
        <v>55</v>
      </c>
      <c r="Z64" s="6"/>
    </row>
    <row r="65" spans="1:26" s="11" customFormat="1" ht="19.5" customHeight="1">
      <c r="A65" s="43"/>
      <c r="B65" s="44"/>
      <c r="C65" s="44"/>
      <c r="D65" s="57"/>
      <c r="E65" s="59"/>
      <c r="F65" s="59"/>
      <c r="G65" s="60"/>
      <c r="H65" s="193"/>
      <c r="I65" s="69"/>
      <c r="J65" s="326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191"/>
      <c r="W65" s="191"/>
      <c r="X65" s="70"/>
      <c r="Y65" s="71"/>
      <c r="Z65" s="6"/>
    </row>
    <row r="66" spans="1:26" s="11" customFormat="1" ht="19.5" customHeight="1">
      <c r="A66" s="43"/>
      <c r="B66" s="44"/>
      <c r="C66" s="44"/>
      <c r="D66" s="44" t="s">
        <v>190</v>
      </c>
      <c r="E66" s="46">
        <v>925</v>
      </c>
      <c r="F66" s="35">
        <f>ROUND(X66/1000,0)</f>
        <v>11925</v>
      </c>
      <c r="G66" s="36">
        <f>F66-E66</f>
        <v>11000</v>
      </c>
      <c r="H66" s="37">
        <f>IF(E66=0,0,G66/E66)</f>
        <v>11.891891891891891</v>
      </c>
      <c r="I66" s="139" t="s">
        <v>134</v>
      </c>
      <c r="J66" s="157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496" t="s">
        <v>62</v>
      </c>
      <c r="W66" s="496"/>
      <c r="X66" s="140">
        <f>ROUNDUP(SUM(W67:X68),-3)</f>
        <v>11925000</v>
      </c>
      <c r="Y66" s="141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/>
      <c r="F67" s="46"/>
      <c r="G67" s="47"/>
      <c r="H67" s="29"/>
      <c r="I67" s="263" t="s">
        <v>144</v>
      </c>
      <c r="J67" s="271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410"/>
      <c r="W67" s="410"/>
      <c r="X67" s="66">
        <v>11900000</v>
      </c>
      <c r="Y67" s="55" t="s">
        <v>55</v>
      </c>
      <c r="Z67" s="6"/>
    </row>
    <row r="68" spans="1:26" s="11" customFormat="1" ht="19.5" customHeight="1">
      <c r="A68" s="43"/>
      <c r="B68" s="44"/>
      <c r="C68" s="44"/>
      <c r="D68" s="57"/>
      <c r="E68" s="59"/>
      <c r="F68" s="46"/>
      <c r="G68" s="47"/>
      <c r="H68" s="29"/>
      <c r="I68" s="263" t="s">
        <v>438</v>
      </c>
      <c r="J68" s="271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410"/>
      <c r="W68" s="410"/>
      <c r="X68" s="66">
        <v>25000</v>
      </c>
      <c r="Y68" s="55" t="s">
        <v>55</v>
      </c>
      <c r="Z68" s="6"/>
    </row>
    <row r="69" spans="1:26" s="11" customFormat="1" ht="19.5" customHeight="1">
      <c r="A69" s="43"/>
      <c r="B69" s="44"/>
      <c r="C69" s="44"/>
      <c r="D69" s="44" t="s">
        <v>390</v>
      </c>
      <c r="E69" s="46">
        <v>0</v>
      </c>
      <c r="F69" s="35">
        <f>ROUND(X69/1000,0)</f>
        <v>0</v>
      </c>
      <c r="G69" s="36">
        <f>F69-E69</f>
        <v>0</v>
      </c>
      <c r="H69" s="37">
        <f>IF(E69=0,0,G69/E69)</f>
        <v>0</v>
      </c>
      <c r="I69" s="139" t="s">
        <v>295</v>
      </c>
      <c r="J69" s="157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496" t="s">
        <v>62</v>
      </c>
      <c r="W69" s="496"/>
      <c r="X69" s="140">
        <f>ROUNDUP(SUM(W70:X70),-3)</f>
        <v>0</v>
      </c>
      <c r="Y69" s="141" t="s">
        <v>55</v>
      </c>
      <c r="Z69" s="6"/>
    </row>
    <row r="70" spans="1:26" s="11" customFormat="1" ht="19.5" customHeight="1">
      <c r="A70" s="43"/>
      <c r="B70" s="44"/>
      <c r="C70" s="44"/>
      <c r="D70" s="44"/>
      <c r="E70" s="46"/>
      <c r="F70" s="46"/>
      <c r="G70" s="47"/>
      <c r="H70" s="29"/>
      <c r="I70" s="263"/>
      <c r="J70" s="271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388"/>
      <c r="W70" s="388"/>
      <c r="X70" s="66"/>
      <c r="Y70" s="55" t="s">
        <v>55</v>
      </c>
      <c r="Z70" s="6"/>
    </row>
    <row r="71" spans="1:26" s="11" customFormat="1" ht="19.5" customHeight="1">
      <c r="A71" s="43"/>
      <c r="B71" s="44"/>
      <c r="C71" s="44"/>
      <c r="D71" s="44"/>
      <c r="E71" s="46"/>
      <c r="F71" s="46"/>
      <c r="G71" s="47"/>
      <c r="H71" s="29"/>
      <c r="I71" s="65"/>
      <c r="J71" s="271"/>
      <c r="K71" s="270"/>
      <c r="L71" s="270"/>
      <c r="M71" s="270"/>
      <c r="N71" s="388"/>
      <c r="O71" s="72"/>
      <c r="P71" s="67"/>
      <c r="Q71" s="72"/>
      <c r="R71" s="77"/>
      <c r="S71" s="74"/>
      <c r="T71" s="74"/>
      <c r="U71" s="388"/>
      <c r="V71" s="270"/>
      <c r="W71" s="66"/>
      <c r="X71" s="66"/>
      <c r="Y71" s="55"/>
      <c r="Z71" s="6"/>
    </row>
    <row r="72" spans="1:26" s="11" customFormat="1" ht="19.5" customHeight="1">
      <c r="A72" s="43"/>
      <c r="B72" s="44"/>
      <c r="C72" s="34" t="s">
        <v>123</v>
      </c>
      <c r="D72" s="389" t="s">
        <v>102</v>
      </c>
      <c r="E72" s="208">
        <f>E73</f>
        <v>53590</v>
      </c>
      <c r="F72" s="208">
        <f>F73</f>
        <v>22615</v>
      </c>
      <c r="G72" s="209">
        <f>F72-E72</f>
        <v>-30975</v>
      </c>
      <c r="H72" s="210">
        <f>IF(E72=0,0,G72/E72)</f>
        <v>-0.577999626796044</v>
      </c>
      <c r="I72" s="194" t="s">
        <v>125</v>
      </c>
      <c r="J72" s="195"/>
      <c r="K72" s="196"/>
      <c r="L72" s="196"/>
      <c r="M72" s="196"/>
      <c r="N72" s="196"/>
      <c r="O72" s="196"/>
      <c r="P72" s="197"/>
      <c r="Q72" s="197"/>
      <c r="R72" s="197"/>
      <c r="S72" s="197"/>
      <c r="T72" s="197"/>
      <c r="U72" s="197"/>
      <c r="V72" s="223" t="s">
        <v>62</v>
      </c>
      <c r="W72" s="224"/>
      <c r="X72" s="224">
        <f>X73</f>
        <v>22615000</v>
      </c>
      <c r="Y72" s="249" t="s">
        <v>55</v>
      </c>
      <c r="Z72" s="6"/>
    </row>
    <row r="73" spans="1:26" s="11" customFormat="1" ht="19.5" customHeight="1">
      <c r="A73" s="43"/>
      <c r="B73" s="44"/>
      <c r="C73" s="44" t="s">
        <v>124</v>
      </c>
      <c r="D73" s="44" t="s">
        <v>189</v>
      </c>
      <c r="E73" s="46">
        <v>53590</v>
      </c>
      <c r="F73" s="46">
        <f>ROUND(X73/1000,0)</f>
        <v>22615</v>
      </c>
      <c r="G73" s="36">
        <f>F73-E73</f>
        <v>-30975</v>
      </c>
      <c r="H73" s="37">
        <f>IF(E73=0,0,G73/E73)</f>
        <v>-0.577999626796044</v>
      </c>
      <c r="I73" s="264" t="s">
        <v>146</v>
      </c>
      <c r="J73" s="157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496"/>
      <c r="W73" s="496"/>
      <c r="X73" s="140">
        <f>ROUNDUP(SUM(W74:X77),-3)</f>
        <v>22615000</v>
      </c>
      <c r="Y73" s="141" t="s">
        <v>55</v>
      </c>
      <c r="Z73" s="6"/>
    </row>
    <row r="74" spans="1:26" s="11" customFormat="1" ht="19.5" customHeight="1">
      <c r="A74" s="43"/>
      <c r="B74" s="44"/>
      <c r="C74" s="44" t="s">
        <v>122</v>
      </c>
      <c r="D74" s="44" t="s">
        <v>188</v>
      </c>
      <c r="E74" s="46"/>
      <c r="F74" s="46"/>
      <c r="G74" s="47"/>
      <c r="H74" s="68"/>
      <c r="I74" s="263" t="s">
        <v>391</v>
      </c>
      <c r="J74" s="271"/>
      <c r="K74" s="270"/>
      <c r="L74" s="270"/>
      <c r="M74" s="270"/>
      <c r="N74" s="270"/>
      <c r="O74" s="270"/>
      <c r="P74" s="270"/>
      <c r="Q74" s="52"/>
      <c r="R74" s="52"/>
      <c r="S74" s="52"/>
      <c r="T74" s="270"/>
      <c r="U74" s="270"/>
      <c r="V74" s="270"/>
      <c r="W74" s="66"/>
      <c r="X74" s="66">
        <v>3005000</v>
      </c>
      <c r="Y74" s="55" t="s">
        <v>55</v>
      </c>
      <c r="Z74" s="6"/>
    </row>
    <row r="75" spans="1:26" s="11" customFormat="1" ht="19.5" customHeight="1">
      <c r="A75" s="43"/>
      <c r="B75" s="44"/>
      <c r="C75" s="44"/>
      <c r="D75" s="44"/>
      <c r="E75" s="46"/>
      <c r="F75" s="46"/>
      <c r="G75" s="47"/>
      <c r="H75" s="68"/>
      <c r="I75" s="263" t="s">
        <v>392</v>
      </c>
      <c r="J75" s="271"/>
      <c r="K75" s="270"/>
      <c r="L75" s="270"/>
      <c r="M75" s="270"/>
      <c r="N75" s="270"/>
      <c r="O75" s="270"/>
      <c r="P75" s="270"/>
      <c r="Q75" s="52"/>
      <c r="R75" s="52"/>
      <c r="S75" s="52"/>
      <c r="T75" s="270"/>
      <c r="U75" s="270"/>
      <c r="V75" s="270"/>
      <c r="W75" s="66"/>
      <c r="X75" s="66">
        <v>10500000</v>
      </c>
      <c r="Y75" s="55" t="s">
        <v>262</v>
      </c>
      <c r="Z75" s="6"/>
    </row>
    <row r="76" spans="1:26" s="11" customFormat="1" ht="19.5" customHeight="1">
      <c r="A76" s="43"/>
      <c r="B76" s="44"/>
      <c r="C76" s="44"/>
      <c r="D76" s="44"/>
      <c r="E76" s="46"/>
      <c r="F76" s="46"/>
      <c r="G76" s="47"/>
      <c r="H76" s="68"/>
      <c r="I76" s="263" t="s">
        <v>393</v>
      </c>
      <c r="J76" s="271"/>
      <c r="K76" s="270"/>
      <c r="L76" s="270"/>
      <c r="M76" s="270"/>
      <c r="N76" s="270"/>
      <c r="O76" s="270"/>
      <c r="P76" s="270"/>
      <c r="Q76" s="52"/>
      <c r="R76" s="52"/>
      <c r="S76" s="52"/>
      <c r="T76" s="270"/>
      <c r="U76" s="270"/>
      <c r="V76" s="270"/>
      <c r="W76" s="66"/>
      <c r="X76" s="66">
        <v>9070000</v>
      </c>
      <c r="Y76" s="55" t="s">
        <v>394</v>
      </c>
      <c r="Z76" s="6"/>
    </row>
    <row r="77" spans="1:26" s="11" customFormat="1" ht="19.5" customHeight="1">
      <c r="A77" s="43"/>
      <c r="B77" s="44"/>
      <c r="C77" s="44"/>
      <c r="D77" s="44"/>
      <c r="E77" s="46"/>
      <c r="F77" s="46"/>
      <c r="G77" s="47"/>
      <c r="H77" s="68"/>
      <c r="I77" s="263" t="s">
        <v>439</v>
      </c>
      <c r="J77" s="271"/>
      <c r="K77" s="270"/>
      <c r="L77" s="270"/>
      <c r="M77" s="270"/>
      <c r="N77" s="270"/>
      <c r="O77" s="270"/>
      <c r="P77" s="270"/>
      <c r="Q77" s="52"/>
      <c r="R77" s="52"/>
      <c r="S77" s="52"/>
      <c r="T77" s="270"/>
      <c r="U77" s="270"/>
      <c r="V77" s="270"/>
      <c r="W77" s="66"/>
      <c r="X77" s="66">
        <v>40000</v>
      </c>
      <c r="Y77" s="55" t="s">
        <v>394</v>
      </c>
      <c r="Z77" s="6"/>
    </row>
    <row r="78" spans="1:26" s="11" customFormat="1" ht="19.5" customHeight="1">
      <c r="A78" s="43"/>
      <c r="B78" s="44"/>
      <c r="C78" s="44"/>
      <c r="D78" s="44"/>
      <c r="E78" s="46"/>
      <c r="F78" s="46"/>
      <c r="G78" s="47"/>
      <c r="H78" s="68"/>
      <c r="I78" s="65"/>
      <c r="J78" s="271"/>
      <c r="K78" s="270"/>
      <c r="L78" s="270"/>
      <c r="M78" s="270"/>
      <c r="N78" s="270"/>
      <c r="O78" s="270"/>
      <c r="P78" s="270"/>
      <c r="Q78" s="52"/>
      <c r="R78" s="52"/>
      <c r="S78" s="52"/>
      <c r="T78" s="270"/>
      <c r="U78" s="270"/>
      <c r="V78" s="270"/>
      <c r="W78" s="66"/>
      <c r="X78" s="66"/>
      <c r="Y78" s="55"/>
      <c r="Z78" s="6"/>
    </row>
    <row r="79" spans="1:26" s="11" customFormat="1" ht="19.5" customHeight="1">
      <c r="A79" s="43"/>
      <c r="B79" s="44"/>
      <c r="C79" s="34" t="s">
        <v>126</v>
      </c>
      <c r="D79" s="389" t="s">
        <v>102</v>
      </c>
      <c r="E79" s="208">
        <f>E80</f>
        <v>0</v>
      </c>
      <c r="F79" s="208">
        <f>F80</f>
        <v>0</v>
      </c>
      <c r="G79" s="209">
        <f>F79-E79</f>
        <v>0</v>
      </c>
      <c r="H79" s="210">
        <f>IF(E79=0,0,G79/E79)</f>
        <v>0</v>
      </c>
      <c r="I79" s="194" t="s">
        <v>127</v>
      </c>
      <c r="J79" s="195"/>
      <c r="K79" s="196"/>
      <c r="L79" s="196"/>
      <c r="M79" s="196"/>
      <c r="N79" s="196"/>
      <c r="O79" s="196"/>
      <c r="P79" s="197"/>
      <c r="Q79" s="197"/>
      <c r="R79" s="197"/>
      <c r="S79" s="197"/>
      <c r="T79" s="197"/>
      <c r="U79" s="197"/>
      <c r="V79" s="223" t="s">
        <v>62</v>
      </c>
      <c r="W79" s="224"/>
      <c r="X79" s="224">
        <f>ROUND(SUM(W80:X81),-3)</f>
        <v>0</v>
      </c>
      <c r="Y79" s="249" t="s">
        <v>55</v>
      </c>
      <c r="Z79" s="6"/>
    </row>
    <row r="80" spans="1:26" s="11" customFormat="1" ht="19.5" customHeight="1">
      <c r="A80" s="43"/>
      <c r="B80" s="44"/>
      <c r="C80" s="44" t="s">
        <v>95</v>
      </c>
      <c r="D80" s="44" t="s">
        <v>187</v>
      </c>
      <c r="E80" s="46">
        <v>0</v>
      </c>
      <c r="F80" s="46">
        <f>ROUND(X80/1000,0)</f>
        <v>0</v>
      </c>
      <c r="G80" s="36">
        <f>F80-E80</f>
        <v>0</v>
      </c>
      <c r="H80" s="37">
        <f>IF(E80=0,0,G80/E80)</f>
        <v>0</v>
      </c>
      <c r="I80" s="65"/>
      <c r="J80" s="271"/>
      <c r="K80" s="270"/>
      <c r="L80" s="270"/>
      <c r="M80" s="270"/>
      <c r="N80" s="388"/>
      <c r="O80" s="72"/>
      <c r="P80" s="67"/>
      <c r="Q80" s="72"/>
      <c r="R80" s="77"/>
      <c r="S80" s="74"/>
      <c r="T80" s="74"/>
      <c r="U80" s="388"/>
      <c r="V80" s="270"/>
      <c r="W80" s="66"/>
      <c r="X80" s="66">
        <f>M80*P80</f>
        <v>0</v>
      </c>
      <c r="Y80" s="55" t="s">
        <v>55</v>
      </c>
      <c r="Z80" s="6"/>
    </row>
    <row r="81" spans="1:26" s="11" customFormat="1" ht="19.5" customHeight="1">
      <c r="A81" s="56"/>
      <c r="B81" s="57"/>
      <c r="C81" s="57"/>
      <c r="D81" s="57"/>
      <c r="E81" s="59"/>
      <c r="F81" s="59"/>
      <c r="G81" s="60"/>
      <c r="H81" s="82"/>
      <c r="I81" s="69"/>
      <c r="J81" s="326"/>
      <c r="K81" s="213"/>
      <c r="L81" s="213"/>
      <c r="M81" s="213"/>
      <c r="N81" s="213"/>
      <c r="O81" s="213"/>
      <c r="P81" s="213"/>
      <c r="Q81" s="129"/>
      <c r="R81" s="129"/>
      <c r="S81" s="129"/>
      <c r="T81" s="213"/>
      <c r="U81" s="213"/>
      <c r="V81" s="213"/>
      <c r="W81" s="70"/>
      <c r="X81" s="70">
        <v>0</v>
      </c>
      <c r="Y81" s="71" t="s">
        <v>55</v>
      </c>
      <c r="Z81" s="6"/>
    </row>
    <row r="82" spans="1:26" ht="21" customHeight="1">
      <c r="A82" s="43" t="s">
        <v>58</v>
      </c>
      <c r="B82" s="85" t="s">
        <v>16</v>
      </c>
      <c r="C82" s="494" t="s">
        <v>136</v>
      </c>
      <c r="D82" s="495"/>
      <c r="E82" s="230">
        <f>SUM(E83,E88,E94)</f>
        <v>56115</v>
      </c>
      <c r="F82" s="230">
        <f>SUM(F83,F88,F94)</f>
        <v>36635</v>
      </c>
      <c r="G82" s="231">
        <f>F82-E82</f>
        <v>-19480</v>
      </c>
      <c r="H82" s="232">
        <f>IF(E82=0,0,G82/E82)</f>
        <v>-0.34714425732869997</v>
      </c>
      <c r="I82" s="233" t="s">
        <v>137</v>
      </c>
      <c r="J82" s="234"/>
      <c r="K82" s="235"/>
      <c r="L82" s="235"/>
      <c r="M82" s="234"/>
      <c r="N82" s="234"/>
      <c r="O82" s="234"/>
      <c r="P82" s="234"/>
      <c r="Q82" s="234" t="s">
        <v>61</v>
      </c>
      <c r="R82" s="236"/>
      <c r="S82" s="236"/>
      <c r="T82" s="236"/>
      <c r="U82" s="236"/>
      <c r="V82" s="236"/>
      <c r="W82" s="236"/>
      <c r="X82" s="246">
        <f>SUM(X83,X88,X94)</f>
        <v>36635000</v>
      </c>
      <c r="Y82" s="251" t="s">
        <v>55</v>
      </c>
    </row>
    <row r="83" spans="1:26" ht="21" customHeight="1">
      <c r="A83" s="43"/>
      <c r="B83" s="94"/>
      <c r="C83" s="34" t="s">
        <v>128</v>
      </c>
      <c r="D83" s="389" t="s">
        <v>102</v>
      </c>
      <c r="E83" s="208">
        <f>E84</f>
        <v>0</v>
      </c>
      <c r="F83" s="208">
        <f>F84</f>
        <v>0</v>
      </c>
      <c r="G83" s="209">
        <f>F83-E83</f>
        <v>0</v>
      </c>
      <c r="H83" s="210">
        <f>IF(E83=0,0,G83/E83)</f>
        <v>0</v>
      </c>
      <c r="I83" s="194" t="s">
        <v>132</v>
      </c>
      <c r="J83" s="195"/>
      <c r="K83" s="196"/>
      <c r="L83" s="196"/>
      <c r="M83" s="196"/>
      <c r="N83" s="196"/>
      <c r="O83" s="196"/>
      <c r="P83" s="197"/>
      <c r="Q83" s="197"/>
      <c r="R83" s="197"/>
      <c r="S83" s="197"/>
      <c r="T83" s="197"/>
      <c r="U83" s="197"/>
      <c r="V83" s="223" t="s">
        <v>62</v>
      </c>
      <c r="W83" s="224"/>
      <c r="X83" s="225">
        <f>SUM(X84:X84)</f>
        <v>0</v>
      </c>
      <c r="Y83" s="249" t="s">
        <v>55</v>
      </c>
    </row>
    <row r="84" spans="1:26" ht="21" customHeight="1">
      <c r="A84" s="58"/>
      <c r="B84" s="96"/>
      <c r="C84" s="44" t="s">
        <v>129</v>
      </c>
      <c r="D84" s="34" t="s">
        <v>186</v>
      </c>
      <c r="E84" s="35">
        <v>0</v>
      </c>
      <c r="F84" s="46">
        <f>ROUND(X84/1000,0)</f>
        <v>0</v>
      </c>
      <c r="G84" s="36">
        <f>F84-E84</f>
        <v>0</v>
      </c>
      <c r="H84" s="37">
        <f>IF(E84=0,0,G84/E84)</f>
        <v>0</v>
      </c>
      <c r="I84" s="139" t="s">
        <v>132</v>
      </c>
      <c r="J84" s="157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496" t="s">
        <v>62</v>
      </c>
      <c r="W84" s="496"/>
      <c r="X84" s="140">
        <f>ROUNDUP(SUM(W85:X86),-3)</f>
        <v>0</v>
      </c>
      <c r="Y84" s="141" t="s">
        <v>55</v>
      </c>
    </row>
    <row r="85" spans="1:26" ht="21" customHeight="1">
      <c r="A85" s="58"/>
      <c r="B85" s="96"/>
      <c r="C85" s="44"/>
      <c r="D85" s="44"/>
      <c r="E85" s="46"/>
      <c r="F85" s="46"/>
      <c r="G85" s="47"/>
      <c r="H85" s="29"/>
      <c r="I85" s="442" t="s">
        <v>376</v>
      </c>
      <c r="J85" s="259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305"/>
      <c r="W85" s="305"/>
      <c r="X85" s="260">
        <v>0</v>
      </c>
      <c r="Y85" s="274" t="s">
        <v>377</v>
      </c>
    </row>
    <row r="86" spans="1:26" ht="21" customHeight="1">
      <c r="A86" s="58"/>
      <c r="B86" s="96"/>
      <c r="C86" s="44"/>
      <c r="D86" s="44"/>
      <c r="E86" s="46"/>
      <c r="F86" s="46"/>
      <c r="G86" s="47"/>
      <c r="H86" s="29"/>
      <c r="I86" s="442" t="s">
        <v>376</v>
      </c>
      <c r="J86" s="259"/>
      <c r="K86" s="258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305"/>
      <c r="W86" s="305"/>
      <c r="X86" s="260">
        <v>0</v>
      </c>
      <c r="Y86" s="274" t="s">
        <v>377</v>
      </c>
    </row>
    <row r="87" spans="1:26" ht="21" customHeight="1">
      <c r="A87" s="58"/>
      <c r="B87" s="88"/>
      <c r="C87" s="44"/>
      <c r="D87" s="44"/>
      <c r="E87" s="46"/>
      <c r="F87" s="46"/>
      <c r="G87" s="47"/>
      <c r="H87" s="29"/>
      <c r="I87" s="65"/>
      <c r="J87" s="271"/>
      <c r="K87" s="270"/>
      <c r="L87" s="270"/>
      <c r="M87" s="270"/>
      <c r="N87" s="388"/>
      <c r="O87" s="72"/>
      <c r="P87" s="67"/>
      <c r="Q87" s="72"/>
      <c r="R87" s="77"/>
      <c r="S87" s="74"/>
      <c r="T87" s="74"/>
      <c r="U87" s="388"/>
      <c r="V87" s="270"/>
      <c r="W87" s="66"/>
      <c r="X87" s="66">
        <f>M87*P87</f>
        <v>0</v>
      </c>
      <c r="Y87" s="55" t="s">
        <v>55</v>
      </c>
    </row>
    <row r="88" spans="1:26" ht="21" customHeight="1">
      <c r="A88" s="58"/>
      <c r="B88" s="88"/>
      <c r="C88" s="34" t="s">
        <v>130</v>
      </c>
      <c r="D88" s="389" t="s">
        <v>102</v>
      </c>
      <c r="E88" s="208">
        <f>E89</f>
        <v>75</v>
      </c>
      <c r="F88" s="208">
        <f>F89</f>
        <v>75</v>
      </c>
      <c r="G88" s="209">
        <f>F88-E88</f>
        <v>0</v>
      </c>
      <c r="H88" s="210">
        <f>IF(E88=0,0,G88/E88)</f>
        <v>0</v>
      </c>
      <c r="I88" s="194" t="s">
        <v>133</v>
      </c>
      <c r="J88" s="195"/>
      <c r="K88" s="196"/>
      <c r="L88" s="196"/>
      <c r="M88" s="196"/>
      <c r="N88" s="196"/>
      <c r="O88" s="196"/>
      <c r="P88" s="197"/>
      <c r="Q88" s="197"/>
      <c r="R88" s="197"/>
      <c r="S88" s="197"/>
      <c r="T88" s="197"/>
      <c r="U88" s="197"/>
      <c r="V88" s="223" t="s">
        <v>62</v>
      </c>
      <c r="W88" s="224"/>
      <c r="X88" s="224">
        <f>SUM(X89:X89)</f>
        <v>75000</v>
      </c>
      <c r="Y88" s="249" t="s">
        <v>55</v>
      </c>
    </row>
    <row r="89" spans="1:26" ht="21" customHeight="1">
      <c r="A89" s="58"/>
      <c r="B89" s="88"/>
      <c r="C89" s="44" t="s">
        <v>131</v>
      </c>
      <c r="D89" s="44" t="s">
        <v>185</v>
      </c>
      <c r="E89" s="46">
        <v>75</v>
      </c>
      <c r="F89" s="46">
        <f>ROUND(X89/1000,0)</f>
        <v>75</v>
      </c>
      <c r="G89" s="36">
        <f>F89-E89</f>
        <v>0</v>
      </c>
      <c r="H89" s="37">
        <f>IF(E89=0,0,G89/E89)</f>
        <v>0</v>
      </c>
      <c r="I89" s="139" t="s">
        <v>184</v>
      </c>
      <c r="J89" s="157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496"/>
      <c r="W89" s="496"/>
      <c r="X89" s="140">
        <f>ROUND(SUM(W90:X92),-3)</f>
        <v>75000</v>
      </c>
      <c r="Y89" s="141" t="s">
        <v>55</v>
      </c>
      <c r="Z89" s="1"/>
    </row>
    <row r="90" spans="1:26" ht="21" customHeight="1">
      <c r="A90" s="58"/>
      <c r="B90" s="88"/>
      <c r="C90" s="44" t="s">
        <v>120</v>
      </c>
      <c r="D90" s="44" t="s">
        <v>183</v>
      </c>
      <c r="E90" s="46"/>
      <c r="F90" s="46"/>
      <c r="G90" s="47"/>
      <c r="H90" s="68"/>
      <c r="I90" s="65" t="s">
        <v>292</v>
      </c>
      <c r="J90" s="271"/>
      <c r="K90" s="270"/>
      <c r="L90" s="270"/>
      <c r="M90" s="270"/>
      <c r="N90" s="270"/>
      <c r="O90" s="270"/>
      <c r="P90" s="270"/>
      <c r="Q90" s="52"/>
      <c r="R90" s="52"/>
      <c r="S90" s="52"/>
      <c r="T90" s="270"/>
      <c r="U90" s="270"/>
      <c r="V90" s="270"/>
      <c r="W90" s="66"/>
      <c r="X90" s="66">
        <v>40000</v>
      </c>
      <c r="Y90" s="55" t="s">
        <v>55</v>
      </c>
      <c r="Z90" s="1"/>
    </row>
    <row r="91" spans="1:26" ht="21" customHeight="1">
      <c r="A91" s="58"/>
      <c r="B91" s="88"/>
      <c r="C91" s="44"/>
      <c r="D91" s="44"/>
      <c r="E91" s="46"/>
      <c r="F91" s="46"/>
      <c r="G91" s="47"/>
      <c r="H91" s="68"/>
      <c r="I91" s="65" t="s">
        <v>293</v>
      </c>
      <c r="J91" s="271"/>
      <c r="K91" s="270"/>
      <c r="L91" s="270"/>
      <c r="M91" s="270"/>
      <c r="N91" s="270"/>
      <c r="O91" s="270"/>
      <c r="P91" s="270"/>
      <c r="Q91" s="52"/>
      <c r="R91" s="52"/>
      <c r="S91" s="52"/>
      <c r="T91" s="270"/>
      <c r="U91" s="270"/>
      <c r="V91" s="270"/>
      <c r="W91" s="66"/>
      <c r="X91" s="66">
        <v>10000</v>
      </c>
      <c r="Y91" s="55" t="s">
        <v>55</v>
      </c>
      <c r="Z91" s="1"/>
    </row>
    <row r="92" spans="1:26" ht="21" customHeight="1">
      <c r="A92" s="58"/>
      <c r="B92" s="88"/>
      <c r="C92" s="44"/>
      <c r="D92" s="44"/>
      <c r="E92" s="46"/>
      <c r="F92" s="46"/>
      <c r="G92" s="47"/>
      <c r="H92" s="68"/>
      <c r="I92" s="65" t="s">
        <v>294</v>
      </c>
      <c r="J92" s="271"/>
      <c r="K92" s="270"/>
      <c r="L92" s="270"/>
      <c r="M92" s="270"/>
      <c r="N92" s="270"/>
      <c r="O92" s="270"/>
      <c r="P92" s="270"/>
      <c r="Q92" s="52"/>
      <c r="R92" s="52"/>
      <c r="S92" s="52"/>
      <c r="T92" s="270"/>
      <c r="U92" s="270"/>
      <c r="V92" s="270"/>
      <c r="W92" s="66"/>
      <c r="X92" s="66">
        <v>25000</v>
      </c>
      <c r="Y92" s="55" t="s">
        <v>55</v>
      </c>
      <c r="Z92" s="1"/>
    </row>
    <row r="93" spans="1:26" ht="21" customHeight="1">
      <c r="A93" s="58"/>
      <c r="B93" s="88"/>
      <c r="C93" s="44"/>
      <c r="D93" s="44"/>
      <c r="E93" s="46"/>
      <c r="F93" s="46"/>
      <c r="G93" s="47"/>
      <c r="H93" s="68"/>
      <c r="I93" s="65"/>
      <c r="J93" s="271"/>
      <c r="K93" s="270"/>
      <c r="L93" s="270"/>
      <c r="M93" s="270"/>
      <c r="N93" s="270"/>
      <c r="O93" s="270"/>
      <c r="P93" s="270"/>
      <c r="Q93" s="52"/>
      <c r="R93" s="52"/>
      <c r="S93" s="52"/>
      <c r="T93" s="270"/>
      <c r="U93" s="270"/>
      <c r="V93" s="270"/>
      <c r="W93" s="66"/>
      <c r="X93" s="66"/>
      <c r="Y93" s="55"/>
      <c r="Z93" s="1"/>
    </row>
    <row r="94" spans="1:26" ht="21" customHeight="1">
      <c r="A94" s="58"/>
      <c r="B94" s="88"/>
      <c r="C94" s="34" t="s">
        <v>121</v>
      </c>
      <c r="D94" s="389" t="s">
        <v>102</v>
      </c>
      <c r="E94" s="208">
        <f>E95</f>
        <v>56040</v>
      </c>
      <c r="F94" s="208">
        <f>F95</f>
        <v>36560</v>
      </c>
      <c r="G94" s="209">
        <f>F94-E94</f>
        <v>-19480</v>
      </c>
      <c r="H94" s="210">
        <f>IF(E94=0,0,G94/E94)</f>
        <v>-0.34760885082084225</v>
      </c>
      <c r="I94" s="194" t="s">
        <v>135</v>
      </c>
      <c r="J94" s="195"/>
      <c r="K94" s="196"/>
      <c r="L94" s="196"/>
      <c r="M94" s="196"/>
      <c r="N94" s="196"/>
      <c r="O94" s="196"/>
      <c r="P94" s="197"/>
      <c r="Q94" s="197"/>
      <c r="R94" s="197"/>
      <c r="S94" s="197"/>
      <c r="T94" s="197"/>
      <c r="U94" s="197"/>
      <c r="V94" s="223" t="s">
        <v>62</v>
      </c>
      <c r="W94" s="224"/>
      <c r="X94" s="224">
        <f>SUM(X95:X95)</f>
        <v>36560000</v>
      </c>
      <c r="Y94" s="249" t="s">
        <v>55</v>
      </c>
      <c r="Z94" s="1"/>
    </row>
    <row r="95" spans="1:26" ht="21" customHeight="1">
      <c r="A95" s="58"/>
      <c r="B95" s="88"/>
      <c r="C95" s="44" t="s">
        <v>58</v>
      </c>
      <c r="D95" s="44" t="s">
        <v>182</v>
      </c>
      <c r="E95" s="46">
        <v>56040</v>
      </c>
      <c r="F95" s="46">
        <f>ROUND(X95/1000,0)</f>
        <v>36560</v>
      </c>
      <c r="G95" s="36">
        <f>F95-E95</f>
        <v>-19480</v>
      </c>
      <c r="H95" s="37">
        <f>IF(E95=0,0,G95/E95)</f>
        <v>-0.34760885082084225</v>
      </c>
      <c r="I95" s="139" t="s">
        <v>135</v>
      </c>
      <c r="J95" s="157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496"/>
      <c r="W95" s="496"/>
      <c r="X95" s="140">
        <f>ROUNDUP(SUM(W96:X98),-3)</f>
        <v>36560000</v>
      </c>
      <c r="Y95" s="141" t="s">
        <v>55</v>
      </c>
      <c r="Z95" s="1"/>
    </row>
    <row r="96" spans="1:26" ht="21" customHeight="1">
      <c r="A96" s="58"/>
      <c r="B96" s="88"/>
      <c r="C96" s="44"/>
      <c r="D96" s="44"/>
      <c r="E96" s="46"/>
      <c r="F96" s="46"/>
      <c r="G96" s="47"/>
      <c r="H96" s="29"/>
      <c r="I96" s="65" t="s">
        <v>441</v>
      </c>
      <c r="J96" s="270"/>
      <c r="K96" s="270"/>
      <c r="L96" s="270"/>
      <c r="M96" s="270"/>
      <c r="N96" s="270"/>
      <c r="O96" s="271"/>
      <c r="P96" s="270"/>
      <c r="Q96" s="271"/>
      <c r="R96" s="271"/>
      <c r="S96" s="270"/>
      <c r="T96" s="270"/>
      <c r="U96" s="388" t="s">
        <v>413</v>
      </c>
      <c r="V96" s="388"/>
      <c r="W96" s="271"/>
      <c r="X96" s="270">
        <v>35000000</v>
      </c>
      <c r="Y96" s="55" t="s">
        <v>55</v>
      </c>
      <c r="Z96" s="1"/>
    </row>
    <row r="97" spans="1:26" ht="21" customHeight="1">
      <c r="A97" s="58"/>
      <c r="B97" s="88"/>
      <c r="C97" s="44"/>
      <c r="D97" s="44"/>
      <c r="E97" s="46"/>
      <c r="F97" s="46"/>
      <c r="G97" s="47"/>
      <c r="H97" s="29"/>
      <c r="I97" s="65" t="s">
        <v>440</v>
      </c>
      <c r="J97" s="270"/>
      <c r="K97" s="270"/>
      <c r="L97" s="270"/>
      <c r="M97" s="270">
        <v>130000</v>
      </c>
      <c r="N97" s="410" t="s">
        <v>55</v>
      </c>
      <c r="O97" s="72" t="s">
        <v>56</v>
      </c>
      <c r="P97" s="67">
        <v>12</v>
      </c>
      <c r="Q97" s="72" t="s">
        <v>0</v>
      </c>
      <c r="R97" s="77"/>
      <c r="S97" s="74"/>
      <c r="T97" s="74"/>
      <c r="U97" s="410" t="s">
        <v>52</v>
      </c>
      <c r="V97" s="270"/>
      <c r="W97" s="66"/>
      <c r="X97" s="132">
        <f>M97*P97</f>
        <v>1560000</v>
      </c>
      <c r="Y97" s="55" t="s">
        <v>55</v>
      </c>
      <c r="Z97" s="1"/>
    </row>
    <row r="98" spans="1:26" ht="21" customHeight="1">
      <c r="A98" s="58"/>
      <c r="B98" s="88"/>
      <c r="C98" s="44"/>
      <c r="D98" s="44"/>
      <c r="E98" s="46"/>
      <c r="F98" s="46"/>
      <c r="G98" s="47"/>
      <c r="H98" s="29"/>
      <c r="I98" s="65" t="s">
        <v>363</v>
      </c>
      <c r="J98" s="270"/>
      <c r="K98" s="270"/>
      <c r="L98" s="270"/>
      <c r="M98" s="270"/>
      <c r="N98" s="270"/>
      <c r="O98" s="271"/>
      <c r="P98" s="270"/>
      <c r="Q98" s="270"/>
      <c r="R98" s="271"/>
      <c r="S98" s="270"/>
      <c r="T98" s="270"/>
      <c r="U98" s="388" t="s">
        <v>52</v>
      </c>
      <c r="V98" s="388"/>
      <c r="W98" s="271"/>
      <c r="X98" s="270">
        <v>0</v>
      </c>
      <c r="Y98" s="55" t="s">
        <v>55</v>
      </c>
      <c r="Z98" s="1"/>
    </row>
    <row r="99" spans="1:26" ht="21" customHeight="1" thickBot="1">
      <c r="A99" s="98"/>
      <c r="B99" s="99"/>
      <c r="C99" s="99"/>
      <c r="D99" s="100"/>
      <c r="E99" s="101"/>
      <c r="F99" s="101"/>
      <c r="G99" s="102"/>
      <c r="H99" s="103"/>
      <c r="I99" s="61"/>
      <c r="J99" s="63"/>
      <c r="K99" s="63"/>
      <c r="L99" s="63"/>
      <c r="M99" s="63"/>
      <c r="N99" s="63"/>
      <c r="O99" s="62"/>
      <c r="P99" s="63"/>
      <c r="Q99" s="62"/>
      <c r="R99" s="62"/>
      <c r="S99" s="63"/>
      <c r="T99" s="63"/>
      <c r="U99" s="104"/>
      <c r="V99" s="104"/>
      <c r="W99" s="62"/>
      <c r="X99" s="63"/>
      <c r="Y99" s="64"/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>
      <c r="Z125" s="1"/>
    </row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ht="21" customHeight="1"/>
    <row r="136" spans="1:26" s="11" customFormat="1" ht="19.5" customHeight="1">
      <c r="A136" s="7"/>
      <c r="B136" s="7"/>
      <c r="C136" s="7"/>
      <c r="D136" s="7"/>
      <c r="E136" s="9"/>
      <c r="F136" s="9"/>
      <c r="G136" s="10"/>
      <c r="H136" s="12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6"/>
    </row>
    <row r="137" spans="1:26" ht="21" customHeight="1"/>
    <row r="138" spans="1:26" ht="21" customHeight="1"/>
    <row r="139" spans="1:26" ht="21.75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/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18" customHeight="1">
      <c r="Z149" s="1"/>
    </row>
    <row r="150" spans="26:26" ht="25.5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1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>
      <c r="Z164" s="21"/>
      <c r="AA164" s="22"/>
    </row>
    <row r="165" spans="26:27" ht="21" customHeight="1">
      <c r="Z165" s="21"/>
      <c r="AA165" s="22"/>
    </row>
    <row r="166" spans="26:27" ht="21" customHeight="1">
      <c r="Z166" s="21"/>
      <c r="AA166" s="22"/>
    </row>
    <row r="167" spans="26:27" ht="21" customHeight="1">
      <c r="Z167" s="21"/>
      <c r="AA167" s="22"/>
    </row>
    <row r="168" spans="26:27" ht="21" customHeight="1"/>
    <row r="169" spans="26:27" ht="21" customHeight="1"/>
    <row r="170" spans="26:27" ht="21" customHeight="1"/>
    <row r="171" spans="26:27" ht="21" customHeight="1"/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>
      <c r="Z218" s="1"/>
    </row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ht="21" customHeight="1"/>
    <row r="230" spans="1:47" s="4" customFormat="1" ht="21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38"/>
      <c r="AA230" s="239"/>
      <c r="AB230" s="239"/>
      <c r="AC230" s="240"/>
      <c r="AD230" s="241"/>
      <c r="AE230" s="242"/>
      <c r="AF230" s="243"/>
      <c r="AG230" s="244"/>
      <c r="AH230" s="244"/>
      <c r="AI230" s="243"/>
      <c r="AJ230" s="243"/>
      <c r="AK230" s="243"/>
      <c r="AL230" s="243"/>
      <c r="AM230" s="243"/>
      <c r="AN230" s="242"/>
      <c r="AO230" s="242"/>
      <c r="AP230" s="242"/>
      <c r="AQ230" s="242"/>
      <c r="AR230" s="242"/>
      <c r="AS230" s="242"/>
      <c r="AT230" s="245"/>
      <c r="AU230" s="243"/>
    </row>
    <row r="231" spans="1:47" ht="21" customHeight="1"/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59" spans="1:26" s="11" customFormat="1" ht="19.5" customHeight="1">
      <c r="A259" s="7"/>
      <c r="B259" s="7"/>
      <c r="C259" s="7"/>
      <c r="D259" s="7"/>
      <c r="E259" s="9"/>
      <c r="F259" s="9"/>
      <c r="G259" s="10"/>
      <c r="H259" s="12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6"/>
    </row>
    <row r="270" spans="1:26" ht="19.5" customHeight="1">
      <c r="Z270" s="6" t="s">
        <v>59</v>
      </c>
    </row>
  </sheetData>
  <mergeCells count="24">
    <mergeCell ref="V95:W95"/>
    <mergeCell ref="V89:W89"/>
    <mergeCell ref="V38:W38"/>
    <mergeCell ref="V73:W73"/>
    <mergeCell ref="V69:W69"/>
    <mergeCell ref="V52:W52"/>
    <mergeCell ref="C82:D82"/>
    <mergeCell ref="V84:W84"/>
    <mergeCell ref="F2:F3"/>
    <mergeCell ref="C18:D18"/>
    <mergeCell ref="C31:D31"/>
    <mergeCell ref="C43:D43"/>
    <mergeCell ref="V45:W45"/>
    <mergeCell ref="C50:D50"/>
    <mergeCell ref="V33:W33"/>
    <mergeCell ref="V66:W66"/>
    <mergeCell ref="I2:Y3"/>
    <mergeCell ref="C5:D5"/>
    <mergeCell ref="C60:D60"/>
    <mergeCell ref="A1:D1"/>
    <mergeCell ref="A2:D2"/>
    <mergeCell ref="E2:E3"/>
    <mergeCell ref="A4:D4"/>
    <mergeCell ref="G2:H2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4"/>
  <sheetViews>
    <sheetView tabSelected="1" zoomScale="75" zoomScaleNormal="75" workbookViewId="0">
      <pane xSplit="3" ySplit="5" topLeftCell="D39" activePane="bottomRight" state="frozen"/>
      <selection pane="topRight" activeCell="D1" sqref="D1"/>
      <selection pane="bottomLeft" activeCell="A6" sqref="A6"/>
      <selection pane="bottomRight" activeCell="D142" sqref="D142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11.44140625" style="20" customWidth="1"/>
    <col min="4" max="4" width="10.33203125" style="16" customWidth="1"/>
    <col min="5" max="5" width="10.44140625" style="16" bestFit="1" customWidth="1"/>
    <col min="6" max="6" width="10.21875" style="16" customWidth="1"/>
    <col min="7" max="7" width="8.6640625" style="16" hidden="1" customWidth="1"/>
    <col min="8" max="8" width="7.77734375" style="16" hidden="1" customWidth="1"/>
    <col min="9" max="9" width="7.77734375" style="16" customWidth="1"/>
    <col min="10" max="10" width="7.77734375" style="16" hidden="1" customWidth="1"/>
    <col min="11" max="11" width="8.5546875" style="16" customWidth="1"/>
    <col min="12" max="12" width="7.77734375" style="16" customWidth="1"/>
    <col min="13" max="13" width="8.21875" style="16" bestFit="1" customWidth="1"/>
    <col min="14" max="14" width="7.109375" style="167" bestFit="1" customWidth="1"/>
    <col min="15" max="15" width="14.109375" style="4" customWidth="1"/>
    <col min="16" max="16" width="12" style="4" customWidth="1"/>
    <col min="17" max="17" width="6.44140625" style="4" customWidth="1"/>
    <col min="18" max="18" width="7.44140625" style="4" customWidth="1"/>
    <col min="19" max="19" width="11.109375" style="5" bestFit="1" customWidth="1"/>
    <col min="20" max="20" width="3.21875" style="5" bestFit="1" customWidth="1"/>
    <col min="21" max="21" width="4" style="5" bestFit="1" customWidth="1"/>
    <col min="22" max="22" width="7.109375" style="5" bestFit="1" customWidth="1"/>
    <col min="23" max="23" width="3.21875" style="5" customWidth="1"/>
    <col min="24" max="24" width="3.777343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85" t="s">
        <v>433</v>
      </c>
      <c r="B1" s="485"/>
      <c r="C1" s="485"/>
      <c r="D1" s="485"/>
      <c r="E1" s="105"/>
      <c r="F1" s="105"/>
      <c r="G1" s="105"/>
      <c r="H1" s="105"/>
      <c r="I1" s="105"/>
      <c r="J1" s="105"/>
      <c r="K1" s="105"/>
      <c r="L1" s="105"/>
      <c r="M1" s="105"/>
      <c r="N1" s="159"/>
      <c r="O1" s="62"/>
      <c r="P1" s="62"/>
      <c r="Q1" s="62"/>
      <c r="R1" s="6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1"/>
    </row>
    <row r="2" spans="1:32" s="3" customFormat="1" ht="27" customHeight="1">
      <c r="A2" s="486" t="s">
        <v>22</v>
      </c>
      <c r="B2" s="487"/>
      <c r="C2" s="487"/>
      <c r="D2" s="488" t="s">
        <v>428</v>
      </c>
      <c r="E2" s="522" t="s">
        <v>429</v>
      </c>
      <c r="F2" s="523"/>
      <c r="G2" s="523"/>
      <c r="H2" s="523"/>
      <c r="I2" s="523"/>
      <c r="J2" s="523"/>
      <c r="K2" s="523"/>
      <c r="L2" s="524"/>
      <c r="M2" s="493" t="s">
        <v>23</v>
      </c>
      <c r="N2" s="493"/>
      <c r="O2" s="507" t="s">
        <v>53</v>
      </c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9"/>
    </row>
    <row r="3" spans="1:32" s="3" customFormat="1" ht="27" customHeight="1" thickBot="1">
      <c r="A3" s="23" t="s">
        <v>1</v>
      </c>
      <c r="B3" s="24" t="s">
        <v>2</v>
      </c>
      <c r="C3" s="24" t="s">
        <v>3</v>
      </c>
      <c r="D3" s="489"/>
      <c r="E3" s="144" t="s">
        <v>419</v>
      </c>
      <c r="F3" s="168" t="s">
        <v>343</v>
      </c>
      <c r="G3" s="168" t="s">
        <v>109</v>
      </c>
      <c r="H3" s="144" t="s">
        <v>89</v>
      </c>
      <c r="I3" s="144" t="s">
        <v>57</v>
      </c>
      <c r="J3" s="144" t="s">
        <v>88</v>
      </c>
      <c r="K3" s="168" t="s">
        <v>358</v>
      </c>
      <c r="L3" s="144" t="s">
        <v>58</v>
      </c>
      <c r="M3" s="143" t="s">
        <v>90</v>
      </c>
      <c r="N3" s="106" t="s">
        <v>4</v>
      </c>
      <c r="O3" s="510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2"/>
    </row>
    <row r="4" spans="1:32" s="11" customFormat="1" ht="21" customHeight="1">
      <c r="A4" s="520" t="s">
        <v>31</v>
      </c>
      <c r="B4" s="521"/>
      <c r="C4" s="521"/>
      <c r="D4" s="284">
        <f t="shared" ref="D4:L4" si="0">SUM(D5,D85,D97,D107,D129,D132,D137,D140)</f>
        <v>382351</v>
      </c>
      <c r="E4" s="284">
        <f t="shared" si="0"/>
        <v>315813</v>
      </c>
      <c r="F4" s="284">
        <f t="shared" si="0"/>
        <v>0</v>
      </c>
      <c r="G4" s="284">
        <f t="shared" si="0"/>
        <v>0</v>
      </c>
      <c r="H4" s="284">
        <f t="shared" si="0"/>
        <v>0</v>
      </c>
      <c r="I4" s="284">
        <f t="shared" si="0"/>
        <v>44375</v>
      </c>
      <c r="J4" s="284">
        <f t="shared" si="0"/>
        <v>0</v>
      </c>
      <c r="K4" s="284">
        <f t="shared" si="0"/>
        <v>222928</v>
      </c>
      <c r="L4" s="284">
        <f t="shared" si="0"/>
        <v>48510</v>
      </c>
      <c r="M4" s="285">
        <f>E4-D4</f>
        <v>-66538</v>
      </c>
      <c r="N4" s="286">
        <f>IF(D4=0,0,M4/D4)</f>
        <v>-0.17402334504159792</v>
      </c>
      <c r="O4" s="287" t="s">
        <v>149</v>
      </c>
      <c r="P4" s="288"/>
      <c r="Q4" s="288"/>
      <c r="R4" s="288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>
        <f>SUM(AD5,AD85,AD97,AD107,AD129,AD132,AD137,AD140)</f>
        <v>315813000</v>
      </c>
      <c r="AE4" s="290" t="s">
        <v>25</v>
      </c>
      <c r="AF4" s="2"/>
    </row>
    <row r="5" spans="1:32" s="11" customFormat="1" ht="21" customHeight="1">
      <c r="A5" s="110" t="s">
        <v>6</v>
      </c>
      <c r="B5" s="518" t="s">
        <v>7</v>
      </c>
      <c r="C5" s="519"/>
      <c r="D5" s="291">
        <f t="shared" ref="D5:L5" si="1">SUM(D6,D41,D51)</f>
        <v>150409</v>
      </c>
      <c r="E5" s="291">
        <f t="shared" si="1"/>
        <v>120329</v>
      </c>
      <c r="F5" s="291">
        <f t="shared" si="1"/>
        <v>0</v>
      </c>
      <c r="G5" s="291">
        <f t="shared" si="1"/>
        <v>0</v>
      </c>
      <c r="H5" s="291">
        <f t="shared" si="1"/>
        <v>0</v>
      </c>
      <c r="I5" s="291">
        <f t="shared" si="1"/>
        <v>28779</v>
      </c>
      <c r="J5" s="291">
        <f t="shared" si="1"/>
        <v>0</v>
      </c>
      <c r="K5" s="291">
        <f t="shared" si="1"/>
        <v>91550</v>
      </c>
      <c r="L5" s="291">
        <f t="shared" si="1"/>
        <v>0</v>
      </c>
      <c r="M5" s="292">
        <f>E5-D5</f>
        <v>-30080</v>
      </c>
      <c r="N5" s="293">
        <f>IF(D5=0,0,M5/D5)</f>
        <v>-0.19998803263102607</v>
      </c>
      <c r="O5" s="294" t="s">
        <v>150</v>
      </c>
      <c r="P5" s="294"/>
      <c r="Q5" s="294"/>
      <c r="R5" s="294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>
        <f>SUM(AD6,AD41,AD51)</f>
        <v>120329000</v>
      </c>
      <c r="AE5" s="296" t="s">
        <v>25</v>
      </c>
      <c r="AF5" s="2"/>
    </row>
    <row r="6" spans="1:32" s="11" customFormat="1" ht="21" customHeight="1">
      <c r="A6" s="43"/>
      <c r="B6" s="34" t="s">
        <v>8</v>
      </c>
      <c r="C6" s="297" t="s">
        <v>5</v>
      </c>
      <c r="D6" s="383">
        <f t="shared" ref="D6:L6" si="2">SUM(D7,D10,D13,D16,D20,D38)</f>
        <v>127700</v>
      </c>
      <c r="E6" s="298">
        <f t="shared" si="2"/>
        <v>97531</v>
      </c>
      <c r="F6" s="298">
        <f t="shared" si="2"/>
        <v>0</v>
      </c>
      <c r="G6" s="298">
        <f t="shared" si="2"/>
        <v>0</v>
      </c>
      <c r="H6" s="298">
        <f t="shared" si="2"/>
        <v>0</v>
      </c>
      <c r="I6" s="298">
        <f t="shared" si="2"/>
        <v>8081</v>
      </c>
      <c r="J6" s="298">
        <f t="shared" si="2"/>
        <v>0</v>
      </c>
      <c r="K6" s="298">
        <f t="shared" si="2"/>
        <v>89450</v>
      </c>
      <c r="L6" s="298">
        <f t="shared" si="2"/>
        <v>0</v>
      </c>
      <c r="M6" s="299">
        <f>E6-D6</f>
        <v>-30169</v>
      </c>
      <c r="N6" s="300">
        <f>IF(D6=0,0,M6/D6)</f>
        <v>-0.23624902114330462</v>
      </c>
      <c r="O6" s="301" t="s">
        <v>151</v>
      </c>
      <c r="P6" s="301"/>
      <c r="Q6" s="301"/>
      <c r="R6" s="301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>
        <f>SUM(AD7,AD10,AD13,AD16,AD20,AD38)</f>
        <v>97531000</v>
      </c>
      <c r="AE6" s="303" t="s">
        <v>25</v>
      </c>
      <c r="AF6" s="2"/>
    </row>
    <row r="7" spans="1:32" s="11" customFormat="1" ht="21" customHeight="1">
      <c r="A7" s="43"/>
      <c r="B7" s="44"/>
      <c r="C7" s="34" t="s">
        <v>32</v>
      </c>
      <c r="D7" s="153">
        <v>108440</v>
      </c>
      <c r="E7" s="112">
        <f>ROUND(AD7/1000,0)</f>
        <v>82440</v>
      </c>
      <c r="F7" s="112">
        <f>SUMIF(AB8:AB8,"보조",AD8:AD8)/1000</f>
        <v>0</v>
      </c>
      <c r="G7" s="112">
        <f>SUMIF($AB$8:$AB$9,"7종",$AD$8:$AD$9)/1000</f>
        <v>0</v>
      </c>
      <c r="H7" s="112">
        <f>SUMIF($AB$8:$AB$9,"4종",$AD$8:$AD$9)/1000</f>
        <v>0</v>
      </c>
      <c r="I7" s="112">
        <f>SUMIF(AB8:AB8,"후원",AD8:AD8)/1000</f>
        <v>0</v>
      </c>
      <c r="J7" s="112">
        <f>SUMIF(AB8:AB8,"입소",AD8:AD8)/1000</f>
        <v>0</v>
      </c>
      <c r="K7" s="112">
        <f>SUMIF(AB8:AB8,"전입",AD8:AD8)/1000</f>
        <v>82440</v>
      </c>
      <c r="L7" s="112">
        <f>SUMIF(AB8:AB8,"잡수",AD8:AD8)/1000</f>
        <v>0</v>
      </c>
      <c r="M7" s="111">
        <f>E7-D7</f>
        <v>-26000</v>
      </c>
      <c r="N7" s="261">
        <f>IF(D7=0,0,M7/D7)</f>
        <v>-0.23976392475101438</v>
      </c>
      <c r="O7" s="114" t="s">
        <v>340</v>
      </c>
      <c r="P7" s="114"/>
      <c r="Q7" s="150"/>
      <c r="R7" s="150"/>
      <c r="S7" s="150"/>
      <c r="T7" s="149"/>
      <c r="U7" s="149"/>
      <c r="V7" s="149"/>
      <c r="W7" s="97" t="s">
        <v>91</v>
      </c>
      <c r="X7" s="97"/>
      <c r="Y7" s="97"/>
      <c r="Z7" s="97"/>
      <c r="AA7" s="97"/>
      <c r="AB7" s="97"/>
      <c r="AC7" s="116"/>
      <c r="AD7" s="116">
        <f>SUM(AD8:AD8)</f>
        <v>82440000</v>
      </c>
      <c r="AE7" s="117" t="s">
        <v>55</v>
      </c>
      <c r="AF7" s="1"/>
    </row>
    <row r="8" spans="1:32" s="11" customFormat="1" ht="21" customHeight="1">
      <c r="A8" s="43"/>
      <c r="B8" s="44"/>
      <c r="C8" s="44"/>
      <c r="D8" s="151"/>
      <c r="E8" s="107"/>
      <c r="F8" s="107"/>
      <c r="G8" s="107"/>
      <c r="H8" s="107"/>
      <c r="I8" s="107"/>
      <c r="J8" s="107"/>
      <c r="K8" s="107"/>
      <c r="L8" s="107"/>
      <c r="M8" s="107"/>
      <c r="N8" s="68"/>
      <c r="O8" s="442" t="s">
        <v>412</v>
      </c>
      <c r="P8" s="440"/>
      <c r="Q8" s="440"/>
      <c r="R8" s="440"/>
      <c r="S8" s="355"/>
      <c r="T8" s="258"/>
      <c r="U8" s="271"/>
      <c r="V8" s="444"/>
      <c r="W8" s="258"/>
      <c r="X8" s="258"/>
      <c r="Y8" s="258"/>
      <c r="Z8" s="258"/>
      <c r="AA8" s="258"/>
      <c r="AB8" s="258" t="s">
        <v>382</v>
      </c>
      <c r="AC8" s="260"/>
      <c r="AD8" s="260">
        <v>82440000</v>
      </c>
      <c r="AE8" s="274" t="s">
        <v>394</v>
      </c>
      <c r="AF8" s="2"/>
    </row>
    <row r="9" spans="1:32" s="11" customFormat="1" ht="21" customHeight="1">
      <c r="A9" s="43"/>
      <c r="B9" s="44"/>
      <c r="C9" s="44"/>
      <c r="D9" s="151"/>
      <c r="E9" s="107"/>
      <c r="F9" s="107"/>
      <c r="G9" s="107"/>
      <c r="H9" s="107"/>
      <c r="I9" s="107"/>
      <c r="J9" s="107"/>
      <c r="K9" s="107"/>
      <c r="L9" s="107"/>
      <c r="M9" s="107"/>
      <c r="N9" s="68"/>
      <c r="O9" s="48"/>
      <c r="P9" s="48"/>
      <c r="Q9" s="48"/>
      <c r="R9" s="48"/>
      <c r="S9" s="443"/>
      <c r="T9" s="49"/>
      <c r="U9" s="49"/>
      <c r="V9" s="145"/>
      <c r="W9" s="145"/>
      <c r="X9" s="145"/>
      <c r="Y9" s="145"/>
      <c r="Z9" s="145"/>
      <c r="AA9" s="145"/>
      <c r="AB9" s="145"/>
      <c r="AC9" s="70"/>
      <c r="AD9" s="70"/>
      <c r="AE9" s="71"/>
      <c r="AF9" s="1"/>
    </row>
    <row r="10" spans="1:32" s="11" customFormat="1" ht="21" hidden="1" customHeight="1">
      <c r="A10" s="43"/>
      <c r="B10" s="44"/>
      <c r="C10" s="34" t="s">
        <v>296</v>
      </c>
      <c r="D10" s="153">
        <v>0</v>
      </c>
      <c r="E10" s="112">
        <f>ROUND(AD10/1000,0)</f>
        <v>0</v>
      </c>
      <c r="F10" s="112">
        <f>SUMIF(AB11:AB12,"보조",AD11:AD12)/1000</f>
        <v>0</v>
      </c>
      <c r="G10" s="112">
        <f>SUMIF($AB$8:$AB$9,"7종",$AD$8:$AD$9)/1000</f>
        <v>0</v>
      </c>
      <c r="H10" s="112">
        <f>SUMIF($AB$8:$AB$9,"4종",$AD$8:$AD$9)/1000</f>
        <v>0</v>
      </c>
      <c r="I10" s="112">
        <f>SUMIF(AB11:AB12,"후원",AD11:AD12)/1000</f>
        <v>0</v>
      </c>
      <c r="J10" s="112">
        <f>SUMIF(AB11:AB12,"입소",AD11:AD12)/1000</f>
        <v>0</v>
      </c>
      <c r="K10" s="112">
        <f>SUMIF(AB11:AB12,"전입",AD11:AD12)/1000</f>
        <v>0</v>
      </c>
      <c r="L10" s="112">
        <f>SUMIF(AB11:AB12,"잡수",AD11:AD12)/1000</f>
        <v>0</v>
      </c>
      <c r="M10" s="121">
        <f>E10-D10</f>
        <v>0</v>
      </c>
      <c r="N10" s="119">
        <f>IF(D10=0,0,M10/D10)</f>
        <v>0</v>
      </c>
      <c r="O10" s="95" t="s">
        <v>33</v>
      </c>
      <c r="P10" s="163"/>
      <c r="Q10" s="91"/>
      <c r="R10" s="91"/>
      <c r="S10" s="91"/>
      <c r="T10" s="87"/>
      <c r="U10" s="87"/>
      <c r="V10" s="149"/>
      <c r="W10" s="97" t="s">
        <v>91</v>
      </c>
      <c r="X10" s="97"/>
      <c r="Y10" s="97"/>
      <c r="Z10" s="97"/>
      <c r="AA10" s="97"/>
      <c r="AB10" s="97"/>
      <c r="AC10" s="116"/>
      <c r="AD10" s="116">
        <f>SUM(AD11:AD11)</f>
        <v>0</v>
      </c>
      <c r="AE10" s="117" t="s">
        <v>55</v>
      </c>
      <c r="AF10" s="1"/>
    </row>
    <row r="11" spans="1:32" s="11" customFormat="1" ht="21" hidden="1" customHeight="1">
      <c r="A11" s="43"/>
      <c r="B11" s="44"/>
      <c r="C11" s="44"/>
      <c r="D11" s="151"/>
      <c r="E11" s="107"/>
      <c r="F11" s="107"/>
      <c r="G11" s="107"/>
      <c r="H11" s="107"/>
      <c r="I11" s="107"/>
      <c r="J11" s="107"/>
      <c r="K11" s="107"/>
      <c r="L11" s="107"/>
      <c r="M11" s="107"/>
      <c r="N11" s="68"/>
      <c r="O11" s="263"/>
      <c r="P11" s="271"/>
      <c r="Q11" s="48"/>
      <c r="R11" s="48"/>
      <c r="S11" s="123">
        <v>45000</v>
      </c>
      <c r="T11" s="123" t="s">
        <v>55</v>
      </c>
      <c r="U11" s="124" t="s">
        <v>56</v>
      </c>
      <c r="V11" s="123">
        <v>0</v>
      </c>
      <c r="W11" s="123" t="s">
        <v>54</v>
      </c>
      <c r="X11" s="124" t="s">
        <v>56</v>
      </c>
      <c r="Y11" s="273">
        <v>0</v>
      </c>
      <c r="Z11" s="89" t="s">
        <v>71</v>
      </c>
      <c r="AA11" s="89" t="s">
        <v>52</v>
      </c>
      <c r="AB11" s="270"/>
      <c r="AC11" s="66"/>
      <c r="AD11" s="131">
        <f>S11*V11*Y11</f>
        <v>0</v>
      </c>
      <c r="AE11" s="55" t="s">
        <v>63</v>
      </c>
      <c r="AF11" s="1"/>
    </row>
    <row r="12" spans="1:32" s="11" customFormat="1" ht="21" hidden="1" customHeight="1">
      <c r="A12" s="43"/>
      <c r="B12" s="44"/>
      <c r="C12" s="44"/>
      <c r="D12" s="151"/>
      <c r="E12" s="107"/>
      <c r="F12" s="107"/>
      <c r="G12" s="107"/>
      <c r="H12" s="107"/>
      <c r="I12" s="107"/>
      <c r="J12" s="107"/>
      <c r="K12" s="107"/>
      <c r="L12" s="107"/>
      <c r="M12" s="107"/>
      <c r="N12" s="68"/>
      <c r="O12" s="48"/>
      <c r="P12" s="48"/>
      <c r="Q12" s="48"/>
      <c r="R12" s="48"/>
      <c r="S12" s="49"/>
      <c r="T12" s="49"/>
      <c r="U12" s="48"/>
      <c r="V12" s="49"/>
      <c r="W12" s="49"/>
      <c r="X12" s="48"/>
      <c r="Y12" s="90"/>
      <c r="Z12" s="49"/>
      <c r="AA12" s="49"/>
      <c r="AB12" s="49"/>
      <c r="AC12" s="66"/>
      <c r="AD12" s="49"/>
      <c r="AE12" s="55"/>
      <c r="AF12" s="1"/>
    </row>
    <row r="13" spans="1:32" s="11" customFormat="1" ht="21" hidden="1" customHeight="1">
      <c r="A13" s="43"/>
      <c r="B13" s="44"/>
      <c r="C13" s="34" t="s">
        <v>297</v>
      </c>
      <c r="D13" s="153">
        <v>0</v>
      </c>
      <c r="E13" s="112">
        <f>ROUND(AD13/1000,0)</f>
        <v>0</v>
      </c>
      <c r="F13" s="112">
        <f>SUMIF(AB14:AB15,"보조",AD14:AD15)/1000</f>
        <v>0</v>
      </c>
      <c r="G13" s="112">
        <f>SUMIF($AB$8:$AB$9,"7종",$AD$8:$AD$9)/1000</f>
        <v>0</v>
      </c>
      <c r="H13" s="112">
        <f>SUMIF($AB$8:$AB$9,"4종",$AD$8:$AD$9)/1000</f>
        <v>0</v>
      </c>
      <c r="I13" s="112">
        <f>SUMIF(AB14:AB15,"후원",AD14:AD15)/1000</f>
        <v>0</v>
      </c>
      <c r="J13" s="112">
        <f>SUMIF(AB14:AB15,"입소",AD14:AD15)/1000</f>
        <v>0</v>
      </c>
      <c r="K13" s="112">
        <f>SUMIF(AB14:AB15,"전입",AD14:AD15)/1000</f>
        <v>0</v>
      </c>
      <c r="L13" s="112">
        <f>SUMIF(AB14:AB15,"잡수",AD14:AD15)/1000</f>
        <v>0</v>
      </c>
      <c r="M13" s="111">
        <f>E13-D13</f>
        <v>0</v>
      </c>
      <c r="N13" s="119">
        <f>IF(D13=0,0,M13/D13)</f>
        <v>0</v>
      </c>
      <c r="O13" s="95" t="s">
        <v>357</v>
      </c>
      <c r="P13" s="163"/>
      <c r="Q13" s="91"/>
      <c r="R13" s="91"/>
      <c r="S13" s="91"/>
      <c r="T13" s="87"/>
      <c r="U13" s="87"/>
      <c r="V13" s="87"/>
      <c r="W13" s="164" t="s">
        <v>91</v>
      </c>
      <c r="X13" s="164"/>
      <c r="Y13" s="164"/>
      <c r="Z13" s="164"/>
      <c r="AA13" s="164"/>
      <c r="AB13" s="164"/>
      <c r="AC13" s="166"/>
      <c r="AD13" s="166">
        <f>AD14</f>
        <v>0</v>
      </c>
      <c r="AE13" s="165" t="s">
        <v>55</v>
      </c>
      <c r="AF13" s="1"/>
    </row>
    <row r="14" spans="1:32" s="11" customFormat="1" ht="21" hidden="1" customHeight="1">
      <c r="A14" s="43"/>
      <c r="B14" s="44"/>
      <c r="C14" s="44"/>
      <c r="D14" s="151"/>
      <c r="E14" s="107"/>
      <c r="F14" s="107"/>
      <c r="G14" s="107"/>
      <c r="H14" s="107"/>
      <c r="I14" s="107"/>
      <c r="J14" s="107"/>
      <c r="K14" s="107"/>
      <c r="L14" s="107"/>
      <c r="M14" s="107"/>
      <c r="N14" s="68"/>
      <c r="O14" s="525"/>
      <c r="P14" s="526"/>
      <c r="Q14" s="258"/>
      <c r="R14" s="258"/>
      <c r="S14" s="258">
        <v>0</v>
      </c>
      <c r="T14" s="258" t="s">
        <v>153</v>
      </c>
      <c r="U14" s="259" t="s">
        <v>157</v>
      </c>
      <c r="V14" s="258">
        <v>4</v>
      </c>
      <c r="W14" s="258" t="s">
        <v>155</v>
      </c>
      <c r="X14" s="259" t="s">
        <v>157</v>
      </c>
      <c r="Y14" s="328">
        <v>12</v>
      </c>
      <c r="Z14" s="305" t="s">
        <v>154</v>
      </c>
      <c r="AA14" s="305" t="s">
        <v>158</v>
      </c>
      <c r="AB14" s="305"/>
      <c r="AC14" s="259"/>
      <c r="AD14" s="258">
        <f>S14*V14*Y14</f>
        <v>0</v>
      </c>
      <c r="AE14" s="274" t="s">
        <v>153</v>
      </c>
      <c r="AF14" s="15"/>
    </row>
    <row r="15" spans="1:32" s="11" customFormat="1" ht="21" hidden="1" customHeight="1">
      <c r="A15" s="43"/>
      <c r="B15" s="44"/>
      <c r="C15" s="44"/>
      <c r="D15" s="151"/>
      <c r="E15" s="107"/>
      <c r="F15" s="107"/>
      <c r="G15" s="107"/>
      <c r="H15" s="107"/>
      <c r="I15" s="107"/>
      <c r="J15" s="107"/>
      <c r="K15" s="107"/>
      <c r="L15" s="107"/>
      <c r="M15" s="107"/>
      <c r="N15" s="68"/>
      <c r="O15" s="259"/>
      <c r="P15" s="259"/>
      <c r="Q15" s="259"/>
      <c r="R15" s="259"/>
      <c r="S15" s="258"/>
      <c r="T15" s="308"/>
      <c r="U15" s="348"/>
      <c r="V15" s="308"/>
      <c r="W15" s="349"/>
      <c r="X15" s="349"/>
      <c r="Y15" s="258"/>
      <c r="Z15" s="258"/>
      <c r="AA15" s="258"/>
      <c r="AB15" s="258"/>
      <c r="AC15" s="258"/>
      <c r="AD15" s="258"/>
      <c r="AE15" s="274"/>
      <c r="AF15" s="15"/>
    </row>
    <row r="16" spans="1:32" s="11" customFormat="1" ht="21" customHeight="1">
      <c r="A16" s="43"/>
      <c r="B16" s="44"/>
      <c r="C16" s="34" t="s">
        <v>9</v>
      </c>
      <c r="D16" s="153">
        <v>9038</v>
      </c>
      <c r="E16" s="112">
        <f>ROUND(AD16/1000,0)</f>
        <v>7368</v>
      </c>
      <c r="F16" s="112">
        <f>SUMIF(AB17:AB19,"보조",AD17:AD19)/1000</f>
        <v>0</v>
      </c>
      <c r="G16" s="112">
        <f>SUMIF($AB$8:$AB$9,"7종",$AD$8:$AD$9)/1000</f>
        <v>0</v>
      </c>
      <c r="H16" s="112">
        <f>SUMIF($AB$8:$AB$9,"4종",$AD$8:$AD$9)/1000</f>
        <v>0</v>
      </c>
      <c r="I16" s="112">
        <f>SUMIF(AB17:AB19,"후원",AD17:AD19)/1000</f>
        <v>498</v>
      </c>
      <c r="J16" s="112">
        <f>SUMIF(AB17:AB19,"입소",AD17:AD19)/1000</f>
        <v>0</v>
      </c>
      <c r="K16" s="112">
        <f>SUMIF(AB17:AB19,"전입",AD17:AD19)/1000</f>
        <v>6870</v>
      </c>
      <c r="L16" s="112">
        <f>SUMIF(AB17:AB19,"잡수",AD17:AD19)/1000</f>
        <v>0</v>
      </c>
      <c r="M16" s="111">
        <f>E16-D16</f>
        <v>-1670</v>
      </c>
      <c r="N16" s="119">
        <f>IF(D16=0,0,M16/D16)</f>
        <v>-0.1847753927860146</v>
      </c>
      <c r="O16" s="95" t="s">
        <v>34</v>
      </c>
      <c r="P16" s="163"/>
      <c r="Q16" s="147"/>
      <c r="R16" s="91"/>
      <c r="S16" s="91"/>
      <c r="T16" s="87"/>
      <c r="U16" s="87"/>
      <c r="V16" s="87"/>
      <c r="W16" s="255" t="s">
        <v>138</v>
      </c>
      <c r="X16" s="255"/>
      <c r="Y16" s="255"/>
      <c r="Z16" s="255"/>
      <c r="AA16" s="255"/>
      <c r="AB16" s="255"/>
      <c r="AC16" s="166" t="s">
        <v>139</v>
      </c>
      <c r="AD16" s="166">
        <f>ROUNDUP(SUM(AD17,AD18),-3)</f>
        <v>7368000</v>
      </c>
      <c r="AE16" s="165" t="s">
        <v>140</v>
      </c>
      <c r="AF16" s="2"/>
    </row>
    <row r="17" spans="1:32" s="11" customFormat="1" ht="21" customHeight="1">
      <c r="A17" s="43"/>
      <c r="B17" s="44"/>
      <c r="C17" s="44"/>
      <c r="D17" s="154"/>
      <c r="E17" s="107"/>
      <c r="F17" s="107"/>
      <c r="G17" s="107"/>
      <c r="H17" s="107"/>
      <c r="I17" s="107"/>
      <c r="J17" s="107"/>
      <c r="K17" s="107"/>
      <c r="L17" s="107"/>
      <c r="M17" s="113"/>
      <c r="N17" s="68"/>
      <c r="O17" s="259"/>
      <c r="P17" s="259"/>
      <c r="Q17" s="259"/>
      <c r="R17" s="259"/>
      <c r="S17" s="258">
        <f>AD7</f>
        <v>82440000</v>
      </c>
      <c r="T17" s="305" t="s">
        <v>153</v>
      </c>
      <c r="U17" s="305" t="s">
        <v>164</v>
      </c>
      <c r="V17" s="350">
        <v>12</v>
      </c>
      <c r="W17" s="304" t="s">
        <v>154</v>
      </c>
      <c r="X17" s="258"/>
      <c r="Y17" s="258"/>
      <c r="Z17" s="258"/>
      <c r="AA17" s="258" t="s">
        <v>158</v>
      </c>
      <c r="AB17" s="258" t="s">
        <v>408</v>
      </c>
      <c r="AC17" s="260"/>
      <c r="AD17" s="260">
        <v>6870000</v>
      </c>
      <c r="AE17" s="274" t="s">
        <v>153</v>
      </c>
      <c r="AF17" s="2"/>
    </row>
    <row r="18" spans="1:32" s="11" customFormat="1" ht="21" customHeight="1">
      <c r="A18" s="43"/>
      <c r="B18" s="44"/>
      <c r="C18" s="44"/>
      <c r="D18" s="154"/>
      <c r="E18" s="107"/>
      <c r="F18" s="107"/>
      <c r="G18" s="107"/>
      <c r="H18" s="107"/>
      <c r="I18" s="107"/>
      <c r="J18" s="107"/>
      <c r="K18" s="107"/>
      <c r="L18" s="107"/>
      <c r="M18" s="113"/>
      <c r="N18" s="68"/>
      <c r="O18" s="259"/>
      <c r="P18" s="259"/>
      <c r="Q18" s="259"/>
      <c r="R18" s="259"/>
      <c r="S18" s="258"/>
      <c r="T18" s="305"/>
      <c r="U18" s="305"/>
      <c r="V18" s="350"/>
      <c r="W18" s="304"/>
      <c r="X18" s="258"/>
      <c r="Y18" s="258"/>
      <c r="Z18" s="258"/>
      <c r="AA18" s="258"/>
      <c r="AB18" s="258" t="s">
        <v>409</v>
      </c>
      <c r="AC18" s="260"/>
      <c r="AD18" s="260">
        <v>498000</v>
      </c>
      <c r="AE18" s="274" t="s">
        <v>359</v>
      </c>
      <c r="AF18" s="2"/>
    </row>
    <row r="19" spans="1:32" s="11" customFormat="1" ht="21" customHeight="1">
      <c r="A19" s="43"/>
      <c r="B19" s="44"/>
      <c r="C19" s="44"/>
      <c r="D19" s="155"/>
      <c r="E19" s="107"/>
      <c r="F19" s="107"/>
      <c r="G19" s="107"/>
      <c r="H19" s="107"/>
      <c r="I19" s="107"/>
      <c r="J19" s="107"/>
      <c r="K19" s="107"/>
      <c r="L19" s="107"/>
      <c r="M19" s="113"/>
      <c r="N19" s="68"/>
      <c r="O19" s="30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50"/>
      <c r="AD19" s="50"/>
      <c r="AE19" s="32"/>
      <c r="AF19" s="2"/>
    </row>
    <row r="20" spans="1:32" s="11" customFormat="1" ht="21" customHeight="1">
      <c r="A20" s="43"/>
      <c r="B20" s="44"/>
      <c r="C20" s="120" t="s">
        <v>64</v>
      </c>
      <c r="D20" s="153">
        <v>10102</v>
      </c>
      <c r="E20" s="112">
        <f>ROUND(AD20/1000,0)</f>
        <v>7603</v>
      </c>
      <c r="F20" s="112">
        <f>SUMIF($AB$21:$AB$37,"보조",$AD$21:$AD$37)/1000</f>
        <v>0</v>
      </c>
      <c r="G20" s="112">
        <f>SUMIF($AB$21:$AB$37,"7종",$AD$21:$AD$37)/1000</f>
        <v>0</v>
      </c>
      <c r="H20" s="112">
        <f>SUMIF($AB$21:$AB$37,"4종",$AD$21:$AD$37)/1000</f>
        <v>0</v>
      </c>
      <c r="I20" s="112">
        <f>SUMIF($AB$21:$AB$37,"후원",$AD$21:$AD$37)/1000</f>
        <v>7463</v>
      </c>
      <c r="J20" s="112">
        <f>SUMIF($AB$21:$AB$37,"입소",$AD$21:$AD$37)/1000</f>
        <v>0</v>
      </c>
      <c r="K20" s="112">
        <f>SUMIF($AB$21:$AB$37,"전입",$AD$21:$AD$37)/1000</f>
        <v>140</v>
      </c>
      <c r="L20" s="112">
        <f>SUMIF($AB$21:$AB$37,"잡수",$AD$21:$AD$37)/1000</f>
        <v>0</v>
      </c>
      <c r="M20" s="121">
        <f>E20-D20</f>
        <v>-2499</v>
      </c>
      <c r="N20" s="119">
        <f>IF(D20=0,0,M20/D20)</f>
        <v>-0.24737675707780638</v>
      </c>
      <c r="O20" s="95" t="s">
        <v>35</v>
      </c>
      <c r="P20" s="163"/>
      <c r="Q20" s="91"/>
      <c r="R20" s="91"/>
      <c r="S20" s="91"/>
      <c r="T20" s="87"/>
      <c r="U20" s="87"/>
      <c r="V20" s="87"/>
      <c r="W20" s="164" t="s">
        <v>91</v>
      </c>
      <c r="X20" s="164"/>
      <c r="Y20" s="164"/>
      <c r="Z20" s="164"/>
      <c r="AA20" s="164"/>
      <c r="AB20" s="164"/>
      <c r="AC20" s="166"/>
      <c r="AD20" s="166">
        <f>SUM(AD22,AD26,AD29,AD32,AD35)</f>
        <v>7603000</v>
      </c>
      <c r="AE20" s="165" t="s">
        <v>25</v>
      </c>
    </row>
    <row r="21" spans="1:32" s="11" customFormat="1" ht="21" customHeight="1">
      <c r="A21" s="43"/>
      <c r="B21" s="44"/>
      <c r="C21" s="44" t="s">
        <v>92</v>
      </c>
      <c r="D21" s="151"/>
      <c r="E21" s="107"/>
      <c r="F21" s="107"/>
      <c r="G21" s="107"/>
      <c r="H21" s="107"/>
      <c r="I21" s="107"/>
      <c r="J21" s="107"/>
      <c r="K21" s="107"/>
      <c r="L21" s="107"/>
      <c r="M21" s="107"/>
      <c r="N21" s="68"/>
      <c r="O21" s="15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50"/>
      <c r="AD21" s="50"/>
      <c r="AE21" s="32"/>
      <c r="AF21" s="2"/>
    </row>
    <row r="22" spans="1:32" s="11" customFormat="1" ht="21" customHeight="1">
      <c r="A22" s="43"/>
      <c r="B22" s="44"/>
      <c r="C22" s="44"/>
      <c r="D22" s="151"/>
      <c r="E22" s="107"/>
      <c r="F22" s="107"/>
      <c r="G22" s="107"/>
      <c r="H22" s="107"/>
      <c r="I22" s="107"/>
      <c r="J22" s="107"/>
      <c r="K22" s="107"/>
      <c r="L22" s="107"/>
      <c r="M22" s="107"/>
      <c r="N22" s="68"/>
      <c r="O22" s="336" t="s">
        <v>414</v>
      </c>
      <c r="P22" s="259"/>
      <c r="Q22" s="259"/>
      <c r="R22" s="259"/>
      <c r="S22" s="259"/>
      <c r="T22" s="258"/>
      <c r="U22" s="258"/>
      <c r="V22" s="258"/>
      <c r="W22" s="323" t="s">
        <v>163</v>
      </c>
      <c r="X22" s="323"/>
      <c r="Y22" s="323"/>
      <c r="Z22" s="323"/>
      <c r="AA22" s="323"/>
      <c r="AB22" s="323"/>
      <c r="AC22" s="324"/>
      <c r="AD22" s="324">
        <f>ROUND(SUM(AD23:AD25),-3)</f>
        <v>3380000</v>
      </c>
      <c r="AE22" s="325" t="s">
        <v>153</v>
      </c>
      <c r="AF22" s="2"/>
    </row>
    <row r="23" spans="1:32" s="11" customFormat="1" ht="21" customHeight="1">
      <c r="A23" s="43"/>
      <c r="B23" s="44"/>
      <c r="C23" s="44"/>
      <c r="D23" s="151"/>
      <c r="E23" s="107"/>
      <c r="F23" s="107"/>
      <c r="G23" s="107"/>
      <c r="H23" s="107"/>
      <c r="I23" s="107"/>
      <c r="J23" s="107"/>
      <c r="K23" s="107"/>
      <c r="L23" s="107"/>
      <c r="M23" s="107"/>
      <c r="N23" s="68"/>
      <c r="O23" s="259"/>
      <c r="P23" s="259"/>
      <c r="Q23" s="259"/>
      <c r="R23" s="259"/>
      <c r="S23" s="258">
        <f>S17-10440000</f>
        <v>72000000</v>
      </c>
      <c r="T23" s="305" t="s">
        <v>153</v>
      </c>
      <c r="U23" s="304" t="s">
        <v>157</v>
      </c>
      <c r="V23" s="351">
        <v>0.09</v>
      </c>
      <c r="W23" s="305" t="s">
        <v>164</v>
      </c>
      <c r="X23" s="352">
        <v>2</v>
      </c>
      <c r="Y23" s="307"/>
      <c r="Z23" s="307"/>
      <c r="AA23" s="305" t="s">
        <v>158</v>
      </c>
      <c r="AB23" s="258" t="s">
        <v>386</v>
      </c>
      <c r="AC23" s="260"/>
      <c r="AD23" s="260">
        <f>ROUND(S23*V23/X23,-3)</f>
        <v>3240000</v>
      </c>
      <c r="AE23" s="274" t="s">
        <v>153</v>
      </c>
      <c r="AF23" s="2"/>
    </row>
    <row r="24" spans="1:32" s="11" customFormat="1" ht="21" customHeight="1">
      <c r="A24" s="43"/>
      <c r="B24" s="44"/>
      <c r="C24" s="44"/>
      <c r="D24" s="151"/>
      <c r="E24" s="107"/>
      <c r="F24" s="107"/>
      <c r="G24" s="107"/>
      <c r="H24" s="107"/>
      <c r="I24" s="107"/>
      <c r="J24" s="107"/>
      <c r="K24" s="107"/>
      <c r="L24" s="107"/>
      <c r="M24" s="107"/>
      <c r="N24" s="68"/>
      <c r="O24" s="259"/>
      <c r="P24" s="259"/>
      <c r="Q24" s="259"/>
      <c r="R24" s="259"/>
      <c r="S24" s="258"/>
      <c r="T24" s="305"/>
      <c r="U24" s="304"/>
      <c r="V24" s="351"/>
      <c r="W24" s="305"/>
      <c r="X24" s="352"/>
      <c r="Y24" s="307"/>
      <c r="Z24" s="307"/>
      <c r="AA24" s="305"/>
      <c r="AB24" s="258" t="s">
        <v>456</v>
      </c>
      <c r="AC24" s="260"/>
      <c r="AD24" s="260">
        <v>140000</v>
      </c>
      <c r="AE24" s="274" t="s">
        <v>455</v>
      </c>
      <c r="AF24" s="2"/>
    </row>
    <row r="25" spans="1:32" s="11" customFormat="1" ht="21" customHeight="1">
      <c r="A25" s="43"/>
      <c r="B25" s="44"/>
      <c r="C25" s="44"/>
      <c r="D25" s="151"/>
      <c r="E25" s="107"/>
      <c r="F25" s="107"/>
      <c r="G25" s="107"/>
      <c r="H25" s="107"/>
      <c r="I25" s="107"/>
      <c r="J25" s="107"/>
      <c r="K25" s="107"/>
      <c r="L25" s="107"/>
      <c r="M25" s="107"/>
      <c r="N25" s="68"/>
      <c r="O25" s="259"/>
      <c r="P25" s="259"/>
      <c r="Q25" s="259"/>
      <c r="R25" s="259"/>
      <c r="S25" s="258"/>
      <c r="T25" s="305"/>
      <c r="U25" s="304"/>
      <c r="V25" s="351"/>
      <c r="W25" s="305"/>
      <c r="X25" s="352"/>
      <c r="Y25" s="307"/>
      <c r="Z25" s="307"/>
      <c r="AA25" s="305"/>
      <c r="AB25" s="258"/>
      <c r="AC25" s="260"/>
      <c r="AD25" s="260"/>
      <c r="AE25" s="274"/>
      <c r="AF25" s="2"/>
    </row>
    <row r="26" spans="1:32" s="11" customFormat="1" ht="21" customHeight="1">
      <c r="A26" s="43"/>
      <c r="B26" s="44"/>
      <c r="C26" s="44"/>
      <c r="D26" s="151"/>
      <c r="E26" s="107"/>
      <c r="F26" s="107"/>
      <c r="G26" s="107"/>
      <c r="H26" s="107"/>
      <c r="I26" s="107"/>
      <c r="J26" s="107"/>
      <c r="K26" s="107"/>
      <c r="L26" s="107"/>
      <c r="M26" s="107"/>
      <c r="N26" s="68"/>
      <c r="O26" s="336" t="s">
        <v>415</v>
      </c>
      <c r="P26" s="259"/>
      <c r="Q26" s="259"/>
      <c r="R26" s="259"/>
      <c r="S26" s="259"/>
      <c r="T26" s="258"/>
      <c r="U26" s="258"/>
      <c r="V26" s="258"/>
      <c r="W26" s="323" t="s">
        <v>162</v>
      </c>
      <c r="X26" s="323"/>
      <c r="Y26" s="323"/>
      <c r="Z26" s="323"/>
      <c r="AA26" s="323"/>
      <c r="AB26" s="323"/>
      <c r="AC26" s="324" t="s">
        <v>167</v>
      </c>
      <c r="AD26" s="324">
        <f>ROUNDUP(SUM(AD27:AD28),-3)</f>
        <v>2666000</v>
      </c>
      <c r="AE26" s="325" t="s">
        <v>156</v>
      </c>
      <c r="AF26" s="2"/>
    </row>
    <row r="27" spans="1:32" s="11" customFormat="1" ht="21" customHeight="1">
      <c r="A27" s="43"/>
      <c r="B27" s="44"/>
      <c r="C27" s="44"/>
      <c r="D27" s="151"/>
      <c r="E27" s="107"/>
      <c r="F27" s="107"/>
      <c r="G27" s="107"/>
      <c r="H27" s="107"/>
      <c r="I27" s="107"/>
      <c r="J27" s="107"/>
      <c r="K27" s="107"/>
      <c r="L27" s="107"/>
      <c r="M27" s="107"/>
      <c r="N27" s="68"/>
      <c r="O27" s="259"/>
      <c r="P27" s="259"/>
      <c r="Q27" s="259"/>
      <c r="R27" s="259"/>
      <c r="S27" s="258">
        <f>AD7</f>
        <v>82440000</v>
      </c>
      <c r="T27" s="305" t="s">
        <v>156</v>
      </c>
      <c r="U27" s="304" t="s">
        <v>168</v>
      </c>
      <c r="V27" s="353">
        <v>6.4600000000000005E-2</v>
      </c>
      <c r="W27" s="305" t="s">
        <v>165</v>
      </c>
      <c r="X27" s="354">
        <v>2</v>
      </c>
      <c r="Y27" s="307"/>
      <c r="Z27" s="307"/>
      <c r="AA27" s="305" t="s">
        <v>166</v>
      </c>
      <c r="AB27" s="258" t="s">
        <v>386</v>
      </c>
      <c r="AC27" s="260"/>
      <c r="AD27" s="260">
        <f>ROUNDUP(S27*V27/X27,-3)+3000</f>
        <v>2666000</v>
      </c>
      <c r="AE27" s="274" t="s">
        <v>156</v>
      </c>
      <c r="AF27" s="2"/>
    </row>
    <row r="28" spans="1:32" s="11" customFormat="1" ht="21" customHeight="1">
      <c r="A28" s="43"/>
      <c r="B28" s="44"/>
      <c r="C28" s="44"/>
      <c r="D28" s="151"/>
      <c r="E28" s="107"/>
      <c r="F28" s="107"/>
      <c r="G28" s="107"/>
      <c r="H28" s="107"/>
      <c r="I28" s="107"/>
      <c r="J28" s="107"/>
      <c r="K28" s="107"/>
      <c r="L28" s="107"/>
      <c r="M28" s="107"/>
      <c r="N28" s="68"/>
      <c r="O28" s="259"/>
      <c r="P28" s="259"/>
      <c r="Q28" s="259"/>
      <c r="R28" s="259"/>
      <c r="S28" s="258"/>
      <c r="T28" s="305"/>
      <c r="U28" s="304"/>
      <c r="V28" s="353"/>
      <c r="W28" s="305"/>
      <c r="X28" s="354"/>
      <c r="Y28" s="307"/>
      <c r="Z28" s="307"/>
      <c r="AA28" s="305"/>
      <c r="AB28" s="258"/>
      <c r="AC28" s="260"/>
      <c r="AD28" s="260"/>
      <c r="AE28" s="274"/>
      <c r="AF28" s="2"/>
    </row>
    <row r="29" spans="1:32" s="11" customFormat="1" ht="21" customHeight="1">
      <c r="A29" s="43"/>
      <c r="B29" s="44"/>
      <c r="C29" s="44"/>
      <c r="D29" s="151"/>
      <c r="E29" s="107"/>
      <c r="F29" s="107"/>
      <c r="G29" s="107"/>
      <c r="H29" s="107"/>
      <c r="I29" s="107"/>
      <c r="J29" s="107"/>
      <c r="K29" s="107"/>
      <c r="L29" s="107"/>
      <c r="M29" s="107"/>
      <c r="N29" s="68"/>
      <c r="O29" s="336" t="s">
        <v>416</v>
      </c>
      <c r="P29" s="259"/>
      <c r="Q29" s="259"/>
      <c r="R29" s="259"/>
      <c r="S29" s="259"/>
      <c r="T29" s="258"/>
      <c r="U29" s="258"/>
      <c r="V29" s="258"/>
      <c r="W29" s="323" t="s">
        <v>162</v>
      </c>
      <c r="X29" s="323"/>
      <c r="Y29" s="323"/>
      <c r="Z29" s="323"/>
      <c r="AA29" s="323"/>
      <c r="AB29" s="323"/>
      <c r="AC29" s="324" t="s">
        <v>167</v>
      </c>
      <c r="AD29" s="324">
        <f>ROUND(SUM(AD30:AD31),-3)</f>
        <v>227000</v>
      </c>
      <c r="AE29" s="325" t="s">
        <v>156</v>
      </c>
      <c r="AF29" s="2"/>
    </row>
    <row r="30" spans="1:32" s="11" customFormat="1" ht="21" customHeight="1">
      <c r="A30" s="43"/>
      <c r="B30" s="44"/>
      <c r="C30" s="44"/>
      <c r="D30" s="151"/>
      <c r="E30" s="107"/>
      <c r="F30" s="107"/>
      <c r="G30" s="107"/>
      <c r="H30" s="107"/>
      <c r="I30" s="107"/>
      <c r="J30" s="107"/>
      <c r="K30" s="107"/>
      <c r="L30" s="107"/>
      <c r="M30" s="107"/>
      <c r="N30" s="68"/>
      <c r="O30" s="259"/>
      <c r="P30" s="259"/>
      <c r="Q30" s="259"/>
      <c r="R30" s="259"/>
      <c r="S30" s="355">
        <f>AD26</f>
        <v>2666000</v>
      </c>
      <c r="T30" s="305" t="s">
        <v>156</v>
      </c>
      <c r="U30" s="304" t="s">
        <v>168</v>
      </c>
      <c r="V30" s="353">
        <v>8.5099999999999995E-2</v>
      </c>
      <c r="W30" s="304"/>
      <c r="X30" s="306"/>
      <c r="Y30" s="307"/>
      <c r="Z30" s="307"/>
      <c r="AA30" s="305" t="s">
        <v>166</v>
      </c>
      <c r="AB30" s="258" t="s">
        <v>386</v>
      </c>
      <c r="AC30" s="260"/>
      <c r="AD30" s="260">
        <f>ROUNDUP(S30*V30,-3)</f>
        <v>227000</v>
      </c>
      <c r="AE30" s="274" t="s">
        <v>156</v>
      </c>
      <c r="AF30" s="2"/>
    </row>
    <row r="31" spans="1:32" s="11" customFormat="1" ht="21" customHeight="1">
      <c r="A31" s="43"/>
      <c r="B31" s="44"/>
      <c r="C31" s="44"/>
      <c r="D31" s="151"/>
      <c r="E31" s="107"/>
      <c r="F31" s="107"/>
      <c r="G31" s="107"/>
      <c r="H31" s="107"/>
      <c r="I31" s="107"/>
      <c r="J31" s="107"/>
      <c r="K31" s="107"/>
      <c r="L31" s="107"/>
      <c r="M31" s="107"/>
      <c r="N31" s="68"/>
      <c r="O31" s="259"/>
      <c r="P31" s="259"/>
      <c r="Q31" s="259"/>
      <c r="R31" s="259"/>
      <c r="S31" s="355"/>
      <c r="T31" s="305"/>
      <c r="U31" s="304"/>
      <c r="V31" s="353"/>
      <c r="W31" s="304"/>
      <c r="X31" s="306"/>
      <c r="Y31" s="307"/>
      <c r="Z31" s="307"/>
      <c r="AA31" s="305"/>
      <c r="AB31" s="258"/>
      <c r="AC31" s="260"/>
      <c r="AD31" s="260"/>
      <c r="AE31" s="274"/>
      <c r="AF31" s="2"/>
    </row>
    <row r="32" spans="1:32" s="11" customFormat="1" ht="21" customHeight="1">
      <c r="A32" s="43"/>
      <c r="B32" s="44"/>
      <c r="C32" s="44"/>
      <c r="D32" s="151"/>
      <c r="E32" s="107"/>
      <c r="F32" s="107"/>
      <c r="G32" s="107"/>
      <c r="H32" s="107"/>
      <c r="I32" s="107"/>
      <c r="J32" s="107"/>
      <c r="K32" s="107"/>
      <c r="L32" s="107"/>
      <c r="M32" s="107"/>
      <c r="N32" s="68"/>
      <c r="O32" s="336" t="s">
        <v>417</v>
      </c>
      <c r="P32" s="259"/>
      <c r="Q32" s="259"/>
      <c r="R32" s="259"/>
      <c r="S32" s="259"/>
      <c r="T32" s="258"/>
      <c r="U32" s="258"/>
      <c r="V32" s="258"/>
      <c r="W32" s="323" t="s">
        <v>162</v>
      </c>
      <c r="X32" s="323"/>
      <c r="Y32" s="323"/>
      <c r="Z32" s="323"/>
      <c r="AA32" s="323"/>
      <c r="AB32" s="323"/>
      <c r="AC32" s="324" t="s">
        <v>167</v>
      </c>
      <c r="AD32" s="324">
        <f>ROUND(SUM(AD33:AD34),-3)</f>
        <v>660000</v>
      </c>
      <c r="AE32" s="325" t="s">
        <v>156</v>
      </c>
      <c r="AF32" s="2"/>
    </row>
    <row r="33" spans="1:32" s="11" customFormat="1" ht="21" customHeight="1">
      <c r="A33" s="43"/>
      <c r="B33" s="44"/>
      <c r="C33" s="44"/>
      <c r="D33" s="151"/>
      <c r="E33" s="107"/>
      <c r="F33" s="107"/>
      <c r="G33" s="107"/>
      <c r="H33" s="107"/>
      <c r="I33" s="107"/>
      <c r="J33" s="107"/>
      <c r="K33" s="107"/>
      <c r="L33" s="107"/>
      <c r="M33" s="107"/>
      <c r="N33" s="68"/>
      <c r="O33" s="259"/>
      <c r="P33" s="259"/>
      <c r="Q33" s="259"/>
      <c r="R33" s="259"/>
      <c r="S33" s="258">
        <f>S27</f>
        <v>82440000</v>
      </c>
      <c r="T33" s="305" t="s">
        <v>156</v>
      </c>
      <c r="U33" s="304" t="s">
        <v>168</v>
      </c>
      <c r="V33" s="353">
        <v>8.0000000000000002E-3</v>
      </c>
      <c r="W33" s="304"/>
      <c r="X33" s="306"/>
      <c r="Y33" s="307"/>
      <c r="Z33" s="307"/>
      <c r="AA33" s="305" t="s">
        <v>166</v>
      </c>
      <c r="AB33" s="258" t="s">
        <v>386</v>
      </c>
      <c r="AC33" s="260"/>
      <c r="AD33" s="260">
        <f>ROUNDUP(S33*V33,-3)</f>
        <v>660000</v>
      </c>
      <c r="AE33" s="274" t="s">
        <v>156</v>
      </c>
      <c r="AF33" s="2"/>
    </row>
    <row r="34" spans="1:32" s="11" customFormat="1" ht="21" customHeight="1">
      <c r="A34" s="43"/>
      <c r="B34" s="44"/>
      <c r="C34" s="44"/>
      <c r="D34" s="151"/>
      <c r="E34" s="107"/>
      <c r="F34" s="107"/>
      <c r="G34" s="107"/>
      <c r="H34" s="107"/>
      <c r="I34" s="107"/>
      <c r="J34" s="107"/>
      <c r="K34" s="107"/>
      <c r="L34" s="107"/>
      <c r="M34" s="107"/>
      <c r="N34" s="68"/>
      <c r="O34" s="259"/>
      <c r="P34" s="259"/>
      <c r="Q34" s="259"/>
      <c r="R34" s="259"/>
      <c r="S34" s="258"/>
      <c r="T34" s="305"/>
      <c r="U34" s="304"/>
      <c r="V34" s="353"/>
      <c r="W34" s="304"/>
      <c r="X34" s="306"/>
      <c r="Y34" s="307"/>
      <c r="Z34" s="307"/>
      <c r="AA34" s="305"/>
      <c r="AB34" s="258"/>
      <c r="AC34" s="260"/>
      <c r="AD34" s="260"/>
      <c r="AE34" s="274"/>
      <c r="AF34" s="2"/>
    </row>
    <row r="35" spans="1:32" s="11" customFormat="1" ht="21" customHeight="1">
      <c r="A35" s="43"/>
      <c r="B35" s="44"/>
      <c r="C35" s="44"/>
      <c r="D35" s="151"/>
      <c r="E35" s="107"/>
      <c r="F35" s="107"/>
      <c r="G35" s="107"/>
      <c r="H35" s="107"/>
      <c r="I35" s="107"/>
      <c r="J35" s="107"/>
      <c r="K35" s="107"/>
      <c r="L35" s="107"/>
      <c r="M35" s="107"/>
      <c r="N35" s="68"/>
      <c r="O35" s="336" t="s">
        <v>418</v>
      </c>
      <c r="P35" s="259"/>
      <c r="Q35" s="259"/>
      <c r="R35" s="259"/>
      <c r="S35" s="259"/>
      <c r="T35" s="258"/>
      <c r="U35" s="258"/>
      <c r="V35" s="258"/>
      <c r="W35" s="323" t="s">
        <v>162</v>
      </c>
      <c r="X35" s="323"/>
      <c r="Y35" s="323"/>
      <c r="Z35" s="323"/>
      <c r="AA35" s="323"/>
      <c r="AB35" s="323"/>
      <c r="AC35" s="324" t="s">
        <v>167</v>
      </c>
      <c r="AD35" s="324">
        <f>ROUND(SUM(AD36:AD36),-3)</f>
        <v>670000</v>
      </c>
      <c r="AE35" s="325" t="s">
        <v>156</v>
      </c>
      <c r="AF35" s="2"/>
    </row>
    <row r="36" spans="1:32" s="11" customFormat="1" ht="21" customHeight="1">
      <c r="A36" s="43"/>
      <c r="B36" s="44"/>
      <c r="C36" s="44"/>
      <c r="D36" s="151"/>
      <c r="E36" s="107"/>
      <c r="F36" s="107"/>
      <c r="G36" s="107"/>
      <c r="H36" s="107"/>
      <c r="I36" s="107"/>
      <c r="J36" s="107"/>
      <c r="K36" s="107"/>
      <c r="L36" s="107"/>
      <c r="M36" s="107"/>
      <c r="N36" s="68"/>
      <c r="O36" s="259"/>
      <c r="P36" s="259"/>
      <c r="Q36" s="259"/>
      <c r="R36" s="259"/>
      <c r="S36" s="258">
        <f>S33</f>
        <v>82440000</v>
      </c>
      <c r="T36" s="305" t="s">
        <v>156</v>
      </c>
      <c r="U36" s="304" t="s">
        <v>168</v>
      </c>
      <c r="V36" s="356">
        <v>8.0999999999999996E-3</v>
      </c>
      <c r="W36" s="304"/>
      <c r="X36" s="306"/>
      <c r="Y36" s="307"/>
      <c r="Z36" s="307"/>
      <c r="AA36" s="305" t="s">
        <v>166</v>
      </c>
      <c r="AB36" s="258" t="s">
        <v>386</v>
      </c>
      <c r="AC36" s="260"/>
      <c r="AD36" s="260">
        <f>ROUNDUP(S36*V36,-3)+2000</f>
        <v>670000</v>
      </c>
      <c r="AE36" s="274" t="s">
        <v>156</v>
      </c>
      <c r="AF36" s="2"/>
    </row>
    <row r="37" spans="1:32" s="11" customFormat="1" ht="21" customHeight="1">
      <c r="A37" s="43"/>
      <c r="B37" s="44"/>
      <c r="C37" s="44"/>
      <c r="D37" s="151"/>
      <c r="E37" s="107"/>
      <c r="F37" s="107"/>
      <c r="G37" s="107"/>
      <c r="H37" s="107"/>
      <c r="I37" s="107"/>
      <c r="J37" s="107"/>
      <c r="K37" s="107"/>
      <c r="L37" s="107"/>
      <c r="M37" s="107"/>
      <c r="N37" s="68"/>
      <c r="O37" s="259"/>
      <c r="P37" s="259"/>
      <c r="Q37" s="259"/>
      <c r="R37" s="259"/>
      <c r="S37" s="259"/>
      <c r="T37" s="258"/>
      <c r="U37" s="258"/>
      <c r="V37" s="258"/>
      <c r="W37" s="258"/>
      <c r="X37" s="258"/>
      <c r="Y37" s="258"/>
      <c r="Z37" s="258"/>
      <c r="AA37" s="258"/>
      <c r="AB37" s="258"/>
      <c r="AC37" s="260"/>
      <c r="AD37" s="260"/>
      <c r="AE37" s="274"/>
      <c r="AF37" s="2"/>
    </row>
    <row r="38" spans="1:32" s="11" customFormat="1" ht="21" customHeight="1">
      <c r="A38" s="43"/>
      <c r="B38" s="44"/>
      <c r="C38" s="34" t="s">
        <v>65</v>
      </c>
      <c r="D38" s="153">
        <v>120</v>
      </c>
      <c r="E38" s="112">
        <f>ROUND(AD38/1000,0)</f>
        <v>120</v>
      </c>
      <c r="F38" s="112">
        <f>SUMIF($AB$39:$AB$40,"보조",$AD$39:$AD$40)/1000</f>
        <v>0</v>
      </c>
      <c r="G38" s="112">
        <f>SUMIF($AB$39:$AB$40,"7종",$AD$39:$AD$40)/1000</f>
        <v>0</v>
      </c>
      <c r="H38" s="112">
        <f>SUMIF($AB$39:$AB$40,"4종",$AD$39:$AD$40)/1000</f>
        <v>0</v>
      </c>
      <c r="I38" s="112">
        <f>SUMIF($AB$39:$AB$40,"후원",$AD$39:$AD$40)/1000</f>
        <v>120</v>
      </c>
      <c r="J38" s="112">
        <f>SUMIF($AB$39:$AB$40,"입소",$AD$39:$AD$40)/1000</f>
        <v>0</v>
      </c>
      <c r="K38" s="112">
        <f>SUMIF($AB$39:$AB$40,"전입",$AD$39:$AD$40)/1000</f>
        <v>0</v>
      </c>
      <c r="L38" s="112">
        <f>SUMIF($AB$39:$AB$40,"잡수",$AD$39:$AD$40)/1000</f>
        <v>0</v>
      </c>
      <c r="M38" s="111">
        <f>E38-D38</f>
        <v>0</v>
      </c>
      <c r="N38" s="119">
        <f>IF(D38=0,0,M38/D38)</f>
        <v>0</v>
      </c>
      <c r="O38" s="95" t="s">
        <v>66</v>
      </c>
      <c r="P38" s="163"/>
      <c r="Q38" s="91"/>
      <c r="R38" s="91"/>
      <c r="S38" s="91"/>
      <c r="T38" s="87"/>
      <c r="U38" s="87"/>
      <c r="V38" s="87"/>
      <c r="W38" s="164" t="s">
        <v>91</v>
      </c>
      <c r="X38" s="164"/>
      <c r="Y38" s="164"/>
      <c r="Z38" s="164"/>
      <c r="AA38" s="164"/>
      <c r="AB38" s="164"/>
      <c r="AC38" s="166"/>
      <c r="AD38" s="166">
        <f>SUM(AD39:AD39)</f>
        <v>120000</v>
      </c>
      <c r="AE38" s="165" t="s">
        <v>25</v>
      </c>
      <c r="AF38" s="19"/>
    </row>
    <row r="39" spans="1:32" s="11" customFormat="1" ht="21" customHeight="1">
      <c r="A39" s="43"/>
      <c r="B39" s="44"/>
      <c r="C39" s="44" t="s">
        <v>94</v>
      </c>
      <c r="D39" s="151"/>
      <c r="E39" s="107"/>
      <c r="F39" s="107"/>
      <c r="G39" s="107"/>
      <c r="H39" s="107"/>
      <c r="I39" s="107"/>
      <c r="J39" s="107"/>
      <c r="K39" s="107"/>
      <c r="L39" s="107"/>
      <c r="M39" s="107"/>
      <c r="N39" s="68"/>
      <c r="O39" s="338" t="s">
        <v>423</v>
      </c>
      <c r="P39" s="338"/>
      <c r="Q39" s="337"/>
      <c r="R39" s="337"/>
      <c r="S39" s="337">
        <v>30000</v>
      </c>
      <c r="T39" s="337" t="s">
        <v>169</v>
      </c>
      <c r="U39" s="357" t="s">
        <v>170</v>
      </c>
      <c r="V39" s="337">
        <v>4</v>
      </c>
      <c r="W39" s="337" t="s">
        <v>171</v>
      </c>
      <c r="X39" s="337"/>
      <c r="Y39" s="337"/>
      <c r="Z39" s="337"/>
      <c r="AA39" s="337" t="s">
        <v>172</v>
      </c>
      <c r="AB39" s="416" t="s">
        <v>409</v>
      </c>
      <c r="AC39" s="132"/>
      <c r="AD39" s="132">
        <f>S39*V39</f>
        <v>120000</v>
      </c>
      <c r="AE39" s="133" t="s">
        <v>169</v>
      </c>
      <c r="AF39" s="2"/>
    </row>
    <row r="40" spans="1:32" s="11" customFormat="1" ht="21" customHeight="1">
      <c r="A40" s="43"/>
      <c r="B40" s="57"/>
      <c r="C40" s="57"/>
      <c r="D40" s="152"/>
      <c r="E40" s="109"/>
      <c r="F40" s="109"/>
      <c r="G40" s="109"/>
      <c r="H40" s="109"/>
      <c r="I40" s="109"/>
      <c r="J40" s="109"/>
      <c r="K40" s="109"/>
      <c r="L40" s="109"/>
      <c r="M40" s="109"/>
      <c r="N40" s="82"/>
      <c r="O40" s="265"/>
      <c r="P40" s="265"/>
      <c r="Q40" s="265"/>
      <c r="R40" s="265"/>
      <c r="S40" s="360"/>
      <c r="T40" s="361"/>
      <c r="U40" s="361"/>
      <c r="V40" s="361"/>
      <c r="W40" s="360"/>
      <c r="X40" s="361"/>
      <c r="Y40" s="361"/>
      <c r="Z40" s="361"/>
      <c r="AA40" s="360"/>
      <c r="AB40" s="361"/>
      <c r="AC40" s="361"/>
      <c r="AD40" s="360"/>
      <c r="AE40" s="362"/>
      <c r="AF40" s="2"/>
    </row>
    <row r="41" spans="1:32" s="11" customFormat="1" ht="21" customHeight="1">
      <c r="A41" s="43"/>
      <c r="B41" s="44" t="s">
        <v>93</v>
      </c>
      <c r="C41" s="44" t="s">
        <v>5</v>
      </c>
      <c r="D41" s="107">
        <f t="shared" ref="D41:L41" si="3">SUM(D42,D45,D47)</f>
        <v>2011</v>
      </c>
      <c r="E41" s="107">
        <f t="shared" si="3"/>
        <v>2100</v>
      </c>
      <c r="F41" s="107">
        <f t="shared" si="3"/>
        <v>0</v>
      </c>
      <c r="G41" s="107">
        <f t="shared" si="3"/>
        <v>0</v>
      </c>
      <c r="H41" s="107">
        <f t="shared" si="3"/>
        <v>0</v>
      </c>
      <c r="I41" s="107">
        <f t="shared" si="3"/>
        <v>0</v>
      </c>
      <c r="J41" s="107">
        <f t="shared" si="3"/>
        <v>0</v>
      </c>
      <c r="K41" s="107">
        <f t="shared" si="3"/>
        <v>2100</v>
      </c>
      <c r="L41" s="107">
        <f t="shared" si="3"/>
        <v>0</v>
      </c>
      <c r="M41" s="107">
        <f>E41-D41</f>
        <v>89</v>
      </c>
      <c r="N41" s="68">
        <f>IF(D41=0,0,M41/D41)</f>
        <v>4.4256588761810045E-2</v>
      </c>
      <c r="O41" s="169" t="s">
        <v>97</v>
      </c>
      <c r="P41" s="30"/>
      <c r="Q41" s="30"/>
      <c r="R41" s="30"/>
      <c r="S41" s="31"/>
      <c r="T41" s="31"/>
      <c r="U41" s="31"/>
      <c r="V41" s="31"/>
      <c r="W41" s="172"/>
      <c r="X41" s="172"/>
      <c r="Y41" s="172"/>
      <c r="Z41" s="172"/>
      <c r="AA41" s="172"/>
      <c r="AB41" s="172"/>
      <c r="AC41" s="92"/>
      <c r="AD41" s="92">
        <f>SUM(AD42,AD45,AD47)</f>
        <v>2100000</v>
      </c>
      <c r="AE41" s="93" t="s">
        <v>25</v>
      </c>
      <c r="AF41" s="5"/>
    </row>
    <row r="42" spans="1:32" s="11" customFormat="1" ht="21" customHeight="1">
      <c r="A42" s="43"/>
      <c r="B42" s="44" t="s">
        <v>96</v>
      </c>
      <c r="C42" s="34" t="s">
        <v>10</v>
      </c>
      <c r="D42" s="153">
        <v>1011</v>
      </c>
      <c r="E42" s="111">
        <f>AD42/1000</f>
        <v>1100</v>
      </c>
      <c r="F42" s="112">
        <f>SUMIF($AB$43:$AB$44,"보조",$AD$43:$AD$44)/1000</f>
        <v>0</v>
      </c>
      <c r="G42" s="112">
        <f>SUMIF($AB$43:$AB$44,"7종",$AD$43:$AD$44)/1000</f>
        <v>0</v>
      </c>
      <c r="H42" s="112">
        <f>SUMIF($AB$43:$AB$44,"4종",$AD$43:$AD$44)/1000</f>
        <v>0</v>
      </c>
      <c r="I42" s="112">
        <f>SUMIF($AB$43:$AB$44,"후원",$AD$43:$AD$44)/1000</f>
        <v>0</v>
      </c>
      <c r="J42" s="112">
        <f>SUMIF($AB$43:$AB$44,"입소",$AD$43:$AD$44)/1000</f>
        <v>0</v>
      </c>
      <c r="K42" s="112">
        <f>SUMIF($AB$43:$AB$44,"전입",$AD$43:$AD$44)/1000</f>
        <v>1100</v>
      </c>
      <c r="L42" s="112">
        <f>SUMIF($AB$43:$AB$44,"잡수",$AD$43:$AD$44)/1000</f>
        <v>0</v>
      </c>
      <c r="M42" s="111">
        <f>E42-D42</f>
        <v>89</v>
      </c>
      <c r="N42" s="119">
        <f>IF(D42=0,0,M42/D42)</f>
        <v>8.803165182987141E-2</v>
      </c>
      <c r="O42" s="95" t="s">
        <v>36</v>
      </c>
      <c r="P42" s="142"/>
      <c r="Q42" s="157"/>
      <c r="R42" s="157"/>
      <c r="S42" s="157"/>
      <c r="T42" s="86"/>
      <c r="U42" s="86"/>
      <c r="V42" s="86"/>
      <c r="W42" s="86"/>
      <c r="X42" s="86"/>
      <c r="Y42" s="164" t="s">
        <v>99</v>
      </c>
      <c r="Z42" s="164"/>
      <c r="AA42" s="164"/>
      <c r="AB42" s="164"/>
      <c r="AC42" s="166"/>
      <c r="AD42" s="166">
        <f>AD43</f>
        <v>1100000</v>
      </c>
      <c r="AE42" s="165" t="s">
        <v>25</v>
      </c>
    </row>
    <row r="43" spans="1:32" s="11" customFormat="1" ht="21" customHeight="1">
      <c r="A43" s="43"/>
      <c r="B43" s="44"/>
      <c r="C43" s="44"/>
      <c r="D43" s="151"/>
      <c r="E43" s="107"/>
      <c r="F43" s="107"/>
      <c r="G43" s="107"/>
      <c r="H43" s="107"/>
      <c r="I43" s="107"/>
      <c r="J43" s="107"/>
      <c r="K43" s="107"/>
      <c r="L43" s="107"/>
      <c r="M43" s="107"/>
      <c r="N43" s="68"/>
      <c r="O43" s="409" t="s">
        <v>424</v>
      </c>
      <c r="P43" s="338"/>
      <c r="Q43" s="338"/>
      <c r="R43" s="338"/>
      <c r="S43" s="337"/>
      <c r="T43" s="272"/>
      <c r="U43" s="272"/>
      <c r="V43" s="337"/>
      <c r="W43" s="338"/>
      <c r="X43" s="337"/>
      <c r="Y43" s="337"/>
      <c r="Z43" s="337"/>
      <c r="AA43" s="337"/>
      <c r="AB43" s="416" t="s">
        <v>355</v>
      </c>
      <c r="AC43" s="337"/>
      <c r="AD43" s="382">
        <v>1100000</v>
      </c>
      <c r="AE43" s="133" t="s">
        <v>173</v>
      </c>
      <c r="AF43" s="2"/>
    </row>
    <row r="44" spans="1:32" s="11" customFormat="1" ht="21" customHeight="1">
      <c r="A44" s="43"/>
      <c r="B44" s="44"/>
      <c r="C44" s="57"/>
      <c r="D44" s="152"/>
      <c r="E44" s="109"/>
      <c r="F44" s="109"/>
      <c r="G44" s="109"/>
      <c r="H44" s="109"/>
      <c r="I44" s="109"/>
      <c r="J44" s="109"/>
      <c r="K44" s="109"/>
      <c r="L44" s="109"/>
      <c r="M44" s="109"/>
      <c r="N44" s="82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122"/>
      <c r="AF44" s="1"/>
    </row>
    <row r="45" spans="1:32" s="11" customFormat="1" ht="21" customHeight="1">
      <c r="A45" s="43"/>
      <c r="B45" s="44"/>
      <c r="C45" s="44" t="s">
        <v>11</v>
      </c>
      <c r="D45" s="151">
        <v>0</v>
      </c>
      <c r="E45" s="107">
        <f>AD45/1000</f>
        <v>0</v>
      </c>
      <c r="F45" s="112">
        <f>SUMIF($AB$46:$AB$46,"보조",$AD$46:$AD$46)/1000</f>
        <v>0</v>
      </c>
      <c r="G45" s="112">
        <f>SUMIF($AB$46:$AB$46,"7종",$AD$46:$AD$46)/1000</f>
        <v>0</v>
      </c>
      <c r="H45" s="112">
        <f>SUMIF($AB$46:$AB$46,"4종",$AD$46:$AD$46)/1000</f>
        <v>0</v>
      </c>
      <c r="I45" s="112">
        <f>SUMIF($AB$46:$AB$46,"후원",$AD$46:$AD$46)/1000</f>
        <v>0</v>
      </c>
      <c r="J45" s="112">
        <f>SUMIF($AB$46:$AB$46,"입소",$AD$46:$AD$46)/1000</f>
        <v>0</v>
      </c>
      <c r="K45" s="112">
        <f>SUMIF($AB$46:$AB$46,"전입",$AD$46:$AD$46)/1000</f>
        <v>0</v>
      </c>
      <c r="L45" s="112">
        <f>SUMIF($AB$46:$AB$46,"잡수",$AD$46:$AD$46)/1000</f>
        <v>0</v>
      </c>
      <c r="M45" s="107">
        <f>E45-D45</f>
        <v>0</v>
      </c>
      <c r="N45" s="68">
        <f>IF(D45=0,0,M45/D45)</f>
        <v>0</v>
      </c>
      <c r="O45" s="95" t="s">
        <v>98</v>
      </c>
      <c r="P45" s="163"/>
      <c r="Q45" s="30"/>
      <c r="R45" s="30"/>
      <c r="S45" s="30"/>
      <c r="T45" s="31"/>
      <c r="U45" s="31"/>
      <c r="V45" s="31"/>
      <c r="W45" s="31"/>
      <c r="X45" s="31"/>
      <c r="Y45" s="164" t="s">
        <v>99</v>
      </c>
      <c r="Z45" s="164"/>
      <c r="AA45" s="164"/>
      <c r="AB45" s="164"/>
      <c r="AC45" s="166"/>
      <c r="AD45" s="166">
        <f>AD46</f>
        <v>0</v>
      </c>
      <c r="AE45" s="165" t="s">
        <v>25</v>
      </c>
      <c r="AF45" s="1"/>
    </row>
    <row r="46" spans="1:32" s="11" customFormat="1" ht="21" customHeight="1">
      <c r="A46" s="43"/>
      <c r="B46" s="44"/>
      <c r="C46" s="57"/>
      <c r="D46" s="152"/>
      <c r="E46" s="109"/>
      <c r="F46" s="109"/>
      <c r="G46" s="109"/>
      <c r="H46" s="109"/>
      <c r="I46" s="109"/>
      <c r="J46" s="109"/>
      <c r="K46" s="109"/>
      <c r="L46" s="109"/>
      <c r="M46" s="109"/>
      <c r="N46" s="82"/>
      <c r="O46" s="146"/>
      <c r="P46" s="79"/>
      <c r="Q46" s="79"/>
      <c r="R46" s="79"/>
      <c r="S46" s="78"/>
      <c r="T46" s="83"/>
      <c r="U46" s="83"/>
      <c r="V46" s="78"/>
      <c r="W46" s="79"/>
      <c r="X46" s="78"/>
      <c r="Y46" s="78"/>
      <c r="Z46" s="78"/>
      <c r="AA46" s="78"/>
      <c r="AB46" s="78"/>
      <c r="AC46" s="78"/>
      <c r="AD46" s="78"/>
      <c r="AE46" s="71" t="s">
        <v>359</v>
      </c>
      <c r="AF46" s="1"/>
    </row>
    <row r="47" spans="1:32" s="11" customFormat="1" ht="21" customHeight="1">
      <c r="A47" s="43"/>
      <c r="B47" s="44"/>
      <c r="C47" s="44" t="s">
        <v>67</v>
      </c>
      <c r="D47" s="151">
        <v>1000</v>
      </c>
      <c r="E47" s="107">
        <f>AD47/1000</f>
        <v>1000</v>
      </c>
      <c r="F47" s="112">
        <f>SUMIF($AB$48:$AB$50,"보조",$AD$48:$AD$50)/1000</f>
        <v>0</v>
      </c>
      <c r="G47" s="112">
        <f>SUMIF($AB$48:$AB$50,"7종",$AD$48:$AD$50)/1000</f>
        <v>0</v>
      </c>
      <c r="H47" s="112">
        <f>SUMIF($AB$48:$AB$50,"4종",$AD$48:$AD$50)/1000</f>
        <v>0</v>
      </c>
      <c r="I47" s="112">
        <f>SUMIF($AB$48:$AB$50,"후원",$AD$48:$AD$50)/1000</f>
        <v>0</v>
      </c>
      <c r="J47" s="112">
        <f>SUMIF($AB$48:$AB$50,"입소",$AD$48:$AD$50)/1000</f>
        <v>0</v>
      </c>
      <c r="K47" s="112">
        <f>SUMIF($AB$48:$AB$50,"전입",$AD$48:$AD$50)/1000</f>
        <v>1000</v>
      </c>
      <c r="L47" s="112">
        <f>SUMIF($AB$48:$AB$50,"잡수",$AD$48:$AD$50)/1000</f>
        <v>0</v>
      </c>
      <c r="M47" s="107">
        <f>E47-D47</f>
        <v>0</v>
      </c>
      <c r="N47" s="68">
        <f>IF(D47=0,0,M47/D47)</f>
        <v>0</v>
      </c>
      <c r="O47" s="114" t="s">
        <v>37</v>
      </c>
      <c r="P47" s="30"/>
      <c r="Q47" s="30"/>
      <c r="R47" s="30"/>
      <c r="S47" s="30"/>
      <c r="T47" s="31"/>
      <c r="U47" s="31"/>
      <c r="V47" s="31"/>
      <c r="W47" s="31"/>
      <c r="X47" s="31"/>
      <c r="Y47" s="164" t="s">
        <v>99</v>
      </c>
      <c r="Z47" s="164"/>
      <c r="AA47" s="164"/>
      <c r="AB47" s="164"/>
      <c r="AC47" s="166"/>
      <c r="AD47" s="166">
        <f>SUM(AD48:AD49)</f>
        <v>1000000</v>
      </c>
      <c r="AE47" s="165" t="s">
        <v>25</v>
      </c>
      <c r="AF47" s="1"/>
    </row>
    <row r="48" spans="1:32" s="14" customFormat="1" ht="21" customHeight="1">
      <c r="A48" s="43"/>
      <c r="B48" s="44"/>
      <c r="C48" s="44"/>
      <c r="D48" s="151"/>
      <c r="E48" s="107"/>
      <c r="F48" s="107"/>
      <c r="G48" s="107"/>
      <c r="H48" s="107"/>
      <c r="I48" s="107"/>
      <c r="J48" s="107"/>
      <c r="K48" s="107"/>
      <c r="L48" s="107"/>
      <c r="M48" s="107"/>
      <c r="N48" s="68"/>
      <c r="O48" s="259" t="s">
        <v>147</v>
      </c>
      <c r="P48" s="259"/>
      <c r="Q48" s="259"/>
      <c r="R48" s="259"/>
      <c r="S48" s="258"/>
      <c r="T48" s="308"/>
      <c r="U48" s="308"/>
      <c r="V48" s="258"/>
      <c r="W48" s="259"/>
      <c r="X48" s="258"/>
      <c r="Y48" s="258"/>
      <c r="Z48" s="258"/>
      <c r="AA48" s="258"/>
      <c r="AB48" s="416" t="s">
        <v>410</v>
      </c>
      <c r="AC48" s="381"/>
      <c r="AD48" s="381">
        <v>400000</v>
      </c>
      <c r="AE48" s="133" t="s">
        <v>55</v>
      </c>
      <c r="AF48" s="4"/>
    </row>
    <row r="49" spans="1:34" s="14" customFormat="1" ht="21" customHeight="1">
      <c r="A49" s="43"/>
      <c r="B49" s="44"/>
      <c r="C49" s="44"/>
      <c r="D49" s="151"/>
      <c r="E49" s="107"/>
      <c r="F49" s="107"/>
      <c r="G49" s="107"/>
      <c r="H49" s="107"/>
      <c r="I49" s="107"/>
      <c r="J49" s="107"/>
      <c r="K49" s="107"/>
      <c r="L49" s="107"/>
      <c r="M49" s="107"/>
      <c r="N49" s="68"/>
      <c r="O49" s="417" t="s">
        <v>356</v>
      </c>
      <c r="P49" s="338"/>
      <c r="Q49" s="338"/>
      <c r="R49" s="338"/>
      <c r="S49" s="337">
        <v>50000</v>
      </c>
      <c r="T49" s="337" t="s">
        <v>173</v>
      </c>
      <c r="U49" s="338" t="s">
        <v>174</v>
      </c>
      <c r="V49" s="337">
        <v>3</v>
      </c>
      <c r="W49" s="337" t="s">
        <v>175</v>
      </c>
      <c r="X49" s="338" t="s">
        <v>174</v>
      </c>
      <c r="Y49" s="273">
        <v>4</v>
      </c>
      <c r="Z49" s="407" t="s">
        <v>263</v>
      </c>
      <c r="AA49" s="267" t="s">
        <v>177</v>
      </c>
      <c r="AB49" s="408" t="s">
        <v>355</v>
      </c>
      <c r="AC49" s="338"/>
      <c r="AD49" s="337">
        <f>S49*V49*Y49</f>
        <v>600000</v>
      </c>
      <c r="AE49" s="133" t="s">
        <v>173</v>
      </c>
      <c r="AF49" s="4"/>
    </row>
    <row r="50" spans="1:34" s="14" customFormat="1" ht="21" customHeight="1">
      <c r="A50" s="43"/>
      <c r="B50" s="44"/>
      <c r="C50" s="44"/>
      <c r="D50" s="151"/>
      <c r="E50" s="107"/>
      <c r="F50" s="107"/>
      <c r="G50" s="107"/>
      <c r="H50" s="107"/>
      <c r="I50" s="107"/>
      <c r="J50" s="107"/>
      <c r="K50" s="107"/>
      <c r="L50" s="107"/>
      <c r="M50" s="107"/>
      <c r="N50" s="68"/>
      <c r="O50" s="338"/>
      <c r="P50" s="338"/>
      <c r="Q50" s="338"/>
      <c r="R50" s="338"/>
      <c r="S50" s="337"/>
      <c r="T50" s="272"/>
      <c r="U50" s="272"/>
      <c r="V50" s="337"/>
      <c r="W50" s="338"/>
      <c r="X50" s="337"/>
      <c r="Y50" s="337"/>
      <c r="Z50" s="337"/>
      <c r="AA50" s="337"/>
      <c r="AB50" s="337"/>
      <c r="AC50" s="337"/>
      <c r="AD50" s="337"/>
      <c r="AE50" s="133"/>
      <c r="AF50" s="4"/>
    </row>
    <row r="51" spans="1:34" s="11" customFormat="1" ht="21" customHeight="1">
      <c r="A51" s="43"/>
      <c r="B51" s="34" t="s">
        <v>12</v>
      </c>
      <c r="C51" s="160" t="s">
        <v>5</v>
      </c>
      <c r="D51" s="161">
        <f>SUM(D52,D55,D62,D65,D69,D73,D76)</f>
        <v>20698</v>
      </c>
      <c r="E51" s="161">
        <f>SUM(E52,E55,E62,E65,E69,E73,E76)</f>
        <v>20698</v>
      </c>
      <c r="F51" s="161">
        <f t="shared" ref="F51:L51" si="4">SUM(F52,F55,F62,F69,F65,F73,F76)</f>
        <v>0</v>
      </c>
      <c r="G51" s="161">
        <f t="shared" si="4"/>
        <v>0</v>
      </c>
      <c r="H51" s="161">
        <f t="shared" si="4"/>
        <v>0</v>
      </c>
      <c r="I51" s="161">
        <f t="shared" si="4"/>
        <v>20698</v>
      </c>
      <c r="J51" s="161">
        <f t="shared" si="4"/>
        <v>0</v>
      </c>
      <c r="K51" s="161">
        <f t="shared" si="4"/>
        <v>0</v>
      </c>
      <c r="L51" s="161">
        <f t="shared" si="4"/>
        <v>0</v>
      </c>
      <c r="M51" s="161">
        <f>E51-D51</f>
        <v>0</v>
      </c>
      <c r="N51" s="162">
        <f>IF(D51=0,0,M51/D51)</f>
        <v>0</v>
      </c>
      <c r="O51" s="163" t="s">
        <v>100</v>
      </c>
      <c r="P51" s="163"/>
      <c r="Q51" s="163"/>
      <c r="R51" s="163"/>
      <c r="S51" s="164"/>
      <c r="T51" s="174"/>
      <c r="U51" s="164"/>
      <c r="V51" s="515"/>
      <c r="W51" s="516"/>
      <c r="X51" s="164"/>
      <c r="Y51" s="164"/>
      <c r="Z51" s="164"/>
      <c r="AA51" s="164"/>
      <c r="AB51" s="164"/>
      <c r="AC51" s="164"/>
      <c r="AD51" s="164">
        <f>SUM(AD52,AD55,AD62,AD65,AD69,AD73,AD76)</f>
        <v>20698000</v>
      </c>
      <c r="AE51" s="165" t="s">
        <v>25</v>
      </c>
      <c r="AF51" s="1"/>
    </row>
    <row r="52" spans="1:34" s="11" customFormat="1" ht="21" customHeight="1">
      <c r="A52" s="43"/>
      <c r="B52" s="44"/>
      <c r="C52" s="44" t="s">
        <v>68</v>
      </c>
      <c r="D52" s="151">
        <v>1200</v>
      </c>
      <c r="E52" s="107">
        <f>AD52/1000</f>
        <v>1200</v>
      </c>
      <c r="F52" s="112">
        <f>SUMIF($AB$53:$AB$54,"보조",$AD$53:$AD$54)/1000</f>
        <v>0</v>
      </c>
      <c r="G52" s="112">
        <f>SUMIF($AB$53:$AB$54,"7종",$AD$53:$AD$54)/1000</f>
        <v>0</v>
      </c>
      <c r="H52" s="112">
        <f>SUMIF($AB$53:$AB$54,"4종",$AD$53:$AD$54)/1000</f>
        <v>0</v>
      </c>
      <c r="I52" s="112">
        <f>SUMIF($AB$53:$AB$54,"후원",$AD$53:$AD$54)/1000</f>
        <v>1200</v>
      </c>
      <c r="J52" s="112">
        <f>SUMIF($AB$53:$AB$54,"입소",$AD$53:$AD$54)/1000</f>
        <v>0</v>
      </c>
      <c r="K52" s="112">
        <f>SUMIF($AB$53:$AB$54,"전입",$AD$53:$AD$54)/1000</f>
        <v>0</v>
      </c>
      <c r="L52" s="112">
        <f>SUMIF($AB$53:$AB$54,"잡수",$AD$53:$AD$54)/1000</f>
        <v>0</v>
      </c>
      <c r="M52" s="107">
        <f>E52-D52</f>
        <v>0</v>
      </c>
      <c r="N52" s="68">
        <f>IF(D52=0,0,M52/D52)</f>
        <v>0</v>
      </c>
      <c r="O52" s="114" t="s">
        <v>39</v>
      </c>
      <c r="P52" s="30"/>
      <c r="Q52" s="30"/>
      <c r="R52" s="30"/>
      <c r="S52" s="30"/>
      <c r="T52" s="31"/>
      <c r="U52" s="31"/>
      <c r="V52" s="31"/>
      <c r="W52" s="31"/>
      <c r="X52" s="31"/>
      <c r="Y52" s="327" t="s">
        <v>99</v>
      </c>
      <c r="Z52" s="327"/>
      <c r="AA52" s="327"/>
      <c r="AB52" s="327"/>
      <c r="AC52" s="166"/>
      <c r="AD52" s="166">
        <f>SUM(AD53:AD53)</f>
        <v>1200000</v>
      </c>
      <c r="AE52" s="165" t="s">
        <v>25</v>
      </c>
      <c r="AF52" s="18"/>
      <c r="AG52" s="17"/>
      <c r="AH52" s="17"/>
    </row>
    <row r="53" spans="1:34" s="11" customFormat="1" ht="21" customHeight="1">
      <c r="A53" s="43"/>
      <c r="B53" s="44"/>
      <c r="C53" s="44"/>
      <c r="D53" s="151"/>
      <c r="E53" s="107"/>
      <c r="F53" s="107"/>
      <c r="G53" s="107"/>
      <c r="H53" s="107"/>
      <c r="I53" s="107"/>
      <c r="J53" s="107"/>
      <c r="K53" s="107"/>
      <c r="L53" s="107"/>
      <c r="M53" s="107"/>
      <c r="N53" s="68"/>
      <c r="O53" s="417" t="s">
        <v>383</v>
      </c>
      <c r="P53" s="338"/>
      <c r="Q53" s="338"/>
      <c r="R53" s="338"/>
      <c r="S53" s="337">
        <v>50000</v>
      </c>
      <c r="T53" s="337" t="s">
        <v>173</v>
      </c>
      <c r="U53" s="357" t="s">
        <v>174</v>
      </c>
      <c r="V53" s="337">
        <v>2</v>
      </c>
      <c r="W53" s="337" t="s">
        <v>175</v>
      </c>
      <c r="X53" s="357" t="s">
        <v>174</v>
      </c>
      <c r="Y53" s="337">
        <v>12</v>
      </c>
      <c r="Z53" s="337" t="s">
        <v>29</v>
      </c>
      <c r="AA53" s="337" t="s">
        <v>177</v>
      </c>
      <c r="AB53" s="416" t="s">
        <v>409</v>
      </c>
      <c r="AC53" s="132"/>
      <c r="AD53" s="132">
        <f>S53*V53*Y53</f>
        <v>1200000</v>
      </c>
      <c r="AE53" s="133" t="s">
        <v>25</v>
      </c>
      <c r="AF53" s="2"/>
    </row>
    <row r="54" spans="1:34" s="11" customFormat="1" ht="21" customHeight="1">
      <c r="A54" s="43"/>
      <c r="B54" s="44"/>
      <c r="C54" s="44"/>
      <c r="D54" s="151"/>
      <c r="E54" s="107"/>
      <c r="F54" s="107"/>
      <c r="G54" s="107"/>
      <c r="H54" s="107"/>
      <c r="I54" s="107"/>
      <c r="J54" s="107"/>
      <c r="K54" s="107"/>
      <c r="L54" s="107"/>
      <c r="M54" s="107"/>
      <c r="N54" s="68"/>
      <c r="O54" s="171"/>
      <c r="P54" s="48"/>
      <c r="Q54" s="48"/>
      <c r="R54" s="48"/>
      <c r="S54" s="49"/>
      <c r="T54" s="53"/>
      <c r="U54" s="53"/>
      <c r="V54" s="49"/>
      <c r="W54" s="53"/>
      <c r="X54" s="49"/>
      <c r="Y54" s="49"/>
      <c r="Z54" s="170"/>
      <c r="AA54" s="49"/>
      <c r="AB54" s="170"/>
      <c r="AC54" s="49"/>
      <c r="AD54" s="49"/>
      <c r="AE54" s="55" t="s">
        <v>60</v>
      </c>
      <c r="AF54" s="2"/>
    </row>
    <row r="55" spans="1:34" s="11" customFormat="1" ht="21" customHeight="1">
      <c r="A55" s="43"/>
      <c r="B55" s="44"/>
      <c r="C55" s="34" t="s">
        <v>40</v>
      </c>
      <c r="D55" s="153">
        <v>2098</v>
      </c>
      <c r="E55" s="111">
        <f>ROUND(AD55/1000,0)</f>
        <v>2098</v>
      </c>
      <c r="F55" s="112">
        <f>SUMIF($AB$56:$AB$58,"보조",$AD$56:$AD$58)/1000</f>
        <v>0</v>
      </c>
      <c r="G55" s="112">
        <f>SUMIF($AB$56:$AB$58,"7종",$AD$56:$AD$58)/1000</f>
        <v>0</v>
      </c>
      <c r="H55" s="112">
        <f>SUMIF($AB$56:$AB$58,"4종",$AD$56:$AD$58)/1000</f>
        <v>0</v>
      </c>
      <c r="I55" s="112">
        <f>SUMIF($AB$56:$AB$58,"후원",$AD$56:$AD$58)/1000</f>
        <v>2098</v>
      </c>
      <c r="J55" s="112">
        <f>SUMIF($AB$56:$AB$58,"입소",$AD$56:$AD$58)/1000</f>
        <v>0</v>
      </c>
      <c r="K55" s="112">
        <f>SUMIF($AB$56:$AB$58,"전입",$AD$56:$AD$58)/1000</f>
        <v>0</v>
      </c>
      <c r="L55" s="112">
        <f>SUMIF($AB$56:$AB$58,"잡수",$AD$56:$AD$58)/1000</f>
        <v>0</v>
      </c>
      <c r="M55" s="111">
        <f>E55-D55</f>
        <v>0</v>
      </c>
      <c r="N55" s="119">
        <f>IF(D55=0,0,M55/D55)</f>
        <v>0</v>
      </c>
      <c r="O55" s="275" t="s">
        <v>41</v>
      </c>
      <c r="P55" s="276"/>
      <c r="Q55" s="276"/>
      <c r="R55" s="276"/>
      <c r="S55" s="276"/>
      <c r="T55" s="277"/>
      <c r="U55" s="277"/>
      <c r="V55" s="277"/>
      <c r="W55" s="277"/>
      <c r="X55" s="277"/>
      <c r="Y55" s="278" t="s">
        <v>28</v>
      </c>
      <c r="Z55" s="278"/>
      <c r="AA55" s="278"/>
      <c r="AB55" s="278"/>
      <c r="AC55" s="279"/>
      <c r="AD55" s="279">
        <f>SUM(AD56:AD58)</f>
        <v>2098000</v>
      </c>
      <c r="AE55" s="165" t="s">
        <v>25</v>
      </c>
      <c r="AF55" s="1"/>
    </row>
    <row r="56" spans="1:34" s="11" customFormat="1" ht="21" customHeight="1">
      <c r="A56" s="43"/>
      <c r="B56" s="44"/>
      <c r="C56" s="44" t="s">
        <v>104</v>
      </c>
      <c r="D56" s="151"/>
      <c r="E56" s="107"/>
      <c r="F56" s="107"/>
      <c r="G56" s="107"/>
      <c r="H56" s="107"/>
      <c r="I56" s="107"/>
      <c r="J56" s="107"/>
      <c r="K56" s="107"/>
      <c r="L56" s="107"/>
      <c r="M56" s="107"/>
      <c r="N56" s="68"/>
      <c r="O56" s="280" t="s">
        <v>178</v>
      </c>
      <c r="P56" s="338"/>
      <c r="Q56" s="338"/>
      <c r="R56" s="338"/>
      <c r="S56" s="337"/>
      <c r="T56" s="272"/>
      <c r="U56" s="337"/>
      <c r="V56" s="281">
        <v>50000</v>
      </c>
      <c r="W56" s="282" t="s">
        <v>55</v>
      </c>
      <c r="X56" s="282" t="s">
        <v>26</v>
      </c>
      <c r="Y56" s="281">
        <v>12</v>
      </c>
      <c r="Z56" s="283" t="s">
        <v>29</v>
      </c>
      <c r="AA56" s="281" t="s">
        <v>27</v>
      </c>
      <c r="AB56" s="268" t="s">
        <v>409</v>
      </c>
      <c r="AC56" s="268"/>
      <c r="AD56" s="381">
        <f>V56*Y56</f>
        <v>600000</v>
      </c>
      <c r="AE56" s="363" t="s">
        <v>25</v>
      </c>
      <c r="AF56" s="1"/>
    </row>
    <row r="57" spans="1:34" s="11" customFormat="1" ht="21" customHeight="1">
      <c r="A57" s="43"/>
      <c r="B57" s="44"/>
      <c r="C57" s="44"/>
      <c r="D57" s="151"/>
      <c r="E57" s="107"/>
      <c r="F57" s="107"/>
      <c r="G57" s="107"/>
      <c r="H57" s="107"/>
      <c r="I57" s="107"/>
      <c r="J57" s="107"/>
      <c r="K57" s="107"/>
      <c r="L57" s="107"/>
      <c r="M57" s="107"/>
      <c r="N57" s="68"/>
      <c r="O57" s="417" t="s">
        <v>395</v>
      </c>
      <c r="P57" s="417"/>
      <c r="Q57" s="417"/>
      <c r="R57" s="417"/>
      <c r="S57" s="416"/>
      <c r="T57" s="272"/>
      <c r="U57" s="272"/>
      <c r="V57" s="281"/>
      <c r="W57" s="282"/>
      <c r="X57" s="282"/>
      <c r="Y57" s="281"/>
      <c r="Z57" s="283"/>
      <c r="AA57" s="281"/>
      <c r="AB57" s="416" t="s">
        <v>409</v>
      </c>
      <c r="AC57" s="416"/>
      <c r="AD57" s="416">
        <v>700000</v>
      </c>
      <c r="AE57" s="133" t="s">
        <v>341</v>
      </c>
      <c r="AF57" s="18"/>
    </row>
    <row r="58" spans="1:34" s="11" customFormat="1" ht="21" customHeight="1">
      <c r="A58" s="43"/>
      <c r="B58" s="44"/>
      <c r="C58" s="44"/>
      <c r="D58" s="151"/>
      <c r="E58" s="107"/>
      <c r="F58" s="107"/>
      <c r="G58" s="107"/>
      <c r="H58" s="107"/>
      <c r="I58" s="107"/>
      <c r="J58" s="107"/>
      <c r="K58" s="107"/>
      <c r="L58" s="107"/>
      <c r="M58" s="107"/>
      <c r="N58" s="68"/>
      <c r="O58" s="417" t="s">
        <v>396</v>
      </c>
      <c r="P58" s="338"/>
      <c r="Q58" s="338"/>
      <c r="R58" s="338"/>
      <c r="S58" s="337"/>
      <c r="T58" s="272"/>
      <c r="U58" s="337"/>
      <c r="V58" s="337"/>
      <c r="W58" s="338"/>
      <c r="X58" s="337"/>
      <c r="Y58" s="337"/>
      <c r="Z58" s="337"/>
      <c r="AA58" s="337"/>
      <c r="AB58" s="337" t="s">
        <v>108</v>
      </c>
      <c r="AC58" s="337"/>
      <c r="AD58" s="337">
        <f>SUM(AD59:AD61)</f>
        <v>798000</v>
      </c>
      <c r="AE58" s="133" t="s">
        <v>169</v>
      </c>
      <c r="AF58" s="1"/>
    </row>
    <row r="59" spans="1:34" s="11" customFormat="1" ht="21" customHeight="1">
      <c r="A59" s="43"/>
      <c r="B59" s="44"/>
      <c r="C59" s="44"/>
      <c r="D59" s="151"/>
      <c r="E59" s="107"/>
      <c r="F59" s="107"/>
      <c r="G59" s="107"/>
      <c r="H59" s="107"/>
      <c r="I59" s="107"/>
      <c r="J59" s="107"/>
      <c r="K59" s="107"/>
      <c r="L59" s="107"/>
      <c r="M59" s="107"/>
      <c r="N59" s="68"/>
      <c r="O59" s="340" t="s">
        <v>159</v>
      </c>
      <c r="P59" s="340"/>
      <c r="Q59" s="340"/>
      <c r="R59" s="340"/>
      <c r="S59" s="341">
        <v>44000</v>
      </c>
      <c r="T59" s="342" t="s">
        <v>153</v>
      </c>
      <c r="U59" s="342" t="s">
        <v>26</v>
      </c>
      <c r="V59" s="341">
        <v>12</v>
      </c>
      <c r="W59" s="340" t="s">
        <v>29</v>
      </c>
      <c r="X59" s="341" t="s">
        <v>27</v>
      </c>
      <c r="Y59" s="341"/>
      <c r="Z59" s="341"/>
      <c r="AA59" s="341"/>
      <c r="AB59" s="341"/>
      <c r="AC59" s="341"/>
      <c r="AD59" s="339">
        <f>S59*V59</f>
        <v>528000</v>
      </c>
      <c r="AE59" s="343" t="s">
        <v>153</v>
      </c>
      <c r="AF59" s="1"/>
    </row>
    <row r="60" spans="1:34" s="11" customFormat="1" ht="21" customHeight="1">
      <c r="A60" s="43"/>
      <c r="B60" s="44"/>
      <c r="C60" s="44"/>
      <c r="D60" s="151"/>
      <c r="E60" s="107"/>
      <c r="F60" s="107"/>
      <c r="G60" s="107"/>
      <c r="H60" s="107"/>
      <c r="I60" s="107"/>
      <c r="J60" s="107"/>
      <c r="K60" s="107"/>
      <c r="L60" s="107"/>
      <c r="M60" s="107"/>
      <c r="N60" s="68"/>
      <c r="O60" s="340" t="s">
        <v>160</v>
      </c>
      <c r="P60" s="340"/>
      <c r="Q60" s="340"/>
      <c r="R60" s="340"/>
      <c r="S60" s="341">
        <v>20000</v>
      </c>
      <c r="T60" s="342" t="s">
        <v>153</v>
      </c>
      <c r="U60" s="342" t="s">
        <v>26</v>
      </c>
      <c r="V60" s="341">
        <v>12</v>
      </c>
      <c r="W60" s="340" t="s">
        <v>29</v>
      </c>
      <c r="X60" s="341" t="s">
        <v>27</v>
      </c>
      <c r="Y60" s="341"/>
      <c r="Z60" s="341"/>
      <c r="AA60" s="341"/>
      <c r="AB60" s="341"/>
      <c r="AC60" s="341"/>
      <c r="AD60" s="339">
        <f>S60*V60</f>
        <v>240000</v>
      </c>
      <c r="AE60" s="343" t="s">
        <v>153</v>
      </c>
      <c r="AF60" s="1"/>
    </row>
    <row r="61" spans="1:34" s="11" customFormat="1" ht="21" customHeight="1">
      <c r="A61" s="43"/>
      <c r="B61" s="44"/>
      <c r="C61" s="57"/>
      <c r="D61" s="152"/>
      <c r="E61" s="109"/>
      <c r="F61" s="109"/>
      <c r="G61" s="109"/>
      <c r="H61" s="109"/>
      <c r="I61" s="109"/>
      <c r="J61" s="109"/>
      <c r="K61" s="109"/>
      <c r="L61" s="109"/>
      <c r="M61" s="109"/>
      <c r="N61" s="82"/>
      <c r="O61" s="344" t="s">
        <v>161</v>
      </c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5">
        <v>30000</v>
      </c>
      <c r="AE61" s="346" t="s">
        <v>153</v>
      </c>
      <c r="AF61" s="1"/>
    </row>
    <row r="62" spans="1:34" s="11" customFormat="1" ht="21" customHeight="1">
      <c r="A62" s="43"/>
      <c r="B62" s="44"/>
      <c r="C62" s="44" t="s">
        <v>38</v>
      </c>
      <c r="D62" s="151">
        <v>600</v>
      </c>
      <c r="E62" s="107">
        <f>ROUND(AD62/1000,0)</f>
        <v>600</v>
      </c>
      <c r="F62" s="112">
        <f>SUMIF($AB$63:$AB$64,"보조",$AD$63:$AD$64)/1000</f>
        <v>0</v>
      </c>
      <c r="G62" s="112">
        <f>SUMIF($AB$63:$AB$64,"7종",$AD$63:$AD$64)/1000</f>
        <v>0</v>
      </c>
      <c r="H62" s="112">
        <f>SUMIF($AB$63:$AB$64,"4종",$AD$63:$AD$64)/1000</f>
        <v>0</v>
      </c>
      <c r="I62" s="112">
        <f>SUMIF($AB$63:$AB$64,"후원",$AD$63:$AD$64)/1000</f>
        <v>600</v>
      </c>
      <c r="J62" s="112">
        <f>SUMIF($AB$63:$AB$64,"입소",$AD$63:$AD$64)/1000</f>
        <v>0</v>
      </c>
      <c r="K62" s="112">
        <f>SUMIF($AB$63:$AB$64,"전입",$AD$63:$AD$64)/1000</f>
        <v>0</v>
      </c>
      <c r="L62" s="112">
        <f>SUMIF($AB$63:$AB$64,"잡수",$AD$63:$AD$64)/1000</f>
        <v>0</v>
      </c>
      <c r="M62" s="107">
        <f>E62-D62</f>
        <v>0</v>
      </c>
      <c r="N62" s="68">
        <f>IF(D62=0,0,M62/D62)</f>
        <v>0</v>
      </c>
      <c r="O62" s="309" t="s">
        <v>42</v>
      </c>
      <c r="P62" s="310"/>
      <c r="Q62" s="310"/>
      <c r="R62" s="310"/>
      <c r="S62" s="310"/>
      <c r="T62" s="311"/>
      <c r="U62" s="311"/>
      <c r="V62" s="311"/>
      <c r="W62" s="311"/>
      <c r="X62" s="311"/>
      <c r="Y62" s="312" t="s">
        <v>148</v>
      </c>
      <c r="Z62" s="312"/>
      <c r="AA62" s="312"/>
      <c r="AB62" s="312"/>
      <c r="AC62" s="313"/>
      <c r="AD62" s="313">
        <f>ROUND(SUM(AD63:AD63),-3)</f>
        <v>600000</v>
      </c>
      <c r="AE62" s="314" t="s">
        <v>25</v>
      </c>
      <c r="AF62" s="1"/>
    </row>
    <row r="63" spans="1:34" s="11" customFormat="1" ht="21" customHeight="1">
      <c r="A63" s="43"/>
      <c r="B63" s="44"/>
      <c r="C63" s="44"/>
      <c r="D63" s="151"/>
      <c r="E63" s="107"/>
      <c r="F63" s="107"/>
      <c r="G63" s="107"/>
      <c r="H63" s="107"/>
      <c r="I63" s="107"/>
      <c r="J63" s="107"/>
      <c r="K63" s="107"/>
      <c r="L63" s="107"/>
      <c r="M63" s="107"/>
      <c r="N63" s="68"/>
      <c r="O63" s="315" t="s">
        <v>344</v>
      </c>
      <c r="P63" s="259"/>
      <c r="Q63" s="259"/>
      <c r="R63" s="259"/>
      <c r="S63" s="258">
        <v>50000</v>
      </c>
      <c r="T63" s="317" t="s">
        <v>25</v>
      </c>
      <c r="U63" s="317" t="s">
        <v>26</v>
      </c>
      <c r="V63" s="316">
        <v>12</v>
      </c>
      <c r="W63" s="318" t="s">
        <v>29</v>
      </c>
      <c r="X63" s="316" t="s">
        <v>27</v>
      </c>
      <c r="Y63" s="258"/>
      <c r="Z63" s="258"/>
      <c r="AA63" s="258"/>
      <c r="AB63" s="258" t="s">
        <v>352</v>
      </c>
      <c r="AC63" s="258"/>
      <c r="AD63" s="258">
        <f>S63*V63</f>
        <v>600000</v>
      </c>
      <c r="AE63" s="274" t="s">
        <v>25</v>
      </c>
      <c r="AF63" s="1"/>
    </row>
    <row r="64" spans="1:34" s="14" customFormat="1" ht="21" customHeight="1">
      <c r="A64" s="43"/>
      <c r="B64" s="44"/>
      <c r="C64" s="44"/>
      <c r="D64" s="151"/>
      <c r="E64" s="107"/>
      <c r="F64" s="107"/>
      <c r="G64" s="107"/>
      <c r="H64" s="107"/>
      <c r="I64" s="107"/>
      <c r="J64" s="107"/>
      <c r="K64" s="107"/>
      <c r="L64" s="107"/>
      <c r="M64" s="107"/>
      <c r="N64" s="68"/>
      <c r="O64" s="118"/>
      <c r="P64" s="48"/>
      <c r="Q64" s="48"/>
      <c r="R64" s="48"/>
      <c r="S64" s="49"/>
      <c r="T64" s="53"/>
      <c r="U64" s="53"/>
      <c r="V64" s="49"/>
      <c r="W64" s="48"/>
      <c r="X64" s="49"/>
      <c r="Y64" s="49"/>
      <c r="Z64" s="49"/>
      <c r="AA64" s="49"/>
      <c r="AB64" s="137"/>
      <c r="AC64" s="49"/>
      <c r="AD64" s="49"/>
      <c r="AE64" s="55"/>
      <c r="AF64" s="4"/>
    </row>
    <row r="65" spans="1:32" ht="21" customHeight="1">
      <c r="A65" s="43"/>
      <c r="B65" s="44"/>
      <c r="C65" s="34" t="s">
        <v>15</v>
      </c>
      <c r="D65" s="153">
        <v>600</v>
      </c>
      <c r="E65" s="111">
        <f>ROUND(AD65/1000,0)</f>
        <v>600</v>
      </c>
      <c r="F65" s="112">
        <f>SUMIF($AB$66:$AB$68,"보조",$AD$66:$AD$68)/1000</f>
        <v>0</v>
      </c>
      <c r="G65" s="112">
        <f>SUMIF($AB$66:$AB$68,"7종",$AD$66:$AD$68)/1000</f>
        <v>0</v>
      </c>
      <c r="H65" s="112">
        <f>SUMIF($AB$66:$AB$68,"4종",$AD$66:$AD$68)/1000</f>
        <v>0</v>
      </c>
      <c r="I65" s="112">
        <f>SUMIF($AB$66:$AB$68,"후원",$AD$66:$AD$68)/1000</f>
        <v>600</v>
      </c>
      <c r="J65" s="112">
        <f>SUMIF($AB$66:$AB$68,"입소",$AD$66:$AD$68)/1000</f>
        <v>0</v>
      </c>
      <c r="K65" s="112">
        <f>SUMIF($AB$66:$AB$68,"전입",$AD$66:$AD$68)/1000</f>
        <v>0</v>
      </c>
      <c r="L65" s="112">
        <f>SUMIF($AB$66:$AB$68,"잡수",$AD$66:$AD$68)/1000</f>
        <v>0</v>
      </c>
      <c r="M65" s="175">
        <f>E65-D65</f>
        <v>0</v>
      </c>
      <c r="N65" s="119">
        <f>IF(D65=0,0,M65/D65)</f>
        <v>0</v>
      </c>
      <c r="O65" s="319" t="s">
        <v>43</v>
      </c>
      <c r="P65" s="320"/>
      <c r="Q65" s="320"/>
      <c r="R65" s="320"/>
      <c r="S65" s="320"/>
      <c r="T65" s="321"/>
      <c r="U65" s="321"/>
      <c r="V65" s="321"/>
      <c r="W65" s="321"/>
      <c r="X65" s="321"/>
      <c r="Y65" s="312" t="s">
        <v>148</v>
      </c>
      <c r="Z65" s="312"/>
      <c r="AA65" s="312"/>
      <c r="AB65" s="312"/>
      <c r="AC65" s="313"/>
      <c r="AD65" s="313">
        <f>SUM(AD66,AD67)</f>
        <v>600000</v>
      </c>
      <c r="AE65" s="314" t="s">
        <v>25</v>
      </c>
    </row>
    <row r="66" spans="1:32" s="11" customFormat="1" ht="21" customHeight="1">
      <c r="A66" s="43"/>
      <c r="B66" s="44"/>
      <c r="C66" s="44"/>
      <c r="D66" s="151"/>
      <c r="E66" s="107"/>
      <c r="F66" s="107"/>
      <c r="G66" s="107"/>
      <c r="H66" s="107"/>
      <c r="I66" s="107"/>
      <c r="J66" s="107"/>
      <c r="K66" s="107"/>
      <c r="L66" s="107"/>
      <c r="M66" s="107"/>
      <c r="N66" s="68"/>
      <c r="O66" s="347" t="s">
        <v>345</v>
      </c>
      <c r="P66" s="259"/>
      <c r="Q66" s="259"/>
      <c r="R66" s="259"/>
      <c r="S66" s="258">
        <v>50000</v>
      </c>
      <c r="T66" s="308" t="s">
        <v>55</v>
      </c>
      <c r="U66" s="308" t="s">
        <v>26</v>
      </c>
      <c r="V66" s="258">
        <v>12</v>
      </c>
      <c r="W66" s="259" t="s">
        <v>0</v>
      </c>
      <c r="X66" s="258" t="s">
        <v>27</v>
      </c>
      <c r="Y66" s="258"/>
      <c r="Z66" s="258"/>
      <c r="AA66" s="258"/>
      <c r="AB66" s="258" t="s">
        <v>405</v>
      </c>
      <c r="AC66" s="258"/>
      <c r="AD66" s="258">
        <f>S66*V66</f>
        <v>600000</v>
      </c>
      <c r="AE66" s="274" t="s">
        <v>25</v>
      </c>
      <c r="AF66" s="1"/>
    </row>
    <row r="67" spans="1:32" s="11" customFormat="1" ht="21" customHeight="1">
      <c r="A67" s="43"/>
      <c r="B67" s="44"/>
      <c r="C67" s="44"/>
      <c r="D67" s="151"/>
      <c r="E67" s="107"/>
      <c r="F67" s="107"/>
      <c r="G67" s="107"/>
      <c r="H67" s="107"/>
      <c r="I67" s="107"/>
      <c r="J67" s="107"/>
      <c r="K67" s="107"/>
      <c r="L67" s="107"/>
      <c r="M67" s="107"/>
      <c r="N67" s="68"/>
      <c r="O67" s="517" t="s">
        <v>346</v>
      </c>
      <c r="P67" s="517"/>
      <c r="Q67" s="517"/>
      <c r="R67" s="517"/>
      <c r="S67" s="517"/>
      <c r="T67" s="259"/>
      <c r="U67" s="258"/>
      <c r="V67" s="259"/>
      <c r="W67" s="308"/>
      <c r="X67" s="258"/>
      <c r="Y67" s="258"/>
      <c r="Z67" s="258"/>
      <c r="AA67" s="259"/>
      <c r="AB67" s="259"/>
      <c r="AC67" s="258"/>
      <c r="AD67" s="258">
        <v>0</v>
      </c>
      <c r="AE67" s="274" t="s">
        <v>341</v>
      </c>
      <c r="AF67" s="1"/>
    </row>
    <row r="68" spans="1:32" s="11" customFormat="1" ht="21" customHeight="1">
      <c r="A68" s="43"/>
      <c r="B68" s="44"/>
      <c r="C68" s="44"/>
      <c r="D68" s="151"/>
      <c r="E68" s="107"/>
      <c r="F68" s="107"/>
      <c r="G68" s="107"/>
      <c r="H68" s="107"/>
      <c r="I68" s="107"/>
      <c r="J68" s="107"/>
      <c r="K68" s="107"/>
      <c r="L68" s="107"/>
      <c r="M68" s="107"/>
      <c r="N68" s="68"/>
      <c r="O68" s="124"/>
      <c r="P68" s="125"/>
      <c r="Q68" s="125"/>
      <c r="R68" s="125"/>
      <c r="S68" s="125"/>
      <c r="T68" s="125"/>
      <c r="U68" s="125"/>
      <c r="V68" s="125"/>
      <c r="W68" s="125"/>
      <c r="X68" s="125"/>
      <c r="Y68" s="73"/>
      <c r="Z68" s="73"/>
      <c r="AA68" s="73"/>
      <c r="AB68" s="73"/>
      <c r="AC68" s="73"/>
      <c r="AD68" s="49"/>
      <c r="AE68" s="55"/>
      <c r="AF68" s="1"/>
    </row>
    <row r="69" spans="1:32" s="11" customFormat="1" ht="21" customHeight="1">
      <c r="A69" s="43"/>
      <c r="B69" s="44"/>
      <c r="C69" s="34" t="s">
        <v>44</v>
      </c>
      <c r="D69" s="153">
        <v>0</v>
      </c>
      <c r="E69" s="111">
        <f>ROUND(AD69/1000,0)</f>
        <v>0</v>
      </c>
      <c r="F69" s="112">
        <f>SUMIF($AB$70:$AB$72,"보조",$AD$70:$AD$72)/1000</f>
        <v>0</v>
      </c>
      <c r="G69" s="112">
        <f>SUMIF($AB$74:$AB$75,"7종",$AD$74:$AD$75)/1000</f>
        <v>0</v>
      </c>
      <c r="H69" s="112">
        <f>SUMIF($AB$74:$AB$75,"4종",$AD$74:$AD$75)/1000</f>
        <v>0</v>
      </c>
      <c r="I69" s="112">
        <f>SUMIF($AB$70:$AB$72,"후원",$AD$70:$AD$72)/1000</f>
        <v>0</v>
      </c>
      <c r="J69" s="112">
        <f>SUMIF($AB$74:$AB$75,"입소",$AD$74:$AD$75)/1000</f>
        <v>0</v>
      </c>
      <c r="K69" s="112">
        <f>SUMIF($AB$70:$AB$72,"전입",$AD$70:$AD$72)/1000</f>
        <v>0</v>
      </c>
      <c r="L69" s="112">
        <f>SUMIF($AB$70:$AB$72,"잡수",$AD$70:$AD$72)/1000</f>
        <v>0</v>
      </c>
      <c r="M69" s="111">
        <f>E69-D69</f>
        <v>0</v>
      </c>
      <c r="N69" s="119">
        <f>IF(D69=0,0,M69/D69)</f>
        <v>0</v>
      </c>
      <c r="O69" s="95" t="s">
        <v>45</v>
      </c>
      <c r="P69" s="173"/>
      <c r="Q69" s="173"/>
      <c r="R69" s="173"/>
      <c r="S69" s="173"/>
      <c r="T69" s="172"/>
      <c r="U69" s="172"/>
      <c r="V69" s="172"/>
      <c r="W69" s="172"/>
      <c r="X69" s="172"/>
      <c r="Y69" s="456" t="s">
        <v>99</v>
      </c>
      <c r="Z69" s="456"/>
      <c r="AA69" s="456"/>
      <c r="AB69" s="456"/>
      <c r="AC69" s="166"/>
      <c r="AD69" s="166">
        <f>SUM(AD70:AD71)</f>
        <v>0</v>
      </c>
      <c r="AE69" s="165" t="s">
        <v>25</v>
      </c>
      <c r="AF69" s="1"/>
    </row>
    <row r="70" spans="1:32" s="11" customFormat="1" ht="21" customHeight="1">
      <c r="A70" s="43"/>
      <c r="B70" s="44"/>
      <c r="C70" s="44"/>
      <c r="D70" s="108"/>
      <c r="E70" s="107"/>
      <c r="F70" s="107"/>
      <c r="G70" s="107"/>
      <c r="H70" s="107"/>
      <c r="I70" s="107"/>
      <c r="J70" s="107"/>
      <c r="K70" s="107"/>
      <c r="L70" s="107"/>
      <c r="M70" s="107"/>
      <c r="N70" s="68"/>
      <c r="O70" s="263" t="s">
        <v>179</v>
      </c>
      <c r="P70" s="417"/>
      <c r="Q70" s="417"/>
      <c r="R70" s="417"/>
      <c r="S70" s="416">
        <v>0</v>
      </c>
      <c r="T70" s="272" t="s">
        <v>55</v>
      </c>
      <c r="U70" s="272" t="s">
        <v>26</v>
      </c>
      <c r="V70" s="416">
        <v>12</v>
      </c>
      <c r="W70" s="417" t="s">
        <v>0</v>
      </c>
      <c r="X70" s="416" t="s">
        <v>27</v>
      </c>
      <c r="Y70" s="416"/>
      <c r="Z70" s="416"/>
      <c r="AA70" s="416"/>
      <c r="AB70" s="416" t="s">
        <v>352</v>
      </c>
      <c r="AC70" s="416"/>
      <c r="AD70" s="416">
        <f>S70*V70</f>
        <v>0</v>
      </c>
      <c r="AE70" s="133" t="s">
        <v>25</v>
      </c>
      <c r="AF70" s="1"/>
    </row>
    <row r="71" spans="1:32" s="11" customFormat="1" ht="21" customHeight="1">
      <c r="A71" s="43"/>
      <c r="B71" s="44"/>
      <c r="C71" s="44"/>
      <c r="D71" s="108"/>
      <c r="E71" s="107"/>
      <c r="F71" s="107"/>
      <c r="G71" s="107"/>
      <c r="H71" s="107"/>
      <c r="I71" s="107"/>
      <c r="J71" s="107"/>
      <c r="K71" s="107"/>
      <c r="L71" s="107"/>
      <c r="M71" s="107"/>
      <c r="N71" s="68"/>
      <c r="O71" s="263" t="s">
        <v>180</v>
      </c>
      <c r="P71" s="417"/>
      <c r="Q71" s="417"/>
      <c r="R71" s="417"/>
      <c r="S71" s="416">
        <v>0</v>
      </c>
      <c r="T71" s="272" t="s">
        <v>55</v>
      </c>
      <c r="U71" s="272" t="s">
        <v>26</v>
      </c>
      <c r="V71" s="416">
        <v>12</v>
      </c>
      <c r="W71" s="417" t="s">
        <v>0</v>
      </c>
      <c r="X71" s="416" t="s">
        <v>27</v>
      </c>
      <c r="Y71" s="416"/>
      <c r="Z71" s="416"/>
      <c r="AA71" s="416"/>
      <c r="AB71" s="416" t="s">
        <v>108</v>
      </c>
      <c r="AC71" s="416"/>
      <c r="AD71" s="416">
        <f>S71*V71</f>
        <v>0</v>
      </c>
      <c r="AE71" s="133" t="s">
        <v>25</v>
      </c>
      <c r="AF71" s="1"/>
    </row>
    <row r="72" spans="1:32" s="11" customFormat="1" ht="21" customHeight="1">
      <c r="A72" s="43"/>
      <c r="B72" s="44"/>
      <c r="C72" s="44"/>
      <c r="D72" s="151"/>
      <c r="E72" s="107"/>
      <c r="F72" s="107"/>
      <c r="G72" s="107"/>
      <c r="H72" s="107"/>
      <c r="I72" s="107"/>
      <c r="J72" s="107"/>
      <c r="K72" s="107"/>
      <c r="L72" s="107"/>
      <c r="M72" s="107"/>
      <c r="N72" s="68"/>
      <c r="O72" s="69"/>
      <c r="P72" s="457"/>
      <c r="Q72" s="457"/>
      <c r="R72" s="457"/>
      <c r="S72" s="457"/>
      <c r="T72" s="457"/>
      <c r="U72" s="457"/>
      <c r="V72" s="457"/>
      <c r="W72" s="457"/>
      <c r="X72" s="457"/>
      <c r="Y72" s="84"/>
      <c r="Z72" s="84"/>
      <c r="AA72" s="84"/>
      <c r="AB72" s="84"/>
      <c r="AC72" s="84"/>
      <c r="AD72" s="213"/>
      <c r="AE72" s="71"/>
      <c r="AF72" s="1"/>
    </row>
    <row r="73" spans="1:32" s="11" customFormat="1" ht="21" hidden="1" customHeight="1">
      <c r="A73" s="43"/>
      <c r="B73" s="44"/>
      <c r="C73" s="34" t="s">
        <v>298</v>
      </c>
      <c r="D73" s="153">
        <v>0</v>
      </c>
      <c r="E73" s="111">
        <f>ROUND(AD73/1000,0)</f>
        <v>0</v>
      </c>
      <c r="F73" s="112">
        <f>SUMIF($AB$74:$AB$75,"보조",$AD$74:$AD$75)/1000</f>
        <v>0</v>
      </c>
      <c r="G73" s="112">
        <f>SUMIF($AB$74:$AB$75,"7종",$AD$74:$AD$75)/1000</f>
        <v>0</v>
      </c>
      <c r="H73" s="112">
        <f>SUMIF($AB$74:$AB$75,"4종",$AD$74:$AD$75)/1000</f>
        <v>0</v>
      </c>
      <c r="I73" s="112">
        <f>SUMIF($AB$74:$AB$75,"후원",$AD$74:$AD$75)/1000</f>
        <v>0</v>
      </c>
      <c r="J73" s="112">
        <f>SUMIF($AB$74:$AB$75,"입소",$AD$74:$AD$75)/1000</f>
        <v>0</v>
      </c>
      <c r="K73" s="112">
        <f>SUMIF($AB$74:$AB$75,"전입",$AD$74:$AD$75)/1000</f>
        <v>0</v>
      </c>
      <c r="L73" s="112">
        <f>SUMIF($AB$74:$AB$75,"잡수",$AD$74:$AD$75)/1000</f>
        <v>0</v>
      </c>
      <c r="M73" s="111">
        <f>E73-D73</f>
        <v>0</v>
      </c>
      <c r="N73" s="119">
        <f>IF(D73=0,0,M73/D73)</f>
        <v>0</v>
      </c>
      <c r="O73" s="95" t="s">
        <v>299</v>
      </c>
      <c r="P73" s="91"/>
      <c r="Q73" s="91"/>
      <c r="R73" s="91"/>
      <c r="S73" s="91"/>
      <c r="T73" s="87"/>
      <c r="U73" s="87"/>
      <c r="V73" s="87"/>
      <c r="W73" s="87"/>
      <c r="X73" s="87"/>
      <c r="Y73" s="164" t="s">
        <v>99</v>
      </c>
      <c r="Z73" s="164"/>
      <c r="AA73" s="164"/>
      <c r="AB73" s="164"/>
      <c r="AC73" s="166"/>
      <c r="AD73" s="166">
        <f>SUM(AD74:AD74)</f>
        <v>0</v>
      </c>
      <c r="AE73" s="165" t="s">
        <v>25</v>
      </c>
      <c r="AF73" s="1"/>
    </row>
    <row r="74" spans="1:32" s="11" customFormat="1" ht="21" hidden="1" customHeight="1">
      <c r="A74" s="43"/>
      <c r="B74" s="44"/>
      <c r="C74" s="44"/>
      <c r="D74" s="108"/>
      <c r="E74" s="107"/>
      <c r="F74" s="107"/>
      <c r="G74" s="107"/>
      <c r="H74" s="107"/>
      <c r="I74" s="107"/>
      <c r="J74" s="107"/>
      <c r="K74" s="107"/>
      <c r="L74" s="107"/>
      <c r="M74" s="107"/>
      <c r="N74" s="68"/>
      <c r="O74" s="417" t="s">
        <v>300</v>
      </c>
      <c r="P74" s="338"/>
      <c r="Q74" s="338"/>
      <c r="R74" s="338"/>
      <c r="S74" s="337">
        <v>0</v>
      </c>
      <c r="T74" s="272" t="s">
        <v>173</v>
      </c>
      <c r="U74" s="272" t="s">
        <v>26</v>
      </c>
      <c r="V74" s="337">
        <v>12</v>
      </c>
      <c r="W74" s="338" t="s">
        <v>176</v>
      </c>
      <c r="X74" s="337" t="s">
        <v>27</v>
      </c>
      <c r="Y74" s="337"/>
      <c r="Z74" s="337"/>
      <c r="AA74" s="337"/>
      <c r="AB74" s="416" t="s">
        <v>352</v>
      </c>
      <c r="AC74" s="337"/>
      <c r="AD74" s="337">
        <f>S74*V74</f>
        <v>0</v>
      </c>
      <c r="AE74" s="133" t="s">
        <v>25</v>
      </c>
      <c r="AF74" s="1"/>
    </row>
    <row r="75" spans="1:32" s="11" customFormat="1" ht="21" hidden="1" customHeight="1">
      <c r="A75" s="43"/>
      <c r="B75" s="44"/>
      <c r="C75" s="57"/>
      <c r="D75" s="126"/>
      <c r="E75" s="109"/>
      <c r="F75" s="109"/>
      <c r="G75" s="109"/>
      <c r="H75" s="109"/>
      <c r="I75" s="109"/>
      <c r="J75" s="109"/>
      <c r="K75" s="109"/>
      <c r="L75" s="109"/>
      <c r="M75" s="109"/>
      <c r="N75" s="82"/>
      <c r="O75" s="265"/>
      <c r="P75" s="265"/>
      <c r="Q75" s="265"/>
      <c r="R75" s="265"/>
      <c r="S75" s="360"/>
      <c r="T75" s="364"/>
      <c r="U75" s="360"/>
      <c r="V75" s="513"/>
      <c r="W75" s="514"/>
      <c r="X75" s="360"/>
      <c r="Y75" s="360"/>
      <c r="Z75" s="360"/>
      <c r="AA75" s="360"/>
      <c r="AB75" s="360"/>
      <c r="AC75" s="360"/>
      <c r="AD75" s="360"/>
      <c r="AE75" s="365"/>
      <c r="AF75" s="1"/>
    </row>
    <row r="76" spans="1:32" s="11" customFormat="1" ht="21" customHeight="1">
      <c r="A76" s="43"/>
      <c r="B76" s="44"/>
      <c r="C76" s="34" t="s">
        <v>69</v>
      </c>
      <c r="D76" s="127">
        <v>16200</v>
      </c>
      <c r="E76" s="111">
        <f>ROUND(AD76/1000,0)</f>
        <v>16200</v>
      </c>
      <c r="F76" s="112">
        <f>SUMIF($AB$77:$AB$84,"보조",$AD$77:$AD$84)/1000</f>
        <v>0</v>
      </c>
      <c r="G76" s="112">
        <f>SUMIF($AB$77:$AB$84,"7종",$AD$77:$AD$84)/1000</f>
        <v>0</v>
      </c>
      <c r="H76" s="112">
        <f>SUMIF($AB$77:$AB$84,"4종",$AD$77:$AD$84)/1000</f>
        <v>0</v>
      </c>
      <c r="I76" s="112">
        <f>SUMIF($AB$77:$AB$84,"후원",$AD$77:$AD$84)/1000</f>
        <v>16200</v>
      </c>
      <c r="J76" s="112">
        <f>SUMIF($AB$77:$AB$84,"입소",$AD$77:$AD$84)/1000</f>
        <v>0</v>
      </c>
      <c r="K76" s="112">
        <f>SUMIF($AB$77:$AB$84,"전입",$AD$77:$AD$84)/1000</f>
        <v>0</v>
      </c>
      <c r="L76" s="112">
        <f>SUMIF($AB$77:$AB$84,"잡수",$AD$77:$AD$84)/1000</f>
        <v>0</v>
      </c>
      <c r="M76" s="111">
        <f>E76-D76</f>
        <v>0</v>
      </c>
      <c r="N76" s="119">
        <f>IF(D76=0,0,M76/D76)</f>
        <v>0</v>
      </c>
      <c r="O76" s="114" t="s">
        <v>70</v>
      </c>
      <c r="P76" s="91"/>
      <c r="Q76" s="91"/>
      <c r="R76" s="91"/>
      <c r="S76" s="91"/>
      <c r="T76" s="87"/>
      <c r="U76" s="87"/>
      <c r="V76" s="87"/>
      <c r="W76" s="87"/>
      <c r="X76" s="87"/>
      <c r="Y76" s="164" t="s">
        <v>99</v>
      </c>
      <c r="Z76" s="164"/>
      <c r="AA76" s="164"/>
      <c r="AB76" s="164"/>
      <c r="AC76" s="166"/>
      <c r="AD76" s="166">
        <f>SUM(AD77:AD83)</f>
        <v>16200000</v>
      </c>
      <c r="AE76" s="165" t="s">
        <v>25</v>
      </c>
      <c r="AF76" s="1"/>
    </row>
    <row r="77" spans="1:32" s="11" customFormat="1" ht="20.25" customHeight="1">
      <c r="A77" s="43"/>
      <c r="B77" s="44"/>
      <c r="C77" s="44"/>
      <c r="D77" s="128"/>
      <c r="E77" s="107"/>
      <c r="F77" s="107"/>
      <c r="G77" s="107"/>
      <c r="H77" s="107"/>
      <c r="I77" s="107"/>
      <c r="J77" s="107"/>
      <c r="K77" s="107"/>
      <c r="L77" s="107"/>
      <c r="M77" s="107"/>
      <c r="N77" s="68"/>
      <c r="O77" s="271" t="s">
        <v>442</v>
      </c>
      <c r="P77" s="271"/>
      <c r="Q77" s="271"/>
      <c r="R77" s="271"/>
      <c r="S77" s="258">
        <v>100000</v>
      </c>
      <c r="T77" s="258" t="s">
        <v>443</v>
      </c>
      <c r="U77" s="304" t="s">
        <v>444</v>
      </c>
      <c r="V77" s="258">
        <v>2</v>
      </c>
      <c r="W77" s="258" t="s">
        <v>445</v>
      </c>
      <c r="X77" s="304"/>
      <c r="Y77" s="258"/>
      <c r="Z77" s="258"/>
      <c r="AA77" s="258" t="s">
        <v>446</v>
      </c>
      <c r="AB77" s="258" t="s">
        <v>447</v>
      </c>
      <c r="AC77" s="260"/>
      <c r="AD77" s="132">
        <f>S77*V77</f>
        <v>200000</v>
      </c>
      <c r="AE77" s="274" t="s">
        <v>443</v>
      </c>
      <c r="AF77" s="2"/>
    </row>
    <row r="78" spans="1:32" s="11" customFormat="1" ht="20.25" customHeight="1">
      <c r="A78" s="43"/>
      <c r="B78" s="44"/>
      <c r="C78" s="44"/>
      <c r="D78" s="128"/>
      <c r="E78" s="107"/>
      <c r="F78" s="107"/>
      <c r="G78" s="107"/>
      <c r="H78" s="107"/>
      <c r="I78" s="107"/>
      <c r="J78" s="107"/>
      <c r="K78" s="107"/>
      <c r="L78" s="107"/>
      <c r="M78" s="107"/>
      <c r="N78" s="68"/>
      <c r="O78" s="271" t="s">
        <v>448</v>
      </c>
      <c r="P78" s="271"/>
      <c r="Q78" s="271"/>
      <c r="R78" s="271"/>
      <c r="S78" s="258"/>
      <c r="T78" s="258"/>
      <c r="U78" s="304"/>
      <c r="V78" s="258"/>
      <c r="W78" s="258"/>
      <c r="X78" s="304"/>
      <c r="Y78" s="258"/>
      <c r="Z78" s="258"/>
      <c r="AA78" s="258"/>
      <c r="AB78" s="258" t="s">
        <v>447</v>
      </c>
      <c r="AC78" s="260"/>
      <c r="AD78" s="132">
        <v>3000000</v>
      </c>
      <c r="AE78" s="274" t="s">
        <v>443</v>
      </c>
      <c r="AF78" s="2"/>
    </row>
    <row r="79" spans="1:32" s="11" customFormat="1" ht="20.25" customHeight="1">
      <c r="A79" s="43"/>
      <c r="B79" s="44"/>
      <c r="C79" s="44"/>
      <c r="D79" s="128"/>
      <c r="E79" s="107"/>
      <c r="F79" s="107"/>
      <c r="G79" s="107"/>
      <c r="H79" s="107"/>
      <c r="I79" s="107"/>
      <c r="J79" s="107"/>
      <c r="K79" s="107"/>
      <c r="L79" s="107"/>
      <c r="M79" s="107"/>
      <c r="N79" s="68"/>
      <c r="O79" s="271" t="s">
        <v>449</v>
      </c>
      <c r="P79" s="271"/>
      <c r="Q79" s="271"/>
      <c r="R79" s="271"/>
      <c r="S79" s="258"/>
      <c r="T79" s="258"/>
      <c r="U79" s="304"/>
      <c r="V79" s="258"/>
      <c r="W79" s="258"/>
      <c r="X79" s="304"/>
      <c r="Y79" s="258"/>
      <c r="Z79" s="258"/>
      <c r="AA79" s="258"/>
      <c r="AB79" s="258" t="s">
        <v>447</v>
      </c>
      <c r="AC79" s="260"/>
      <c r="AD79" s="132">
        <v>2800000</v>
      </c>
      <c r="AE79" s="274" t="s">
        <v>443</v>
      </c>
      <c r="AF79" s="2"/>
    </row>
    <row r="80" spans="1:32" s="11" customFormat="1" ht="20.25" customHeight="1">
      <c r="A80" s="43"/>
      <c r="B80" s="44"/>
      <c r="C80" s="44"/>
      <c r="D80" s="128"/>
      <c r="E80" s="107"/>
      <c r="F80" s="107"/>
      <c r="G80" s="107"/>
      <c r="H80" s="107"/>
      <c r="I80" s="107"/>
      <c r="J80" s="107"/>
      <c r="K80" s="107"/>
      <c r="L80" s="107"/>
      <c r="M80" s="107"/>
      <c r="N80" s="68"/>
      <c r="O80" s="271" t="s">
        <v>450</v>
      </c>
      <c r="P80" s="271"/>
      <c r="Q80" s="271"/>
      <c r="R80" s="271"/>
      <c r="S80" s="258"/>
      <c r="T80" s="258"/>
      <c r="U80" s="304"/>
      <c r="V80" s="258"/>
      <c r="W80" s="258"/>
      <c r="X80" s="304"/>
      <c r="Y80" s="258"/>
      <c r="Z80" s="258"/>
      <c r="AA80" s="258"/>
      <c r="AB80" s="258" t="s">
        <v>447</v>
      </c>
      <c r="AC80" s="260"/>
      <c r="AD80" s="132">
        <v>2000000</v>
      </c>
      <c r="AE80" s="274" t="s">
        <v>443</v>
      </c>
      <c r="AF80" s="2"/>
    </row>
    <row r="81" spans="1:32" s="11" customFormat="1" ht="20.25" customHeight="1">
      <c r="A81" s="43"/>
      <c r="B81" s="44"/>
      <c r="C81" s="44"/>
      <c r="D81" s="128"/>
      <c r="E81" s="107"/>
      <c r="F81" s="107"/>
      <c r="G81" s="107"/>
      <c r="H81" s="107"/>
      <c r="I81" s="107"/>
      <c r="J81" s="107"/>
      <c r="K81" s="107"/>
      <c r="L81" s="107"/>
      <c r="M81" s="107"/>
      <c r="N81" s="68"/>
      <c r="O81" s="417" t="s">
        <v>451</v>
      </c>
      <c r="P81" s="417"/>
      <c r="Q81" s="417"/>
      <c r="R81" s="417"/>
      <c r="S81" s="416"/>
      <c r="T81" s="272"/>
      <c r="U81" s="272"/>
      <c r="V81" s="281"/>
      <c r="W81" s="282"/>
      <c r="X81" s="282"/>
      <c r="Y81" s="281"/>
      <c r="Z81" s="283"/>
      <c r="AA81" s="281"/>
      <c r="AB81" s="416" t="s">
        <v>447</v>
      </c>
      <c r="AC81" s="416"/>
      <c r="AD81" s="416">
        <v>1500000</v>
      </c>
      <c r="AE81" s="133" t="s">
        <v>443</v>
      </c>
      <c r="AF81" s="2"/>
    </row>
    <row r="82" spans="1:32" s="11" customFormat="1" ht="20.25" customHeight="1">
      <c r="A82" s="43"/>
      <c r="B82" s="44"/>
      <c r="C82" s="44"/>
      <c r="D82" s="128"/>
      <c r="E82" s="107"/>
      <c r="F82" s="107"/>
      <c r="G82" s="107"/>
      <c r="H82" s="107"/>
      <c r="I82" s="107"/>
      <c r="J82" s="107"/>
      <c r="K82" s="107"/>
      <c r="L82" s="107"/>
      <c r="M82" s="107"/>
      <c r="N82" s="68"/>
      <c r="O82" s="417" t="s">
        <v>452</v>
      </c>
      <c r="P82" s="417"/>
      <c r="Q82" s="417"/>
      <c r="R82" s="417"/>
      <c r="S82" s="416"/>
      <c r="T82" s="272"/>
      <c r="U82" s="272"/>
      <c r="V82" s="281"/>
      <c r="W82" s="282"/>
      <c r="X82" s="282"/>
      <c r="Y82" s="281"/>
      <c r="Z82" s="283"/>
      <c r="AA82" s="281"/>
      <c r="AB82" s="416" t="s">
        <v>447</v>
      </c>
      <c r="AC82" s="416"/>
      <c r="AD82" s="416">
        <v>2800000</v>
      </c>
      <c r="AE82" s="133" t="s">
        <v>443</v>
      </c>
      <c r="AF82" s="2"/>
    </row>
    <row r="83" spans="1:32" s="11" customFormat="1" ht="20.25" customHeight="1">
      <c r="A83" s="43"/>
      <c r="B83" s="44"/>
      <c r="C83" s="44"/>
      <c r="D83" s="128"/>
      <c r="E83" s="107"/>
      <c r="F83" s="107"/>
      <c r="G83" s="107"/>
      <c r="H83" s="107"/>
      <c r="I83" s="107"/>
      <c r="J83" s="107"/>
      <c r="K83" s="107"/>
      <c r="L83" s="107"/>
      <c r="M83" s="107"/>
      <c r="N83" s="68"/>
      <c r="O83" s="417" t="s">
        <v>453</v>
      </c>
      <c r="P83" s="417"/>
      <c r="Q83" s="417"/>
      <c r="R83" s="417"/>
      <c r="S83" s="416"/>
      <c r="T83" s="272"/>
      <c r="U83" s="272"/>
      <c r="V83" s="281"/>
      <c r="W83" s="282"/>
      <c r="X83" s="282"/>
      <c r="Y83" s="281"/>
      <c r="Z83" s="283"/>
      <c r="AA83" s="281"/>
      <c r="AB83" s="416" t="s">
        <v>447</v>
      </c>
      <c r="AC83" s="416"/>
      <c r="AD83" s="416">
        <v>3900000</v>
      </c>
      <c r="AE83" s="133" t="s">
        <v>443</v>
      </c>
      <c r="AF83" s="2"/>
    </row>
    <row r="84" spans="1:32" s="11" customFormat="1" ht="21" customHeight="1">
      <c r="A84" s="43"/>
      <c r="B84" s="44"/>
      <c r="C84" s="45"/>
      <c r="D84" s="151"/>
      <c r="E84" s="107"/>
      <c r="F84" s="107"/>
      <c r="G84" s="107"/>
      <c r="H84" s="107"/>
      <c r="I84" s="107"/>
      <c r="J84" s="107"/>
      <c r="K84" s="107"/>
      <c r="L84" s="107"/>
      <c r="M84" s="107"/>
      <c r="N84" s="82"/>
      <c r="O84" s="146"/>
      <c r="P84" s="79"/>
      <c r="Q84" s="79"/>
      <c r="R84" s="79"/>
      <c r="S84" s="78"/>
      <c r="T84" s="79"/>
      <c r="U84" s="78"/>
      <c r="V84" s="129"/>
      <c r="W84" s="129"/>
      <c r="X84" s="78"/>
      <c r="Y84" s="78"/>
      <c r="Z84" s="78"/>
      <c r="AA84" s="78"/>
      <c r="AB84" s="78"/>
      <c r="AC84" s="78"/>
      <c r="AD84" s="78"/>
      <c r="AE84" s="71"/>
      <c r="AF84" s="2"/>
    </row>
    <row r="85" spans="1:32" s="11" customFormat="1" ht="21" customHeight="1">
      <c r="A85" s="110" t="s">
        <v>46</v>
      </c>
      <c r="B85" s="506" t="s">
        <v>20</v>
      </c>
      <c r="C85" s="506"/>
      <c r="D85" s="178">
        <f>D86</f>
        <v>3807</v>
      </c>
      <c r="E85" s="178">
        <f>E86</f>
        <v>2226</v>
      </c>
      <c r="F85" s="178">
        <f t="shared" ref="F85:L85" si="5">F86</f>
        <v>0</v>
      </c>
      <c r="G85" s="178">
        <f t="shared" si="5"/>
        <v>0</v>
      </c>
      <c r="H85" s="178">
        <f t="shared" si="5"/>
        <v>0</v>
      </c>
      <c r="I85" s="178">
        <f t="shared" si="5"/>
        <v>1000</v>
      </c>
      <c r="J85" s="178">
        <f t="shared" si="5"/>
        <v>0</v>
      </c>
      <c r="K85" s="178">
        <f t="shared" si="5"/>
        <v>0</v>
      </c>
      <c r="L85" s="178">
        <f t="shared" si="5"/>
        <v>1226</v>
      </c>
      <c r="M85" s="178">
        <f>E85-D85</f>
        <v>-1581</v>
      </c>
      <c r="N85" s="158">
        <f>IF(D85=0,0,M85/D85)</f>
        <v>-0.41528762805358549</v>
      </c>
      <c r="O85" s="169" t="s">
        <v>101</v>
      </c>
      <c r="P85" s="30"/>
      <c r="Q85" s="30"/>
      <c r="R85" s="30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>
        <f>AD86</f>
        <v>2226000</v>
      </c>
      <c r="AE85" s="32" t="s">
        <v>25</v>
      </c>
      <c r="AF85" s="2"/>
    </row>
    <row r="86" spans="1:32" s="11" customFormat="1" ht="21" customHeight="1">
      <c r="A86" s="177" t="s">
        <v>107</v>
      </c>
      <c r="B86" s="44" t="s">
        <v>17</v>
      </c>
      <c r="C86" s="44" t="s">
        <v>102</v>
      </c>
      <c r="D86" s="107">
        <f t="shared" ref="D86:L86" si="6">SUM(D87,D90,D94)</f>
        <v>3807</v>
      </c>
      <c r="E86" s="107">
        <f t="shared" si="6"/>
        <v>2226</v>
      </c>
      <c r="F86" s="107">
        <f t="shared" si="6"/>
        <v>0</v>
      </c>
      <c r="G86" s="107">
        <f t="shared" si="6"/>
        <v>0</v>
      </c>
      <c r="H86" s="107">
        <f t="shared" si="6"/>
        <v>0</v>
      </c>
      <c r="I86" s="107">
        <f t="shared" si="6"/>
        <v>1000</v>
      </c>
      <c r="J86" s="107">
        <f t="shared" si="6"/>
        <v>0</v>
      </c>
      <c r="K86" s="107">
        <f t="shared" si="6"/>
        <v>0</v>
      </c>
      <c r="L86" s="107">
        <f t="shared" si="6"/>
        <v>1226</v>
      </c>
      <c r="M86" s="107">
        <f>E86-D86</f>
        <v>-1581</v>
      </c>
      <c r="N86" s="68">
        <f>IF(D86=0,0,M86/D86)</f>
        <v>-0.41528762805358549</v>
      </c>
      <c r="O86" s="173" t="s">
        <v>103</v>
      </c>
      <c r="P86" s="91"/>
      <c r="Q86" s="91"/>
      <c r="R86" s="91"/>
      <c r="S86" s="91"/>
      <c r="T86" s="87"/>
      <c r="U86" s="87"/>
      <c r="V86" s="87"/>
      <c r="W86" s="87"/>
      <c r="X86" s="87"/>
      <c r="Y86" s="87"/>
      <c r="Z86" s="87"/>
      <c r="AA86" s="87"/>
      <c r="AB86" s="87"/>
      <c r="AC86" s="92"/>
      <c r="AD86" s="92">
        <f>SUM(AD87,AD90,AD94)</f>
        <v>2226000</v>
      </c>
      <c r="AE86" s="93" t="s">
        <v>25</v>
      </c>
      <c r="AF86" s="1"/>
    </row>
    <row r="87" spans="1:32" s="11" customFormat="1" ht="21" customHeight="1">
      <c r="A87" s="43"/>
      <c r="B87" s="44"/>
      <c r="C87" s="34" t="s">
        <v>103</v>
      </c>
      <c r="D87" s="175">
        <v>0</v>
      </c>
      <c r="E87" s="175">
        <f>ROUND(AD87/1000,0)</f>
        <v>0</v>
      </c>
      <c r="F87" s="112">
        <f>SUMIF($AB$88:$AB$89,"보조",$AD$88:$AD$89)/1000</f>
        <v>0</v>
      </c>
      <c r="G87" s="112">
        <f>SUMIF($AB$88:$AB$89,"7종",$AD$88:$AD$89)/1000</f>
        <v>0</v>
      </c>
      <c r="H87" s="112">
        <f>SUMIF($AB$88:$AB$89,"4종",$AD$88:$AD$89)/1000</f>
        <v>0</v>
      </c>
      <c r="I87" s="112">
        <f>SUMIF($AB$88:$AB$89,"후원",$AD$88:$AD$89)/1000</f>
        <v>0</v>
      </c>
      <c r="J87" s="112">
        <f>SUMIF($AB$88:$AB$89,"입소",$AD$88:$AD$89)/1000</f>
        <v>0</v>
      </c>
      <c r="K87" s="112">
        <f>SUMIF($AB$88:$AB$89,"전입",$AD$88:$AD$89)/1000</f>
        <v>0</v>
      </c>
      <c r="L87" s="112">
        <f>SUMIF($AB$88:$AB$89,"잡수",$AD$88:$AD$89)/1000</f>
        <v>0</v>
      </c>
      <c r="M87" s="175">
        <f>E87-D87</f>
        <v>0</v>
      </c>
      <c r="N87" s="176">
        <f>IF(D87=0,0,M87/D87)</f>
        <v>0</v>
      </c>
      <c r="O87" s="95" t="s">
        <v>47</v>
      </c>
      <c r="P87" s="173"/>
      <c r="Q87" s="173"/>
      <c r="R87" s="173"/>
      <c r="S87" s="173"/>
      <c r="T87" s="172"/>
      <c r="U87" s="172"/>
      <c r="V87" s="172"/>
      <c r="W87" s="172"/>
      <c r="X87" s="172"/>
      <c r="Y87" s="164" t="s">
        <v>99</v>
      </c>
      <c r="Z87" s="164"/>
      <c r="AA87" s="164"/>
      <c r="AB87" s="164"/>
      <c r="AC87" s="166"/>
      <c r="AD87" s="166">
        <f>SUM(AD88:AD88)</f>
        <v>0</v>
      </c>
      <c r="AE87" s="165" t="s">
        <v>25</v>
      </c>
      <c r="AF87" s="1"/>
    </row>
    <row r="88" spans="1:32" s="11" customFormat="1" ht="21" customHeight="1">
      <c r="A88" s="43"/>
      <c r="B88" s="44"/>
      <c r="C88" s="44"/>
      <c r="D88" s="108"/>
      <c r="E88" s="107"/>
      <c r="F88" s="107"/>
      <c r="G88" s="107"/>
      <c r="H88" s="107"/>
      <c r="I88" s="107"/>
      <c r="J88" s="107"/>
      <c r="K88" s="107"/>
      <c r="L88" s="107"/>
      <c r="M88" s="107"/>
      <c r="N88" s="68"/>
      <c r="O88" s="259" t="s">
        <v>385</v>
      </c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 t="s">
        <v>382</v>
      </c>
      <c r="AC88" s="259"/>
      <c r="AD88" s="258">
        <v>0</v>
      </c>
      <c r="AE88" s="274" t="s">
        <v>377</v>
      </c>
      <c r="AF88" s="2"/>
    </row>
    <row r="89" spans="1:32" s="11" customFormat="1" ht="21" customHeight="1">
      <c r="A89" s="43"/>
      <c r="B89" s="44"/>
      <c r="C89" s="44"/>
      <c r="D89" s="151"/>
      <c r="E89" s="107"/>
      <c r="F89" s="107"/>
      <c r="G89" s="107"/>
      <c r="H89" s="107"/>
      <c r="I89" s="107"/>
      <c r="J89" s="107"/>
      <c r="K89" s="107"/>
      <c r="L89" s="107"/>
      <c r="M89" s="107"/>
      <c r="N89" s="68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30"/>
      <c r="AE89" s="122"/>
      <c r="AF89" s="2"/>
    </row>
    <row r="90" spans="1:32" s="11" customFormat="1" ht="21" customHeight="1">
      <c r="A90" s="43"/>
      <c r="B90" s="44"/>
      <c r="C90" s="34" t="s">
        <v>18</v>
      </c>
      <c r="D90" s="153">
        <v>2581</v>
      </c>
      <c r="E90" s="111">
        <f>ROUND(AD90/1000,0)</f>
        <v>1000</v>
      </c>
      <c r="F90" s="112">
        <f>SUMIF($AB$91:$AB$93,"보조",$AD$91:$AD$93)/1000</f>
        <v>0</v>
      </c>
      <c r="G90" s="112">
        <f>SUMIF($AB$91:$AB$93,"7종",$AD$91:$AD$93)/1000</f>
        <v>0</v>
      </c>
      <c r="H90" s="112">
        <f>SUMIF($AB$91:$AB$93,"4종",$AD$91:$AD$93)/1000</f>
        <v>0</v>
      </c>
      <c r="I90" s="112">
        <f>SUMIF($AB$91:$AB$93,"후원",$AD$91:$AD$93)/1000</f>
        <v>1000</v>
      </c>
      <c r="J90" s="112">
        <f>SUMIF($AB$91:$AB$93,"입소",$AD$91:$AD$93)/1000</f>
        <v>0</v>
      </c>
      <c r="K90" s="112">
        <f>SUMIF($AB$91:$AB$93,"전입",$AD$91:$AD$93)/1000</f>
        <v>0</v>
      </c>
      <c r="L90" s="112">
        <f>SUMIF($AB$91:$AB$93,"잡수",$AD$91:$AD$93)/1000</f>
        <v>0</v>
      </c>
      <c r="M90" s="111">
        <f>E90-D90</f>
        <v>-1581</v>
      </c>
      <c r="N90" s="119">
        <f>IF(D90=0,0,M90/D90)</f>
        <v>-0.61255327392483538</v>
      </c>
      <c r="O90" s="95" t="s">
        <v>48</v>
      </c>
      <c r="P90" s="91"/>
      <c r="Q90" s="91"/>
      <c r="R90" s="91"/>
      <c r="S90" s="91"/>
      <c r="T90" s="87"/>
      <c r="U90" s="87"/>
      <c r="V90" s="87"/>
      <c r="W90" s="87"/>
      <c r="X90" s="87"/>
      <c r="Y90" s="164" t="s">
        <v>99</v>
      </c>
      <c r="Z90" s="164"/>
      <c r="AA90" s="164"/>
      <c r="AB90" s="164"/>
      <c r="AC90" s="166"/>
      <c r="AD90" s="166">
        <f>SUM(AD91:AD92)</f>
        <v>1000000</v>
      </c>
      <c r="AE90" s="165" t="s">
        <v>25</v>
      </c>
      <c r="AF90" s="1"/>
    </row>
    <row r="91" spans="1:32" s="11" customFormat="1" ht="21" customHeight="1">
      <c r="A91" s="43"/>
      <c r="B91" s="44"/>
      <c r="C91" s="44"/>
      <c r="D91" s="108"/>
      <c r="E91" s="107"/>
      <c r="F91" s="107"/>
      <c r="G91" s="107"/>
      <c r="H91" s="107"/>
      <c r="I91" s="107"/>
      <c r="J91" s="107"/>
      <c r="K91" s="107"/>
      <c r="L91" s="107"/>
      <c r="M91" s="107"/>
      <c r="N91" s="68"/>
      <c r="O91" s="417" t="s">
        <v>454</v>
      </c>
      <c r="P91" s="396"/>
      <c r="Q91" s="396"/>
      <c r="R91" s="396"/>
      <c r="S91" s="395"/>
      <c r="T91" s="272"/>
      <c r="U91" s="272"/>
      <c r="V91" s="395"/>
      <c r="W91" s="396"/>
      <c r="X91" s="395" t="s">
        <v>27</v>
      </c>
      <c r="Y91" s="395"/>
      <c r="Z91" s="395"/>
      <c r="AA91" s="395"/>
      <c r="AB91" s="416" t="s">
        <v>409</v>
      </c>
      <c r="AC91" s="395"/>
      <c r="AD91" s="395">
        <v>1000000</v>
      </c>
      <c r="AE91" s="133" t="s">
        <v>25</v>
      </c>
      <c r="AF91" s="2"/>
    </row>
    <row r="92" spans="1:32" s="11" customFormat="1" ht="21" customHeight="1">
      <c r="A92" s="43"/>
      <c r="B92" s="44"/>
      <c r="C92" s="44"/>
      <c r="D92" s="108"/>
      <c r="E92" s="107"/>
      <c r="F92" s="107"/>
      <c r="G92" s="107"/>
      <c r="H92" s="107"/>
      <c r="I92" s="107"/>
      <c r="J92" s="107"/>
      <c r="K92" s="107"/>
      <c r="L92" s="107"/>
      <c r="M92" s="107"/>
      <c r="N92" s="68"/>
      <c r="O92" s="417"/>
      <c r="P92" s="417"/>
      <c r="Q92" s="417"/>
      <c r="R92" s="417"/>
      <c r="S92" s="416"/>
      <c r="T92" s="272"/>
      <c r="U92" s="272"/>
      <c r="V92" s="416"/>
      <c r="W92" s="417"/>
      <c r="X92" s="416"/>
      <c r="Y92" s="416"/>
      <c r="Z92" s="416"/>
      <c r="AA92" s="416"/>
      <c r="AB92" s="416"/>
      <c r="AC92" s="416"/>
      <c r="AD92" s="416"/>
      <c r="AE92" s="133"/>
      <c r="AF92" s="2"/>
    </row>
    <row r="93" spans="1:32" s="11" customFormat="1" ht="21" customHeight="1">
      <c r="A93" s="43"/>
      <c r="B93" s="44"/>
      <c r="C93" s="44"/>
      <c r="D93" s="108"/>
      <c r="E93" s="107"/>
      <c r="F93" s="107"/>
      <c r="G93" s="107"/>
      <c r="H93" s="107"/>
      <c r="I93" s="107"/>
      <c r="J93" s="107"/>
      <c r="K93" s="107"/>
      <c r="L93" s="107"/>
      <c r="M93" s="107"/>
      <c r="N93" s="68"/>
      <c r="O93" s="148"/>
      <c r="P93" s="48"/>
      <c r="Q93" s="48"/>
      <c r="R93" s="48"/>
      <c r="S93" s="49"/>
      <c r="T93" s="115"/>
      <c r="U93" s="53"/>
      <c r="V93" s="66"/>
      <c r="W93" s="66"/>
      <c r="X93" s="49"/>
      <c r="Y93" s="49"/>
      <c r="Z93" s="49"/>
      <c r="AA93" s="49"/>
      <c r="AB93" s="49"/>
      <c r="AC93" s="49"/>
      <c r="AD93" s="49"/>
      <c r="AE93" s="55"/>
      <c r="AF93" s="2"/>
    </row>
    <row r="94" spans="1:32" s="11" customFormat="1" ht="21" customHeight="1">
      <c r="A94" s="43"/>
      <c r="B94" s="44"/>
      <c r="C94" s="34" t="s">
        <v>49</v>
      </c>
      <c r="D94" s="153">
        <v>1226</v>
      </c>
      <c r="E94" s="111">
        <f>ROUND(AD94/1000,0)</f>
        <v>1226</v>
      </c>
      <c r="F94" s="112">
        <f>SUMIF($AB$95:$AB$96,"보조",$AD$95:$AD$96)/1000</f>
        <v>0</v>
      </c>
      <c r="G94" s="112">
        <f>SUMIF($AB$95:$AB$96,"7종",$AD$95:$AD$96)/1000</f>
        <v>0</v>
      </c>
      <c r="H94" s="112">
        <f>SUMIF($AB$95:$AB$96,"4종",$AD$95:$AD$96)/1000</f>
        <v>0</v>
      </c>
      <c r="I94" s="112">
        <f>SUMIF($AB$95:$AB$96,"후원",$AD$95:$AD$96)/1000</f>
        <v>0</v>
      </c>
      <c r="J94" s="112">
        <f>SUMIF($AB$95:$AB$96,"입소",$AD$95:$AD$96)/1000</f>
        <v>0</v>
      </c>
      <c r="K94" s="112">
        <f>SUMIF($AB$95:$AB$96,"전입",$AD$95:$AD$96)/1000</f>
        <v>0</v>
      </c>
      <c r="L94" s="112">
        <f>SUMIF($AB$95:$AB$96,"잡수",$AD$95:$AD$96)/1000</f>
        <v>1226</v>
      </c>
      <c r="M94" s="111">
        <f>E94-D94</f>
        <v>0</v>
      </c>
      <c r="N94" s="119">
        <f>IF(D94=0,0,M94/D94)</f>
        <v>0</v>
      </c>
      <c r="O94" s="95" t="s">
        <v>50</v>
      </c>
      <c r="P94" s="91"/>
      <c r="Q94" s="91"/>
      <c r="R94" s="91"/>
      <c r="S94" s="91"/>
      <c r="T94" s="87"/>
      <c r="U94" s="87"/>
      <c r="V94" s="87"/>
      <c r="W94" s="87"/>
      <c r="X94" s="87"/>
      <c r="Y94" s="164" t="s">
        <v>99</v>
      </c>
      <c r="Z94" s="164"/>
      <c r="AA94" s="164"/>
      <c r="AB94" s="164"/>
      <c r="AC94" s="166"/>
      <c r="AD94" s="166">
        <f>SUM(AD95:AD95)</f>
        <v>1226000</v>
      </c>
      <c r="AE94" s="165" t="s">
        <v>25</v>
      </c>
      <c r="AF94" s="1"/>
    </row>
    <row r="95" spans="1:32" s="1" customFormat="1" ht="21" customHeight="1">
      <c r="A95" s="43"/>
      <c r="B95" s="44"/>
      <c r="C95" s="44" t="s">
        <v>110</v>
      </c>
      <c r="D95" s="151"/>
      <c r="E95" s="107"/>
      <c r="F95" s="107"/>
      <c r="G95" s="107"/>
      <c r="H95" s="107"/>
      <c r="I95" s="107"/>
      <c r="J95" s="107"/>
      <c r="K95" s="107"/>
      <c r="L95" s="107"/>
      <c r="M95" s="107"/>
      <c r="N95" s="68"/>
      <c r="O95" s="417" t="s">
        <v>397</v>
      </c>
      <c r="P95" s="338"/>
      <c r="Q95" s="338"/>
      <c r="R95" s="338"/>
      <c r="S95" s="337"/>
      <c r="T95" s="272"/>
      <c r="U95" s="272"/>
      <c r="V95" s="337"/>
      <c r="W95" s="338"/>
      <c r="X95" s="337"/>
      <c r="Y95" s="337"/>
      <c r="Z95" s="337"/>
      <c r="AA95" s="337"/>
      <c r="AB95" s="416" t="s">
        <v>411</v>
      </c>
      <c r="AC95" s="337"/>
      <c r="AD95" s="416">
        <v>1226000</v>
      </c>
      <c r="AE95" s="133" t="s">
        <v>25</v>
      </c>
      <c r="AF95" s="2"/>
    </row>
    <row r="96" spans="1:32" s="1" customFormat="1" ht="21" customHeight="1">
      <c r="A96" s="43"/>
      <c r="B96" s="44"/>
      <c r="C96" s="44"/>
      <c r="D96" s="151"/>
      <c r="E96" s="107"/>
      <c r="F96" s="107"/>
      <c r="G96" s="107"/>
      <c r="H96" s="107"/>
      <c r="I96" s="107"/>
      <c r="J96" s="107"/>
      <c r="K96" s="107"/>
      <c r="L96" s="107"/>
      <c r="M96" s="107"/>
      <c r="N96" s="68"/>
      <c r="O96" s="148"/>
      <c r="P96" s="48"/>
      <c r="Q96" s="48"/>
      <c r="R96" s="48"/>
      <c r="S96" s="49"/>
      <c r="T96" s="53"/>
      <c r="U96" s="53"/>
      <c r="V96" s="49"/>
      <c r="W96" s="48"/>
      <c r="X96" s="49"/>
      <c r="Y96" s="49"/>
      <c r="Z96" s="49"/>
      <c r="AA96" s="49"/>
      <c r="AB96" s="123"/>
      <c r="AC96" s="49"/>
      <c r="AD96" s="49"/>
      <c r="AE96" s="55"/>
      <c r="AF96" s="2"/>
    </row>
    <row r="97" spans="1:32" s="11" customFormat="1" ht="21" hidden="1" customHeight="1">
      <c r="A97" s="179" t="s">
        <v>19</v>
      </c>
      <c r="B97" s="504" t="s">
        <v>20</v>
      </c>
      <c r="C97" s="505"/>
      <c r="D97" s="180">
        <f>SUM(D98)</f>
        <v>0</v>
      </c>
      <c r="E97" s="180">
        <f t="shared" ref="E97:N97" si="7">SUM(E98)</f>
        <v>0</v>
      </c>
      <c r="F97" s="180">
        <f t="shared" si="7"/>
        <v>0</v>
      </c>
      <c r="G97" s="180">
        <f t="shared" si="7"/>
        <v>0</v>
      </c>
      <c r="H97" s="180">
        <f t="shared" si="7"/>
        <v>0</v>
      </c>
      <c r="I97" s="180">
        <f t="shared" si="7"/>
        <v>0</v>
      </c>
      <c r="J97" s="180">
        <f t="shared" si="7"/>
        <v>0</v>
      </c>
      <c r="K97" s="180">
        <f t="shared" si="7"/>
        <v>0</v>
      </c>
      <c r="L97" s="180">
        <f t="shared" si="7"/>
        <v>0</v>
      </c>
      <c r="M97" s="180">
        <f t="shared" si="7"/>
        <v>0</v>
      </c>
      <c r="N97" s="180">
        <f t="shared" si="7"/>
        <v>0</v>
      </c>
      <c r="O97" s="173" t="s">
        <v>105</v>
      </c>
      <c r="P97" s="91"/>
      <c r="Q97" s="91"/>
      <c r="R97" s="91"/>
      <c r="S97" s="91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>
        <f>SUM(AD98)</f>
        <v>0</v>
      </c>
      <c r="AE97" s="93" t="s">
        <v>25</v>
      </c>
      <c r="AF97" s="13"/>
    </row>
    <row r="98" spans="1:32" s="11" customFormat="1" ht="21" hidden="1" customHeight="1">
      <c r="A98" s="44"/>
      <c r="B98" s="34" t="s">
        <v>301</v>
      </c>
      <c r="C98" s="34" t="s">
        <v>106</v>
      </c>
      <c r="D98" s="111">
        <f>SUM(D99,D103)</f>
        <v>0</v>
      </c>
      <c r="E98" s="111">
        <f t="shared" ref="E98:N98" si="8">SUM(E99,E103)</f>
        <v>0</v>
      </c>
      <c r="F98" s="111">
        <f t="shared" si="8"/>
        <v>0</v>
      </c>
      <c r="G98" s="111">
        <f t="shared" si="8"/>
        <v>0</v>
      </c>
      <c r="H98" s="111">
        <f t="shared" si="8"/>
        <v>0</v>
      </c>
      <c r="I98" s="111">
        <f t="shared" si="8"/>
        <v>0</v>
      </c>
      <c r="J98" s="111">
        <f t="shared" si="8"/>
        <v>0</v>
      </c>
      <c r="K98" s="111">
        <f t="shared" si="8"/>
        <v>0</v>
      </c>
      <c r="L98" s="111">
        <f t="shared" si="8"/>
        <v>0</v>
      </c>
      <c r="M98" s="111">
        <f t="shared" si="8"/>
        <v>0</v>
      </c>
      <c r="N98" s="111">
        <f t="shared" si="8"/>
        <v>0</v>
      </c>
      <c r="O98" s="91"/>
      <c r="P98" s="91"/>
      <c r="Q98" s="91"/>
      <c r="R98" s="91"/>
      <c r="S98" s="91"/>
      <c r="T98" s="87"/>
      <c r="U98" s="87"/>
      <c r="V98" s="87"/>
      <c r="W98" s="87"/>
      <c r="X98" s="87"/>
      <c r="Y98" s="87" t="s">
        <v>28</v>
      </c>
      <c r="Z98" s="87"/>
      <c r="AA98" s="87"/>
      <c r="AB98" s="87"/>
      <c r="AC98" s="92"/>
      <c r="AD98" s="92">
        <f>SUM(AD99,AD103)</f>
        <v>0</v>
      </c>
      <c r="AE98" s="93" t="s">
        <v>25</v>
      </c>
      <c r="AF98" s="1"/>
    </row>
    <row r="99" spans="1:32" s="11" customFormat="1" ht="21" hidden="1" customHeight="1">
      <c r="A99" s="44"/>
      <c r="B99" s="44" t="s">
        <v>302</v>
      </c>
      <c r="C99" s="34" t="s">
        <v>303</v>
      </c>
      <c r="D99" s="153">
        <v>0</v>
      </c>
      <c r="E99" s="111">
        <f>AD99/1000</f>
        <v>0</v>
      </c>
      <c r="F99" s="112">
        <f>SUMIF($AB$100:$AB$102,"보조",$AD$100:$AD$102)/1000</f>
        <v>0</v>
      </c>
      <c r="G99" s="112">
        <f>SUMIF($AB$100:$AB$102,"7종",$AD$100:$AD$102)/1000</f>
        <v>0</v>
      </c>
      <c r="H99" s="112">
        <f>SUMIF($AB$100:$AB$102,"4종",$AD$100:$AD$102)/1000</f>
        <v>0</v>
      </c>
      <c r="I99" s="112">
        <f>SUMIF($AB$100:$AB$102,"후원",$AD$100:$AD$102)/1000</f>
        <v>0</v>
      </c>
      <c r="J99" s="112">
        <f>SUMIF($AB$100:$AB$102,"입소",$AD$100:$AD$102)/1000</f>
        <v>0</v>
      </c>
      <c r="K99" s="112">
        <f>SUMIF($AB$100:$AB$102,"전입",$AD$100:$AD$102)/1000</f>
        <v>0</v>
      </c>
      <c r="L99" s="112">
        <f>SUMIF($AB$100:$AB$102,"잡수",$AD$100:$AD$102)/1000</f>
        <v>0</v>
      </c>
      <c r="M99" s="111">
        <f>E99-D99</f>
        <v>0</v>
      </c>
      <c r="N99" s="119">
        <f>IF(D99=0,0,M99/D99)</f>
        <v>0</v>
      </c>
      <c r="O99" s="95" t="s">
        <v>349</v>
      </c>
      <c r="P99" s="173"/>
      <c r="Q99" s="173"/>
      <c r="R99" s="173"/>
      <c r="S99" s="173"/>
      <c r="T99" s="172"/>
      <c r="U99" s="172"/>
      <c r="V99" s="172"/>
      <c r="W99" s="172"/>
      <c r="X99" s="172"/>
      <c r="Y99" s="164" t="s">
        <v>99</v>
      </c>
      <c r="Z99" s="164"/>
      <c r="AA99" s="164"/>
      <c r="AB99" s="164"/>
      <c r="AC99" s="166"/>
      <c r="AD99" s="166">
        <f>SUM(AD100:AD101)</f>
        <v>0</v>
      </c>
      <c r="AE99" s="165" t="s">
        <v>25</v>
      </c>
      <c r="AF99" s="1"/>
    </row>
    <row r="100" spans="1:32" s="11" customFormat="1" ht="21" hidden="1" customHeight="1">
      <c r="A100" s="44"/>
      <c r="B100" s="44"/>
      <c r="C100" s="44"/>
      <c r="D100" s="108"/>
      <c r="E100" s="107"/>
      <c r="F100" s="107"/>
      <c r="G100" s="107"/>
      <c r="H100" s="107"/>
      <c r="I100" s="107"/>
      <c r="J100" s="107"/>
      <c r="K100" s="107"/>
      <c r="L100" s="107"/>
      <c r="M100" s="107"/>
      <c r="N100" s="68"/>
      <c r="O100" s="417" t="s">
        <v>348</v>
      </c>
      <c r="P100" s="338"/>
      <c r="Q100" s="337"/>
      <c r="R100" s="337"/>
      <c r="S100" s="337">
        <v>0</v>
      </c>
      <c r="T100" s="337" t="s">
        <v>173</v>
      </c>
      <c r="U100" s="272" t="s">
        <v>174</v>
      </c>
      <c r="V100" s="337">
        <v>12</v>
      </c>
      <c r="W100" s="337" t="s">
        <v>176</v>
      </c>
      <c r="X100" s="272" t="s">
        <v>174</v>
      </c>
      <c r="Y100" s="337">
        <v>23</v>
      </c>
      <c r="Z100" s="337" t="s">
        <v>175</v>
      </c>
      <c r="AA100" s="267" t="s">
        <v>177</v>
      </c>
      <c r="AB100" s="416" t="s">
        <v>352</v>
      </c>
      <c r="AC100" s="132"/>
      <c r="AD100" s="132">
        <f>ROUNDUP(S100*V100*Y100,-3)</f>
        <v>0</v>
      </c>
      <c r="AE100" s="133" t="s">
        <v>25</v>
      </c>
      <c r="AF100" s="2"/>
    </row>
    <row r="101" spans="1:32" s="11" customFormat="1" ht="21" hidden="1" customHeight="1">
      <c r="A101" s="44"/>
      <c r="B101" s="44"/>
      <c r="C101" s="44"/>
      <c r="D101" s="108"/>
      <c r="E101" s="107"/>
      <c r="F101" s="107"/>
      <c r="G101" s="107"/>
      <c r="H101" s="107"/>
      <c r="I101" s="107"/>
      <c r="J101" s="107"/>
      <c r="K101" s="107"/>
      <c r="L101" s="107"/>
      <c r="M101" s="107"/>
      <c r="N101" s="68"/>
      <c r="O101" s="417" t="s">
        <v>350</v>
      </c>
      <c r="P101" s="338"/>
      <c r="Q101" s="338"/>
      <c r="R101" s="338"/>
      <c r="S101" s="337"/>
      <c r="T101" s="337"/>
      <c r="U101" s="272"/>
      <c r="V101" s="337"/>
      <c r="W101" s="337"/>
      <c r="X101" s="272"/>
      <c r="Y101" s="337"/>
      <c r="Z101" s="337"/>
      <c r="AA101" s="267"/>
      <c r="AB101" s="416" t="s">
        <v>352</v>
      </c>
      <c r="AC101" s="132"/>
      <c r="AD101" s="132">
        <v>0</v>
      </c>
      <c r="AE101" s="133" t="s">
        <v>25</v>
      </c>
      <c r="AF101" s="2"/>
    </row>
    <row r="102" spans="1:32" s="11" customFormat="1" ht="21" hidden="1" customHeight="1">
      <c r="A102" s="44"/>
      <c r="B102" s="44"/>
      <c r="C102" s="57"/>
      <c r="D102" s="152"/>
      <c r="E102" s="109"/>
      <c r="F102" s="109"/>
      <c r="G102" s="109"/>
      <c r="H102" s="109"/>
      <c r="I102" s="109"/>
      <c r="J102" s="109"/>
      <c r="K102" s="109"/>
      <c r="L102" s="109"/>
      <c r="M102" s="109"/>
      <c r="N102" s="82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30"/>
      <c r="AE102" s="122"/>
      <c r="AF102" s="2"/>
    </row>
    <row r="103" spans="1:32" s="11" customFormat="1" ht="21" hidden="1" customHeight="1">
      <c r="A103" s="44"/>
      <c r="B103" s="44"/>
      <c r="C103" s="34" t="s">
        <v>347</v>
      </c>
      <c r="D103" s="151">
        <v>0</v>
      </c>
      <c r="E103" s="107">
        <f>ROUND(AD103/1000,0)</f>
        <v>0</v>
      </c>
      <c r="F103" s="112">
        <f>SUMIF($AB$104:$AB$106,"보조",$AD$104:$AD$106)/1000</f>
        <v>0</v>
      </c>
      <c r="G103" s="112">
        <f>SUMIF($AB$104:$AB$106,"7종",$AD$104:$AD$106)/1000</f>
        <v>0</v>
      </c>
      <c r="H103" s="112">
        <f>SUMIF($AB$104:$AB$106,"4종",$AD$104:$AD$106)/1000</f>
        <v>0</v>
      </c>
      <c r="I103" s="112">
        <f>SUMIF($AB$104:$AB$106,"후원",$AD$104:$AD$106)/1000</f>
        <v>0</v>
      </c>
      <c r="J103" s="112">
        <f>SUMIF($AB$104:$AB$106,"입소",$AD$104:$AD$106)/1000</f>
        <v>0</v>
      </c>
      <c r="K103" s="112">
        <f>SUMIF($AB$104:$AB$106,"전입",$AD$104:$AD$106)/1000</f>
        <v>0</v>
      </c>
      <c r="L103" s="112">
        <f>SUMIF($AB$104:$AB$106,"잡수",$AD$104:$AD$106)/1000</f>
        <v>0</v>
      </c>
      <c r="M103" s="107">
        <f>E103-D103</f>
        <v>0</v>
      </c>
      <c r="N103" s="68">
        <f>IF(D103=0,0,M103/D103)</f>
        <v>0</v>
      </c>
      <c r="O103" s="95" t="s">
        <v>349</v>
      </c>
      <c r="P103" s="91"/>
      <c r="Q103" s="91"/>
      <c r="R103" s="91"/>
      <c r="S103" s="91"/>
      <c r="T103" s="87"/>
      <c r="U103" s="87"/>
      <c r="V103" s="87"/>
      <c r="W103" s="87"/>
      <c r="X103" s="87"/>
      <c r="Y103" s="164" t="s">
        <v>99</v>
      </c>
      <c r="Z103" s="164"/>
      <c r="AA103" s="164"/>
      <c r="AB103" s="164"/>
      <c r="AC103" s="166"/>
      <c r="AD103" s="166">
        <f>SUM(AD104:AD106)</f>
        <v>0</v>
      </c>
      <c r="AE103" s="165" t="s">
        <v>25</v>
      </c>
      <c r="AF103" s="1"/>
    </row>
    <row r="104" spans="1:32" s="11" customFormat="1" ht="21" hidden="1" customHeight="1">
      <c r="A104" s="44"/>
      <c r="B104" s="44"/>
      <c r="C104" s="44"/>
      <c r="D104" s="151"/>
      <c r="E104" s="107"/>
      <c r="F104" s="107"/>
      <c r="G104" s="107"/>
      <c r="H104" s="107"/>
      <c r="I104" s="107"/>
      <c r="J104" s="107"/>
      <c r="K104" s="107"/>
      <c r="L104" s="107"/>
      <c r="M104" s="107"/>
      <c r="N104" s="68"/>
      <c r="O104" s="417" t="s">
        <v>348</v>
      </c>
      <c r="P104" s="338"/>
      <c r="Q104" s="338"/>
      <c r="R104" s="338"/>
      <c r="S104" s="337"/>
      <c r="T104" s="272"/>
      <c r="U104" s="272"/>
      <c r="V104" s="337"/>
      <c r="W104" s="337"/>
      <c r="X104" s="337"/>
      <c r="Y104" s="337"/>
      <c r="Z104" s="337"/>
      <c r="AA104" s="337"/>
      <c r="AB104" s="416" t="s">
        <v>352</v>
      </c>
      <c r="AC104" s="337"/>
      <c r="AD104" s="337">
        <v>0</v>
      </c>
      <c r="AE104" s="133" t="s">
        <v>169</v>
      </c>
      <c r="AF104" s="2"/>
    </row>
    <row r="105" spans="1:32" s="11" customFormat="1" ht="21" hidden="1" customHeight="1">
      <c r="A105" s="44"/>
      <c r="B105" s="44"/>
      <c r="C105" s="44"/>
      <c r="D105" s="151"/>
      <c r="E105" s="107"/>
      <c r="F105" s="107"/>
      <c r="G105" s="107"/>
      <c r="H105" s="107"/>
      <c r="I105" s="107"/>
      <c r="J105" s="107"/>
      <c r="K105" s="107"/>
      <c r="L105" s="107"/>
      <c r="M105" s="107"/>
      <c r="N105" s="68"/>
      <c r="O105" s="417" t="s">
        <v>350</v>
      </c>
      <c r="P105" s="338"/>
      <c r="Q105" s="338"/>
      <c r="R105" s="338"/>
      <c r="S105" s="337"/>
      <c r="T105" s="272"/>
      <c r="U105" s="272"/>
      <c r="V105" s="337"/>
      <c r="W105" s="337"/>
      <c r="X105" s="337"/>
      <c r="Y105" s="337"/>
      <c r="Z105" s="337"/>
      <c r="AA105" s="337"/>
      <c r="AB105" s="416" t="s">
        <v>352</v>
      </c>
      <c r="AC105" s="337"/>
      <c r="AD105" s="337">
        <v>0</v>
      </c>
      <c r="AE105" s="133" t="s">
        <v>169</v>
      </c>
      <c r="AF105" s="2"/>
    </row>
    <row r="106" spans="1:32" s="11" customFormat="1" ht="21" hidden="1" customHeight="1">
      <c r="A106" s="44"/>
      <c r="B106" s="44"/>
      <c r="C106" s="44"/>
      <c r="D106" s="151"/>
      <c r="E106" s="107"/>
      <c r="F106" s="107"/>
      <c r="G106" s="107"/>
      <c r="H106" s="107"/>
      <c r="I106" s="107"/>
      <c r="J106" s="107"/>
      <c r="K106" s="107"/>
      <c r="L106" s="107"/>
      <c r="M106" s="107"/>
      <c r="N106" s="68"/>
      <c r="O106" s="384"/>
      <c r="P106" s="384"/>
      <c r="Q106" s="384"/>
      <c r="R106" s="384"/>
      <c r="S106" s="339"/>
      <c r="T106" s="386"/>
      <c r="U106" s="262"/>
      <c r="V106" s="406"/>
      <c r="W106" s="339"/>
      <c r="X106" s="339"/>
      <c r="Y106" s="339"/>
      <c r="Z106" s="339"/>
      <c r="AA106" s="339"/>
      <c r="AB106" s="339"/>
      <c r="AC106" s="339"/>
      <c r="AD106" s="339"/>
      <c r="AE106" s="385"/>
      <c r="AF106" s="1"/>
    </row>
    <row r="107" spans="1:32" s="11" customFormat="1" ht="21" customHeight="1">
      <c r="A107" s="110" t="s">
        <v>304</v>
      </c>
      <c r="B107" s="500" t="s">
        <v>20</v>
      </c>
      <c r="C107" s="501"/>
      <c r="D107" s="446">
        <f>D108+D119</f>
        <v>205610</v>
      </c>
      <c r="E107" s="446">
        <f>SUM(E108,E119)</f>
        <v>193181</v>
      </c>
      <c r="F107" s="446">
        <f t="shared" ref="F107:L107" si="9">SUM(F108,F119)</f>
        <v>0</v>
      </c>
      <c r="G107" s="446">
        <f t="shared" si="9"/>
        <v>0</v>
      </c>
      <c r="H107" s="446">
        <f t="shared" si="9"/>
        <v>0</v>
      </c>
      <c r="I107" s="446">
        <f t="shared" si="9"/>
        <v>14556</v>
      </c>
      <c r="J107" s="446">
        <f t="shared" si="9"/>
        <v>0</v>
      </c>
      <c r="K107" s="446">
        <f t="shared" si="9"/>
        <v>131366</v>
      </c>
      <c r="L107" s="446">
        <f t="shared" si="9"/>
        <v>47259</v>
      </c>
      <c r="M107" s="447">
        <f>E107-D107</f>
        <v>-12429</v>
      </c>
      <c r="N107" s="293">
        <f>IF(D107=0,0,M107/D107)</f>
        <v>-6.0449394484704051E-2</v>
      </c>
      <c r="O107" s="448" t="s">
        <v>351</v>
      </c>
      <c r="P107" s="448"/>
      <c r="Q107" s="448"/>
      <c r="R107" s="448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>
        <f>SUM(AD108,AD119)</f>
        <v>193181000</v>
      </c>
      <c r="AE107" s="449" t="s">
        <v>25</v>
      </c>
      <c r="AF107" s="1"/>
    </row>
    <row r="108" spans="1:32" s="11" customFormat="1" ht="21" customHeight="1">
      <c r="A108" s="177"/>
      <c r="B108" s="44" t="s">
        <v>304</v>
      </c>
      <c r="C108" s="57" t="s">
        <v>331</v>
      </c>
      <c r="D108" s="152">
        <f>SUM(D109,D111,D113,D115,D117)</f>
        <v>34150</v>
      </c>
      <c r="E108" s="109">
        <f>AD108/1000</f>
        <v>14556</v>
      </c>
      <c r="F108" s="435">
        <f>SUM(F109,F111,F113,F115,F117)</f>
        <v>0</v>
      </c>
      <c r="G108" s="435">
        <f t="shared" ref="G108:L108" si="10">SUM(G109,G111,G113,G115,G117)</f>
        <v>0</v>
      </c>
      <c r="H108" s="435">
        <f t="shared" si="10"/>
        <v>0</v>
      </c>
      <c r="I108" s="435">
        <f t="shared" si="10"/>
        <v>14556</v>
      </c>
      <c r="J108" s="435">
        <f t="shared" si="10"/>
        <v>0</v>
      </c>
      <c r="K108" s="435">
        <f t="shared" si="10"/>
        <v>0</v>
      </c>
      <c r="L108" s="435">
        <f t="shared" si="10"/>
        <v>0</v>
      </c>
      <c r="M108" s="109">
        <f>E108-D108</f>
        <v>-19594</v>
      </c>
      <c r="N108" s="82">
        <f>IF(D108=0,0,M108/D108)</f>
        <v>-0.57376281112737926</v>
      </c>
      <c r="O108" s="445" t="s">
        <v>335</v>
      </c>
      <c r="P108" s="114"/>
      <c r="Q108" s="114"/>
      <c r="R108" s="114"/>
      <c r="S108" s="114"/>
      <c r="T108" s="97"/>
      <c r="U108" s="97"/>
      <c r="V108" s="97"/>
      <c r="W108" s="97"/>
      <c r="X108" s="97"/>
      <c r="Y108" s="97"/>
      <c r="Z108" s="97"/>
      <c r="AA108" s="97"/>
      <c r="AB108" s="97"/>
      <c r="AC108" s="116"/>
      <c r="AD108" s="116">
        <f>SUM(AD109,AD111,AD113,AD115,AD117)</f>
        <v>14556000</v>
      </c>
      <c r="AE108" s="117" t="s">
        <v>25</v>
      </c>
      <c r="AF108" s="1"/>
    </row>
    <row r="109" spans="1:32" s="11" customFormat="1" ht="21" customHeight="1">
      <c r="A109" s="177"/>
      <c r="B109" s="44" t="s">
        <v>333</v>
      </c>
      <c r="C109" s="44" t="s">
        <v>306</v>
      </c>
      <c r="D109" s="111">
        <v>11547</v>
      </c>
      <c r="E109" s="111">
        <f>ROUND(AD109/1000,0)</f>
        <v>1556</v>
      </c>
      <c r="F109" s="112">
        <f>SUMIF(AB110:AB110,"보조",AD110:AD110)/1000</f>
        <v>0</v>
      </c>
      <c r="G109" s="112">
        <f>SUMIF($AB$95:$AB$96,"7종",$AD$95:$AD$96)/1000</f>
        <v>0</v>
      </c>
      <c r="H109" s="112">
        <f>SUMIF($AB$95:$AB$96,"4종",$AD$95:$AD$96)/1000</f>
        <v>0</v>
      </c>
      <c r="I109" s="112">
        <f>SUMIF(AB110:AB110,"후원",AD110:AD110)/1000</f>
        <v>1556</v>
      </c>
      <c r="J109" s="112">
        <f>SUMIF(AB110:AB110,"입소",AD110:AD110)/1000</f>
        <v>0</v>
      </c>
      <c r="K109" s="112">
        <f>SUMIF(AB110:AB110,"전입",AD110:AD110)/1000</f>
        <v>0</v>
      </c>
      <c r="L109" s="112">
        <f>SUMIF(AB110:AB110,"잡수",AD110:AD110)/1000</f>
        <v>0</v>
      </c>
      <c r="M109" s="111">
        <f>E109-D109</f>
        <v>-9991</v>
      </c>
      <c r="N109" s="119">
        <f>IF(D109=0,0,M109/D109)</f>
        <v>-0.86524638434225343</v>
      </c>
      <c r="O109" s="432" t="s">
        <v>336</v>
      </c>
      <c r="P109" s="169"/>
      <c r="Q109" s="169"/>
      <c r="R109" s="169"/>
      <c r="S109" s="169"/>
      <c r="T109" s="149"/>
      <c r="U109" s="149"/>
      <c r="V109" s="149"/>
      <c r="W109" s="149"/>
      <c r="X109" s="149"/>
      <c r="Y109" s="414" t="s">
        <v>307</v>
      </c>
      <c r="Z109" s="97"/>
      <c r="AA109" s="97"/>
      <c r="AB109" s="97"/>
      <c r="AC109" s="116"/>
      <c r="AD109" s="116">
        <f>AD110</f>
        <v>1556000</v>
      </c>
      <c r="AE109" s="117" t="s">
        <v>341</v>
      </c>
      <c r="AF109" s="1"/>
    </row>
    <row r="110" spans="1:32" ht="21" customHeight="1">
      <c r="A110" s="43"/>
      <c r="B110" s="44"/>
      <c r="C110" s="57" t="s">
        <v>334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82"/>
      <c r="O110" s="413"/>
      <c r="P110" s="413"/>
      <c r="Q110" s="413"/>
      <c r="R110" s="413"/>
      <c r="S110" s="412"/>
      <c r="T110" s="412"/>
      <c r="U110" s="412"/>
      <c r="V110" s="412"/>
      <c r="W110" s="412"/>
      <c r="X110" s="412"/>
      <c r="Y110" s="412"/>
      <c r="Z110" s="412"/>
      <c r="AA110" s="412"/>
      <c r="AB110" s="418" t="s">
        <v>352</v>
      </c>
      <c r="AC110" s="412"/>
      <c r="AD110" s="70">
        <v>1556000</v>
      </c>
      <c r="AE110" s="365" t="s">
        <v>25</v>
      </c>
    </row>
    <row r="111" spans="1:32" ht="21" customHeight="1">
      <c r="A111" s="43"/>
      <c r="B111" s="44"/>
      <c r="C111" s="34" t="s">
        <v>308</v>
      </c>
      <c r="D111" s="111">
        <v>10000</v>
      </c>
      <c r="E111" s="111">
        <f>ROUND(AD111/1000,0)</f>
        <v>10000</v>
      </c>
      <c r="F111" s="111">
        <f>SUMIF(AB112:AB112,"보조",AD112:AD112)/1000</f>
        <v>0</v>
      </c>
      <c r="G111" s="111">
        <f>SUMIF($AB$95:$AB$96,"7종",$AD$95:$AD$96)/1000</f>
        <v>0</v>
      </c>
      <c r="H111" s="111">
        <f>SUMIF($AB$95:$AB$96,"4종",$AD$95:$AD$96)/1000</f>
        <v>0</v>
      </c>
      <c r="I111" s="111">
        <f>SUMIF(AB112:AB112,"후원",AD112:AD112)/1000</f>
        <v>10000</v>
      </c>
      <c r="J111" s="111">
        <f>SUMIF(AB112:AB112,"입소",AD112:AD112)/1000</f>
        <v>0</v>
      </c>
      <c r="K111" s="111">
        <f>SUMIF(AB112:AB112,"전입",AD112:AD112)/1000</f>
        <v>0</v>
      </c>
      <c r="L111" s="111">
        <f>SUMIF(AB112:AB112,"잡수",AD112:AD112)/1000</f>
        <v>0</v>
      </c>
      <c r="M111" s="111">
        <f>E111-D111</f>
        <v>0</v>
      </c>
      <c r="N111" s="119">
        <f>IF(D111=0,0,M111/D111)</f>
        <v>0</v>
      </c>
      <c r="O111" s="432" t="s">
        <v>337</v>
      </c>
      <c r="P111" s="173"/>
      <c r="Q111" s="173"/>
      <c r="R111" s="173"/>
      <c r="S111" s="173"/>
      <c r="T111" s="172"/>
      <c r="U111" s="172"/>
      <c r="V111" s="172"/>
      <c r="W111" s="172"/>
      <c r="X111" s="172"/>
      <c r="Y111" s="414" t="s">
        <v>307</v>
      </c>
      <c r="Z111" s="414"/>
      <c r="AA111" s="414"/>
      <c r="AB111" s="414"/>
      <c r="AC111" s="166"/>
      <c r="AD111" s="166">
        <f>AD112</f>
        <v>10000000</v>
      </c>
      <c r="AE111" s="165" t="s">
        <v>25</v>
      </c>
    </row>
    <row r="112" spans="1:32" ht="21" customHeight="1">
      <c r="A112" s="43"/>
      <c r="B112" s="44"/>
      <c r="C112" s="57" t="s">
        <v>334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82"/>
      <c r="O112" s="413"/>
      <c r="P112" s="413"/>
      <c r="Q112" s="413"/>
      <c r="R112" s="413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8" t="s">
        <v>352</v>
      </c>
      <c r="AC112" s="412"/>
      <c r="AD112" s="70">
        <v>10000000</v>
      </c>
      <c r="AE112" s="365" t="s">
        <v>173</v>
      </c>
    </row>
    <row r="113" spans="1:32" ht="21" customHeight="1">
      <c r="A113" s="43"/>
      <c r="B113" s="44"/>
      <c r="C113" s="34" t="s">
        <v>309</v>
      </c>
      <c r="D113" s="111">
        <v>0</v>
      </c>
      <c r="E113" s="111">
        <f>ROUND(AD113/1000,0)</f>
        <v>0</v>
      </c>
      <c r="F113" s="111">
        <f>SUMIF(AB114:AB114,"보조",AD114:AD114)/1000</f>
        <v>0</v>
      </c>
      <c r="G113" s="111">
        <f>SUMIF($AB$95:$AB$96,"7종",$AD$95:$AD$96)/1000</f>
        <v>0</v>
      </c>
      <c r="H113" s="111">
        <f>SUMIF($AB$95:$AB$96,"4종",$AD$95:$AD$96)/1000</f>
        <v>0</v>
      </c>
      <c r="I113" s="111">
        <f>SUMIF(AB114:AB114,"후원",AD114:AD114)/1000</f>
        <v>0</v>
      </c>
      <c r="J113" s="111">
        <f>SUMIF(AB114:AB114,"입소",AD114:AD114)/1000</f>
        <v>0</v>
      </c>
      <c r="K113" s="111">
        <f>SUMIF(AB114:AB114,"전입",AD114:AD114)/1000</f>
        <v>0</v>
      </c>
      <c r="L113" s="111">
        <f>SUMIF(AB114:AB114,"잡수",AD114:AD114)/1000</f>
        <v>0</v>
      </c>
      <c r="M113" s="111">
        <f>E113-D113</f>
        <v>0</v>
      </c>
      <c r="N113" s="119">
        <f>IF(D113=0,0,M113/D113)</f>
        <v>0</v>
      </c>
      <c r="O113" s="432" t="s">
        <v>338</v>
      </c>
      <c r="P113" s="173"/>
      <c r="Q113" s="173"/>
      <c r="R113" s="173"/>
      <c r="S113" s="173"/>
      <c r="T113" s="172"/>
      <c r="U113" s="172"/>
      <c r="V113" s="172"/>
      <c r="W113" s="172"/>
      <c r="X113" s="172"/>
      <c r="Y113" s="414" t="s">
        <v>307</v>
      </c>
      <c r="Z113" s="414"/>
      <c r="AA113" s="414"/>
      <c r="AB113" s="414"/>
      <c r="AC113" s="166"/>
      <c r="AD113" s="166">
        <f>AD114</f>
        <v>0</v>
      </c>
      <c r="AE113" s="165" t="s">
        <v>25</v>
      </c>
    </row>
    <row r="114" spans="1:32" ht="21" customHeight="1">
      <c r="A114" s="43"/>
      <c r="B114" s="44"/>
      <c r="C114" s="57" t="s">
        <v>334</v>
      </c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82"/>
      <c r="O114" s="413"/>
      <c r="P114" s="413"/>
      <c r="Q114" s="413"/>
      <c r="R114" s="413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8" t="s">
        <v>342</v>
      </c>
      <c r="AC114" s="412"/>
      <c r="AD114" s="70">
        <v>0</v>
      </c>
      <c r="AE114" s="365" t="s">
        <v>25</v>
      </c>
    </row>
    <row r="115" spans="1:32" ht="21" customHeight="1">
      <c r="A115" s="43"/>
      <c r="B115" s="44"/>
      <c r="C115" s="34" t="s">
        <v>330</v>
      </c>
      <c r="D115" s="111">
        <v>3003</v>
      </c>
      <c r="E115" s="111">
        <f>ROUND(AD115/1000,0)</f>
        <v>0</v>
      </c>
      <c r="F115" s="111">
        <f>SUMIF(AB116:AB116,"보조",AD116:AD116)/1000</f>
        <v>0</v>
      </c>
      <c r="G115" s="111">
        <f>SUMIF($AB$95:$AB$96,"7종",$AD$95:$AD$96)/1000</f>
        <v>0</v>
      </c>
      <c r="H115" s="111">
        <f>SUMIF($AB$95:$AB$96,"4종",$AD$95:$AD$96)/1000</f>
        <v>0</v>
      </c>
      <c r="I115" s="111">
        <f>SUMIF(AB116:AB116,"후원",AD116:AD116)/1000</f>
        <v>0</v>
      </c>
      <c r="J115" s="111">
        <f>SUMIF(AB116:AB116,"입소",AD116:AD116)/1000</f>
        <v>0</v>
      </c>
      <c r="K115" s="111">
        <f>SUMIF(AB116:AB116,"전입",AD116:AD116)/1000</f>
        <v>0</v>
      </c>
      <c r="L115" s="111">
        <f>SUMIF(AB116:AB116,"잡수",AD116:AD116)/1000</f>
        <v>0</v>
      </c>
      <c r="M115" s="111">
        <f>E115-D115</f>
        <v>-3003</v>
      </c>
      <c r="N115" s="119">
        <f>IF(D115=0,0,M115/D115)</f>
        <v>-1</v>
      </c>
      <c r="O115" s="432" t="s">
        <v>339</v>
      </c>
      <c r="P115" s="173"/>
      <c r="Q115" s="173"/>
      <c r="R115" s="173"/>
      <c r="S115" s="173"/>
      <c r="T115" s="172"/>
      <c r="U115" s="172"/>
      <c r="V115" s="172"/>
      <c r="W115" s="172"/>
      <c r="X115" s="172"/>
      <c r="Y115" s="456" t="s">
        <v>99</v>
      </c>
      <c r="Z115" s="456"/>
      <c r="AA115" s="456"/>
      <c r="AB115" s="456"/>
      <c r="AC115" s="166"/>
      <c r="AD115" s="166">
        <f>AD116</f>
        <v>0</v>
      </c>
      <c r="AE115" s="165" t="s">
        <v>25</v>
      </c>
    </row>
    <row r="116" spans="1:32" ht="21" customHeight="1">
      <c r="A116" s="43"/>
      <c r="B116" s="44"/>
      <c r="C116" s="57" t="s">
        <v>334</v>
      </c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82"/>
      <c r="O116" s="326" t="s">
        <v>398</v>
      </c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 t="s">
        <v>108</v>
      </c>
      <c r="AC116" s="326"/>
      <c r="AD116" s="213">
        <v>0</v>
      </c>
      <c r="AE116" s="71" t="s">
        <v>55</v>
      </c>
    </row>
    <row r="117" spans="1:32" ht="21" customHeight="1">
      <c r="A117" s="43"/>
      <c r="B117" s="44"/>
      <c r="C117" s="34" t="s">
        <v>400</v>
      </c>
      <c r="D117" s="111">
        <v>9600</v>
      </c>
      <c r="E117" s="111">
        <f>ROUND(AD117/1000,0)</f>
        <v>3000</v>
      </c>
      <c r="F117" s="111">
        <f>SUMIF(AB118:AB118,"보조",AD118:AD118)/1000</f>
        <v>0</v>
      </c>
      <c r="G117" s="111">
        <f>SUMIF($AB$95:$AB$96,"7종",$AD$95:$AD$96)/1000</f>
        <v>0</v>
      </c>
      <c r="H117" s="111">
        <f>SUMIF($AB$95:$AB$96,"4종",$AD$95:$AD$96)/1000</f>
        <v>0</v>
      </c>
      <c r="I117" s="111">
        <f>SUMIF(AB118:AB118,"후원",AD118:AD118)/1000</f>
        <v>3000</v>
      </c>
      <c r="J117" s="111">
        <f>SUMIF(AB118:AB118,"입소",AD118:AD118)/1000</f>
        <v>0</v>
      </c>
      <c r="K117" s="111">
        <f>SUMIF(AB118:AB118,"전입",AD118:AD118)/1000</f>
        <v>0</v>
      </c>
      <c r="L117" s="111">
        <f>SUMIF(AB118:AB118,"잡수",AD118:AD118)/1000</f>
        <v>0</v>
      </c>
      <c r="M117" s="111">
        <f>E117-D117</f>
        <v>-6600</v>
      </c>
      <c r="N117" s="119">
        <f>IF(D117=0,0,M117/D117)</f>
        <v>-0.6875</v>
      </c>
      <c r="O117" s="432" t="s">
        <v>404</v>
      </c>
      <c r="P117" s="173"/>
      <c r="Q117" s="173"/>
      <c r="R117" s="173"/>
      <c r="S117" s="173"/>
      <c r="T117" s="172"/>
      <c r="U117" s="172"/>
      <c r="V117" s="172"/>
      <c r="W117" s="172"/>
      <c r="X117" s="172"/>
      <c r="Y117" s="414" t="s">
        <v>307</v>
      </c>
      <c r="Z117" s="414"/>
      <c r="AA117" s="414"/>
      <c r="AB117" s="414"/>
      <c r="AC117" s="166"/>
      <c r="AD117" s="166">
        <f>AD118</f>
        <v>3000000</v>
      </c>
      <c r="AE117" s="165" t="s">
        <v>25</v>
      </c>
    </row>
    <row r="118" spans="1:32" ht="21" customHeight="1">
      <c r="A118" s="43"/>
      <c r="B118" s="57"/>
      <c r="C118" s="57" t="s">
        <v>403</v>
      </c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82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 t="s">
        <v>342</v>
      </c>
      <c r="AC118" s="326"/>
      <c r="AD118" s="213">
        <v>3000000</v>
      </c>
      <c r="AE118" s="71" t="s">
        <v>341</v>
      </c>
    </row>
    <row r="119" spans="1:32" ht="21" customHeight="1">
      <c r="A119" s="43"/>
      <c r="B119" s="44" t="s">
        <v>305</v>
      </c>
      <c r="C119" s="160" t="s">
        <v>331</v>
      </c>
      <c r="D119" s="438">
        <f>SUM(D120,D123,D125,D127)</f>
        <v>171460</v>
      </c>
      <c r="E119" s="161">
        <f>AD119/1000</f>
        <v>178625</v>
      </c>
      <c r="F119" s="161">
        <f t="shared" ref="F119:L119" si="11">SUM(F120,F123,F125,F127)</f>
        <v>0</v>
      </c>
      <c r="G119" s="161">
        <f t="shared" si="11"/>
        <v>0</v>
      </c>
      <c r="H119" s="161">
        <f t="shared" si="11"/>
        <v>0</v>
      </c>
      <c r="I119" s="161">
        <f t="shared" si="11"/>
        <v>0</v>
      </c>
      <c r="J119" s="161">
        <f t="shared" si="11"/>
        <v>0</v>
      </c>
      <c r="K119" s="161">
        <f t="shared" si="11"/>
        <v>131366</v>
      </c>
      <c r="L119" s="161">
        <f t="shared" si="11"/>
        <v>47259</v>
      </c>
      <c r="M119" s="161">
        <f>E119-D119</f>
        <v>7165</v>
      </c>
      <c r="N119" s="162">
        <f>IF(D119=0,0,M119/D119)</f>
        <v>4.1788172168435785E-2</v>
      </c>
      <c r="O119" s="432" t="s">
        <v>332</v>
      </c>
      <c r="P119" s="439"/>
      <c r="Q119" s="439"/>
      <c r="R119" s="439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166">
        <f>SUM(AD120,AD123,AD125,AD127)</f>
        <v>178625000</v>
      </c>
      <c r="AE119" s="450" t="s">
        <v>360</v>
      </c>
    </row>
    <row r="120" spans="1:32" ht="21" customHeight="1">
      <c r="A120" s="43"/>
      <c r="B120" s="44"/>
      <c r="C120" s="44" t="s">
        <v>306</v>
      </c>
      <c r="D120" s="151">
        <v>32060</v>
      </c>
      <c r="E120" s="107">
        <f>ROUND(AD120/1000,0)</f>
        <v>42051</v>
      </c>
      <c r="F120" s="107">
        <f>SUMIF(AB121:AB122,"보조",AD121:AD122)/1000</f>
        <v>0</v>
      </c>
      <c r="G120" s="107">
        <f>SUMIF($AB$95:$AB$96,"7종",$AD$95:$AD$96)/1000</f>
        <v>0</v>
      </c>
      <c r="H120" s="107">
        <f>SUMIF($AB$95:$AB$96,"4종",$AD$95:$AD$96)/1000</f>
        <v>0</v>
      </c>
      <c r="I120" s="107">
        <f>SUMIF(AB121:AB122,"후원",AD121:AD122)/1000</f>
        <v>0</v>
      </c>
      <c r="J120" s="107">
        <f>SUMIF(AB122:AB122,"입소",AD122:AD122)/1000</f>
        <v>0</v>
      </c>
      <c r="K120" s="107">
        <f>SUMIF(AB121:AB122,"전입",AD121:AD122)/1000</f>
        <v>34792</v>
      </c>
      <c r="L120" s="107">
        <f>SUMIF(AB121:AB122,"잡수",AD121:AD122)/1000</f>
        <v>7259</v>
      </c>
      <c r="M120" s="107">
        <f>E120-D120</f>
        <v>9991</v>
      </c>
      <c r="N120" s="68">
        <f>IF(D120=0,0,M120/D120)</f>
        <v>0.31163443543356206</v>
      </c>
      <c r="O120" s="432" t="s">
        <v>327</v>
      </c>
      <c r="P120" s="417"/>
      <c r="Q120" s="417"/>
      <c r="R120" s="417"/>
      <c r="S120" s="416"/>
      <c r="T120" s="416"/>
      <c r="U120" s="416"/>
      <c r="V120" s="416"/>
      <c r="W120" s="416"/>
      <c r="X120" s="416"/>
      <c r="Y120" s="414" t="s">
        <v>307</v>
      </c>
      <c r="Z120" s="414"/>
      <c r="AA120" s="414"/>
      <c r="AB120" s="414"/>
      <c r="AC120" s="166"/>
      <c r="AD120" s="166">
        <f>SUM(AD121:AD122)</f>
        <v>42051000</v>
      </c>
      <c r="AE120" s="165" t="s">
        <v>25</v>
      </c>
    </row>
    <row r="121" spans="1:32" ht="21" customHeight="1">
      <c r="A121" s="43"/>
      <c r="B121" s="44"/>
      <c r="C121" s="44" t="s">
        <v>305</v>
      </c>
      <c r="D121" s="151"/>
      <c r="E121" s="107"/>
      <c r="F121" s="107"/>
      <c r="G121" s="107"/>
      <c r="H121" s="107"/>
      <c r="I121" s="107"/>
      <c r="J121" s="107"/>
      <c r="K121" s="107"/>
      <c r="L121" s="107"/>
      <c r="M121" s="107"/>
      <c r="N121" s="68"/>
      <c r="O121" s="461"/>
      <c r="P121" s="417"/>
      <c r="Q121" s="417"/>
      <c r="R121" s="417"/>
      <c r="S121" s="416"/>
      <c r="T121" s="416"/>
      <c r="U121" s="416"/>
      <c r="V121" s="416"/>
      <c r="W121" s="416"/>
      <c r="X121" s="416"/>
      <c r="Y121" s="149"/>
      <c r="Z121" s="149"/>
      <c r="AA121" s="149"/>
      <c r="AB121" s="270" t="s">
        <v>456</v>
      </c>
      <c r="AC121" s="66"/>
      <c r="AD121" s="66">
        <v>34792000</v>
      </c>
      <c r="AE121" s="55" t="s">
        <v>457</v>
      </c>
    </row>
    <row r="122" spans="1:32" ht="21" customHeight="1">
      <c r="A122" s="43"/>
      <c r="B122" s="44"/>
      <c r="C122" s="57"/>
      <c r="D122" s="152"/>
      <c r="E122" s="109"/>
      <c r="F122" s="109"/>
      <c r="G122" s="109"/>
      <c r="H122" s="109"/>
      <c r="I122" s="109"/>
      <c r="J122" s="109"/>
      <c r="K122" s="109"/>
      <c r="L122" s="109"/>
      <c r="M122" s="109"/>
      <c r="N122" s="82"/>
      <c r="O122" s="462"/>
      <c r="P122" s="460"/>
      <c r="Q122" s="460"/>
      <c r="R122" s="460"/>
      <c r="S122" s="459"/>
      <c r="T122" s="459"/>
      <c r="U122" s="459"/>
      <c r="V122" s="459"/>
      <c r="W122" s="459"/>
      <c r="X122" s="459"/>
      <c r="Y122" s="459"/>
      <c r="Z122" s="459"/>
      <c r="AA122" s="459"/>
      <c r="AB122" s="459" t="s">
        <v>458</v>
      </c>
      <c r="AC122" s="459"/>
      <c r="AD122" s="70">
        <v>7259000</v>
      </c>
      <c r="AE122" s="365" t="s">
        <v>341</v>
      </c>
    </row>
    <row r="123" spans="1:32" ht="21" customHeight="1">
      <c r="A123" s="43"/>
      <c r="B123" s="44"/>
      <c r="C123" s="34" t="s">
        <v>308</v>
      </c>
      <c r="D123" s="153">
        <v>20000</v>
      </c>
      <c r="E123" s="111">
        <f>ROUND(AD123/1000,0)</f>
        <v>20000</v>
      </c>
      <c r="F123" s="111">
        <f>SUMIF(AB124:AB124,"보조",AD124:AD124)/1000</f>
        <v>0</v>
      </c>
      <c r="G123" s="111">
        <f>SUMIF($AB$95:$AB$96,"7종",$AD$95:$AD$96)/1000</f>
        <v>0</v>
      </c>
      <c r="H123" s="111">
        <f>SUMIF($AB$95:$AB$96,"4종",$AD$95:$AD$96)/1000</f>
        <v>0</v>
      </c>
      <c r="I123" s="111">
        <f>SUMIF(AB124:AB124,"후원",AD124:AD124)/1000</f>
        <v>0</v>
      </c>
      <c r="J123" s="111">
        <f>SUMIF(AB124:AB124,"입소",AD124:AD124)/1000</f>
        <v>0</v>
      </c>
      <c r="K123" s="111">
        <f>SUMIF(AB124:AB124,"전입",AD124:AD124)/1000</f>
        <v>20000</v>
      </c>
      <c r="L123" s="111">
        <f>SUMIF(AB124:AB124,"잡수",AD124:AD124)/1000</f>
        <v>0</v>
      </c>
      <c r="M123" s="111">
        <f>E123-D123</f>
        <v>0</v>
      </c>
      <c r="N123" s="119">
        <f>IF(D123=0,0,M123/D123)</f>
        <v>0</v>
      </c>
      <c r="O123" s="432" t="s">
        <v>328</v>
      </c>
      <c r="P123" s="280"/>
      <c r="Q123" s="280"/>
      <c r="R123" s="280"/>
      <c r="S123" s="268"/>
      <c r="T123" s="268"/>
      <c r="U123" s="268"/>
      <c r="V123" s="268"/>
      <c r="W123" s="268"/>
      <c r="X123" s="268"/>
      <c r="Y123" s="414" t="s">
        <v>307</v>
      </c>
      <c r="Z123" s="414"/>
      <c r="AA123" s="414"/>
      <c r="AB123" s="414"/>
      <c r="AC123" s="166"/>
      <c r="AD123" s="166">
        <f>AD124</f>
        <v>20000000</v>
      </c>
      <c r="AE123" s="165" t="s">
        <v>25</v>
      </c>
    </row>
    <row r="124" spans="1:32" ht="21" customHeight="1">
      <c r="A124" s="43"/>
      <c r="B124" s="44"/>
      <c r="C124" s="57" t="s">
        <v>305</v>
      </c>
      <c r="D124" s="152"/>
      <c r="E124" s="109"/>
      <c r="F124" s="109"/>
      <c r="G124" s="109"/>
      <c r="H124" s="109"/>
      <c r="I124" s="109"/>
      <c r="J124" s="109"/>
      <c r="K124" s="109"/>
      <c r="L124" s="109"/>
      <c r="M124" s="109"/>
      <c r="N124" s="82"/>
      <c r="O124" s="413"/>
      <c r="P124" s="413"/>
      <c r="Q124" s="413"/>
      <c r="R124" s="413"/>
      <c r="S124" s="412"/>
      <c r="T124" s="412"/>
      <c r="U124" s="412"/>
      <c r="V124" s="412"/>
      <c r="W124" s="412"/>
      <c r="X124" s="412"/>
      <c r="Y124" s="412"/>
      <c r="Z124" s="412"/>
      <c r="AA124" s="412"/>
      <c r="AB124" s="418" t="s">
        <v>353</v>
      </c>
      <c r="AC124" s="412"/>
      <c r="AD124" s="70">
        <v>20000000</v>
      </c>
      <c r="AE124" s="365" t="s">
        <v>341</v>
      </c>
    </row>
    <row r="125" spans="1:32" ht="21" customHeight="1">
      <c r="A125" s="43"/>
      <c r="B125" s="44"/>
      <c r="C125" s="44" t="s">
        <v>309</v>
      </c>
      <c r="D125" s="151">
        <v>15000</v>
      </c>
      <c r="E125" s="107">
        <f>ROUND(AD125/1000,0)</f>
        <v>40000</v>
      </c>
      <c r="F125" s="107">
        <f>SUMIF(AB126:AB126,"보조",AD126:AD126)/1000</f>
        <v>0</v>
      </c>
      <c r="G125" s="107">
        <f>SUMIF($AB$95:$AB$96,"7종",$AD$95:$AD$96)/1000</f>
        <v>0</v>
      </c>
      <c r="H125" s="107">
        <f>SUMIF($AB$95:$AB$96,"4종",$AD$95:$AD$96)/1000</f>
        <v>0</v>
      </c>
      <c r="I125" s="107">
        <f>SUMIF(AB126:AB126,"후원",AD126:AD126)/1000</f>
        <v>0</v>
      </c>
      <c r="J125" s="107">
        <f>SUMIF(AB126:AB126,"입소",AD126:AD126)/1000</f>
        <v>0</v>
      </c>
      <c r="K125" s="107">
        <f>SUMIF(AB126:AB126,"전입",AD126:AD126)/1000</f>
        <v>0</v>
      </c>
      <c r="L125" s="107">
        <f>SUMIF(AB126:AB126,"잡수",AD126:AD126)/1000</f>
        <v>40000</v>
      </c>
      <c r="M125" s="107">
        <f>E125-D125</f>
        <v>25000</v>
      </c>
      <c r="N125" s="68">
        <f>IF(D125=0,0,M125/D125)</f>
        <v>1.6666666666666667</v>
      </c>
      <c r="O125" s="432" t="s">
        <v>329</v>
      </c>
      <c r="P125" s="417"/>
      <c r="Q125" s="417"/>
      <c r="R125" s="417"/>
      <c r="S125" s="416"/>
      <c r="T125" s="416"/>
      <c r="U125" s="416"/>
      <c r="V125" s="416"/>
      <c r="W125" s="416"/>
      <c r="X125" s="416"/>
      <c r="Y125" s="414" t="s">
        <v>307</v>
      </c>
      <c r="Z125" s="414"/>
      <c r="AA125" s="414"/>
      <c r="AB125" s="414"/>
      <c r="AC125" s="166"/>
      <c r="AD125" s="166">
        <f>AD126</f>
        <v>40000000</v>
      </c>
      <c r="AE125" s="165" t="s">
        <v>25</v>
      </c>
    </row>
    <row r="126" spans="1:32" ht="21" customHeight="1">
      <c r="A126" s="43"/>
      <c r="B126" s="44"/>
      <c r="C126" s="57" t="s">
        <v>305</v>
      </c>
      <c r="D126" s="151"/>
      <c r="E126" s="107"/>
      <c r="F126" s="107"/>
      <c r="G126" s="107"/>
      <c r="H126" s="107"/>
      <c r="I126" s="107"/>
      <c r="J126" s="107"/>
      <c r="K126" s="107"/>
      <c r="L126" s="107"/>
      <c r="M126" s="107"/>
      <c r="N126" s="68"/>
      <c r="O126" s="419"/>
      <c r="P126" s="417"/>
      <c r="Q126" s="417"/>
      <c r="R126" s="417"/>
      <c r="S126" s="416"/>
      <c r="T126" s="416"/>
      <c r="U126" s="416"/>
      <c r="V126" s="416"/>
      <c r="W126" s="416"/>
      <c r="X126" s="416"/>
      <c r="Y126" s="412"/>
      <c r="Z126" s="412"/>
      <c r="AA126" s="412"/>
      <c r="AB126" s="418" t="s">
        <v>354</v>
      </c>
      <c r="AC126" s="412"/>
      <c r="AD126" s="70">
        <v>40000000</v>
      </c>
      <c r="AE126" s="365" t="s">
        <v>341</v>
      </c>
    </row>
    <row r="127" spans="1:32" ht="21" customHeight="1">
      <c r="A127" s="43"/>
      <c r="B127" s="44"/>
      <c r="C127" s="34" t="s">
        <v>400</v>
      </c>
      <c r="D127" s="153">
        <v>104400</v>
      </c>
      <c r="E127" s="111">
        <f>ROUND(AD127/1000,0)</f>
        <v>76574</v>
      </c>
      <c r="F127" s="111">
        <f>SUMIF(AB128:AB128,"보조",AD128:AD128)/1000</f>
        <v>0</v>
      </c>
      <c r="G127" s="111">
        <f>SUMIF($AB$95:$AB$96,"7종",$AD$95:$AD$96)/1000</f>
        <v>0</v>
      </c>
      <c r="H127" s="111">
        <f>SUMIF($AB$95:$AB$96,"4종",$AD$95:$AD$96)/1000</f>
        <v>0</v>
      </c>
      <c r="I127" s="111">
        <f>SUMIF(AB128:AB128,"후원",AD128:AD128)/1000</f>
        <v>0</v>
      </c>
      <c r="J127" s="111">
        <f>SUMIF(AB128:AB128,"입소",AD128:AD128)/1000</f>
        <v>0</v>
      </c>
      <c r="K127" s="111">
        <f>SUMIF(AB128:AB128,"전입",AD128:AD128)/1000</f>
        <v>76574</v>
      </c>
      <c r="L127" s="111">
        <f>SUMIF(AB128:AB128,"잡수",AD128:AD128)/1000</f>
        <v>0</v>
      </c>
      <c r="M127" s="111">
        <f>E127-D127</f>
        <v>-27826</v>
      </c>
      <c r="N127" s="119">
        <f>IF(D127=0,0,M127/D127)</f>
        <v>-0.26653256704980843</v>
      </c>
      <c r="O127" s="432" t="s">
        <v>401</v>
      </c>
      <c r="P127" s="173"/>
      <c r="Q127" s="173"/>
      <c r="R127" s="173"/>
      <c r="S127" s="173"/>
      <c r="T127" s="172"/>
      <c r="U127" s="172"/>
      <c r="V127" s="172"/>
      <c r="W127" s="172"/>
      <c r="X127" s="172"/>
      <c r="Y127" s="414" t="s">
        <v>307</v>
      </c>
      <c r="Z127" s="414"/>
      <c r="AA127" s="414"/>
      <c r="AB127" s="414"/>
      <c r="AC127" s="166"/>
      <c r="AD127" s="166">
        <f>AD128</f>
        <v>76574000</v>
      </c>
      <c r="AE127" s="165" t="s">
        <v>25</v>
      </c>
    </row>
    <row r="128" spans="1:32" s="14" customFormat="1" ht="21" customHeight="1">
      <c r="A128" s="43"/>
      <c r="B128" s="57"/>
      <c r="C128" s="57" t="s">
        <v>305</v>
      </c>
      <c r="D128" s="151"/>
      <c r="E128" s="107"/>
      <c r="F128" s="107"/>
      <c r="G128" s="107"/>
      <c r="H128" s="107"/>
      <c r="I128" s="107"/>
      <c r="J128" s="107"/>
      <c r="K128" s="107"/>
      <c r="L128" s="107"/>
      <c r="M128" s="107"/>
      <c r="N128" s="6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271" t="s">
        <v>402</v>
      </c>
      <c r="AC128" s="48"/>
      <c r="AD128" s="49">
        <v>76574000</v>
      </c>
      <c r="AE128" s="55" t="s">
        <v>341</v>
      </c>
      <c r="AF128" s="4"/>
    </row>
    <row r="129" spans="1:32" s="14" customFormat="1" ht="21" hidden="1" customHeight="1">
      <c r="A129" s="33" t="s">
        <v>312</v>
      </c>
      <c r="B129" s="502" t="s">
        <v>20</v>
      </c>
      <c r="C129" s="503"/>
      <c r="D129" s="161">
        <f>D130</f>
        <v>0</v>
      </c>
      <c r="E129" s="161">
        <f>E130</f>
        <v>0</v>
      </c>
      <c r="F129" s="161">
        <f t="shared" ref="F129:L129" si="12">F130</f>
        <v>0</v>
      </c>
      <c r="G129" s="161">
        <f t="shared" si="12"/>
        <v>0</v>
      </c>
      <c r="H129" s="161">
        <f t="shared" si="12"/>
        <v>0</v>
      </c>
      <c r="I129" s="161">
        <f t="shared" si="12"/>
        <v>0</v>
      </c>
      <c r="J129" s="161">
        <f t="shared" si="12"/>
        <v>0</v>
      </c>
      <c r="K129" s="161">
        <f t="shared" si="12"/>
        <v>0</v>
      </c>
      <c r="L129" s="161">
        <f t="shared" si="12"/>
        <v>0</v>
      </c>
      <c r="M129" s="161">
        <f>E129-D129</f>
        <v>0</v>
      </c>
      <c r="N129" s="162">
        <f>IF(D129=0,0,M129/D129)</f>
        <v>0</v>
      </c>
      <c r="O129" s="415" t="s">
        <v>325</v>
      </c>
      <c r="P129" s="415"/>
      <c r="Q129" s="415"/>
      <c r="R129" s="415"/>
      <c r="S129" s="414"/>
      <c r="T129" s="414"/>
      <c r="U129" s="414"/>
      <c r="V129" s="414"/>
      <c r="W129" s="414"/>
      <c r="X129" s="414"/>
      <c r="Y129" s="414"/>
      <c r="Z129" s="414"/>
      <c r="AA129" s="414"/>
      <c r="AB129" s="414"/>
      <c r="AC129" s="414"/>
      <c r="AD129" s="414">
        <f>SUM(AD130)</f>
        <v>0</v>
      </c>
      <c r="AE129" s="165" t="s">
        <v>25</v>
      </c>
      <c r="AF129" s="4"/>
    </row>
    <row r="130" spans="1:32" s="14" customFormat="1" ht="21" hidden="1" customHeight="1">
      <c r="A130" s="43" t="s">
        <v>313</v>
      </c>
      <c r="B130" s="44" t="s">
        <v>312</v>
      </c>
      <c r="C130" s="44" t="s">
        <v>312</v>
      </c>
      <c r="D130" s="151">
        <v>0</v>
      </c>
      <c r="E130" s="107">
        <f>AD130/1000</f>
        <v>0</v>
      </c>
      <c r="F130" s="112">
        <f>SUMIF(AB131:AB131,"보조",AD131:AD131)/1000</f>
        <v>0</v>
      </c>
      <c r="G130" s="112">
        <f>SUMIF($AB$8:$AB$9,"7종",$AD$8:$AD$9)/1000</f>
        <v>0</v>
      </c>
      <c r="H130" s="112">
        <f>SUMIF($AB$8:$AB$9,"4종",$AD$8:$AD$9)/1000</f>
        <v>0</v>
      </c>
      <c r="I130" s="112">
        <f>SUMIF(AB131:AB131,"후원",AD131:AD131)/1000</f>
        <v>0</v>
      </c>
      <c r="J130" s="112">
        <f>SUMIF(AB131:AB132,"입소",AD131:AD132)/1000</f>
        <v>0</v>
      </c>
      <c r="K130" s="112">
        <f>SUMIF(AB131:AB131,"전입",AD131:AD131)/1000</f>
        <v>0</v>
      </c>
      <c r="L130" s="112">
        <f>SUMIF(AB131:AB131,"잡수",AD131:AD131)/1000</f>
        <v>0</v>
      </c>
      <c r="M130" s="107">
        <f>E130-D130</f>
        <v>0</v>
      </c>
      <c r="N130" s="68">
        <f>IF(D130=0,0,M130/D130)</f>
        <v>0</v>
      </c>
      <c r="O130" s="114" t="s">
        <v>326</v>
      </c>
      <c r="P130" s="169"/>
      <c r="Q130" s="169"/>
      <c r="R130" s="169"/>
      <c r="S130" s="169"/>
      <c r="T130" s="149"/>
      <c r="U130" s="149"/>
      <c r="V130" s="149"/>
      <c r="W130" s="149"/>
      <c r="X130" s="149"/>
      <c r="Y130" s="414" t="s">
        <v>307</v>
      </c>
      <c r="Z130" s="97"/>
      <c r="AA130" s="97"/>
      <c r="AB130" s="97"/>
      <c r="AC130" s="116"/>
      <c r="AD130" s="116">
        <v>0</v>
      </c>
      <c r="AE130" s="117" t="s">
        <v>25</v>
      </c>
      <c r="AF130" s="4"/>
    </row>
    <row r="131" spans="1:32" s="14" customFormat="1" ht="21" hidden="1" customHeight="1">
      <c r="A131" s="56"/>
      <c r="B131" s="57" t="s">
        <v>313</v>
      </c>
      <c r="C131" s="57" t="s">
        <v>313</v>
      </c>
      <c r="D131" s="152"/>
      <c r="E131" s="109"/>
      <c r="F131" s="109"/>
      <c r="G131" s="109"/>
      <c r="H131" s="109"/>
      <c r="I131" s="109"/>
      <c r="J131" s="109"/>
      <c r="K131" s="109"/>
      <c r="L131" s="109"/>
      <c r="M131" s="109"/>
      <c r="N131" s="82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433" t="s">
        <v>341</v>
      </c>
      <c r="AF131" s="4"/>
    </row>
    <row r="132" spans="1:32" s="14" customFormat="1" ht="21" hidden="1" customHeight="1">
      <c r="A132" s="33" t="s">
        <v>314</v>
      </c>
      <c r="B132" s="502" t="s">
        <v>20</v>
      </c>
      <c r="C132" s="503"/>
      <c r="D132" s="161">
        <f>D133</f>
        <v>0</v>
      </c>
      <c r="E132" s="161">
        <f>E133</f>
        <v>0</v>
      </c>
      <c r="F132" s="161">
        <f t="shared" ref="F132:L132" si="13">F133</f>
        <v>0</v>
      </c>
      <c r="G132" s="161">
        <f t="shared" si="13"/>
        <v>0</v>
      </c>
      <c r="H132" s="161">
        <f t="shared" si="13"/>
        <v>0</v>
      </c>
      <c r="I132" s="161">
        <f t="shared" si="13"/>
        <v>0</v>
      </c>
      <c r="J132" s="161">
        <f t="shared" si="13"/>
        <v>0</v>
      </c>
      <c r="K132" s="161">
        <f t="shared" si="13"/>
        <v>0</v>
      </c>
      <c r="L132" s="161">
        <f t="shared" si="13"/>
        <v>0</v>
      </c>
      <c r="M132" s="161">
        <f>E132-D132</f>
        <v>0</v>
      </c>
      <c r="N132" s="162">
        <f>IF(D132=0,0,M132/D132)</f>
        <v>0</v>
      </c>
      <c r="O132" s="415" t="s">
        <v>314</v>
      </c>
      <c r="P132" s="415"/>
      <c r="Q132" s="415"/>
      <c r="R132" s="415"/>
      <c r="S132" s="414"/>
      <c r="T132" s="414"/>
      <c r="U132" s="414"/>
      <c r="V132" s="414"/>
      <c r="W132" s="414"/>
      <c r="X132" s="414"/>
      <c r="Y132" s="414"/>
      <c r="Z132" s="414"/>
      <c r="AA132" s="414"/>
      <c r="AB132" s="414"/>
      <c r="AC132" s="414"/>
      <c r="AD132" s="414">
        <f>SUM(AD133)</f>
        <v>0</v>
      </c>
      <c r="AE132" s="165" t="s">
        <v>25</v>
      </c>
      <c r="AF132" s="4"/>
    </row>
    <row r="133" spans="1:32" s="14" customFormat="1" ht="21" hidden="1" customHeight="1">
      <c r="A133" s="43"/>
      <c r="B133" s="44" t="s">
        <v>315</v>
      </c>
      <c r="C133" s="34" t="s">
        <v>317</v>
      </c>
      <c r="D133" s="153">
        <v>0</v>
      </c>
      <c r="E133" s="111">
        <f>AD133/1000</f>
        <v>0</v>
      </c>
      <c r="F133" s="112">
        <f>SUMIF(AB134:AB134,"보조",AD134:AD134)/1000</f>
        <v>0</v>
      </c>
      <c r="G133" s="112">
        <f>SUMIF($AB$8:$AB$9,"7종",$AD$8:$AD$9)/1000</f>
        <v>0</v>
      </c>
      <c r="H133" s="112">
        <f>SUMIF($AB$8:$AB$9,"4종",$AD$8:$AD$9)/1000</f>
        <v>0</v>
      </c>
      <c r="I133" s="112">
        <f>SUMIF(AB134:AB134,"후원",AD134:AD134)/1000</f>
        <v>0</v>
      </c>
      <c r="J133" s="112">
        <f>SUMIF(AB134:AB135,"입소",AD134:AD135)/1000</f>
        <v>0</v>
      </c>
      <c r="K133" s="112">
        <f>SUMIF(AB134:AB134,"전입",AD134:AD134)/1000</f>
        <v>0</v>
      </c>
      <c r="L133" s="112">
        <f>SUMIF(AB134:AB134,"잡수",AD134:AD134)/1000</f>
        <v>0</v>
      </c>
      <c r="M133" s="111">
        <f>E133-D133</f>
        <v>0</v>
      </c>
      <c r="N133" s="119">
        <f>IF(D133=0,0,M133/D133)</f>
        <v>0</v>
      </c>
      <c r="O133" s="415" t="s">
        <v>323</v>
      </c>
      <c r="P133" s="173"/>
      <c r="Q133" s="173"/>
      <c r="R133" s="173"/>
      <c r="S133" s="173"/>
      <c r="T133" s="172"/>
      <c r="U133" s="172"/>
      <c r="V133" s="172"/>
      <c r="W133" s="172"/>
      <c r="X133" s="172"/>
      <c r="Y133" s="414" t="s">
        <v>307</v>
      </c>
      <c r="Z133" s="414"/>
      <c r="AA133" s="414"/>
      <c r="AB133" s="414"/>
      <c r="AC133" s="166"/>
      <c r="AD133" s="166">
        <f>AD134</f>
        <v>0</v>
      </c>
      <c r="AE133" s="165" t="s">
        <v>25</v>
      </c>
      <c r="AF133" s="4"/>
    </row>
    <row r="134" spans="1:32" s="14" customFormat="1" ht="21" hidden="1" customHeight="1">
      <c r="A134" s="43"/>
      <c r="B134" s="44" t="s">
        <v>316</v>
      </c>
      <c r="C134" s="57" t="s">
        <v>316</v>
      </c>
      <c r="D134" s="152"/>
      <c r="E134" s="109"/>
      <c r="F134" s="435"/>
      <c r="G134" s="435"/>
      <c r="H134" s="435"/>
      <c r="I134" s="435"/>
      <c r="J134" s="435"/>
      <c r="K134" s="435"/>
      <c r="L134" s="435"/>
      <c r="M134" s="109"/>
      <c r="N134" s="82"/>
      <c r="O134" s="114"/>
      <c r="P134" s="114"/>
      <c r="Q134" s="114"/>
      <c r="R134" s="114"/>
      <c r="S134" s="114"/>
      <c r="T134" s="97"/>
      <c r="U134" s="97"/>
      <c r="V134" s="97"/>
      <c r="W134" s="97"/>
      <c r="X134" s="97"/>
      <c r="Y134" s="97"/>
      <c r="Z134" s="97"/>
      <c r="AA134" s="97"/>
      <c r="AB134" s="97"/>
      <c r="AC134" s="116"/>
      <c r="AD134" s="116"/>
      <c r="AE134" s="117" t="s">
        <v>341</v>
      </c>
      <c r="AF134" s="4"/>
    </row>
    <row r="135" spans="1:32" s="14" customFormat="1" ht="21" hidden="1" customHeight="1">
      <c r="A135" s="43"/>
      <c r="B135" s="44"/>
      <c r="C135" s="44" t="s">
        <v>270</v>
      </c>
      <c r="D135" s="151"/>
      <c r="E135" s="107"/>
      <c r="F135" s="434">
        <f>SUMIF(AB136:AB136,"보조",AD136:AD136)/1000</f>
        <v>0</v>
      </c>
      <c r="G135" s="434">
        <f>SUMIF($AB$8:$AB$9,"7종",$AD$8:$AD$9)/1000</f>
        <v>0</v>
      </c>
      <c r="H135" s="434">
        <f>SUMIF($AB$8:$AB$9,"4종",$AD$8:$AD$9)/1000</f>
        <v>0</v>
      </c>
      <c r="I135" s="434">
        <f>SUMIF(AB136:AB136,"후원",AD136:AD136)/1000</f>
        <v>0</v>
      </c>
      <c r="J135" s="434">
        <f>SUMIF(AB136:AB137,"입소",AD136:AD137)/1000</f>
        <v>0</v>
      </c>
      <c r="K135" s="434">
        <f>SUMIF(AB136:AB136,"전입",AD136:AD136)/1000</f>
        <v>0</v>
      </c>
      <c r="L135" s="434">
        <f>SUMIF(AB136:AB136,"잡수",AD136:AD136)/1000</f>
        <v>0</v>
      </c>
      <c r="M135" s="107">
        <f>E135-D135</f>
        <v>0</v>
      </c>
      <c r="N135" s="68">
        <f>IF(D135=0,0,M135/D135)</f>
        <v>0</v>
      </c>
      <c r="O135" s="415" t="s">
        <v>324</v>
      </c>
      <c r="P135" s="173"/>
      <c r="Q135" s="173"/>
      <c r="R135" s="173"/>
      <c r="S135" s="173"/>
      <c r="T135" s="172"/>
      <c r="U135" s="172"/>
      <c r="V135" s="172"/>
      <c r="W135" s="172"/>
      <c r="X135" s="172"/>
      <c r="Y135" s="414" t="s">
        <v>307</v>
      </c>
      <c r="Z135" s="414"/>
      <c r="AA135" s="414"/>
      <c r="AB135" s="414"/>
      <c r="AC135" s="166"/>
      <c r="AD135" s="166">
        <f>AD136</f>
        <v>0</v>
      </c>
      <c r="AE135" s="165" t="s">
        <v>25</v>
      </c>
      <c r="AF135" s="4"/>
    </row>
    <row r="136" spans="1:32" s="14" customFormat="1" ht="21" hidden="1" customHeight="1">
      <c r="A136" s="56"/>
      <c r="B136" s="57"/>
      <c r="C136" s="57" t="s">
        <v>318</v>
      </c>
      <c r="D136" s="152"/>
      <c r="E136" s="109"/>
      <c r="F136" s="109"/>
      <c r="G136" s="109"/>
      <c r="H136" s="109"/>
      <c r="I136" s="109"/>
      <c r="J136" s="109"/>
      <c r="K136" s="109"/>
      <c r="L136" s="109"/>
      <c r="M136" s="109"/>
      <c r="N136" s="82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433" t="s">
        <v>341</v>
      </c>
      <c r="AF136" s="4"/>
    </row>
    <row r="137" spans="1:32" s="11" customFormat="1" ht="21" customHeight="1">
      <c r="A137" s="33" t="s">
        <v>310</v>
      </c>
      <c r="B137" s="500" t="s">
        <v>20</v>
      </c>
      <c r="C137" s="501"/>
      <c r="D137" s="446">
        <f>D138</f>
        <v>2</v>
      </c>
      <c r="E137" s="446">
        <f>E138</f>
        <v>2</v>
      </c>
      <c r="F137" s="446">
        <f t="shared" ref="F137:L137" si="14">F138</f>
        <v>0</v>
      </c>
      <c r="G137" s="446">
        <f t="shared" si="14"/>
        <v>0</v>
      </c>
      <c r="H137" s="446">
        <f t="shared" si="14"/>
        <v>0</v>
      </c>
      <c r="I137" s="446">
        <f t="shared" si="14"/>
        <v>0</v>
      </c>
      <c r="J137" s="446">
        <f t="shared" si="14"/>
        <v>0</v>
      </c>
      <c r="K137" s="458">
        <f t="shared" si="14"/>
        <v>2</v>
      </c>
      <c r="L137" s="446">
        <f t="shared" si="14"/>
        <v>0</v>
      </c>
      <c r="M137" s="447">
        <f>E137-D137</f>
        <v>0</v>
      </c>
      <c r="N137" s="293">
        <f>IF(D137=0,0,M137/D137)</f>
        <v>0</v>
      </c>
      <c r="O137" s="448" t="s">
        <v>364</v>
      </c>
      <c r="P137" s="448"/>
      <c r="Q137" s="448"/>
      <c r="R137" s="448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>
        <f>SUM(AD138)</f>
        <v>2000</v>
      </c>
      <c r="AE137" s="449" t="s">
        <v>25</v>
      </c>
      <c r="AF137" s="1"/>
    </row>
    <row r="138" spans="1:32" s="11" customFormat="1" ht="21" customHeight="1">
      <c r="A138" s="43"/>
      <c r="B138" s="44" t="s">
        <v>310</v>
      </c>
      <c r="C138" s="44" t="s">
        <v>310</v>
      </c>
      <c r="D138" s="151">
        <v>2</v>
      </c>
      <c r="E138" s="107">
        <f>AD138/1000</f>
        <v>2</v>
      </c>
      <c r="F138" s="112">
        <f>SUMIF(AB139:AB139,"보조",AD139:AD139)/1000</f>
        <v>0</v>
      </c>
      <c r="G138" s="112">
        <f>SUMIF($AB$8:$AB$9,"7종",$AD$8:$AD$9)/1000</f>
        <v>0</v>
      </c>
      <c r="H138" s="112">
        <f>SUMIF($AB$8:$AB$9,"4종",$AD$8:$AD$9)/1000</f>
        <v>0</v>
      </c>
      <c r="I138" s="112">
        <f>SUMIF(AB139:AB139,"후원",AD139:AD139)/1000</f>
        <v>0</v>
      </c>
      <c r="J138" s="112">
        <f>SUMIF(AB139:AB140,"입소",AD139:AD140)/1000</f>
        <v>0</v>
      </c>
      <c r="K138" s="112">
        <f>SUMIF(AB139:AB139,"전입",AD139:AD139)/1000</f>
        <v>2</v>
      </c>
      <c r="L138" s="112">
        <f>SUMIF(AB139:AB139,"잡수",AD139:AD139)/1000</f>
        <v>0</v>
      </c>
      <c r="M138" s="107">
        <f>E138-D138</f>
        <v>0</v>
      </c>
      <c r="N138" s="68">
        <f>IF(D138=0,0,M138/D138)</f>
        <v>0</v>
      </c>
      <c r="O138" s="114" t="s">
        <v>311</v>
      </c>
      <c r="P138" s="169"/>
      <c r="Q138" s="169"/>
      <c r="R138" s="169"/>
      <c r="S138" s="169"/>
      <c r="T138" s="149"/>
      <c r="U138" s="149"/>
      <c r="V138" s="149"/>
      <c r="W138" s="149"/>
      <c r="X138" s="149"/>
      <c r="Y138" s="414" t="s">
        <v>307</v>
      </c>
      <c r="Z138" s="97"/>
      <c r="AA138" s="97"/>
      <c r="AB138" s="97"/>
      <c r="AC138" s="116"/>
      <c r="AD138" s="116">
        <f>AD139</f>
        <v>2000</v>
      </c>
      <c r="AE138" s="117" t="s">
        <v>25</v>
      </c>
      <c r="AF138" s="1"/>
    </row>
    <row r="139" spans="1:32" s="1" customFormat="1" ht="21" customHeight="1">
      <c r="A139" s="56"/>
      <c r="B139" s="57"/>
      <c r="C139" s="57"/>
      <c r="D139" s="152"/>
      <c r="E139" s="109"/>
      <c r="F139" s="109"/>
      <c r="G139" s="109"/>
      <c r="H139" s="109"/>
      <c r="I139" s="109"/>
      <c r="J139" s="109"/>
      <c r="K139" s="109"/>
      <c r="L139" s="109"/>
      <c r="M139" s="109"/>
      <c r="N139" s="82"/>
      <c r="O139" s="326" t="s">
        <v>385</v>
      </c>
      <c r="P139" s="326"/>
      <c r="Q139" s="326"/>
      <c r="R139" s="326"/>
      <c r="S139" s="326"/>
      <c r="T139" s="326"/>
      <c r="U139" s="326"/>
      <c r="V139" s="326"/>
      <c r="W139" s="326"/>
      <c r="X139" s="326"/>
      <c r="Y139" s="142"/>
      <c r="Z139" s="142"/>
      <c r="AA139" s="142"/>
      <c r="AB139" s="142" t="s">
        <v>361</v>
      </c>
      <c r="AC139" s="142"/>
      <c r="AD139" s="451">
        <v>2000</v>
      </c>
      <c r="AE139" s="452" t="s">
        <v>360</v>
      </c>
    </row>
    <row r="140" spans="1:32" s="11" customFormat="1" ht="21" customHeight="1">
      <c r="A140" s="43" t="s">
        <v>21</v>
      </c>
      <c r="B140" s="500" t="s">
        <v>20</v>
      </c>
      <c r="C140" s="501"/>
      <c r="D140" s="446">
        <f>SUM(D141)</f>
        <v>22523</v>
      </c>
      <c r="E140" s="446">
        <f>SUM(E141)</f>
        <v>75</v>
      </c>
      <c r="F140" s="446">
        <f t="shared" ref="F140:L140" si="15">SUM(F141)</f>
        <v>0</v>
      </c>
      <c r="G140" s="446">
        <f t="shared" si="15"/>
        <v>0</v>
      </c>
      <c r="H140" s="446">
        <f t="shared" si="15"/>
        <v>0</v>
      </c>
      <c r="I140" s="446">
        <f t="shared" si="15"/>
        <v>40</v>
      </c>
      <c r="J140" s="446">
        <f t="shared" si="15"/>
        <v>0</v>
      </c>
      <c r="K140" s="446">
        <f t="shared" si="15"/>
        <v>10</v>
      </c>
      <c r="L140" s="446">
        <f t="shared" si="15"/>
        <v>25</v>
      </c>
      <c r="M140" s="447">
        <f>E140-D140</f>
        <v>-22448</v>
      </c>
      <c r="N140" s="293">
        <f>IF(D140=0,0,M140/D140)</f>
        <v>-0.99667007059450341</v>
      </c>
      <c r="O140" s="448" t="s">
        <v>365</v>
      </c>
      <c r="P140" s="448"/>
      <c r="Q140" s="448"/>
      <c r="R140" s="448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>
        <f>AD141</f>
        <v>75000</v>
      </c>
      <c r="AE140" s="449" t="s">
        <v>25</v>
      </c>
      <c r="AF140" s="1"/>
    </row>
    <row r="141" spans="1:32" s="11" customFormat="1" ht="21" customHeight="1">
      <c r="A141" s="43" t="s">
        <v>319</v>
      </c>
      <c r="B141" s="44" t="s">
        <v>21</v>
      </c>
      <c r="C141" s="34" t="s">
        <v>21</v>
      </c>
      <c r="D141" s="111">
        <v>22523</v>
      </c>
      <c r="E141" s="111">
        <f>SUM(F141:L141)</f>
        <v>75</v>
      </c>
      <c r="F141" s="112">
        <f>SUMIF(AB142:AB145,"보조",AD142:AD145)/1000</f>
        <v>0</v>
      </c>
      <c r="G141" s="112">
        <f>SUMIF($AB$8:$AB$9,"7종",$AD$8:$AD$9)/1000</f>
        <v>0</v>
      </c>
      <c r="H141" s="112">
        <f>SUMIF($AB$8:$AB$9,"4종",$AD$8:$AD$9)/1000</f>
        <v>0</v>
      </c>
      <c r="I141" s="112">
        <f>SUMIF(AB142:AB145,"후원",AD142:AD145)/1000</f>
        <v>40</v>
      </c>
      <c r="J141" s="112">
        <f>SUMIF(AB145:AB146,"입소",AD145:AD146)/1000</f>
        <v>0</v>
      </c>
      <c r="K141" s="112">
        <f>SUMIF(AB142:AB145,"전입",AD142:AD145)/1000</f>
        <v>10</v>
      </c>
      <c r="L141" s="112">
        <f>SUMIF(AB142:AB145,"잡수",AD142:AD145)/1000</f>
        <v>25</v>
      </c>
      <c r="M141" s="111">
        <f>E141-D141</f>
        <v>-22448</v>
      </c>
      <c r="N141" s="119">
        <f>IF(D141=0,0,M141/D141)</f>
        <v>-0.99667007059450341</v>
      </c>
      <c r="O141" s="415" t="s">
        <v>51</v>
      </c>
      <c r="P141" s="173"/>
      <c r="Q141" s="173"/>
      <c r="R141" s="173"/>
      <c r="S141" s="173"/>
      <c r="T141" s="172"/>
      <c r="U141" s="172"/>
      <c r="V141" s="172"/>
      <c r="W141" s="172"/>
      <c r="X141" s="172"/>
      <c r="Y141" s="414" t="s">
        <v>99</v>
      </c>
      <c r="Z141" s="414"/>
      <c r="AA141" s="414"/>
      <c r="AB141" s="414"/>
      <c r="AC141" s="166"/>
      <c r="AD141" s="166">
        <f>SUM(AD142:AD145)</f>
        <v>75000</v>
      </c>
      <c r="AE141" s="165" t="s">
        <v>25</v>
      </c>
      <c r="AF141" s="1"/>
    </row>
    <row r="142" spans="1:32" s="11" customFormat="1" ht="21" customHeight="1">
      <c r="A142" s="43" t="s">
        <v>152</v>
      </c>
      <c r="B142" s="44" t="s">
        <v>319</v>
      </c>
      <c r="C142" s="44"/>
      <c r="D142" s="151"/>
      <c r="E142" s="107"/>
      <c r="F142" s="434"/>
      <c r="G142" s="434"/>
      <c r="H142" s="434"/>
      <c r="I142" s="434"/>
      <c r="J142" s="434"/>
      <c r="K142" s="434"/>
      <c r="L142" s="434"/>
      <c r="M142" s="107"/>
      <c r="N142" s="68"/>
      <c r="O142" s="65" t="s">
        <v>292</v>
      </c>
      <c r="P142" s="271"/>
      <c r="Q142" s="270"/>
      <c r="R142" s="270"/>
      <c r="S142" s="270"/>
      <c r="T142" s="270"/>
      <c r="U142" s="270"/>
      <c r="V142" s="270"/>
      <c r="W142" s="52"/>
      <c r="X142" s="52"/>
      <c r="Y142" s="52"/>
      <c r="Z142" s="270"/>
      <c r="AA142" s="270"/>
      <c r="AB142" s="270" t="s">
        <v>425</v>
      </c>
      <c r="AC142" s="66"/>
      <c r="AD142" s="66">
        <v>40000</v>
      </c>
      <c r="AE142" s="55" t="s">
        <v>55</v>
      </c>
      <c r="AF142" s="1"/>
    </row>
    <row r="143" spans="1:32" s="11" customFormat="1" ht="21" customHeight="1">
      <c r="A143" s="43"/>
      <c r="B143" s="44" t="s">
        <v>366</v>
      </c>
      <c r="C143" s="44"/>
      <c r="D143" s="151"/>
      <c r="E143" s="107"/>
      <c r="F143" s="434"/>
      <c r="G143" s="434"/>
      <c r="H143" s="434"/>
      <c r="I143" s="434"/>
      <c r="J143" s="434"/>
      <c r="K143" s="434"/>
      <c r="L143" s="434"/>
      <c r="M143" s="107"/>
      <c r="N143" s="68"/>
      <c r="O143" s="65" t="s">
        <v>293</v>
      </c>
      <c r="P143" s="271"/>
      <c r="Q143" s="270"/>
      <c r="R143" s="270"/>
      <c r="S143" s="270"/>
      <c r="T143" s="270"/>
      <c r="U143" s="270"/>
      <c r="V143" s="270"/>
      <c r="W143" s="52"/>
      <c r="X143" s="52"/>
      <c r="Y143" s="52"/>
      <c r="Z143" s="270"/>
      <c r="AA143" s="270"/>
      <c r="AB143" s="270" t="s">
        <v>426</v>
      </c>
      <c r="AC143" s="66"/>
      <c r="AD143" s="66">
        <v>10000</v>
      </c>
      <c r="AE143" s="55" t="s">
        <v>55</v>
      </c>
      <c r="AF143" s="1"/>
    </row>
    <row r="144" spans="1:32" s="11" customFormat="1" ht="21" customHeight="1">
      <c r="A144" s="43"/>
      <c r="B144" s="44"/>
      <c r="C144" s="44"/>
      <c r="D144" s="151"/>
      <c r="E144" s="107"/>
      <c r="F144" s="434"/>
      <c r="G144" s="434"/>
      <c r="H144" s="434"/>
      <c r="I144" s="434"/>
      <c r="J144" s="434"/>
      <c r="K144" s="434"/>
      <c r="L144" s="434"/>
      <c r="M144" s="107"/>
      <c r="N144" s="68"/>
      <c r="O144" s="65" t="s">
        <v>145</v>
      </c>
      <c r="P144" s="271"/>
      <c r="Q144" s="270"/>
      <c r="R144" s="270"/>
      <c r="S144" s="270"/>
      <c r="T144" s="270"/>
      <c r="U144" s="270"/>
      <c r="V144" s="270"/>
      <c r="W144" s="52"/>
      <c r="X144" s="52"/>
      <c r="Y144" s="52"/>
      <c r="Z144" s="270"/>
      <c r="AA144" s="270"/>
      <c r="AB144" s="270" t="s">
        <v>427</v>
      </c>
      <c r="AC144" s="66"/>
      <c r="AD144" s="66">
        <v>25000</v>
      </c>
      <c r="AE144" s="55" t="s">
        <v>55</v>
      </c>
      <c r="AF144" s="1"/>
    </row>
    <row r="145" spans="1:32" s="11" customFormat="1" ht="21" customHeight="1">
      <c r="A145" s="43"/>
      <c r="B145" s="44"/>
      <c r="C145" s="57"/>
      <c r="D145" s="152"/>
      <c r="E145" s="109"/>
      <c r="F145" s="109"/>
      <c r="G145" s="109"/>
      <c r="H145" s="109"/>
      <c r="I145" s="109"/>
      <c r="J145" s="109"/>
      <c r="K145" s="109"/>
      <c r="L145" s="109"/>
      <c r="M145" s="109"/>
      <c r="N145" s="82"/>
      <c r="O145" s="436"/>
      <c r="P145" s="413"/>
      <c r="Q145" s="413"/>
      <c r="R145" s="413"/>
      <c r="S145" s="413"/>
      <c r="T145" s="412"/>
      <c r="U145" s="412"/>
      <c r="V145" s="412"/>
      <c r="W145" s="412"/>
      <c r="X145" s="412"/>
      <c r="Y145" s="412"/>
      <c r="Z145" s="412"/>
      <c r="AA145" s="412"/>
      <c r="AB145" s="441"/>
      <c r="AC145" s="366"/>
      <c r="AD145" s="70"/>
      <c r="AE145" s="365"/>
      <c r="AF145" s="2"/>
    </row>
    <row r="146" spans="1:32" s="11" customFormat="1" ht="21" customHeight="1">
      <c r="A146" s="43"/>
      <c r="B146" s="44"/>
      <c r="C146" s="44" t="s">
        <v>320</v>
      </c>
      <c r="D146" s="151">
        <v>0</v>
      </c>
      <c r="E146" s="107"/>
      <c r="F146" s="112">
        <f>SUMIF(AB147:AB147,"보조",AD147:AD147)/1000</f>
        <v>0</v>
      </c>
      <c r="G146" s="112">
        <f>SUMIF($AB$8:$AB$9,"7종",$AD$8:$AD$9)/1000</f>
        <v>0</v>
      </c>
      <c r="H146" s="112">
        <f>SUMIF($AB$8:$AB$9,"4종",$AD$8:$AD$9)/1000</f>
        <v>0</v>
      </c>
      <c r="I146" s="112">
        <f>SUMIF(AB147:AB147,"후원",AD147:AD147)/1000</f>
        <v>0</v>
      </c>
      <c r="J146" s="112">
        <f>SUMIF(AB147:AB148,"입소",AD147:AD148)/1000</f>
        <v>0</v>
      </c>
      <c r="K146" s="112">
        <f>SUMIF(AB147:AB147,"전입",AD147:AD147)/1000</f>
        <v>0</v>
      </c>
      <c r="L146" s="112">
        <f>SUMIF(AB147:AB147,"잡수",AD147:AD147)/1000</f>
        <v>0</v>
      </c>
      <c r="M146" s="107">
        <f>E146-D146</f>
        <v>0</v>
      </c>
      <c r="N146" s="68">
        <f>IF(D146=0,0,M146/D146)</f>
        <v>0</v>
      </c>
      <c r="O146" s="415" t="s">
        <v>321</v>
      </c>
      <c r="P146" s="173"/>
      <c r="Q146" s="173"/>
      <c r="R146" s="173"/>
      <c r="S146" s="173"/>
      <c r="T146" s="172"/>
      <c r="U146" s="172"/>
      <c r="V146" s="172"/>
      <c r="W146" s="172"/>
      <c r="X146" s="172"/>
      <c r="Y146" s="414" t="s">
        <v>99</v>
      </c>
      <c r="Z146" s="414"/>
      <c r="AA146" s="414"/>
      <c r="AB146" s="414"/>
      <c r="AC146" s="166"/>
      <c r="AD146" s="166">
        <f>SUM(AD147:AD148)</f>
        <v>0</v>
      </c>
      <c r="AE146" s="165" t="s">
        <v>25</v>
      </c>
      <c r="AF146" s="2"/>
    </row>
    <row r="147" spans="1:32" s="1" customFormat="1" ht="21" customHeight="1" thickBot="1">
      <c r="A147" s="134"/>
      <c r="B147" s="100"/>
      <c r="C147" s="100"/>
      <c r="D147" s="156"/>
      <c r="E147" s="135"/>
      <c r="F147" s="135"/>
      <c r="G147" s="135"/>
      <c r="H147" s="135"/>
      <c r="I147" s="135"/>
      <c r="J147" s="135"/>
      <c r="K147" s="135"/>
      <c r="L147" s="135"/>
      <c r="M147" s="135"/>
      <c r="N147" s="136"/>
      <c r="O147" s="437" t="s">
        <v>322</v>
      </c>
      <c r="P147" s="367"/>
      <c r="Q147" s="367"/>
      <c r="R147" s="367"/>
      <c r="S147" s="368"/>
      <c r="T147" s="368"/>
      <c r="U147" s="368"/>
      <c r="V147" s="368"/>
      <c r="W147" s="368"/>
      <c r="X147" s="368"/>
      <c r="Y147" s="368"/>
      <c r="Z147" s="368"/>
      <c r="AA147" s="368"/>
      <c r="AB147" s="368"/>
      <c r="AC147" s="368"/>
      <c r="AD147" s="368"/>
      <c r="AE147" s="369"/>
    </row>
    <row r="149" spans="1:32" ht="21" customHeight="1">
      <c r="E149" s="269"/>
      <c r="F149" s="269"/>
    </row>
    <row r="150" spans="1:32" ht="21" customHeight="1">
      <c r="E150" s="269"/>
      <c r="F150" s="269"/>
    </row>
    <row r="151" spans="1:32" ht="21" customHeight="1">
      <c r="F151" s="269"/>
    </row>
    <row r="152" spans="1:32" ht="21" customHeight="1">
      <c r="E152" s="269"/>
      <c r="F152" s="269"/>
    </row>
    <row r="153" spans="1:32" ht="21" customHeight="1">
      <c r="E153" s="269"/>
      <c r="F153" s="269"/>
    </row>
    <row r="154" spans="1:32" ht="21" customHeight="1">
      <c r="E154" s="269"/>
      <c r="F154" s="269"/>
    </row>
  </sheetData>
  <mergeCells count="19">
    <mergeCell ref="O2:AE3"/>
    <mergeCell ref="A1:D1"/>
    <mergeCell ref="V75:W75"/>
    <mergeCell ref="V51:W51"/>
    <mergeCell ref="O67:S67"/>
    <mergeCell ref="B5:C5"/>
    <mergeCell ref="A4:C4"/>
    <mergeCell ref="M2:N2"/>
    <mergeCell ref="A2:C2"/>
    <mergeCell ref="D2:D3"/>
    <mergeCell ref="E2:L2"/>
    <mergeCell ref="O14:P14"/>
    <mergeCell ref="B140:C140"/>
    <mergeCell ref="B129:C129"/>
    <mergeCell ref="B107:C107"/>
    <mergeCell ref="B97:C97"/>
    <mergeCell ref="B85:C85"/>
    <mergeCell ref="B137:C137"/>
    <mergeCell ref="B132:C132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badastar02@hanmal.net</cp:lastModifiedBy>
  <cp:revision>65</cp:revision>
  <cp:lastPrinted>2019-12-15T08:18:33Z</cp:lastPrinted>
  <dcterms:created xsi:type="dcterms:W3CDTF">2003-12-18T04:11:57Z</dcterms:created>
  <dcterms:modified xsi:type="dcterms:W3CDTF">2020-01-08T01:09:12Z</dcterms:modified>
</cp:coreProperties>
</file>